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72.16.0.138\cgm\AC\AT\CGM HIGOR\PRESTAÇÃO DE CONTAS MENSAIS -ORGANIZAR\"/>
    </mc:Choice>
  </mc:AlternateContent>
  <xr:revisionPtr revIDLastSave="0" documentId="13_ncr:1_{FBD6BD59-C217-4C1A-B153-B6306FFD8618}" xr6:coauthVersionLast="47" xr6:coauthVersionMax="47" xr10:uidLastSave="{00000000-0000-0000-0000-000000000000}"/>
  <bookViews>
    <workbookView xWindow="-120" yWindow="-120" windowWidth="29040" windowHeight="15720" xr2:uid="{00000000-000D-0000-FFFF-FFFF00000000}"/>
  </bookViews>
  <sheets>
    <sheet name="CONTRATAÇÕES PÚBLICAS SEME JUN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X421" i="2" l="1"/>
  <c r="BW421" i="2"/>
  <c r="BF421" i="2"/>
  <c r="BA421" i="2"/>
  <c r="AJ421" i="2"/>
  <c r="AI421" i="2"/>
  <c r="BL420" i="2"/>
  <c r="BN420" i="2" s="1"/>
  <c r="BN419" i="2"/>
  <c r="BN418" i="2"/>
  <c r="BN417" i="2"/>
  <c r="BN416" i="2"/>
  <c r="BN415" i="2"/>
  <c r="BN414" i="2"/>
  <c r="BN413" i="2"/>
  <c r="BK412" i="2"/>
  <c r="BJ412" i="2"/>
  <c r="BN412" i="2" s="1"/>
  <c r="BI412" i="2"/>
  <c r="BN411" i="2"/>
  <c r="BI411" i="2"/>
  <c r="BN410" i="2"/>
  <c r="BI410" i="2"/>
  <c r="BN409" i="2"/>
  <c r="BE409" i="2"/>
  <c r="BN408" i="2"/>
  <c r="BL407" i="2"/>
  <c r="BK407" i="2"/>
  <c r="BJ407" i="2"/>
  <c r="BI407" i="2"/>
  <c r="BI409" i="2" s="1"/>
  <c r="BD410" i="2" s="1"/>
  <c r="BN406" i="2"/>
  <c r="BM405" i="2"/>
  <c r="BL405" i="2"/>
  <c r="BK405" i="2"/>
  <c r="BJ405" i="2"/>
  <c r="BI405" i="2"/>
  <c r="BN404" i="2"/>
  <c r="BE403" i="2"/>
  <c r="BN402" i="2"/>
  <c r="BN401" i="2"/>
  <c r="BN400" i="2"/>
  <c r="BN399" i="2"/>
  <c r="BN398" i="2"/>
  <c r="BN397" i="2"/>
  <c r="BN396" i="2"/>
  <c r="BN395" i="2"/>
  <c r="BN394" i="2"/>
  <c r="BI394" i="2"/>
  <c r="BN393" i="2"/>
  <c r="BE393" i="2"/>
  <c r="BN392" i="2"/>
  <c r="BL391" i="2"/>
  <c r="BK391" i="2"/>
  <c r="BJ391" i="2"/>
  <c r="BN391" i="2" s="1"/>
  <c r="BI391" i="2"/>
  <c r="BI393" i="2" s="1"/>
  <c r="BN390" i="2"/>
  <c r="BN389" i="2"/>
  <c r="BN388" i="2"/>
  <c r="BI388" i="2"/>
  <c r="BN387" i="2"/>
  <c r="BN386" i="2"/>
  <c r="BN385" i="2"/>
  <c r="BN384" i="2"/>
  <c r="BN383" i="2"/>
  <c r="BN382" i="2"/>
  <c r="BN381" i="2"/>
  <c r="BN380" i="2"/>
  <c r="BN379" i="2"/>
  <c r="BN378" i="2"/>
  <c r="BN377" i="2"/>
  <c r="BL376" i="2"/>
  <c r="BK376" i="2"/>
  <c r="BJ376" i="2"/>
  <c r="BI376" i="2"/>
  <c r="BN375" i="2"/>
  <c r="BN373" i="2"/>
  <c r="BN372" i="2"/>
  <c r="BN371" i="2"/>
  <c r="BN370" i="2"/>
  <c r="BN369" i="2"/>
  <c r="BN368" i="2"/>
  <c r="BN367" i="2"/>
  <c r="BN366" i="2"/>
  <c r="BN365" i="2"/>
  <c r="BN364" i="2"/>
  <c r="BI364" i="2"/>
  <c r="BN363" i="2"/>
  <c r="BN362" i="2"/>
  <c r="BN361" i="2"/>
  <c r="BN360" i="2"/>
  <c r="BI360" i="2"/>
  <c r="BL359" i="2"/>
  <c r="BK359" i="2"/>
  <c r="BJ359" i="2"/>
  <c r="BI359" i="2"/>
  <c r="BN358" i="2"/>
  <c r="BI358" i="2"/>
  <c r="BN356" i="2"/>
  <c r="BN355" i="2"/>
  <c r="BN354" i="2"/>
  <c r="BN353" i="2"/>
  <c r="BN352" i="2"/>
  <c r="BN351" i="2"/>
  <c r="BN350" i="2"/>
  <c r="BN349" i="2"/>
  <c r="BN348" i="2"/>
  <c r="BI348" i="2"/>
  <c r="BN347" i="2"/>
  <c r="BN346" i="2"/>
  <c r="BE346" i="2"/>
  <c r="BD346" i="2" s="1"/>
  <c r="BN345" i="2"/>
  <c r="BI345" i="2"/>
  <c r="BI346" i="2" s="1"/>
  <c r="BN344" i="2"/>
  <c r="BE344" i="2"/>
  <c r="BN343" i="2"/>
  <c r="BI343" i="2"/>
  <c r="BI344" i="2" s="1"/>
  <c r="BL342" i="2"/>
  <c r="BK342" i="2"/>
  <c r="BJ342" i="2"/>
  <c r="BN342" i="2" s="1"/>
  <c r="BN341" i="2"/>
  <c r="BI341" i="2"/>
  <c r="BN339" i="2"/>
  <c r="BN338" i="2"/>
  <c r="BN337" i="2"/>
  <c r="BN336" i="2"/>
  <c r="BN335" i="2"/>
  <c r="BN334" i="2"/>
  <c r="BN333" i="2"/>
  <c r="BN332" i="2"/>
  <c r="BN331" i="2"/>
  <c r="BN330" i="2"/>
  <c r="BI330" i="2"/>
  <c r="BN329" i="2"/>
  <c r="BN328" i="2"/>
  <c r="BN327" i="2"/>
  <c r="BE327" i="2"/>
  <c r="BN326" i="2"/>
  <c r="BN325" i="2"/>
  <c r="BE325" i="2"/>
  <c r="BN324" i="2"/>
  <c r="BL323" i="2"/>
  <c r="BK323" i="2"/>
  <c r="BJ323" i="2"/>
  <c r="BI323" i="2"/>
  <c r="BI325" i="2" s="1"/>
  <c r="BN322" i="2"/>
  <c r="BI322" i="2"/>
  <c r="BN320" i="2"/>
  <c r="BN319" i="2"/>
  <c r="AW319" i="2"/>
  <c r="BN318" i="2"/>
  <c r="BI318" i="2"/>
  <c r="BN317" i="2"/>
  <c r="BN316" i="2"/>
  <c r="BN315" i="2"/>
  <c r="BN314" i="2"/>
  <c r="BN313" i="2"/>
  <c r="BN312" i="2"/>
  <c r="BN311" i="2"/>
  <c r="BN310" i="2"/>
  <c r="BN309" i="2"/>
  <c r="BE309" i="2"/>
  <c r="BD309" i="2"/>
  <c r="BN308" i="2"/>
  <c r="BN307" i="2"/>
  <c r="BE307" i="2"/>
  <c r="BD307" i="2"/>
  <c r="BN306" i="2"/>
  <c r="BN305" i="2"/>
  <c r="BE305" i="2"/>
  <c r="BD305" i="2"/>
  <c r="BN304" i="2"/>
  <c r="BN303" i="2"/>
  <c r="BE303" i="2"/>
  <c r="BD303" i="2"/>
  <c r="BN302" i="2"/>
  <c r="BN301" i="2"/>
  <c r="BE301" i="2"/>
  <c r="BD301" i="2"/>
  <c r="BN300" i="2"/>
  <c r="BN299" i="2"/>
  <c r="BE299" i="2"/>
  <c r="BD299" i="2"/>
  <c r="BN298" i="2"/>
  <c r="BN297" i="2"/>
  <c r="BN296" i="2"/>
  <c r="BE296" i="2"/>
  <c r="BD296" i="2"/>
  <c r="BN295" i="2"/>
  <c r="BE295" i="2"/>
  <c r="BD295" i="2"/>
  <c r="BN294" i="2"/>
  <c r="BE294" i="2"/>
  <c r="BD294" i="2"/>
  <c r="BL293" i="2"/>
  <c r="BK293" i="2"/>
  <c r="BJ293" i="2"/>
  <c r="BI293" i="2"/>
  <c r="BI294" i="2" s="1"/>
  <c r="BI295" i="2" s="1"/>
  <c r="BI296" i="2" s="1"/>
  <c r="BN292" i="2"/>
  <c r="BL290" i="2"/>
  <c r="BN290" i="2" s="1"/>
  <c r="BK290" i="2"/>
  <c r="BE290" i="2"/>
  <c r="BK289" i="2"/>
  <c r="BJ289" i="2"/>
  <c r="BN289" i="2" s="1"/>
  <c r="AK289" i="2"/>
  <c r="BI289" i="2" s="1"/>
  <c r="BI290" i="2" s="1"/>
  <c r="BN288" i="2"/>
  <c r="BE288" i="2"/>
  <c r="BN287" i="2"/>
  <c r="BI287" i="2"/>
  <c r="BE287" i="2"/>
  <c r="BL286" i="2"/>
  <c r="BK286" i="2"/>
  <c r="BJ286" i="2"/>
  <c r="AK286" i="2"/>
  <c r="BI286" i="2" s="1"/>
  <c r="BD287" i="2" s="1"/>
  <c r="BN285" i="2"/>
  <c r="BN284" i="2"/>
  <c r="BN283" i="2"/>
  <c r="BL282" i="2"/>
  <c r="BK282" i="2"/>
  <c r="BJ282" i="2"/>
  <c r="BN282" i="2" s="1"/>
  <c r="BI282" i="2"/>
  <c r="BL281" i="2"/>
  <c r="BN281" i="2" s="1"/>
  <c r="BN280" i="2"/>
  <c r="BN279" i="2"/>
  <c r="BN277" i="2"/>
  <c r="BL276" i="2"/>
  <c r="BK276" i="2"/>
  <c r="BI276" i="2"/>
  <c r="BL275" i="2"/>
  <c r="BN275" i="2" s="1"/>
  <c r="BN274" i="2"/>
  <c r="BK274" i="2"/>
  <c r="BM273" i="2"/>
  <c r="AK273" i="2"/>
  <c r="BI273" i="2" s="1"/>
  <c r="BN272" i="2"/>
  <c r="BN269" i="2"/>
  <c r="BN268" i="2"/>
  <c r="BN267" i="2"/>
  <c r="BN266" i="2"/>
  <c r="BM265" i="2"/>
  <c r="BL265" i="2"/>
  <c r="BK265" i="2"/>
  <c r="BJ265" i="2"/>
  <c r="BN265" i="2" s="1"/>
  <c r="BI265" i="2"/>
  <c r="BN264" i="2"/>
  <c r="BN263" i="2"/>
  <c r="BN262" i="2"/>
  <c r="BN261" i="2"/>
  <c r="BN260" i="2"/>
  <c r="BN259" i="2"/>
  <c r="BI259" i="2"/>
  <c r="BN258" i="2"/>
  <c r="BN257" i="2"/>
  <c r="BN256" i="2"/>
  <c r="BL255" i="2"/>
  <c r="BK255" i="2"/>
  <c r="BJ255" i="2"/>
  <c r="BI255" i="2"/>
  <c r="BL254" i="2"/>
  <c r="BJ254" i="2"/>
  <c r="BI254" i="2"/>
  <c r="BN252" i="2"/>
  <c r="BN251" i="2"/>
  <c r="BK250" i="2"/>
  <c r="BJ250" i="2"/>
  <c r="BN250" i="2" s="1"/>
  <c r="BL249" i="2"/>
  <c r="BJ249" i="2"/>
  <c r="BN249" i="2" s="1"/>
  <c r="BN248" i="2"/>
  <c r="BN247" i="2"/>
  <c r="AK247" i="2"/>
  <c r="BI247" i="2" s="1"/>
  <c r="BN246" i="2"/>
  <c r="BN245" i="2"/>
  <c r="BN244" i="2"/>
  <c r="BL243" i="2"/>
  <c r="BK243" i="2"/>
  <c r="BJ243" i="2"/>
  <c r="BN243" i="2" s="1"/>
  <c r="BI243" i="2"/>
  <c r="BN242" i="2"/>
  <c r="BN241" i="2"/>
  <c r="BK241" i="2"/>
  <c r="BN240" i="2"/>
  <c r="BK240" i="2"/>
  <c r="BL239" i="2"/>
  <c r="BJ239" i="2"/>
  <c r="BI239" i="2"/>
  <c r="BN238" i="2"/>
  <c r="BE238" i="2"/>
  <c r="BN237" i="2"/>
  <c r="BN236" i="2"/>
  <c r="BN235" i="2"/>
  <c r="BL234" i="2"/>
  <c r="BK234" i="2"/>
  <c r="BJ234" i="2"/>
  <c r="BN234" i="2" s="1"/>
  <c r="BI234" i="2"/>
  <c r="BN233" i="2"/>
  <c r="BN231" i="2"/>
  <c r="BN230" i="2"/>
  <c r="BN229" i="2"/>
  <c r="BL228" i="2"/>
  <c r="BK228" i="2"/>
  <c r="BI228" i="2"/>
  <c r="BN227" i="2"/>
  <c r="BN225" i="2"/>
  <c r="BL224" i="2"/>
  <c r="BK224" i="2"/>
  <c r="BJ224" i="2"/>
  <c r="BN224" i="2" s="1"/>
  <c r="BI224" i="2"/>
  <c r="BN223" i="2"/>
  <c r="BN222" i="2"/>
  <c r="BN220" i="2"/>
  <c r="BN219" i="2"/>
  <c r="BK218" i="2"/>
  <c r="BJ218" i="2"/>
  <c r="BN217" i="2"/>
  <c r="BN216" i="2"/>
  <c r="BL215" i="2"/>
  <c r="BI215" i="2"/>
  <c r="BN214" i="2"/>
  <c r="BN213" i="2"/>
  <c r="BN212" i="2"/>
  <c r="BL211" i="2"/>
  <c r="BK211" i="2"/>
  <c r="BJ211" i="2"/>
  <c r="BN211" i="2" s="1"/>
  <c r="BI211" i="2"/>
  <c r="BN210" i="2"/>
  <c r="BN209" i="2"/>
  <c r="AW209" i="2"/>
  <c r="BN208" i="2"/>
  <c r="BL207" i="2"/>
  <c r="BK207" i="2"/>
  <c r="BJ207" i="2"/>
  <c r="BN207" i="2" s="1"/>
  <c r="BI207" i="2"/>
  <c r="BL206" i="2"/>
  <c r="BK206" i="2"/>
  <c r="BL205" i="2"/>
  <c r="BK205" i="2"/>
  <c r="BN204" i="2"/>
  <c r="BI204" i="2"/>
  <c r="BN203" i="2"/>
  <c r="BN202" i="2"/>
  <c r="BN201" i="2"/>
  <c r="BL200" i="2"/>
  <c r="BK200" i="2"/>
  <c r="BJ200" i="2"/>
  <c r="BI200" i="2"/>
  <c r="BN199" i="2"/>
  <c r="BN198" i="2"/>
  <c r="BK198" i="2"/>
  <c r="BN197" i="2"/>
  <c r="BL196" i="2"/>
  <c r="BK196" i="2"/>
  <c r="BJ196" i="2"/>
  <c r="BI196" i="2"/>
  <c r="X196" i="2"/>
  <c r="X421" i="2" s="1"/>
  <c r="BN195" i="2"/>
  <c r="BN191" i="2"/>
  <c r="BK191" i="2"/>
  <c r="BN190" i="2"/>
  <c r="BL189" i="2"/>
  <c r="BK189" i="2"/>
  <c r="BJ189" i="2"/>
  <c r="BI189" i="2"/>
  <c r="BN188" i="2"/>
  <c r="BL186" i="2"/>
  <c r="BK186" i="2"/>
  <c r="BJ186" i="2"/>
  <c r="BN186" i="2" s="1"/>
  <c r="BI186" i="2"/>
  <c r="BL185" i="2"/>
  <c r="BN185" i="2" s="1"/>
  <c r="BN183" i="2"/>
  <c r="BM183" i="2"/>
  <c r="BK183" i="2"/>
  <c r="BN182" i="2"/>
  <c r="BN181" i="2"/>
  <c r="BK180" i="2"/>
  <c r="BJ180" i="2"/>
  <c r="BN179" i="2"/>
  <c r="BN177" i="2"/>
  <c r="BK176" i="2"/>
  <c r="BJ176" i="2"/>
  <c r="BN176" i="2" s="1"/>
  <c r="BN175" i="2"/>
  <c r="AX175" i="2"/>
  <c r="AX421" i="2" s="1"/>
  <c r="BN174" i="2"/>
  <c r="BL173" i="2"/>
  <c r="BK173" i="2"/>
  <c r="BJ173" i="2"/>
  <c r="AK173" i="2"/>
  <c r="BN172" i="2"/>
  <c r="BN171" i="2"/>
  <c r="BN170" i="2"/>
  <c r="BL169" i="2"/>
  <c r="BK169" i="2"/>
  <c r="BJ169" i="2"/>
  <c r="BI169" i="2"/>
  <c r="BI170" i="2" s="1"/>
  <c r="BD169" i="2"/>
  <c r="BN168" i="2"/>
  <c r="BN165" i="2"/>
  <c r="BN164" i="2"/>
  <c r="BL163" i="2"/>
  <c r="BK163" i="2"/>
  <c r="BJ163" i="2"/>
  <c r="BN162" i="2"/>
  <c r="BK161" i="2"/>
  <c r="BN161" i="2"/>
  <c r="BN160" i="2"/>
  <c r="BL159" i="2"/>
  <c r="BN159" i="2" s="1"/>
  <c r="BK159" i="2"/>
  <c r="BI159" i="2"/>
  <c r="BN158" i="2"/>
  <c r="BL157" i="2"/>
  <c r="BN157" i="2" s="1"/>
  <c r="BK157" i="2"/>
  <c r="BI157" i="2"/>
  <c r="BN156" i="2"/>
  <c r="BL155" i="2"/>
  <c r="BN155" i="2" s="1"/>
  <c r="BK155" i="2"/>
  <c r="BI155" i="2"/>
  <c r="BN154" i="2"/>
  <c r="BL153" i="2"/>
  <c r="BN153" i="2" s="1"/>
  <c r="BK153" i="2"/>
  <c r="BI153" i="2"/>
  <c r="BN152" i="2"/>
  <c r="BL151" i="2"/>
  <c r="BN151" i="2" s="1"/>
  <c r="BK151" i="2"/>
  <c r="BI151" i="2"/>
  <c r="BN150" i="2"/>
  <c r="BL149" i="2"/>
  <c r="BN149" i="2" s="1"/>
  <c r="BK149" i="2"/>
  <c r="BI149" i="2"/>
  <c r="BN148" i="2"/>
  <c r="BL147" i="2"/>
  <c r="BN147" i="2" s="1"/>
  <c r="BK147" i="2"/>
  <c r="BI147" i="2"/>
  <c r="BN146" i="2"/>
  <c r="BL145" i="2"/>
  <c r="BK145" i="2"/>
  <c r="BN144" i="2"/>
  <c r="BL143" i="2"/>
  <c r="BN143" i="2" s="1"/>
  <c r="BK143" i="2"/>
  <c r="BI143" i="2"/>
  <c r="BN142" i="2"/>
  <c r="BL141" i="2"/>
  <c r="BN141" i="2" s="1"/>
  <c r="BK141" i="2"/>
  <c r="BI141" i="2"/>
  <c r="BN140" i="2"/>
  <c r="BL139" i="2"/>
  <c r="BN139" i="2" s="1"/>
  <c r="BK139" i="2"/>
  <c r="BI139" i="2"/>
  <c r="BN138" i="2"/>
  <c r="BN137" i="2"/>
  <c r="BI137" i="2"/>
  <c r="AY137" i="2"/>
  <c r="BL136" i="2"/>
  <c r="BN136" i="2" s="1"/>
  <c r="BK136" i="2"/>
  <c r="BN133" i="2"/>
  <c r="BK133" i="2"/>
  <c r="BL132" i="2"/>
  <c r="BK132" i="2"/>
  <c r="BI132" i="2"/>
  <c r="BN131" i="2"/>
  <c r="BI131" i="2"/>
  <c r="BD131" i="2"/>
  <c r="BL130" i="2"/>
  <c r="BK130" i="2"/>
  <c r="BJ130" i="2"/>
  <c r="BN129" i="2"/>
  <c r="BL128" i="2"/>
  <c r="BN128" i="2" s="1"/>
  <c r="BK128" i="2"/>
  <c r="BI128" i="2"/>
  <c r="BN127" i="2"/>
  <c r="BN126" i="2"/>
  <c r="BL125" i="2"/>
  <c r="BN125" i="2" s="1"/>
  <c r="BK125" i="2"/>
  <c r="BI125" i="2"/>
  <c r="BN124" i="2"/>
  <c r="BL119" i="2"/>
  <c r="BK119" i="2"/>
  <c r="BJ119" i="2"/>
  <c r="BN119" i="2" s="1"/>
  <c r="BI119" i="2"/>
  <c r="BN118" i="2"/>
  <c r="BL116" i="2"/>
  <c r="BK116" i="2"/>
  <c r="BJ116" i="2"/>
  <c r="BN115" i="2"/>
  <c r="BN114" i="2"/>
  <c r="BK114" i="2"/>
  <c r="BN113" i="2"/>
  <c r="BL112" i="2"/>
  <c r="BN112" i="2" s="1"/>
  <c r="BK112" i="2"/>
  <c r="BI112" i="2"/>
  <c r="BN111" i="2"/>
  <c r="BL110" i="2"/>
  <c r="BN110" i="2" s="1"/>
  <c r="BK110" i="2"/>
  <c r="BI110" i="2"/>
  <c r="BN109" i="2"/>
  <c r="BL108" i="2"/>
  <c r="BN108" i="2" s="1"/>
  <c r="BK108" i="2"/>
  <c r="BI108" i="2"/>
  <c r="BN107" i="2"/>
  <c r="BL106" i="2"/>
  <c r="BN106" i="2" s="1"/>
  <c r="BK106" i="2"/>
  <c r="BI106" i="2"/>
  <c r="BN105" i="2"/>
  <c r="BL104" i="2"/>
  <c r="BN104" i="2" s="1"/>
  <c r="BK104" i="2"/>
  <c r="BI104" i="2"/>
  <c r="BN103" i="2"/>
  <c r="BL102" i="2"/>
  <c r="BN102" i="2" s="1"/>
  <c r="BI102" i="2"/>
  <c r="BN101" i="2"/>
  <c r="BL100" i="2"/>
  <c r="BN100" i="2" s="1"/>
  <c r="BK100" i="2"/>
  <c r="BI100" i="2"/>
  <c r="BN99" i="2"/>
  <c r="BL98" i="2"/>
  <c r="BN98" i="2" s="1"/>
  <c r="BK98" i="2"/>
  <c r="BI98" i="2"/>
  <c r="BN97" i="2"/>
  <c r="BL96" i="2"/>
  <c r="BN96" i="2" s="1"/>
  <c r="BK96" i="2"/>
  <c r="BI96" i="2"/>
  <c r="BN95" i="2"/>
  <c r="BL94" i="2"/>
  <c r="BN94" i="2" s="1"/>
  <c r="BK94" i="2"/>
  <c r="BI94" i="2"/>
  <c r="BN93" i="2"/>
  <c r="BL92" i="2"/>
  <c r="BN92" i="2" s="1"/>
  <c r="BK92" i="2"/>
  <c r="BI92" i="2"/>
  <c r="BN91" i="2"/>
  <c r="BN90" i="2"/>
  <c r="BK90" i="2"/>
  <c r="BN89" i="2"/>
  <c r="BL88" i="2"/>
  <c r="BN88" i="2" s="1"/>
  <c r="BK88" i="2"/>
  <c r="BI88" i="2"/>
  <c r="BN87" i="2"/>
  <c r="BL86" i="2"/>
  <c r="BN86" i="2" s="1"/>
  <c r="BK86" i="2"/>
  <c r="BI86" i="2"/>
  <c r="BN85" i="2"/>
  <c r="BN84" i="2"/>
  <c r="BK84" i="2"/>
  <c r="BI84" i="2"/>
  <c r="BN83" i="2"/>
  <c r="BL82" i="2"/>
  <c r="BN82" i="2" s="1"/>
  <c r="BK82" i="2"/>
  <c r="BI82" i="2"/>
  <c r="BN81" i="2"/>
  <c r="BL80" i="2"/>
  <c r="BN80" i="2" s="1"/>
  <c r="BK80" i="2"/>
  <c r="BI80" i="2"/>
  <c r="BN79" i="2"/>
  <c r="BL78" i="2"/>
  <c r="BN78" i="2" s="1"/>
  <c r="BK78" i="2"/>
  <c r="BI78" i="2"/>
  <c r="BN77" i="2"/>
  <c r="BL76" i="2"/>
  <c r="BN76" i="2" s="1"/>
  <c r="BK76" i="2"/>
  <c r="BI76" i="2"/>
  <c r="BN75" i="2"/>
  <c r="BL74" i="2"/>
  <c r="BN74" i="2" s="1"/>
  <c r="BK74" i="2"/>
  <c r="BI74" i="2"/>
  <c r="BN73" i="2"/>
  <c r="BL72" i="2"/>
  <c r="BN72" i="2" s="1"/>
  <c r="BK72" i="2"/>
  <c r="BI72" i="2"/>
  <c r="BN71" i="2"/>
  <c r="BL70" i="2"/>
  <c r="BN70" i="2" s="1"/>
  <c r="BK70" i="2"/>
  <c r="BI70" i="2"/>
  <c r="BN69" i="2"/>
  <c r="BL68" i="2"/>
  <c r="BN68" i="2" s="1"/>
  <c r="BK68" i="2"/>
  <c r="BI68" i="2"/>
  <c r="BN67" i="2"/>
  <c r="BL66" i="2"/>
  <c r="BN66" i="2" s="1"/>
  <c r="BK66" i="2"/>
  <c r="BI66" i="2"/>
  <c r="BN65" i="2"/>
  <c r="BL64" i="2"/>
  <c r="BN64" i="2" s="1"/>
  <c r="BK64" i="2"/>
  <c r="BI64" i="2"/>
  <c r="BN63" i="2"/>
  <c r="BL62" i="2"/>
  <c r="BN62" i="2" s="1"/>
  <c r="BK62" i="2"/>
  <c r="BI62" i="2"/>
  <c r="BN61" i="2"/>
  <c r="BL60" i="2"/>
  <c r="BN60" i="2" s="1"/>
  <c r="BK60" i="2"/>
  <c r="BI60" i="2"/>
  <c r="BN59" i="2"/>
  <c r="BL58" i="2"/>
  <c r="BN58" i="2" s="1"/>
  <c r="BK58" i="2"/>
  <c r="BI58" i="2"/>
  <c r="BN57" i="2"/>
  <c r="BL56" i="2"/>
  <c r="BN56" i="2" s="1"/>
  <c r="BK56" i="2"/>
  <c r="BI56" i="2"/>
  <c r="BN55" i="2"/>
  <c r="BL54" i="2"/>
  <c r="BN54" i="2" s="1"/>
  <c r="BK54" i="2"/>
  <c r="BI54" i="2"/>
  <c r="BN53" i="2"/>
  <c r="BL52" i="2"/>
  <c r="BN52" i="2" s="1"/>
  <c r="BK52" i="2"/>
  <c r="BI52" i="2"/>
  <c r="BN51" i="2"/>
  <c r="BL50" i="2"/>
  <c r="BN50" i="2" s="1"/>
  <c r="BK50" i="2"/>
  <c r="BI50" i="2"/>
  <c r="BN49" i="2"/>
  <c r="BL48" i="2"/>
  <c r="BN48" i="2" s="1"/>
  <c r="BK48" i="2"/>
  <c r="BI48" i="2"/>
  <c r="BN47" i="2"/>
  <c r="BL46" i="2"/>
  <c r="BN46" i="2" s="1"/>
  <c r="BK46" i="2"/>
  <c r="BI46" i="2"/>
  <c r="BN45" i="2"/>
  <c r="BN44" i="2"/>
  <c r="BK44" i="2"/>
  <c r="BI44" i="2"/>
  <c r="BN43" i="2"/>
  <c r="BL42" i="2"/>
  <c r="BN42" i="2" s="1"/>
  <c r="BK42" i="2"/>
  <c r="BI42" i="2"/>
  <c r="BN41" i="2"/>
  <c r="BL40" i="2"/>
  <c r="BN40" i="2" s="1"/>
  <c r="BK40" i="2"/>
  <c r="BI40" i="2"/>
  <c r="BN39" i="2"/>
  <c r="BL38" i="2"/>
  <c r="BN38" i="2" s="1"/>
  <c r="BK38" i="2"/>
  <c r="BI38" i="2"/>
  <c r="BN37" i="2"/>
  <c r="BL36" i="2"/>
  <c r="BN36" i="2" s="1"/>
  <c r="BK36" i="2"/>
  <c r="BI36" i="2"/>
  <c r="BN35" i="2"/>
  <c r="BL34" i="2"/>
  <c r="BN34" i="2" s="1"/>
  <c r="BK34" i="2"/>
  <c r="BI34" i="2"/>
  <c r="BL33" i="2"/>
  <c r="BN31" i="2"/>
  <c r="BK31" i="2"/>
  <c r="BI31" i="2"/>
  <c r="BN30" i="2"/>
  <c r="BN25" i="2"/>
  <c r="AW24" i="2"/>
  <c r="BN23" i="2"/>
  <c r="BI22" i="2"/>
  <c r="AU22" i="2"/>
  <c r="BD344" i="2" l="1"/>
  <c r="BI299" i="2"/>
  <c r="BM421" i="2"/>
  <c r="BD409" i="2"/>
  <c r="BI288" i="2"/>
  <c r="BI301" i="2"/>
  <c r="BI303" i="2" s="1"/>
  <c r="BI305" i="2" s="1"/>
  <c r="BI307" i="2" s="1"/>
  <c r="BI309" i="2" s="1"/>
  <c r="BD288" i="2"/>
  <c r="BS276" i="2"/>
  <c r="BD325" i="2"/>
  <c r="BD393" i="2"/>
  <c r="BN130" i="2"/>
  <c r="BN33" i="2"/>
  <c r="BI389" i="2"/>
  <c r="AU389" i="2"/>
  <c r="AU377" i="2"/>
  <c r="BI377" i="2"/>
  <c r="AU361" i="2"/>
  <c r="BI361" i="2"/>
  <c r="BI349" i="2"/>
  <c r="BD358" i="2" s="1"/>
  <c r="AV349" i="2"/>
  <c r="BI337" i="2"/>
  <c r="AV337" i="2"/>
  <c r="BI327" i="2"/>
  <c r="BD327" i="2"/>
  <c r="AU319" i="2"/>
  <c r="BI319" i="2"/>
  <c r="AU268" i="2"/>
  <c r="BI268" i="2"/>
  <c r="BB268" i="2"/>
  <c r="BB421" i="2" s="1"/>
  <c r="AV268" i="2"/>
  <c r="BI267" i="2"/>
  <c r="BI260" i="2"/>
  <c r="BD260" i="2"/>
  <c r="BI248" i="2"/>
  <c r="BG248" i="2"/>
  <c r="BI240" i="2"/>
  <c r="AU240" i="2"/>
  <c r="BI235" i="2"/>
  <c r="AV235" i="2"/>
  <c r="BD229" i="2"/>
  <c r="BI229" i="2"/>
  <c r="BI225" i="2"/>
  <c r="AU225" i="2"/>
  <c r="BI217" i="2"/>
  <c r="BD217" i="2"/>
  <c r="AU209" i="2"/>
  <c r="BI209" i="2"/>
  <c r="BD197" i="2"/>
  <c r="BI197" i="2"/>
  <c r="BD190" i="2"/>
  <c r="BI190" i="2"/>
  <c r="BI188" i="2"/>
  <c r="AU188" i="2"/>
  <c r="BI181" i="2"/>
  <c r="AU181" i="2"/>
  <c r="BI173" i="2"/>
  <c r="AW171" i="2"/>
  <c r="BI171" i="2"/>
  <c r="BD165" i="2"/>
  <c r="BI165" i="2"/>
  <c r="AU162" i="2"/>
  <c r="BI123" i="2"/>
  <c r="AU123" i="2"/>
  <c r="BI24" i="2"/>
  <c r="AU24" i="2"/>
  <c r="BD403" i="2"/>
  <c r="BD290" i="2"/>
  <c r="AU385" i="2" l="1"/>
  <c r="BI385" i="2"/>
  <c r="BI338" i="2"/>
  <c r="BE341" i="2" s="1"/>
  <c r="AV338" i="2"/>
  <c r="BI329" i="2"/>
  <c r="BD329" i="2"/>
  <c r="BS265" i="2"/>
  <c r="BI272" i="2"/>
  <c r="AU272" i="2"/>
  <c r="AV272" i="2"/>
  <c r="AU263" i="2"/>
  <c r="BI263" i="2"/>
  <c r="AU264" i="2" s="1"/>
  <c r="BH249" i="2"/>
  <c r="BI249" i="2" s="1"/>
  <c r="BD230" i="2"/>
  <c r="BI230" i="2"/>
  <c r="BD218" i="2"/>
  <c r="BI218" i="2"/>
  <c r="BD198" i="2"/>
  <c r="BI198" i="2"/>
  <c r="BD192" i="2"/>
  <c r="BI192" i="2"/>
  <c r="AV175" i="2"/>
  <c r="BI175" i="2"/>
  <c r="AU171" i="2"/>
  <c r="BD166" i="2"/>
  <c r="BI166" i="2"/>
  <c r="AU163" i="2"/>
  <c r="BI163" i="2"/>
  <c r="AU27" i="2"/>
  <c r="BI27" i="2"/>
  <c r="BI238" i="2"/>
  <c r="BD238" i="2"/>
  <c r="AU386" i="2" l="1"/>
  <c r="BI386" i="2"/>
  <c r="AU388" i="2"/>
  <c r="BD341" i="2"/>
  <c r="BG249" i="2"/>
  <c r="BH421" i="2"/>
  <c r="BD231" i="2"/>
  <c r="BI231" i="2"/>
  <c r="BD219" i="2"/>
  <c r="BI219" i="2"/>
  <c r="BD178" i="2"/>
  <c r="BI178" i="2"/>
  <c r="AW233" i="2" l="1"/>
  <c r="BI233" i="2" s="1"/>
  <c r="AU23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K133" authorId="0" shapeId="0" xr:uid="{16BF0D2A-8050-49E3-8960-67F383F24FB0}">
      <text>
        <r>
          <rPr>
            <sz val="11"/>
            <color theme="1"/>
            <rFont val="Calibri"/>
            <scheme val="minor"/>
          </rPr>
          <t>Controle Interno:
pagamento referente ao 2º ta</t>
        </r>
      </text>
    </comment>
    <comment ref="Z173" authorId="0" shapeId="0" xr:uid="{79AB2124-264B-4FD9-9810-B414EC07EC20}">
      <text>
        <r>
          <rPr>
            <sz val="11"/>
            <color theme="1"/>
            <rFont val="Calibri"/>
            <scheme val="minor"/>
          </rPr>
          <t>Controle Interno:
VALOR TOTAL DO ULTIMO TERMO DIVERGENTE</t>
        </r>
      </text>
    </comment>
    <comment ref="AL205" authorId="0" shapeId="0" xr:uid="{4EA59D63-0DAB-4CC9-BD49-623936C3471F}">
      <text>
        <r>
          <rPr>
            <sz val="11"/>
            <color theme="1"/>
            <rFont val="Calibri"/>
            <scheme val="minor"/>
          </rPr>
          <t>ANA HELENA MEIRELES DA SILVA:
ENCERROU  CONTRATO EM JUNHO DE 2026</t>
        </r>
      </text>
    </comment>
    <comment ref="AL206" authorId="0" shapeId="0" xr:uid="{6FD5BF0A-2EAD-47B5-9686-739879F8B7EC}">
      <text>
        <r>
          <rPr>
            <sz val="11"/>
            <color theme="1"/>
            <rFont val="Calibri"/>
            <scheme val="minor"/>
          </rPr>
          <t>ANA HELENA MEIRELES DA SILVA:
ENCERROU  CONTRATO EM JUNHO DE 2026</t>
        </r>
      </text>
    </comment>
    <comment ref="BJ255" authorId="0" shapeId="0" xr:uid="{8E66E2B1-9BCD-4A5E-AAEC-C48C1A6496F0}">
      <text>
        <r>
          <rPr>
            <sz val="11"/>
            <color theme="1"/>
            <rFont val="Calibri"/>
            <scheme val="minor"/>
          </rPr>
          <t xml:space="preserve">User:
DESPESAS DE EXERCIO ANTERIORES: EMPENHO: 130020369/2018 VALOR: 12000
</t>
        </r>
      </text>
    </comment>
    <comment ref="BK273" authorId="0" shapeId="0" xr:uid="{74DEA785-1526-4252-A104-0B9F18A4ED18}">
      <text>
        <r>
          <rPr>
            <sz val="11"/>
            <color theme="1"/>
            <rFont val="Calibri"/>
            <scheme val="minor"/>
          </rPr>
          <t>Controle Interno:
referente ao 1º TA - 25/11/2024 A 24/11/2025</t>
        </r>
      </text>
    </comment>
    <comment ref="BK274" authorId="0" shapeId="0" xr:uid="{E69E1CA7-BB56-408A-BB59-B39033C41AAB}">
      <text>
        <r>
          <rPr>
            <sz val="11"/>
            <color theme="1"/>
            <rFont val="Calibri"/>
            <scheme val="minor"/>
          </rPr>
          <t>Controle Interno:
PAGAMENTO REFERENTE AO 2º TA - 25/11/2025 A 24/11/2026</t>
        </r>
      </text>
    </comment>
    <comment ref="H289" authorId="0" shapeId="0" xr:uid="{474ACBCA-4BE4-4120-B9F0-3D66C565C180}">
      <text>
        <r>
          <rPr>
            <sz val="11"/>
            <color theme="1"/>
            <rFont val="Calibri"/>
            <scheme val="minor"/>
          </rPr>
          <t>Controle Interno:
DISPENSA DE LICITAÇÃO</t>
        </r>
      </text>
    </comment>
    <comment ref="BK289" authorId="0" shapeId="0" xr:uid="{08CB0C1D-E893-4041-99D1-8CA419C53E48}">
      <text>
        <r>
          <rPr>
            <sz val="11"/>
            <color theme="1"/>
            <rFont val="Calibri"/>
            <scheme val="minor"/>
          </rPr>
          <t>Controle Interno:
PAGAMENTO REFERNTE AO 1º TA</t>
        </r>
      </text>
    </comment>
    <comment ref="BL289" authorId="0" shapeId="0" xr:uid="{5D0351D3-4C33-43CE-8735-1AF3CA1F6C44}">
      <text>
        <r>
          <rPr>
            <sz val="11"/>
            <color theme="1"/>
            <rFont val="Calibri"/>
            <scheme val="minor"/>
          </rPr>
          <t>Controle Interno:
PAGAMENTO REFERNTE AO 1º TA</t>
        </r>
      </text>
    </comment>
    <comment ref="BK290" authorId="0" shapeId="0" xr:uid="{61AECFBF-5297-4847-B124-3221CF983D9C}">
      <text>
        <r>
          <rPr>
            <sz val="11"/>
            <color theme="1"/>
            <rFont val="Calibri"/>
            <scheme val="minor"/>
          </rPr>
          <t>Controle Interno:
PAGAMENTO REFERENTE AO 2º TA</t>
        </r>
      </text>
    </comment>
    <comment ref="BL290" authorId="0" shapeId="0" xr:uid="{D1FD04BB-512B-4064-A0C1-300DD89F7875}">
      <text>
        <r>
          <rPr>
            <sz val="11"/>
            <color theme="1"/>
            <rFont val="Calibri"/>
            <scheme val="minor"/>
          </rPr>
          <t>Controle Interno:
PAGAMENTO REFERENTE AO 2º TA</t>
        </r>
      </text>
    </comment>
    <comment ref="BJ359" authorId="0" shapeId="0" xr:uid="{E16F17BB-C7E4-4A46-BA3B-CC03E8A9844E}">
      <text>
        <r>
          <rPr>
            <sz val="11"/>
            <color theme="1"/>
            <rFont val="Calibri"/>
            <scheme val="minor"/>
          </rPr>
          <t>User:
DESPESAS DO EXERCICIO ANTERIOR: 16133,07</t>
        </r>
      </text>
    </comment>
    <comment ref="AD405" authorId="0" shapeId="0" xr:uid="{923BD107-328E-4AA8-A1DF-A2F411FAFAB1}">
      <text>
        <r>
          <rPr>
            <sz val="11"/>
            <color theme="1"/>
            <rFont val="Calibri"/>
            <scheme val="minor"/>
          </rPr>
          <t>ANA HELENA MEIRELES DA SILVA:
término:tempo indeterminado</t>
        </r>
      </text>
    </comment>
  </commentList>
</comments>
</file>

<file path=xl/sharedStrings.xml><?xml version="1.0" encoding="utf-8"?>
<sst xmlns="http://schemas.openxmlformats.org/spreadsheetml/2006/main" count="2457" uniqueCount="1148">
  <si>
    <t>PODER EXECUTIVO MUNICIPAL</t>
  </si>
  <si>
    <t>PRESTAÇÃO DE CONTAS MENSAL - EXERCÍCIO 2026</t>
  </si>
  <si>
    <t>RESOLUÇÃO Nº 87, DE 28 DE NOVEMBRO DE 2013 - TRIBUNAL DE CONTAS DO ESTADO DO ACRE</t>
  </si>
  <si>
    <t>Manual de Referência - 12ª Edição - Anexos IV, VI, VII e IX</t>
  </si>
  <si>
    <t>IDENTIFICAÇÃO DO ÓRGÃO/ENTIDADE/FUNDO: SECRETARIA MUNICIPAL DE EDUCAÇÃO - SEME</t>
  </si>
  <si>
    <t>REALIZADO ATÉ O MÊS/ANO: JANEIRO A JUNHO DE 2026</t>
  </si>
  <si>
    <t xml:space="preserve"> DEMONSTRATIVO DAS CONTRATAÇÕES PÚBLICAS - COMPRAS, PRESTAÇÃO DE SERVIÇOS, OBRAS E SERVIÇOS DE ENGENHARIA</t>
  </si>
  <si>
    <t>Seq</t>
  </si>
  <si>
    <t>Seleção do Fornecedor</t>
  </si>
  <si>
    <t>Contratação</t>
  </si>
  <si>
    <t>Obras e serviços de engenharia</t>
  </si>
  <si>
    <t>Gestão e Fiscalização do Contrato</t>
  </si>
  <si>
    <t xml:space="preserve"> Licitação</t>
  </si>
  <si>
    <t>Registro de Preços</t>
  </si>
  <si>
    <t>Contratação Direta</t>
  </si>
  <si>
    <t>Adesão a Registro de Preços</t>
  </si>
  <si>
    <t>Dados do Contrato</t>
  </si>
  <si>
    <t>Alteração e Registros Contratuais - Termo Aditivo e Apostilamento</t>
  </si>
  <si>
    <t>Registros Contratuais - Termo de Apostilamento</t>
  </si>
  <si>
    <t>Valor Atualizado do Contrato</t>
  </si>
  <si>
    <t>Execução Financeira</t>
  </si>
  <si>
    <t>Tipo</t>
  </si>
  <si>
    <t>Forma de execução</t>
  </si>
  <si>
    <t>Prazo de execução</t>
  </si>
  <si>
    <t>Ordem de Serviço</t>
  </si>
  <si>
    <t>Data da última medição</t>
  </si>
  <si>
    <t>Concluída no exercício de referência</t>
  </si>
  <si>
    <t>Em andamento no exercício de referência</t>
  </si>
  <si>
    <t>Paralisações</t>
  </si>
  <si>
    <t>Nº da Ata de Registro de Preços</t>
  </si>
  <si>
    <t>Vigência da Ata</t>
  </si>
  <si>
    <t>Nº do DOE Homologação</t>
  </si>
  <si>
    <t>Dispensa ou Inexigibilidade</t>
  </si>
  <si>
    <t>Fundamentação Legal</t>
  </si>
  <si>
    <t>Nº do DOE publicação Autorização</t>
  </si>
  <si>
    <t>Nº DOE publicação Ratificação (LF nº 8.666/1993)</t>
  </si>
  <si>
    <t>Nº da Ata</t>
  </si>
  <si>
    <t>Nº DOE Homologação da Ata</t>
  </si>
  <si>
    <t>Gerenciador da Ata</t>
  </si>
  <si>
    <t>Nº DOE publicação do Termo de Adesão</t>
  </si>
  <si>
    <t>Objeto</t>
  </si>
  <si>
    <t>Valor da Adesão</t>
  </si>
  <si>
    <t>Nº do Contrato</t>
  </si>
  <si>
    <t>Parte Contratada</t>
  </si>
  <si>
    <t>CPF/CNPJ da Parte Contratada</t>
  </si>
  <si>
    <t>Data da assinatura</t>
  </si>
  <si>
    <t>Nº DOE publicação do extrato</t>
  </si>
  <si>
    <t>Ínicio da vigência</t>
  </si>
  <si>
    <t>Término da vigência</t>
  </si>
  <si>
    <t>Fonte de Recursos</t>
  </si>
  <si>
    <t>Elemento de Despesa</t>
  </si>
  <si>
    <t>Nº Convênio/CR/Outros</t>
  </si>
  <si>
    <t>Valor Concedente</t>
  </si>
  <si>
    <t>Valor Contrapartida</t>
  </si>
  <si>
    <t>Valor Inicial do Contrato</t>
  </si>
  <si>
    <t>Termo Aditivo ou Apostilamento</t>
  </si>
  <si>
    <t>Nº do Termo</t>
  </si>
  <si>
    <t>Data assinatura</t>
  </si>
  <si>
    <t>Motivo da alteração</t>
  </si>
  <si>
    <t>Art. 57 - LF nº 8.666/1993</t>
  </si>
  <si>
    <t>Art. 107 - LF nº 14.133/2021</t>
  </si>
  <si>
    <t>Art. 65, caput e §§ 1º a 6º - LF nº 8.666/1993</t>
  </si>
  <si>
    <t>Art. 125 - LF nº 14.133/2021</t>
  </si>
  <si>
    <t>Art. 65, § 8º - LF nº 8.666/1993</t>
  </si>
  <si>
    <t>Art. 136 - LF nº 14.133/2021</t>
  </si>
  <si>
    <t>Valor da despesa com a contratação</t>
  </si>
  <si>
    <t>Nº Processo Administrativo</t>
  </si>
  <si>
    <t>Nº da Licitação</t>
  </si>
  <si>
    <t xml:space="preserve">Modalidade </t>
  </si>
  <si>
    <t>Nº DOE da publicação do Edital</t>
  </si>
  <si>
    <t>Início</t>
  </si>
  <si>
    <t>Término</t>
  </si>
  <si>
    <t>Início da Vigência</t>
  </si>
  <si>
    <t>Início da vigência</t>
  </si>
  <si>
    <t>% acréscimo</t>
  </si>
  <si>
    <t>% supressão</t>
  </si>
  <si>
    <t>Valor do acréscimo</t>
  </si>
  <si>
    <t>Valor da supressão</t>
  </si>
  <si>
    <t>Data do reajuste</t>
  </si>
  <si>
    <t>% reajuste</t>
  </si>
  <si>
    <t>Valor do reajuste</t>
  </si>
  <si>
    <t>Executado até o exercício anterior</t>
  </si>
  <si>
    <t xml:space="preserve"> Executado no exercício de referência</t>
  </si>
  <si>
    <t xml:space="preserve">Total acumulado </t>
  </si>
  <si>
    <t>%</t>
  </si>
  <si>
    <t>Nº</t>
  </si>
  <si>
    <t>Data ciência</t>
  </si>
  <si>
    <t>Reinício</t>
  </si>
  <si>
    <t>Motivo</t>
  </si>
  <si>
    <t>Nº da Portaria</t>
  </si>
  <si>
    <t>Nº DOE publicação</t>
  </si>
  <si>
    <t>Gestor</t>
  </si>
  <si>
    <t>Matrícula</t>
  </si>
  <si>
    <t>Fiscal(is)</t>
  </si>
  <si>
    <t>Matrícula(s)</t>
  </si>
  <si>
    <t>a</t>
  </si>
  <si>
    <t>b</t>
  </si>
  <si>
    <t>c</t>
  </si>
  <si>
    <t>d</t>
  </si>
  <si>
    <t>e</t>
  </si>
  <si>
    <t>f</t>
  </si>
  <si>
    <t>g</t>
  </si>
  <si>
    <t>h</t>
  </si>
  <si>
    <t>i</t>
  </si>
  <si>
    <t>j</t>
  </si>
  <si>
    <t>k</t>
  </si>
  <si>
    <t>l</t>
  </si>
  <si>
    <t>m</t>
  </si>
  <si>
    <t>n</t>
  </si>
  <si>
    <t>o</t>
  </si>
  <si>
    <t>p</t>
  </si>
  <si>
    <t>q</t>
  </si>
  <si>
    <t>r</t>
  </si>
  <si>
    <t>s</t>
  </si>
  <si>
    <t>t</t>
  </si>
  <si>
    <t>u</t>
  </si>
  <si>
    <t>v</t>
  </si>
  <si>
    <t>x</t>
  </si>
  <si>
    <t>y</t>
  </si>
  <si>
    <t>z</t>
  </si>
  <si>
    <t>aa</t>
  </si>
  <si>
    <t>ab</t>
  </si>
  <si>
    <t>ac</t>
  </si>
  <si>
    <t>ad</t>
  </si>
  <si>
    <t>ae</t>
  </si>
  <si>
    <t>af</t>
  </si>
  <si>
    <t>ag</t>
  </si>
  <si>
    <t>ah</t>
  </si>
  <si>
    <t>ai</t>
  </si>
  <si>
    <t>aj</t>
  </si>
  <si>
    <t>ak</t>
  </si>
  <si>
    <t>al</t>
  </si>
  <si>
    <t>am</t>
  </si>
  <si>
    <t>na</t>
  </si>
  <si>
    <t>ao</t>
  </si>
  <si>
    <t>ap</t>
  </si>
  <si>
    <t>aq</t>
  </si>
  <si>
    <t>ar</t>
  </si>
  <si>
    <t>as</t>
  </si>
  <si>
    <t>at</t>
  </si>
  <si>
    <t>au</t>
  </si>
  <si>
    <t>av</t>
  </si>
  <si>
    <t>ax</t>
  </si>
  <si>
    <t>ay</t>
  </si>
  <si>
    <t>az</t>
  </si>
  <si>
    <t>ba</t>
  </si>
  <si>
    <t>bc</t>
  </si>
  <si>
    <t>bd</t>
  </si>
  <si>
    <t>be</t>
  </si>
  <si>
    <t>bf</t>
  </si>
  <si>
    <t>bh</t>
  </si>
  <si>
    <t>bi</t>
  </si>
  <si>
    <t>bj</t>
  </si>
  <si>
    <t>bk</t>
  </si>
  <si>
    <t>bl</t>
  </si>
  <si>
    <t>bm = (al+ay-az) ou (al+bd-be) ou (al+bi ) ou (al+bl)</t>
  </si>
  <si>
    <t>bn</t>
  </si>
  <si>
    <t>EMPENHO/2025</t>
  </si>
  <si>
    <t>bo</t>
  </si>
  <si>
    <t>SALDO A PAGAR</t>
  </si>
  <si>
    <t>bp = bn+bo</t>
  </si>
  <si>
    <t>bq</t>
  </si>
  <si>
    <t>br</t>
  </si>
  <si>
    <t>bs</t>
  </si>
  <si>
    <t>bt</t>
  </si>
  <si>
    <t>bu</t>
  </si>
  <si>
    <t>bv</t>
  </si>
  <si>
    <t>by</t>
  </si>
  <si>
    <t>bz</t>
  </si>
  <si>
    <t>ca</t>
  </si>
  <si>
    <t>cb</t>
  </si>
  <si>
    <t>cd</t>
  </si>
  <si>
    <t>ce</t>
  </si>
  <si>
    <t>cf</t>
  </si>
  <si>
    <t>cg</t>
  </si>
  <si>
    <t>ch</t>
  </si>
  <si>
    <t>ci</t>
  </si>
  <si>
    <t>cj</t>
  </si>
  <si>
    <t>ck</t>
  </si>
  <si>
    <t>cl</t>
  </si>
  <si>
    <t>MENOR PREÇO</t>
  </si>
  <si>
    <t>PRESTAÇÃO DE SERVIÇO DE LOCAÇÃO DE VEÍCULO</t>
  </si>
  <si>
    <t>CONT.SEME/Nº 04/2021</t>
  </si>
  <si>
    <t>R J C ANDRADE TRANSPORTE E TERRAPLANAGEM</t>
  </si>
  <si>
    <t>22.901.124/0001-80</t>
  </si>
  <si>
    <t>33.90.39.00</t>
  </si>
  <si>
    <t>Jone Clei Pereira de Assis</t>
  </si>
  <si>
    <t>715.481-1</t>
  </si>
  <si>
    <t>Francely da Silva Andrade</t>
  </si>
  <si>
    <t>TERMO ADITIVO</t>
  </si>
  <si>
    <t xml:space="preserve">1º </t>
  </si>
  <si>
    <t>prorrogação do prazo de vigência e reajuste de preço</t>
  </si>
  <si>
    <t>01/01/2022</t>
  </si>
  <si>
    <t>31/12/2022</t>
  </si>
  <si>
    <t xml:space="preserve">2º </t>
  </si>
  <si>
    <t xml:space="preserve">prorrogação do prazo de vigência </t>
  </si>
  <si>
    <t>01/01/2023</t>
  </si>
  <si>
    <t>31/12/2023</t>
  </si>
  <si>
    <t>APOSTILAMENTO</t>
  </si>
  <si>
    <t>1º</t>
  </si>
  <si>
    <t xml:space="preserve">REAJUSTE CONTRATUAL </t>
  </si>
  <si>
    <t>29/06/2023</t>
  </si>
  <si>
    <t xml:space="preserve">3º </t>
  </si>
  <si>
    <t>01/01/2024</t>
  </si>
  <si>
    <t>31/12/2024</t>
  </si>
  <si>
    <t xml:space="preserve">4º </t>
  </si>
  <si>
    <t>01/01/2025</t>
  </si>
  <si>
    <t>31/12/2025</t>
  </si>
  <si>
    <t xml:space="preserve">5º </t>
  </si>
  <si>
    <t>prorrogação do prazo de vigência  -27 dias</t>
  </si>
  <si>
    <t>01/01/2026</t>
  </si>
  <si>
    <t>27/01/2026</t>
  </si>
  <si>
    <t xml:space="preserve">6º </t>
  </si>
  <si>
    <t>prorrogação do prazo de vigência - 11 meses e 04 dias</t>
  </si>
  <si>
    <t>28/01/2026</t>
  </si>
  <si>
    <t>31/12/2026</t>
  </si>
  <si>
    <t>24/2024</t>
  </si>
  <si>
    <t>038/2024</t>
  </si>
  <si>
    <t>PREGÃO ELETRÔNICO SRP</t>
  </si>
  <si>
    <t>AQUISIÇÃO DE GENEROS ALIMENTICIOS NÃO PERECIVEIS PARA ATENDER AS UNIDADES DE ENSINO PNAE, DESTA SECRETARIA MUNICIPAL DE EDUCAÇÃO.</t>
  </si>
  <si>
    <t>12/2024</t>
  </si>
  <si>
    <t>CONT./SEME Nº 40/2026</t>
  </si>
  <si>
    <t>DELYBOM ALIMENTOS LTDA</t>
  </si>
  <si>
    <t>45.769.371/0001-70</t>
  </si>
  <si>
    <t>01/022027</t>
  </si>
  <si>
    <t>1500/2500</t>
  </si>
  <si>
    <t>33.90.30.00</t>
  </si>
  <si>
    <t>TERMO ADITIVO DE ATA DE REGISTRO DE PREÇO</t>
  </si>
  <si>
    <t>PRORROGAÇÃO DE PRAZO</t>
  </si>
  <si>
    <t>335/2025</t>
  </si>
  <si>
    <t>LUCAS TAVARES DE FIGUEIREDO</t>
  </si>
  <si>
    <t>RAYAMERSON HENRIQUE ALENCAR VILA NOVA</t>
  </si>
  <si>
    <t>1552/2552</t>
  </si>
  <si>
    <t>22/2024</t>
  </si>
  <si>
    <t>036/2024</t>
  </si>
  <si>
    <t>AQUISIÇÃO DE GENEROS ALIMENTICIOS PERECIVEIS PARA ATENDER AS UNIDADES DE ENSINO – PNAE, DESTA SECRETARIA MUNICIPAL DE EDUCAÇÃO.</t>
  </si>
  <si>
    <t>19/2024</t>
  </si>
  <si>
    <t>CONT./SEME Nº 32/2026</t>
  </si>
  <si>
    <t>E C O MOURA</t>
  </si>
  <si>
    <t>28.572.074/0001-11</t>
  </si>
  <si>
    <t>21/2024</t>
  </si>
  <si>
    <t>AQUISIÇÃO DE GENEROS ALIMENTICIOS NÃO PERECIVEIS PARA ATENDER AS UNIDADES DE ENSINO EJA – PNAEJA, DESTA SECRETARIA MUNICIPAL DE EDUCAÇÃO.</t>
  </si>
  <si>
    <t>CONT./SEME Nº 41/2026</t>
  </si>
  <si>
    <t>0112.001201/2026-31</t>
  </si>
  <si>
    <t>062/2025</t>
  </si>
  <si>
    <t>AQUISIÇÃO DE GÊNEROS ALIMENTÍCIOS NÃO PERECÍVEIS, PARA ATENDER OS ALUNOS DAS UNIDADES DE ENSINO DO PNAE, DA SECRETARIA MUNICIPAL DE EDUCAÇÃO.</t>
  </si>
  <si>
    <t>014/2025</t>
  </si>
  <si>
    <t>CONT./SEME Nº 06/2026</t>
  </si>
  <si>
    <t>CENTRO NORTE DISTRIBUIDORA LTDA</t>
  </si>
  <si>
    <t>06.012.589/0001-24</t>
  </si>
  <si>
    <t>20/2026</t>
  </si>
  <si>
    <t>FELIPE MESQUITA GOMES</t>
  </si>
  <si>
    <t>RAYMERSON HENRIQUE ALENCAR VILANOVA</t>
  </si>
  <si>
    <t>022/2024</t>
  </si>
  <si>
    <t>36/2024</t>
  </si>
  <si>
    <t>AQUISIÇÃO DE GÊNEROS ALIMENTÍCIOS PERECÍVEIS - PAUTA ALIMENTAR, PARA ATENDER OS ALUNOS DAS UNIDADES DE ENSINO DO PNAE, DA SECRETARIA MUNICIPAL DE EDUCAÇÃO.</t>
  </si>
  <si>
    <t>CONT./SEME Nº 29/2026</t>
  </si>
  <si>
    <t>C. L. LOPES</t>
  </si>
  <si>
    <t>48.043.881/0001-54</t>
  </si>
  <si>
    <t>52/2026</t>
  </si>
  <si>
    <t>0112.000067/2025-97</t>
  </si>
  <si>
    <t>02/2025</t>
  </si>
  <si>
    <t>CHAMAMENTO PUBLICO</t>
  </si>
  <si>
    <t>AQUISIÇÃO DE GÊNEROS ALIMENTÍCIOS PERECÍVEIS - PÃO MASSA FINA E PÃO DE FORMA, PARA ATENDER AS UNIDADES DE ENSINO DO PNAE, DA SECRETARIA MUNICIPAL DE EDUCAÇÃO.</t>
  </si>
  <si>
    <t>CREDENCIAMENTO SMGA</t>
  </si>
  <si>
    <t>CONT./SEME Nº 08/2026</t>
  </si>
  <si>
    <t>ATACADAO DO PAO DISTRIBUIDORA LTDA</t>
  </si>
  <si>
    <t>13.833.489/0001-24</t>
  </si>
  <si>
    <t>28/2026</t>
  </si>
  <si>
    <t>62/2024</t>
  </si>
  <si>
    <t>AQUISIÇÃO DE GÊNEROS ALIMENTÍCIOS NÃO PERECÍVEIS, PARA ATENDER AS UNIDADES DE ENSINO DO PNAE, DA SECRETARIA MUNICIPAL DE EDUCAÇÃO.</t>
  </si>
  <si>
    <t>CONT./SEME Nº 05/2026</t>
  </si>
  <si>
    <t>A. A. SOUZA LTDA</t>
  </si>
  <si>
    <t>33.873.300/0001-34</t>
  </si>
  <si>
    <t>19/2026</t>
  </si>
  <si>
    <t>1552</t>
  </si>
  <si>
    <t>002/2025</t>
  </si>
  <si>
    <t>CHAMAMENTO PÚBLICO</t>
  </si>
  <si>
    <t>AQUISIÇÃO DE GÊNEROS ALIMENTÍCIOS PERECÍVEIS, PARA ATENDER AS UNIDADES DE ENSINO DO PNAE, DA SECRETARIA MUNICIPAL DE EDUCAÇÃO.</t>
  </si>
  <si>
    <t>CONT./SEME Nº 15/2026</t>
  </si>
  <si>
    <t>I E COMÉRCIO E REPRESENTAÇÕES LTDA</t>
  </si>
  <si>
    <t>23.103.769/0001-30</t>
  </si>
  <si>
    <t>29/2026</t>
  </si>
  <si>
    <t>CONT./SEME Nº 14/2026</t>
  </si>
  <si>
    <t>H M DE FONTINELE &amp; CIA LTDA</t>
  </si>
  <si>
    <t>16.910.927/0001-07</t>
  </si>
  <si>
    <t>33/2026</t>
  </si>
  <si>
    <t>CONT./SEME Nº 07/2026</t>
  </si>
  <si>
    <t>ACREPAN INDUSTRIA DE PAES FINOS LTDA</t>
  </si>
  <si>
    <t>07.284.877/0001-09</t>
  </si>
  <si>
    <t>27/2026</t>
  </si>
  <si>
    <t>CONT./SEME Nº 10/2026</t>
  </si>
  <si>
    <t>CS BUFFET LTDA</t>
  </si>
  <si>
    <t>30.145.497/0001-05</t>
  </si>
  <si>
    <t>30/2026</t>
  </si>
  <si>
    <t>CONT./SEME Nº 11/2026</t>
  </si>
  <si>
    <t>DALLAMARIA &amp; DALLAMARIA LTDA</t>
  </si>
  <si>
    <t>01.450.817/0001-24</t>
  </si>
  <si>
    <t>31/2026</t>
  </si>
  <si>
    <t>CONT./SEME Nº 13/2026</t>
  </si>
  <si>
    <t>G MOTA GUIMARAES</t>
  </si>
  <si>
    <t>40.448.329/0001-34</t>
  </si>
  <si>
    <t>34/2026</t>
  </si>
  <si>
    <t>AQUISIÇÃO DE GÊNEROS ALIMENTÍCIOS PERECÍVEIS - PÃO, PARA ATENDER AS UNIDADES DE ENSINO DO PNAE, DA SECRETARIA MUNICIPAL DE EDUCAÇÃO.</t>
  </si>
  <si>
    <t>CONT./SEME Nº 16/2026</t>
  </si>
  <si>
    <t>J. G. DA SILVA LTDA</t>
  </si>
  <si>
    <t>46.364.613/0001-70</t>
  </si>
  <si>
    <t>36/2026</t>
  </si>
  <si>
    <t>CONT./SEME Nº 23/2026</t>
  </si>
  <si>
    <t>D. S. DA CRUZ</t>
  </si>
  <si>
    <t>07.583.360/0001-02</t>
  </si>
  <si>
    <t>43/2026</t>
  </si>
  <si>
    <t>CONT./SEME Nº 12/2026</t>
  </si>
  <si>
    <t>F O C MATOS LTDA</t>
  </si>
  <si>
    <t>40.714.318/0001-59</t>
  </si>
  <si>
    <t>32/2026</t>
  </si>
  <si>
    <t>CONT./SEME Nº 30/2026</t>
  </si>
  <si>
    <t>COMERCIAL DE CARNES KANA LTDA</t>
  </si>
  <si>
    <t>17.332.592/0001-41</t>
  </si>
  <si>
    <t>53/2026</t>
  </si>
  <si>
    <t>AQUISIÇÃO DE GÊNEROS ALIMENTÍCIOS PERECÍVEIS - PAUTA ALIMENTAR 2024 -, PARA ATENDER AS UNIDADES DE ENSINO DO PNAE, DA SECRETARIA MUNICIPAL DE EDUCAÇÃO.</t>
  </si>
  <si>
    <t>11/2024</t>
  </si>
  <si>
    <t>CONT./SEME Nº 38/2026</t>
  </si>
  <si>
    <t>AUGUSTO S. DE ARAUJO LTDA</t>
  </si>
  <si>
    <t>05.511.061/0001-37</t>
  </si>
  <si>
    <t>58/2026</t>
  </si>
  <si>
    <t>CONT./SEME Nº 27/2026</t>
  </si>
  <si>
    <t>51/2026</t>
  </si>
  <si>
    <t>CONT./SEME Nº 31/2026</t>
  </si>
  <si>
    <t>D. L. RAMOS</t>
  </si>
  <si>
    <t>05.146.814/0001-52</t>
  </si>
  <si>
    <t>54/2026</t>
  </si>
  <si>
    <t>AQUISIÇÃO DE GÊNEROS ALIMENTÍCIOS PERECÍVEIS - PAUTA ALIMENTAR -, PARA ATENDER AS UNIDADES DE ENSINO DO PNAE, DA SECRETARIA MUNICIPAL DE EDUCAÇÃO.</t>
  </si>
  <si>
    <t>13/2024</t>
  </si>
  <si>
    <t>CONT./SEME Nº 42/2026</t>
  </si>
  <si>
    <t>F. C. P. LEAL E CIA LTDA</t>
  </si>
  <si>
    <t>41.518.382/0001-60</t>
  </si>
  <si>
    <t>62/2026</t>
  </si>
  <si>
    <t>AQUISIÇÃO DE GÊNEROS ALIMENTÍCIOS PERECÍVEIS - PAUTA ALIMENTAR 2025- LEITE EM PÓ, PARA ATENDER AS UNIDADES DE ENSINO DO PNAE, DA SECRETARIA MUNICIPAL DE EDUCAÇÃO.</t>
  </si>
  <si>
    <t>CONT./SEME Nº 39/2026</t>
  </si>
  <si>
    <t>59/2026</t>
  </si>
  <si>
    <t>092/2024</t>
  </si>
  <si>
    <t>058/2024</t>
  </si>
  <si>
    <t>16/2024</t>
  </si>
  <si>
    <t>CONT./SEME Nº 04/2026</t>
  </si>
  <si>
    <t>J S COMERCIO IMPORTAÇÃO E EXPORTAÇÃO LTDA</t>
  </si>
  <si>
    <t>11.338.821/0001-22</t>
  </si>
  <si>
    <t>21/2026</t>
  </si>
  <si>
    <t>38/2024</t>
  </si>
  <si>
    <t>CONT./SEME Nº 044/2026</t>
  </si>
  <si>
    <t>CONT./SEME Nº 36/2026</t>
  </si>
  <si>
    <t>47/2026</t>
  </si>
  <si>
    <t>CONT./SEME Nº 02/2026</t>
  </si>
  <si>
    <t>COOPERATIVA DOS AGRICULTORES E PECUARISTAS DA REGIONAL DO BAIXO ACRE-COOPEL</t>
  </si>
  <si>
    <t>03.790.072/0001-78</t>
  </si>
  <si>
    <t>22/2026</t>
  </si>
  <si>
    <t>059/2025</t>
  </si>
  <si>
    <t>074/2025</t>
  </si>
  <si>
    <t>Contratação de empresa para o fornecimento de material de consumo – material didático pedagógico e higiene pessoal, objetivando o atendimento das Unidades Educativas da Secretaria Municipal de Educação – SEME</t>
  </si>
  <si>
    <t>01/2026</t>
  </si>
  <si>
    <t>CONT./SEME Nº 51/2026</t>
  </si>
  <si>
    <t>J S CORDEIRO LTDA</t>
  </si>
  <si>
    <t>18.255.882/0001-00</t>
  </si>
  <si>
    <t>91/2026</t>
  </si>
  <si>
    <t>JOSE ANTÔNIO COSTA MENDES</t>
  </si>
  <si>
    <t>714.543-3</t>
  </si>
  <si>
    <t>WEDSON DE OLIVEIRA CRISPIM</t>
  </si>
  <si>
    <t>703.082-1</t>
  </si>
  <si>
    <t>2706</t>
  </si>
  <si>
    <t>0107.000065/2025-13  0112.002722/2026-92</t>
  </si>
  <si>
    <t>CONT./SEME Nº 46/2026</t>
  </si>
  <si>
    <t>33.90.30.00 / 33.90.32.00</t>
  </si>
  <si>
    <t>1550/2550</t>
  </si>
  <si>
    <t>0107.000065/2025-13  0112.002775/2026-19</t>
  </si>
  <si>
    <t>CONT./SEME Nº 54/2026</t>
  </si>
  <si>
    <t>G. C. S. MARLIERE LTDA</t>
  </si>
  <si>
    <t>07.821.768/0001-75</t>
  </si>
  <si>
    <t>PREGÃO SRP</t>
  </si>
  <si>
    <t xml:space="preserve"> AQUISIÇÃO DE GÊNEROS ALIMENTÍCIOS PERECÍVEIS, PARA ATENDER AS UNIDADES DE ENSINO DA PRE ESCOLA PNAEP, DA SECRETARIA MUNICIPAL DE EDUCAÇÃO</t>
  </si>
  <si>
    <t>CONT./SEME Nº 34/2026</t>
  </si>
  <si>
    <t>K. D. SERVICOS E COMERCIO LTDA</t>
  </si>
  <si>
    <t>47.910.607/0001-72</t>
  </si>
  <si>
    <t>56/2026</t>
  </si>
  <si>
    <t xml:space="preserve"> AQUISIÇÃO DE GÊNEROS ALIMENTÍCIOS PERECÍVEIS, PARA
ATENDER AS UNIDADES DE ENSINO DA PRE ESCOLA PNAEP, DA SECRETARIA MUNICIPAL DE EDUCAÇÃO</t>
  </si>
  <si>
    <t>CONT./SEME Nº 25/2026</t>
  </si>
  <si>
    <t>45/2026</t>
  </si>
  <si>
    <t>CONT./SEME Nº 179/2025</t>
  </si>
  <si>
    <t>489/2025</t>
  </si>
  <si>
    <t>TONY MAIK DE PAULA G. OLIVEIRA</t>
  </si>
  <si>
    <t>CONT./SEME Nº 18/2026</t>
  </si>
  <si>
    <t>L C PESSOA</t>
  </si>
  <si>
    <t>48.953.644/0001-20</t>
  </si>
  <si>
    <t>38/2026</t>
  </si>
  <si>
    <t>CONT./SEME Nº 19/2026</t>
  </si>
  <si>
    <t>L. I. A. DE MELO LTDA</t>
  </si>
  <si>
    <t>61.172.494/0001-86</t>
  </si>
  <si>
    <t>39/2026</t>
  </si>
  <si>
    <t>CONT./SEME Nº 21/2026</t>
  </si>
  <si>
    <t>M C P SOUZA IMPORTAÇÃO E ESPORTAÇÃO LTDA</t>
  </si>
  <si>
    <t>33.192.416/0001-08</t>
  </si>
  <si>
    <t>41/2026</t>
  </si>
  <si>
    <t>CONT. SEME Nº 09/2026</t>
  </si>
  <si>
    <t>CELIO PEREIRA LTDA</t>
  </si>
  <si>
    <t>14.362.842/0001-06</t>
  </si>
  <si>
    <t>CONT./SEME Nº 20/2026</t>
  </si>
  <si>
    <t>M. C. N. NASCIMENTO</t>
  </si>
  <si>
    <t>10.859.058/0001-49</t>
  </si>
  <si>
    <t>40/2026</t>
  </si>
  <si>
    <t>0112.001702/2026-84</t>
  </si>
  <si>
    <t>INEXIGIBILIDADE DE LICITAÇÃO</t>
  </si>
  <si>
    <t>Contratação de serviço técnico especializado de natureza predominantemente intelectual, destinado à curadoria operacional, gestão integrada e tutela de menores para a execução do Programa de Intercâmbio Educativo de Rio Branco: Aluno Rumo à NASA e à Disney</t>
  </si>
  <si>
    <t>I</t>
  </si>
  <si>
    <t>ART. 74 INCISO III, DA LEI 14.133/2021</t>
  </si>
  <si>
    <t>CONT./SEME Nº 74/2026</t>
  </si>
  <si>
    <t>VOE COMIGO VIAGENS E TURISMO LTDA</t>
  </si>
  <si>
    <t>26.836.591/0001-25</t>
  </si>
  <si>
    <t>161/2026</t>
  </si>
  <si>
    <t>juliano de paula caminha</t>
  </si>
  <si>
    <t>helio sebastião da silva</t>
  </si>
  <si>
    <t>0107.000750/2025-45</t>
  </si>
  <si>
    <t>073/2025</t>
  </si>
  <si>
    <t>AQUISIÇÃO DE GENEROS ALIMENTICIOS PERECIVEIS PARA ATENDER AS UNIDADES DE ENSINO DESTA SECRETARIA MUNICIPAL DE EDUCAÇÃO.</t>
  </si>
  <si>
    <t>13/2025</t>
  </si>
  <si>
    <t>CONT./SEME Nº 166/2025</t>
  </si>
  <si>
    <t>T. LEITE SILVA - ME</t>
  </si>
  <si>
    <t>17.468.184/0001-11</t>
  </si>
  <si>
    <t>193/2026</t>
  </si>
  <si>
    <t>FRANCISCA CLÁUDIA GOMES MACIEL</t>
  </si>
  <si>
    <t>CONT./SEME Nº 22/2026</t>
  </si>
  <si>
    <t xml:space="preserve"> R ANDRADE SOUZA LTDA</t>
  </si>
  <si>
    <t>01.327.938/0001-45</t>
  </si>
  <si>
    <t>42/2026</t>
  </si>
  <si>
    <t>0107.000082/2025-39</t>
  </si>
  <si>
    <t>045/2025</t>
  </si>
  <si>
    <t>PREGAO ELETRÔNICO</t>
  </si>
  <si>
    <t xml:space="preserve"> AQUISIÇÃO DE SUPRIMENTOS DE INFORMATICA PARA  ATENDIMENTOS AS INSTITUIÇOES E FERRAMENTAS, PARA DEMANDA DOS TRABLHOS DO TECNICOS QUE PRESTAM SERVIÇO PARA ESTA SERCRETARIA.</t>
  </si>
  <si>
    <t>10/2025</t>
  </si>
  <si>
    <t>CONT./SEME Nº 68/2026</t>
  </si>
  <si>
    <t>PLP SOLUÇÕES E COMÉRCIO LTDA</t>
  </si>
  <si>
    <t>36.073.412/0001-07</t>
  </si>
  <si>
    <t>1500/2500   1550/2550</t>
  </si>
  <si>
    <t>33.90.30/44.90.52</t>
  </si>
  <si>
    <t>041/2025</t>
  </si>
  <si>
    <t>Eurivan Menezes de Lima</t>
  </si>
  <si>
    <t xml:space="preserve">Kennedy de Sousa Bezerra </t>
  </si>
  <si>
    <t>CONT./SEME Nº 64/2026</t>
  </si>
  <si>
    <t>ELETRICISTA &amp; CIA IMP &amp; EXP LTDA</t>
  </si>
  <si>
    <t>51.040.948/0001-10</t>
  </si>
  <si>
    <t>89/2023</t>
  </si>
  <si>
    <t>86/2023</t>
  </si>
  <si>
    <t>CONT./SEME Nº 12/2024</t>
  </si>
  <si>
    <t>DALCAR AUTO PEÇAS LTDA</t>
  </si>
  <si>
    <t>63.595.979/0001-08</t>
  </si>
  <si>
    <t>1500</t>
  </si>
  <si>
    <t>421/2025</t>
  </si>
  <si>
    <t>Rafael Passafaro Neto</t>
  </si>
  <si>
    <t>546.038-4</t>
  </si>
  <si>
    <t>ADITIVO</t>
  </si>
  <si>
    <t>prorrogação de Vigência</t>
  </si>
  <si>
    <t>2º</t>
  </si>
  <si>
    <t>175/2023</t>
  </si>
  <si>
    <t>172/2023</t>
  </si>
  <si>
    <t>: CONTRATAÇÃO DE EMPRESA ESPECIALIZADA EM SERVIÇOS DE LAVAGEM E LUBRIFICAÇÃO DE VEÍCULOS, PARA ATENDER AS NECESSIDADES DA DIVISÃO DE ZELADORIA E TRANSPORTE, DESTA SECRETARIA MUNICIPAL DE EDUCAÇÃO – SEME</t>
  </si>
  <si>
    <t>CONT./SEME Nº 29/2024</t>
  </si>
  <si>
    <t>W O PEREIRA EIRELE</t>
  </si>
  <si>
    <t>18.765.432/0001-59</t>
  </si>
  <si>
    <t>415/2025</t>
  </si>
  <si>
    <t xml:space="preserve">Francely da Silva Andrade </t>
  </si>
  <si>
    <t>ALTERAÇÃO DA Cláusula Segunda - Cdescrição do Serviço</t>
  </si>
  <si>
    <t>Prorrogação de Prazo</t>
  </si>
  <si>
    <t>ALTERAÇÃO DA CLUAULA SEGUNDA</t>
  </si>
  <si>
    <t>Prorrogação de Prazo E REAJUSTE DE VOR</t>
  </si>
  <si>
    <t>0107.000065/2025-13  0112.002778/2026-35</t>
  </si>
  <si>
    <t>03/02/2026</t>
  </si>
  <si>
    <t>02/02/2027</t>
  </si>
  <si>
    <t>14.201</t>
  </si>
  <si>
    <t>CONT./SEME Nº 55/2026</t>
  </si>
  <si>
    <t>T. C. OLIVEIRA LTDA</t>
  </si>
  <si>
    <t>33.297.274/0001-43</t>
  </si>
  <si>
    <t>255/2025</t>
  </si>
  <si>
    <t>JOSÉ ANTONIO DA COSTA MENDES</t>
  </si>
  <si>
    <t>NAYARA DO NASCIMENTO LIRA</t>
  </si>
  <si>
    <t>58/2024</t>
  </si>
  <si>
    <t>AQUISIÇÃO DE GÊNEROS ALIMENTÍCIOS PERECÍVEIS - LEITE DE VACA PASTEURIZADO ITEM 01 e 03, PARA ATENDER AS NECESSIDADES DAS UNIDADES DE ENSINO CRECHE, PROGRAMA NACIONAL DE
ALIMENTAÇÃO ESCOLAR (PNAEC) PERTENCENTES A SECRETARIA MUNICIPAL DE EDUCAÇÃO - SEME.</t>
  </si>
  <si>
    <t>30/09/2025</t>
  </si>
  <si>
    <t>29/09/2026</t>
  </si>
  <si>
    <t>14.165</t>
  </si>
  <si>
    <t>CONT./SEME Nº 35/2026</t>
  </si>
  <si>
    <t>LATICINIOS BURITI LTDA -EPP</t>
  </si>
  <si>
    <t>84.329.242.0001/13</t>
  </si>
  <si>
    <t>319/2024</t>
  </si>
  <si>
    <t xml:space="preserve">EUJAMES RODRIGUES SARAIVA </t>
  </si>
  <si>
    <t>MARIA NASCIMENTO DOS SANTOS</t>
  </si>
  <si>
    <t>142/2024</t>
  </si>
  <si>
    <t>0200/2023</t>
  </si>
  <si>
    <t>Contratação de pessoas jurídica para prestação de serviços de locação de veiculo( tipo caminhonete) com condutor , para atender as demandas desta Secretaria Municipal de Educaçao - Seme
Processo n 142/2024 - SEME/PMRB</t>
  </si>
  <si>
    <t>CONT./SEME Nº 153/2024</t>
  </si>
  <si>
    <t>COOPERATIVA DE PROPRIETARIOS DE VEICULOS DO ESTADO DO ACRE - COOPERVEL</t>
  </si>
  <si>
    <t>13.052.004/0001-65</t>
  </si>
  <si>
    <t>414/2025</t>
  </si>
  <si>
    <t>JONE CLEI PEREIRA</t>
  </si>
  <si>
    <t>RAFAEL PASSAFARO NETO</t>
  </si>
  <si>
    <t>PRPROGAÇÃO DE VIGÊNCIA E REAJUSTE DE VALOR</t>
  </si>
  <si>
    <t>233/2024</t>
  </si>
  <si>
    <t>013/2023</t>
  </si>
  <si>
    <t xml:space="preserve"> contratação de empresa para prestação de serviço terceirizados de Vigilância Eletrônica através de sistema digital de câmeras de monitoramento em circuito fechado (CFTV) com acesso remoto via IP
(INTERNET PROTOCOLO) e sistema de alarmes, monitoradas 24 horas por dia, 07 (sete) dias da semana.</t>
  </si>
  <si>
    <t>023/2024</t>
  </si>
  <si>
    <t xml:space="preserve">SEMSA RIO BRANCO </t>
  </si>
  <si>
    <t>contratação de empresa especializada na prestação de serviços terceirizados de Vigilância Eletrônica</t>
  </si>
  <si>
    <t>CONT./SEME Nº 154/2024</t>
  </si>
  <si>
    <t xml:space="preserve"> ESTACAO VIP VIGILANCIA E TRANSPORTE DE VALORES LTDA</t>
  </si>
  <si>
    <t>09.228.233/0001-10</t>
  </si>
  <si>
    <t>33.90.92.00</t>
  </si>
  <si>
    <t>260/2025</t>
  </si>
  <si>
    <t xml:space="preserve">JOAO ANTONIO THOMAZ DE MENEZES FILHO </t>
  </si>
  <si>
    <t>Cícero Teixeira Carneiro</t>
  </si>
  <si>
    <t>915.650-0</t>
  </si>
  <si>
    <t>2500</t>
  </si>
  <si>
    <t>TERMO DE ADITIVO</t>
  </si>
  <si>
    <t>PRORROGAÇÃO DE VIGENCIA 06 (SEIS)MESES</t>
  </si>
  <si>
    <t>3º</t>
  </si>
  <si>
    <t>309/2023</t>
  </si>
  <si>
    <t>233/2023</t>
  </si>
  <si>
    <t>PREGAO ELETRÔNICO SRO</t>
  </si>
  <si>
    <t>Aquisição de Gêneros Alimentícios Não Perecíveis – PAUTA ALIMENTAR 2024 (ANEXO 02) BISCOITO, com intuito de atender a demanda do Programa Nacional de Alimentação Escolar – PNAE (PNAEC, PNAEF E PNAEJA) da rede Municipal de Ensino desta Secretaria Municipal de Educação – SEME,</t>
  </si>
  <si>
    <t>09/2024</t>
  </si>
  <si>
    <t>CONT./SEME Nº 30/2025</t>
  </si>
  <si>
    <t>KELLE DE MELO OLIVEIRA</t>
  </si>
  <si>
    <t>29.422.974/0001-45</t>
  </si>
  <si>
    <t>175/2025</t>
  </si>
  <si>
    <t>REEQUILIBRIO ECONÔMICO FINANCEIRO</t>
  </si>
  <si>
    <t>0107.000065/2025-13</t>
  </si>
  <si>
    <t>Contratação de empresa para o fornecimento de material de consumo – material didático pedagógico e higiene pessoal, objetivando o atendimento das Unidades Educativas da Secretaria Municipal de Educação – SEME, cuja especificações constam no Anexo I do edital e faz parte deste contrato. PROCESSO RBSEI N ° 0107.000065/2025-13 e 0112.002726/2026-81</t>
  </si>
  <si>
    <t>14.199/14.260</t>
  </si>
  <si>
    <t>004/2026</t>
  </si>
  <si>
    <t>CONT./SEME Nº 50/2026</t>
  </si>
  <si>
    <t>J. V. MEDIC COMÉRCIO</t>
  </si>
  <si>
    <t>55.819.128/0001-73</t>
  </si>
  <si>
    <t>1500/2500 1550/2550</t>
  </si>
  <si>
    <t>33.90.30 / 33.90.32</t>
  </si>
  <si>
    <t>83/2026</t>
  </si>
  <si>
    <t>JOSE ANTONIO COSTA MENDES</t>
  </si>
  <si>
    <t>703082-1</t>
  </si>
  <si>
    <t>1706/2706</t>
  </si>
  <si>
    <t xml:space="preserve">Contratação de empresa para o fornecimento de material de consumo – material didático pedagógico e higiene pessoal, objetivando o atendimento das Unidades Educativas da Secretaria Municipal de Educação – SEME, cuja especificações constam no Anexo I do edital e faz parte deste </t>
  </si>
  <si>
    <t>CONT./SEME Nº 52/2026</t>
  </si>
  <si>
    <t>SCALABRIN BRAZIL CONFECÇÕES LTDA</t>
  </si>
  <si>
    <t>27.248.693/0001-92</t>
  </si>
  <si>
    <t>85/2026</t>
  </si>
  <si>
    <t>CONT./SEME Nº 53/2026</t>
  </si>
  <si>
    <t>GET MED COMERCIO DE MEDICAMENTOS E PRODUTOS HOSPITALARES LTDA</t>
  </si>
  <si>
    <t>41.836.567/0001-80</t>
  </si>
  <si>
    <t>88/2026</t>
  </si>
  <si>
    <t>0112.004944/2025-47</t>
  </si>
  <si>
    <t>002/2026</t>
  </si>
  <si>
    <t>carona</t>
  </si>
  <si>
    <t xml:space="preserve">Fornecimento de calçados e meias escolares, destinados aos alunos regularmente matriculados na Unidade de  Ensino creche  da Rede Municipal de Educação de Rio Branco. </t>
  </si>
  <si>
    <t>70/2024</t>
  </si>
  <si>
    <t>CONT./SEME Nº 01/2026</t>
  </si>
  <si>
    <t>FLARE COMERCIO VAREJO E ATACADO EIRELI</t>
  </si>
  <si>
    <t>27.671.902/0001-06</t>
  </si>
  <si>
    <t>33.90.32</t>
  </si>
  <si>
    <t>77/2026</t>
  </si>
  <si>
    <t>RAILHICE FERNANDES BOAVENTURA</t>
  </si>
  <si>
    <t>0112.007596/2025-29</t>
  </si>
  <si>
    <t>38//2024</t>
  </si>
  <si>
    <t>AQUISIÇÃO DE GENEROS ALIMENTICIOS NÃO PERECIVEIS PARA ATENDER AS UNIDADES DE ENSINO EJA, DESTA SECRETARIA MUNICIPAL DE EDUCAÇÃO</t>
  </si>
  <si>
    <t>19/08/2025</t>
  </si>
  <si>
    <t>18/02/2026</t>
  </si>
  <si>
    <t>14.123</t>
  </si>
  <si>
    <t>CONT./SEME Nº 43/2026</t>
  </si>
  <si>
    <t>F F DE MEDEIROS</t>
  </si>
  <si>
    <t>09.638.709/0001-91</t>
  </si>
  <si>
    <t>63/2026</t>
  </si>
  <si>
    <t>0107.000065/2025-13 e 0112.002725/2026-11</t>
  </si>
  <si>
    <t>AQUISIÇÃO DE MATERIAL DE CONSUMO (LIMPEZA E DESCARTÁVEIS), PARA ATENDER AS UNIDADES DE ENSINO - SECRETARIA MUNICIPAL DE EDUCAÇÃO</t>
  </si>
  <si>
    <t>001/2026</t>
  </si>
  <si>
    <t>CONT./SEME Nº 49/2026</t>
  </si>
  <si>
    <t>STAR COMÉRCIO LTDA</t>
  </si>
  <si>
    <t>05.252.941/0001-36</t>
  </si>
  <si>
    <t>1500/2500/1550/2550</t>
  </si>
  <si>
    <t>87/2026</t>
  </si>
  <si>
    <t>0107.000065/2025-13 e 0112.002724/2026-38</t>
  </si>
  <si>
    <t>CONT./SEME Nº 48/2026</t>
  </si>
  <si>
    <t>R. S. MIRANDA LTDA</t>
  </si>
  <si>
    <t>07.650.136/0001-96</t>
  </si>
  <si>
    <t>93/2026</t>
  </si>
  <si>
    <t>0107.000065/2025-13 e 0112.002811/2026-17</t>
  </si>
  <si>
    <t>CONT./SEME Nº 56/2026</t>
  </si>
  <si>
    <t>PROEPI HIGIENE E PROTEÇÃO LTDA</t>
  </si>
  <si>
    <t>39.905.061/0001-33</t>
  </si>
  <si>
    <t>89/2026</t>
  </si>
  <si>
    <t>0107.000065/2025-13 e 0112.002723/2026-65</t>
  </si>
  <si>
    <t>CONT./SEME Nº 47/2026</t>
  </si>
  <si>
    <t>PAPELARIA MUNDO IMPORTACAO E EXPORTACAO LTDA</t>
  </si>
  <si>
    <t>14.869.791/0001-03</t>
  </si>
  <si>
    <t>92/2026</t>
  </si>
  <si>
    <t>CONT./SEME Nº 108/2026</t>
  </si>
  <si>
    <t>206/2026</t>
  </si>
  <si>
    <t>CONT./SEME Nº 26/2026</t>
  </si>
  <si>
    <t>SB DISTRIBUIDORA LTDA</t>
  </si>
  <si>
    <t>00.415.832/0001-79</t>
  </si>
  <si>
    <t>1500/2500  1552/2552</t>
  </si>
  <si>
    <t>498/2025</t>
  </si>
  <si>
    <t>Juliano de Paula Caminha</t>
  </si>
  <si>
    <t>716.543-2</t>
  </si>
  <si>
    <t xml:space="preserve">Tony Maik de Paula Guimarães Oliveira </t>
  </si>
  <si>
    <t>242/2021</t>
  </si>
  <si>
    <t>84/2021</t>
  </si>
  <si>
    <t>À PRESTAÇÃO DE DE SERVIÇOS TERCEIRIZADOS DE SEGURANÇA E VIGILÂNCIA PATRIMONIAL NOTURNA DESARMADA</t>
  </si>
  <si>
    <t>CONT./SEME Nº 153/2021</t>
  </si>
  <si>
    <t>GOLD SERVICE VIGILANCIA E SEGURANCA - EIREL</t>
  </si>
  <si>
    <t>02.764.609/0001-62</t>
  </si>
  <si>
    <t>124/2025</t>
  </si>
  <si>
    <t>Paula Valéria de Oliveira Moura</t>
  </si>
  <si>
    <t xml:space="preserve">Ícaro Dutra Gomes  </t>
  </si>
  <si>
    <t>ACRÉSCIMO DE VALOR</t>
  </si>
  <si>
    <t>PRORROGAÇÃO DE PRAZO E ACRÉSCIMO DE QUANTIDADE DE POSTO DE 29 PARA 36</t>
  </si>
  <si>
    <t xml:space="preserve">TERMO DE ADITIVO </t>
  </si>
  <si>
    <t xml:space="preserve">PRORROGAÇÃO DE PRAZO E REPACTUAÇÃO DE PREÇO </t>
  </si>
  <si>
    <t xml:space="preserve">REPACTUAÇÃO DE PREÇO </t>
  </si>
  <si>
    <t xml:space="preserve">PRORROGAÇÃO DE PRAZO </t>
  </si>
  <si>
    <t xml:space="preserve">REPACTUAÇÃO E REAJUSTE DE PREÇO </t>
  </si>
  <si>
    <t>62/2022</t>
  </si>
  <si>
    <t>126/2020</t>
  </si>
  <si>
    <t>ADESÃO A ATA DE SRP</t>
  </si>
  <si>
    <t xml:space="preserve">SERVIÇO TERCEIRIZADOS DE APOIO ADMINISTRATIVO, TECNICO OPERACIONAL PARA LOCAÇÃO DE MÃO DE OBRA - MONITOR PARA ORIENTAÇÃO DE ALUNOS VISANDO ATENDER AS DEMANDAS DO TRANSPORTE ESCOLARES DAS UNIDADES DE ENSINO DE DIFICIL ACESSO. </t>
  </si>
  <si>
    <t>061/2021</t>
  </si>
  <si>
    <t>Sec. de Estado de Educação, Cultura e Esporte - SEE</t>
  </si>
  <si>
    <t>CONT./SEME Nº 64/2022</t>
  </si>
  <si>
    <t>NORTE XPRESS TRANSPORTE SERVIÇOS EIRELEI</t>
  </si>
  <si>
    <t>11.140.110/0001-75</t>
  </si>
  <si>
    <t xml:space="preserve">APOSTILA </t>
  </si>
  <si>
    <t>123/2025</t>
  </si>
  <si>
    <t>709.978-1</t>
  </si>
  <si>
    <t>Melissa Rebeca Pereira dos Santos</t>
  </si>
  <si>
    <t>710.528-1</t>
  </si>
  <si>
    <t xml:space="preserve">PRORROGAÇÃO DE PRAZO POR 12 MESES </t>
  </si>
  <si>
    <t>PRORROGAÇÃO DE PRAZO POR 12 MESES  E REPACTUAÇÃO DE PREÇO</t>
  </si>
  <si>
    <t>227/2021</t>
  </si>
  <si>
    <t>062/2021</t>
  </si>
  <si>
    <t>CONTRATAÇÃO DE EMPRESA NA PRESTAÇÃO DO SERVIÇO DE IMPRESSORA E REPOGRAFIA, COM ACESSO VIA REDE TCP-IP</t>
  </si>
  <si>
    <t>CONT./SEME Nº 008/2022</t>
  </si>
  <si>
    <t>PRINT SOLUTION SERV.DE PROCESSAMENTO DE DOCUMENTOS LTDA-ME</t>
  </si>
  <si>
    <t>07.928.901/0001-97</t>
  </si>
  <si>
    <t>188/2025</t>
  </si>
  <si>
    <t>João Antônio Thomaz De Menezes Filho</t>
  </si>
  <si>
    <t>709.920-1</t>
  </si>
  <si>
    <t>Lucas Tavares de Figueiredo</t>
  </si>
  <si>
    <t>ALTERAÇÃO DA CLAUSULA QUINTA - VIGENCIA CONTRATUAL</t>
  </si>
  <si>
    <t xml:space="preserve">SUPRESSÃO DE VALOR </t>
  </si>
  <si>
    <t>4º</t>
  </si>
  <si>
    <t>PRORROGAÇÃO DE PRAZO E REAJUSTE</t>
  </si>
  <si>
    <t>5º</t>
  </si>
  <si>
    <t>026/2021</t>
  </si>
  <si>
    <t>30/2021</t>
  </si>
  <si>
    <t>FORNECIMENTO DE ÁGUA POTÁVEL</t>
  </si>
  <si>
    <t>CONT./SEME Nº 003/2022</t>
  </si>
  <si>
    <t>EDIMAR PASQUIM</t>
  </si>
  <si>
    <t>08.223.466/0001-68</t>
  </si>
  <si>
    <t>224/2025</t>
  </si>
  <si>
    <t>Alessandra de Menezes Teixeira</t>
  </si>
  <si>
    <t>716.946-1</t>
  </si>
  <si>
    <t>Gledson Melo de Lima</t>
  </si>
  <si>
    <t>706.977-5</t>
  </si>
  <si>
    <t>20/07/20222</t>
  </si>
  <si>
    <t>1550</t>
  </si>
  <si>
    <t>20/001/2027</t>
  </si>
  <si>
    <t>237/2023</t>
  </si>
  <si>
    <t>331/2022</t>
  </si>
  <si>
    <t>SISTEMA REGISTRO  DE PREÇO</t>
  </si>
  <si>
    <t>Contratação eventual e futura, de empresa especializada na confecção, fornecimento, montagem e instalação de elementos comunicação visual, para atender as demandas desta Secretaria Municipal de Educação - Seme</t>
  </si>
  <si>
    <t>048/2023</t>
  </si>
  <si>
    <t>CONT./SEME/Nº 180/2023</t>
  </si>
  <si>
    <t>G. S. SILVEIRA LTDA</t>
  </si>
  <si>
    <t>84.313.923/0001-93</t>
  </si>
  <si>
    <t>115/2025</t>
  </si>
  <si>
    <t>PRORROGAÇÃO DE PRAZO E ACRÉSCIMO DE 25%</t>
  </si>
  <si>
    <t>512/2022</t>
  </si>
  <si>
    <t>184/2022</t>
  </si>
  <si>
    <t>ADESÃO A ATA DE REGISTRO DE PREÇO SRP</t>
  </si>
  <si>
    <t>CONTRATAÇÃO DE EMPRESA PARA PRESTAÇÃO DE SERVIÇO TERCEIRIZADO E CONTINUADO DE APOIO OPERACIONAL E ADMINISTRATIVO, COM DISPONIBILIZAÇÃO
DE MÃO DE OBRA EM REGIME DE DEDICAÇÃO EXCLUSIVA A SEREM EXECUTADOS NO ÂMBITO DESTA SECRETARIA MUNICIPAL DE EDUCAÇÃO -SEME</t>
  </si>
  <si>
    <t>SECRETARIA DE ESTADO DE SAUDE-SESACRE</t>
  </si>
  <si>
    <t>CONT./SEME/Nº 52/2023</t>
  </si>
  <si>
    <t>ASA - AGENCIA DE SERVIÇOS DO ACRE LTDA</t>
  </si>
  <si>
    <t>11.815.892/0001-03</t>
  </si>
  <si>
    <t>121/2025</t>
  </si>
  <si>
    <t xml:space="preserve">LUCAS TAVARES DE FIGUEIREDO </t>
  </si>
  <si>
    <t xml:space="preserve"> Melissa Rebeca Pereira dos Santos</t>
  </si>
  <si>
    <t xml:space="preserve">REPACTUAÇÃO </t>
  </si>
  <si>
    <t>250/2022</t>
  </si>
  <si>
    <t>51/2022</t>
  </si>
  <si>
    <t>PRESTAÇÃO DE SERVIÇOS DE ROÇO MECANIZDO, VISANDO ATENDER AS DEMANDAS DA SECRETARIA MUNICIPAL DE EDUCAÇÃO -SEME</t>
  </si>
  <si>
    <t>009/2022</t>
  </si>
  <si>
    <t>SECRETARIA MUNICIPAL DE CUIDADOS COM A CIDADE -SMCCI</t>
  </si>
  <si>
    <t>CONT./SEME/Nº 67/2022</t>
  </si>
  <si>
    <t>122/2025</t>
  </si>
  <si>
    <t xml:space="preserve">PRORROGAÇÃO DE PRAZO POR 12 MESES E REAJUSTE CONTRATUAL </t>
  </si>
  <si>
    <t>019/2022</t>
  </si>
  <si>
    <t>012/2022</t>
  </si>
  <si>
    <t>PREGÃO ELETRONICO</t>
  </si>
  <si>
    <t>PRESTAÇÃO DE SERVIÇOS DE IMPLATAÇÃO E OPERACIONALIZAÇÃO DE SISTEMA INFORMATIZADO DE ABASTECIMENTO E ADMINISTRAÇÃO DE DESPESAS COM COMBUSTIVEIS EM POSTOS
CREDENCIADOS,MEDIANTE O USO DE CARTÃO ELETRONICO OU MAGNETICO E ETIQUETA COM TECNOLOGIA RFRID(OU SIMILAR). COM O FORNECIMENTO CONTINUO E ININTERRUPTO DE
COMBUSTIVEIS(GASOLINA) PARA VEICULOS PERTECENTES A SECRETARIA MUNICIPAL DE EDUCAÇÃO (PREDIOS)</t>
  </si>
  <si>
    <t>CONT./SEME/Nº 66/2022</t>
  </si>
  <si>
    <t>LINK CARD ADMINISTRADORA DE BENEFICIOS EIRELI</t>
  </si>
  <si>
    <t>12.039.966/0001-11</t>
  </si>
  <si>
    <t>418/2025</t>
  </si>
  <si>
    <t>Jone Clei Pereira</t>
  </si>
  <si>
    <t>45/2025</t>
  </si>
  <si>
    <t>Aquisição de suprimentos de informática, para atendimento as instituições e ferramentas para as demandas e trabalho dos técnicos que prestam serviço aos setores da Educação Municipal Rio Branco - SEME.</t>
  </si>
  <si>
    <t>11/2026</t>
  </si>
  <si>
    <t>20/10/2025</t>
  </si>
  <si>
    <t>20/10/2026</t>
  </si>
  <si>
    <t>14.164</t>
  </si>
  <si>
    <t>CONT./SEME/Nº  62/2026</t>
  </si>
  <si>
    <t>LICITA SHOP COMERCIO E SERVIÇOS LTDA</t>
  </si>
  <si>
    <t>50.958.011/0001-57</t>
  </si>
  <si>
    <t>1500/2500  1550/2550</t>
  </si>
  <si>
    <t>33.90.30 / 44.90.52</t>
  </si>
  <si>
    <t>107/2026</t>
  </si>
  <si>
    <t>NARCISO SOARES NETO</t>
  </si>
  <si>
    <t>JOAO ANTONIO TOMAS DE MENEZES FILHO</t>
  </si>
  <si>
    <t>779920-1</t>
  </si>
  <si>
    <t>0112.008708/2025-75</t>
  </si>
  <si>
    <t>005/2025</t>
  </si>
  <si>
    <t>DISPENSA DE LICITAÇÃO</t>
  </si>
  <si>
    <t>D</t>
  </si>
  <si>
    <t>EMERGÊNCIA ART. 75, INCISO VIII, LEI 14.133/2021</t>
  </si>
  <si>
    <t>CONT./SEME/Nº 172/2025</t>
  </si>
  <si>
    <t>JWC MULTISERVIÇOS LTDA</t>
  </si>
  <si>
    <t>04.090.759/0001-63</t>
  </si>
  <si>
    <t>118/2025</t>
  </si>
  <si>
    <t xml:space="preserve"> Ícaro Dutra Gomes</t>
  </si>
  <si>
    <t>EMERGÊNCIA ART. 75, INCISO VIII, LEI 14.13/2021</t>
  </si>
  <si>
    <t>CONT./SEME/Nº 173/2025</t>
  </si>
  <si>
    <t>120/2025</t>
  </si>
  <si>
    <t xml:space="preserve">Paula Valéria de Oliveira Moura </t>
  </si>
  <si>
    <t>241/2021</t>
  </si>
  <si>
    <t>023/2022</t>
  </si>
  <si>
    <t>LOCAÇÃO DE VEICULOS COM CONDUTOR TIPO CAMINHÃO</t>
  </si>
  <si>
    <t>865/2022</t>
  </si>
  <si>
    <t>SERVIÇO DE AGUA E ESGOTO - SAERB</t>
  </si>
  <si>
    <t>LOCAÇÃO DE VEICULO DO TIPO CAMINHÃO DO TIPO CAÇAMBA/TOCO</t>
  </si>
  <si>
    <t>CONT./SEME/Nº 091/2022</t>
  </si>
  <si>
    <t>F A M CHAVES</t>
  </si>
  <si>
    <t xml:space="preserve"> 20.876.834/0001-72</t>
  </si>
  <si>
    <t>417/2025</t>
  </si>
  <si>
    <t>288/2022</t>
  </si>
  <si>
    <t>LOCAÇÃO DE VEICULO DO TIPO CAMINHÃO</t>
  </si>
  <si>
    <t>CONT./SEME/Nº 092/2022</t>
  </si>
  <si>
    <t>MULTIMAQUINAS PINTO &amp; CIA LTDA</t>
  </si>
  <si>
    <t xml:space="preserve">07.909.967/0001-30 </t>
  </si>
  <si>
    <t>416/2025</t>
  </si>
  <si>
    <t>Cleimak da Silva Lopes</t>
  </si>
  <si>
    <t>715.495-1</t>
  </si>
  <si>
    <t>021/2021</t>
  </si>
  <si>
    <t>011/2021</t>
  </si>
  <si>
    <t>PRESTAÇÃO DE SERVIÇOS DE AGENTES DE PORTARIA DIURNO</t>
  </si>
  <si>
    <t>CONT./SEME Nº 001/2022</t>
  </si>
  <si>
    <t>ADSERVI - ADM. DE SERVIÇOS LTDA</t>
  </si>
  <si>
    <t>02.531.343/0001-08</t>
  </si>
  <si>
    <t>221/2022</t>
  </si>
  <si>
    <t xml:space="preserve">SAMARA COSTA PINTO - LUCAS TAVARES DE FIGUEIREDO  - </t>
  </si>
  <si>
    <t>712957 - 713.115</t>
  </si>
  <si>
    <t xml:space="preserve">PAULA VALERIA DE OLIVEIRA MOURA  - ANDREY DAVI SILVA DE OLIVEIRA </t>
  </si>
  <si>
    <t>709978 - 712466</t>
  </si>
  <si>
    <t xml:space="preserve"> ADITIVO</t>
  </si>
  <si>
    <t>PRORROGAÇÃO DE VIGÊNCIA 12 MESES</t>
  </si>
  <si>
    <t>REEQUILIBRIO ECONOMICO POR REPACTUAÇÃO E REAJUSTE DE PREÇO</t>
  </si>
  <si>
    <t>PRORROGAÇÃO DE VIGÊNCIA 12 MESES E REPACTUAÇÃO</t>
  </si>
  <si>
    <t>PRORROGAÇÃO DE VIGENCIA</t>
  </si>
  <si>
    <t>012/2023</t>
  </si>
  <si>
    <t>002/2023</t>
  </si>
  <si>
    <t xml:space="preserve">ADESÃO A ATA  </t>
  </si>
  <si>
    <t xml:space="preserve"> PRESTAÇÃO DE SERVIÇOS DE DEDETIZAÇÃO, DESINSETIZAÇÃO, DESCUNPINIZAÇÃO E LIMPEZA DESOBSTRUÇÃO E OU ESGOTAMENTO DE FOSSAS SÉPTICAS NECESSÁRIOS À PREVENÇÃO
E ELIMINAÇÃO DE PRAGAS URBANAS, BARATAS, FORMIGAS, LAGARTAS, PULGAS, CUPINS, OUTROS INSETOS, ARACNIDEOS, QUILÓPODES E DIPLOPODES, PARA ATENDER AS NECESSIDADES DAS
UNIDADES EDUCACIONAIS E PREDIOS ADMINISTRATIVOS DE SECRETARIA MUNICIPAL DE EDUCAÇÃO - SEME</t>
  </si>
  <si>
    <t>194/2022</t>
  </si>
  <si>
    <t>SECRETARIA DE ESTADO DE EDUCAÇÃO, CULTURA E ESPORTE - SEE</t>
  </si>
  <si>
    <t>SERVIÇO DE LIMPEZA</t>
  </si>
  <si>
    <t>CONT./SEME Nº 53/2023</t>
  </si>
  <si>
    <t>E. DE AGUIAR FROTA LTDA</t>
  </si>
  <si>
    <t>04.758.482/0001-02</t>
  </si>
  <si>
    <t>068/2025</t>
  </si>
  <si>
    <t>Marinês dos Anjos Cavalcante Vasconcelos</t>
  </si>
  <si>
    <t>705.552-5</t>
  </si>
  <si>
    <t>GLEDSON MELO DE LIMA - RAFHAEK VITORIO NOBREGA BALBINO</t>
  </si>
  <si>
    <t>706977 - 704530</t>
  </si>
  <si>
    <t xml:space="preserve">ACRÉSCIMO DE 25% E PRORROGAÇÃO DE VIGENCIA POR MAIS 12 MESES </t>
  </si>
  <si>
    <t xml:space="preserve"> PRORROGAÇÃO DE VIGENCIA POR MAIS 12 MESES</t>
  </si>
  <si>
    <t>42/2022</t>
  </si>
  <si>
    <t>35/2022</t>
  </si>
  <si>
    <t>AQUISIÇÃO DE EMPRESA PARA PRESTAÇÃO DE SERVIÇO TERCEIRIZADO E CONTINUADO DE APOIO OPERACIONAL E ADMINISTRAVISO</t>
  </si>
  <si>
    <t>23/03/20223</t>
  </si>
  <si>
    <t>Secretaria de Estado de Saude do Acre - SESACRE</t>
  </si>
  <si>
    <t>SERVIÇO DE TERCERIZADOS</t>
  </si>
  <si>
    <t>CONT./SEME Nº52/2022</t>
  </si>
  <si>
    <t>119/2025</t>
  </si>
  <si>
    <t xml:space="preserve">Ícaro Dutra Gomes </t>
  </si>
  <si>
    <t xml:space="preserve">PRORROGAÇÃO DE PRAZO POR 12 MESES E REPACTUAÇÃO DE PREÇO </t>
  </si>
  <si>
    <t>PRORROGAÇÃO DE PRAZO POR 12 MESES  E ACRÉSCIMO DE 25%</t>
  </si>
  <si>
    <t>147/2020</t>
  </si>
  <si>
    <t>041/2020</t>
  </si>
  <si>
    <t>LOCAÇÃO DE MAQUINA MULTIFUNCIONAL (FOTOCOPIADORA0</t>
  </si>
  <si>
    <t>32/2021</t>
  </si>
  <si>
    <t>Empresa Municipal de Urbanização de Rio Branco - EMURB</t>
  </si>
  <si>
    <t>89..208,00</t>
  </si>
  <si>
    <t>CONT./SEME Nº 111/2021</t>
  </si>
  <si>
    <t>AK OLIVEIRA BATISTA</t>
  </si>
  <si>
    <t>34.245.877/0001-64</t>
  </si>
  <si>
    <t>201/2025</t>
  </si>
  <si>
    <t>Kadiego Alves da Silva</t>
  </si>
  <si>
    <t>PRORROGAÇÃO E SUPRESSÃO DE PREÇO</t>
  </si>
  <si>
    <t>PRORROGAÇÃO DE PRAZO  E REAJUSTE CONTRATUAL</t>
  </si>
  <si>
    <t xml:space="preserve">PRORROGAÇÃO DE PRAZO  </t>
  </si>
  <si>
    <t>166/2024</t>
  </si>
  <si>
    <t>020/2023</t>
  </si>
  <si>
    <t xml:space="preserve">CONTRATAÇÃO DE EMPRESA PARA PRESTAÇÃO DE SERVIÇOS COMUNS DE ENGENHARIA DE FORMA CONTINUA, POR DEMANDA, PARA EXECUÇÃO DE REFORMAS DE POUCA RELEVANCIA
MATERIAL, SERVIÇOS DE ADEQUAÇÃO, ADAPTAÇÃO, REPARAÇÃO OU REVITALIZAÇÃO, QUE CONSITAM DE ATIVIDADES SIMPLES, TIPICAS DE INTERVENÇÕES ISOLADAS, QUE POSSAM SER
</t>
  </si>
  <si>
    <t>007/2024</t>
  </si>
  <si>
    <t>Secretaria Muncipal de Infraestrutura e Mobilidade Urbana - SEINFRA</t>
  </si>
  <si>
    <t>PRESTAÇÃO DE SERVIÇOS DE MANUTENÇÃO PREDIAL PREVENTIVA E CORRETIVA</t>
  </si>
  <si>
    <t>CONT./SEME Nº 109/2024</t>
  </si>
  <si>
    <t>INNOVE ARQUITERURA E ENGENHARIA EIRELI</t>
  </si>
  <si>
    <t>23.820.555/0001-85</t>
  </si>
  <si>
    <t>069/2025</t>
  </si>
  <si>
    <t xml:space="preserve">MARINES DOS ANJOS CAVALCANTE VASCONCELOS </t>
  </si>
  <si>
    <t xml:space="preserve">GLEDSON MELO DE LIMA - RAPHAEL VITORIO NOBREGA BALBINO </t>
  </si>
  <si>
    <t>2569</t>
  </si>
  <si>
    <t>ALTERAÇÃO DA CLÁUSULA QUINTA - DOS RECURSO ORÇAMENTÁRIOS</t>
  </si>
  <si>
    <t>2385</t>
  </si>
  <si>
    <t>005/2023</t>
  </si>
  <si>
    <t>009/2023</t>
  </si>
  <si>
    <t xml:space="preserve"> À CONTRATAÇÃO DE PESSOA JURÍDICA ESPECIALIZADA EM AGENCIAMENTO DE VIAGENS (TRANSPORTE AÉREO DE PASSAGEIROS), SOBE DEMANDA E DE MANEIRA PARCELADA, PRESTAR
SERVIÇOS ED EMISSÃO DE PASSAGENS, INCLUINDO RESERVAS, MARCAÇÃO/REMARCAÇÃO DE BILHETES EM TRECHOS INTERMUNICIPAIS, INTERSTADUAL E INTERNACIONAIS, PARA ATENDER AS
DEMANDAS DA SECRETARIA MUNICIPAL DE EDUCAÇÃO - SEME.</t>
  </si>
  <si>
    <t>CONT./SEME Nº 83/2023</t>
  </si>
  <si>
    <t>WC VIAGENS E TURISMO EIRELI</t>
  </si>
  <si>
    <t>13.480.254/0001-04</t>
  </si>
  <si>
    <t>33.90.33.00</t>
  </si>
  <si>
    <t>374/2023</t>
  </si>
  <si>
    <t>LUCYANA SILVEIRA OLIVEIRA GRAUMAN - ELIVAN DA SILVA DIAS</t>
  </si>
  <si>
    <t>712941 - 703209</t>
  </si>
  <si>
    <t>341/2023</t>
  </si>
  <si>
    <t xml:space="preserve">ADESÃO A ATA DE REGISTRO DE PREÇO SRP </t>
  </si>
  <si>
    <t xml:space="preserve">MENOR PREÇO </t>
  </si>
  <si>
    <t xml:space="preserve">REF. CONTRATAÇÃO DE PESSOA JURIDICA PARA PRESTAÇÃO DE SERVIÇOS DE TRANSPORTE, LOCAÇÃO DE 04 VEICULOS TIPO CAMINHONETE PICK - UP CABINE DUPLA COM CONDUTOR), PARA
ATENDER AS NECESSIDADES DA SECRETARIA MUNICIPAL DE EDUCAÇÃO - SEME.
</t>
  </si>
  <si>
    <t>CONT.SEME Nº 177/2023</t>
  </si>
  <si>
    <t>W. L. ISRAEL, SERVIÇOS E COMERCIO LTDA</t>
  </si>
  <si>
    <t>27.582.639/0001-89</t>
  </si>
  <si>
    <t>419/2025</t>
  </si>
  <si>
    <t xml:space="preserve">PRORROGAÇÃO DE PRAZO E REAJUSTE CONTRATUAL </t>
  </si>
  <si>
    <t>125/2022</t>
  </si>
  <si>
    <t>Secretaria Muncipal de Saúde</t>
  </si>
  <si>
    <t xml:space="preserve"> PRORROGAÇÃO DE PRAZO E REAJUSTE CONTRATUAL</t>
  </si>
  <si>
    <t>028/2021</t>
  </si>
  <si>
    <t>CONTRATAÇÃO DE PESSOA JURÍDICA PARA A PRESTAÇÃO DE SERVIÇOS TERCEIRIZADOS DE APOIO ADMINISTRATIVO E OPERACIONAL</t>
  </si>
  <si>
    <t>004/2021</t>
  </si>
  <si>
    <t>SECRETARIA DE FINANÇAS</t>
  </si>
  <si>
    <t>CONT./SEME Nº 40/2022</t>
  </si>
  <si>
    <t>FM TERCERIZAÇÃO</t>
  </si>
  <si>
    <t>20.345.453/0001-67</t>
  </si>
  <si>
    <t>236/2025</t>
  </si>
  <si>
    <t xml:space="preserve">PRORROGAÇÃO DE PRAZO POR 06 MESES </t>
  </si>
  <si>
    <t>056/2017</t>
  </si>
  <si>
    <t>LOCAÇÃO DE IMOVEL (01)</t>
  </si>
  <si>
    <t>ART. 24  INCISO X DA LEI 8666/93</t>
  </si>
  <si>
    <t>CONT.SEME/Nº 131/2017</t>
  </si>
  <si>
    <t>IF LOCAÇOES DE IMOVEIS EIRELI</t>
  </si>
  <si>
    <t>34.625.024/0001-58</t>
  </si>
  <si>
    <t>023/2021</t>
  </si>
  <si>
    <t xml:space="preserve">IGOR BIACARDI </t>
  </si>
  <si>
    <t>MANOEL MAGALHAES TEIXEIRA - VOMEA MARIA DE ARAUJO</t>
  </si>
  <si>
    <t>543165 - 542826</t>
  </si>
  <si>
    <t>Troca de Titularidade da Empresa - IF LOCAÇÕES DE IMÓVEIS EIRELEI</t>
  </si>
  <si>
    <t xml:space="preserve">PRORROGAÇÃO DE PRAZO E REAJUSTE </t>
  </si>
  <si>
    <t>6º</t>
  </si>
  <si>
    <t>7º</t>
  </si>
  <si>
    <t>8º</t>
  </si>
  <si>
    <t>PRORROGAÇÃO DE PRAZO E REAJUSTE DE PREÇO</t>
  </si>
  <si>
    <t>9º</t>
  </si>
  <si>
    <t>131/2023</t>
  </si>
  <si>
    <t>TOMADA DE PREÇO</t>
  </si>
  <si>
    <t>CONTRATAÇÃO DE EMPRESA DE ENGENHARIA PARA EXECUÇÃO DOS SERVIÇOS DE AMPLIAÇÃO E ADEQUAÇÃO DA CRECHE GUMERCINDO BESSA, EM RIO BRANCO.</t>
  </si>
  <si>
    <t>CONT./SEME/ Nº 181/2023</t>
  </si>
  <si>
    <t>CONSTRUTORA MIRANDA LTDA</t>
  </si>
  <si>
    <t>02.562.103/0001-70</t>
  </si>
  <si>
    <t>44.90.51.00</t>
  </si>
  <si>
    <t>OBRA</t>
  </si>
  <si>
    <t>INDIRETA</t>
  </si>
  <si>
    <t>08/06/2024 a 05/10/2024</t>
  </si>
  <si>
    <t>N</t>
  </si>
  <si>
    <t>S</t>
  </si>
  <si>
    <t>057/2025</t>
  </si>
  <si>
    <t>Josely Araújo de Oliveira</t>
  </si>
  <si>
    <t xml:space="preserve">Fiscal Titular - Tatiana Lima Ferreira </t>
  </si>
  <si>
    <t xml:space="preserve">CREA nº 9659 – D/AC </t>
  </si>
  <si>
    <t>PRORROGAÇÃO DE VIGENCIA POR MAIS 180 DIAS E EXECUÇÃO 180 DIAS</t>
  </si>
  <si>
    <t>1º ADEQUAÇÃO E REAJUSTE</t>
  </si>
  <si>
    <t>PRORROGAÇÃO DE VIGENCIA POR MAIS 120 DIAS</t>
  </si>
  <si>
    <t>116</t>
  </si>
  <si>
    <t>ADEQUAÇÃO DE VALOR</t>
  </si>
  <si>
    <t>235/2023</t>
  </si>
  <si>
    <t>010/2023</t>
  </si>
  <si>
    <t>CONCORRÊNCIA</t>
  </si>
  <si>
    <t>CONTRATAÇÃO DE EMPRESA PARA PRESTAÇÃO DE SERVIÇOS DE PUBLICIDADE E PROPAGANDA, COMPREENDENDO O CONJUNTO DE ATIVIDADES REALIZADAS INTEGRADAMENTE QUE
TENHAM POR OBJETIVO O ESTUDO O PLANEJAMENTO E CONCEITUAÇÃO A CONCEPÇÃO, A CRIAÇÃO, A EXECUÇÃO INTERNA, A INTERMEDIAÇÃO E A SUPERVISÃO DE EXECUÇÃO EXTERNA E A
DISTRIBUIÇÃO DE AÇOES PUBLICITARIA JUNTO AO PUBLICO DE INTERESSE NOS VEICULOS DE COMUNICAÇÃO. REDE SOCIAIS E DEMAIS MEIOS DE DIVULGAÇÃO PARA ATENDER AS NECESSIDADES
DESTA SECRETARIA MUNICIPAL DE EDUCAÇÃO.</t>
  </si>
  <si>
    <t>CONT./SEME/ Nº 188/2023</t>
  </si>
  <si>
    <t>CIDADE AGENCIA DE PUBLICIDADE E PROPAGANDA LTDA</t>
  </si>
  <si>
    <t>00.997.672/0001-13</t>
  </si>
  <si>
    <t>161/2025</t>
  </si>
  <si>
    <t>MIRLA MARREIROS DE OLIVEIRA</t>
  </si>
  <si>
    <t>PRORROGAÇÃO DE VIGENCIA POR MAIS 12 MESES</t>
  </si>
  <si>
    <t>156/2023</t>
  </si>
  <si>
    <t>007/2023</t>
  </si>
  <si>
    <t>CONTRATAÇÃO DE EMPRESA DE ENGENHARIA PARA EXECUÇÃO DOS SERVIÇOS DE CONSTRUÇÃO DE 1 (UMA) UNIDADE EDUCACIONAL PARA
O ATENDIMENTO DO BERÇARIO E CRECHE LOCALIZADA NA RUA MARCELINO CHAMPAGNAT, S/N, BAIRRO DE DEFESA CIVIL, PERTENCENTES A SECRETARIA MUNICIPAL DE EDUCAÇÃO - SEME</t>
  </si>
  <si>
    <t>CONT./SEME/ Nº 236/2023</t>
  </si>
  <si>
    <t xml:space="preserve">EURO CONSTRUÇÕES LTDA </t>
  </si>
  <si>
    <t>05.687.069/0001-59</t>
  </si>
  <si>
    <t>242/2025</t>
  </si>
  <si>
    <t>JOSELY ARAUJO DE OLIVEIRA</t>
  </si>
  <si>
    <t>Eng. Civil Francisco Thiago Rocha de Souza</t>
  </si>
  <si>
    <t>CREA 22058-D/AC</t>
  </si>
  <si>
    <t xml:space="preserve">PRORROGAÇÃO DE VIGÊENCIA 420 DIAS </t>
  </si>
  <si>
    <t>0112.003350/2026-14</t>
  </si>
  <si>
    <t>INEXIBIILIDADE DE LICITAÇÃO</t>
  </si>
  <si>
    <t>CONTRATAÇÃO DE EMPRESA ESPECIALIZADA PARA PRESTAÇÃO DE SERVIÇO EM CAPACITAÇÃO NA MODALIDADE IN COMPANY com o objetivo de 
qualificar os profissionais diretamente vinculados às Unidades Demandantes e Agentes de Contratação, e indiretamente os servidores que 
atuam nas áreas de compras, licitações e contratos administrativos</t>
  </si>
  <si>
    <t>ART. 74, INCISO III, LETRA F DA LEI 14.113/2021</t>
  </si>
  <si>
    <t>CONT. SEME/Nº 73/2026</t>
  </si>
  <si>
    <t>INSTITUTO EUVALDO LODI- NUCLEO REGIONAL</t>
  </si>
  <si>
    <t>02.373.341/0001-38</t>
  </si>
  <si>
    <t>33.90.35</t>
  </si>
  <si>
    <t>160/2026</t>
  </si>
  <si>
    <t>GABRIELA POSSIDONIO DE QUEIROZ</t>
  </si>
  <si>
    <t>0112.002015/2025-75</t>
  </si>
  <si>
    <t>001/2025</t>
  </si>
  <si>
    <t>prestação de serviços técnicos especializados em consultoria e assessoria na área educacional, com foco na implementação, acompanhamento e prestação de contas de programas e ações vinculadas ao Fundo Nacional de Desenvolvimento da Educação – FNDE, visando atender às necessidades da Secretaria Municipal de Educação – SEME</t>
  </si>
  <si>
    <t>ART. 74, INCISO III, DA LEI 14.113/2021</t>
  </si>
  <si>
    <t>CONT. SEME Nº 167/2025</t>
  </si>
  <si>
    <t>DALBERTO CONSULTORIA E ASSESSORIA LTDA</t>
  </si>
  <si>
    <t>20.275.382/0001-73</t>
  </si>
  <si>
    <t>20/11/2026</t>
  </si>
  <si>
    <t>500/2005</t>
  </si>
  <si>
    <t>JULIANO DE PAULA CAMINHO</t>
  </si>
  <si>
    <t>EURIVAN MENEZES DE LIMA</t>
  </si>
  <si>
    <t>034/2023</t>
  </si>
  <si>
    <t>001/2023</t>
  </si>
  <si>
    <t>LOCAÇÃO DE IMOVEL COM FINS NAO RESIDENCIAL PARA FUNCIONAMENTO DA CRECHE / ESCOLA DE EDUCAÇÃO INFANTIL NO RAMAL DA CASTANHEIRA ( CRECHE/ANEXO DA ESCOLA TEREZINHA
MIGUEIS)</t>
  </si>
  <si>
    <t>ART 24 , INCISO  X DA LEI 8666/93</t>
  </si>
  <si>
    <t>CONT.SEME/Nº 136/2023</t>
  </si>
  <si>
    <t>PASCOAL TORRES MUNIZ</t>
  </si>
  <si>
    <t>055.598.395-15</t>
  </si>
  <si>
    <t>22/08/2024</t>
  </si>
  <si>
    <t>33.90.36.00</t>
  </si>
  <si>
    <t>087/2025</t>
  </si>
  <si>
    <t xml:space="preserve">ROSENATO PONTE CORREA - RUY MORENO DE ARAUJO </t>
  </si>
  <si>
    <t>702751 - 703758</t>
  </si>
  <si>
    <t>PRORROGAÇÃO DE PRAZO POR 12 MESES</t>
  </si>
  <si>
    <t>006/2022</t>
  </si>
  <si>
    <t>001/2022</t>
  </si>
  <si>
    <t>LOCAÇÃO DE IMÓVEL COM FIM  DE FUNCIONAMENTO DA SEDE ADMINISTRATIVA</t>
  </si>
  <si>
    <t>CONT.SEME/Nº 76/2022</t>
  </si>
  <si>
    <t>ARRAS ADM. DE BENS IMOVEIS LIMPEZA E CONSERVACAO LTDA - ME</t>
  </si>
  <si>
    <t>63.600.449/0001-00</t>
  </si>
  <si>
    <t>01/09/2023</t>
  </si>
  <si>
    <t>231/2025</t>
  </si>
  <si>
    <t>Andrey Davi Silva de Oliveira</t>
  </si>
  <si>
    <t>Cleider Freire de Souza Junior</t>
  </si>
  <si>
    <t>PRORROGAÇÃO DE PRAZO POR 12 MESES E RAJUSTE DE PREÇO</t>
  </si>
  <si>
    <t>007/2022</t>
  </si>
  <si>
    <t>002/2022</t>
  </si>
  <si>
    <t>LOCAÇÃO DE IMÓVEL COM FIM  DE FUNCIONAMENTO DO ESTACIONAMENTO DA SEDE ADMINISTRATIVA</t>
  </si>
  <si>
    <t>ART 24, INCISO X DA LEI 8666/93</t>
  </si>
  <si>
    <t>CONT.SEME/Nº 44/2023</t>
  </si>
  <si>
    <t>22/03/2024</t>
  </si>
  <si>
    <t>233/2025</t>
  </si>
  <si>
    <t>LOCAÇÃO DE IMOVEL, SITUADO NA AVENIDA ANTONIO DA ROCHA VIANA, S/Nº, BAIRRO BOSQUE, NESTA CIDADE, DESTINADO AO FUNCIONAMENTO DO DEPÓSITO DA MERENDA ESCOLAR E ALMOXARIFADO DA SEME</t>
  </si>
  <si>
    <t>Art. 24, inciso X da Lei 8.666/93</t>
  </si>
  <si>
    <t>CONT./SEME/Nº 091/2005</t>
  </si>
  <si>
    <t>VALDOMIRO LOPES VITOLLO E ANTONIO GARCIA MOCHON</t>
  </si>
  <si>
    <t>316.755.228-04</t>
  </si>
  <si>
    <t>225/2025</t>
  </si>
  <si>
    <t>João Antônio Thomaz de Menezes Filho</t>
  </si>
  <si>
    <t xml:space="preserve">Rafael Passafaro Neto </t>
  </si>
  <si>
    <t>538.348-1</t>
  </si>
  <si>
    <t xml:space="preserve"> TERMO ADITIVO </t>
  </si>
  <si>
    <t>Reajuste de valor</t>
  </si>
  <si>
    <t>Prorrogação de Prazo 12 meses e Reajuste de valor</t>
  </si>
  <si>
    <t>Prorrogação de Prazo 11 meses</t>
  </si>
  <si>
    <t>Prorrogação de Prazo 12 meses</t>
  </si>
  <si>
    <t xml:space="preserve"> Nº 32/2010 </t>
  </si>
  <si>
    <t xml:space="preserve"> Nº 10/2011 </t>
  </si>
  <si>
    <t>Reajuste</t>
  </si>
  <si>
    <t xml:space="preserve">7º TERMO ADITIVO </t>
  </si>
  <si>
    <t xml:space="preserve">7º </t>
  </si>
  <si>
    <t>APOSTILA</t>
  </si>
  <si>
    <t xml:space="preserve"> Nº 29/2012 </t>
  </si>
  <si>
    <t xml:space="preserve">8º </t>
  </si>
  <si>
    <t xml:space="preserve"> Nº 38/2013 </t>
  </si>
  <si>
    <t xml:space="preserve">9º </t>
  </si>
  <si>
    <t xml:space="preserve">TERMO DE APOSTILAMENTO </t>
  </si>
  <si>
    <t xml:space="preserve">10º </t>
  </si>
  <si>
    <t xml:space="preserve">Reajuste </t>
  </si>
  <si>
    <t xml:space="preserve">11º </t>
  </si>
  <si>
    <t xml:space="preserve">12º </t>
  </si>
  <si>
    <t xml:space="preserve">13º </t>
  </si>
  <si>
    <t xml:space="preserve">14º </t>
  </si>
  <si>
    <t>31/11/2020</t>
  </si>
  <si>
    <t xml:space="preserve">15º </t>
  </si>
  <si>
    <t>Prorrogação de Prazo 3 meses</t>
  </si>
  <si>
    <t xml:space="preserve">16º </t>
  </si>
  <si>
    <t>Prorrogação de Prazo 6 meses</t>
  </si>
  <si>
    <t xml:space="preserve">17º </t>
  </si>
  <si>
    <t>Prorrogação de Prazo 4 meses</t>
  </si>
  <si>
    <t xml:space="preserve">18º </t>
  </si>
  <si>
    <t xml:space="preserve">PRORROGAÇÃO DE PRAZO E ACRÉSCIMO DE VALOR </t>
  </si>
  <si>
    <t xml:space="preserve">19º </t>
  </si>
  <si>
    <t xml:space="preserve">TERMO ADITIVO </t>
  </si>
  <si>
    <t>20º</t>
  </si>
  <si>
    <t>PRORROGAÇÃO DE PRAZO 12 MESES</t>
  </si>
  <si>
    <t>21º</t>
  </si>
  <si>
    <t>22º</t>
  </si>
  <si>
    <t>257/2012</t>
  </si>
  <si>
    <t>LOCAÇÃO DE UM IMOVEL  DESTINADO AO FUNCIONAMENTO DA ESCOLA MUNICIPAL IRMÃ MARIA GABRIELA</t>
  </si>
  <si>
    <t>CONT./SEME/Nº 064/2012</t>
  </si>
  <si>
    <t>EDUCANDÁRIO SANTA MARGARIDA</t>
  </si>
  <si>
    <t>04.003.224/0001-08</t>
  </si>
  <si>
    <t>01</t>
  </si>
  <si>
    <t>100/2025</t>
  </si>
  <si>
    <t>Adauto da Silva Gois</t>
  </si>
  <si>
    <t>Elivan da Silva Dias</t>
  </si>
  <si>
    <t>Nº 004/2013</t>
  </si>
  <si>
    <t>10</t>
  </si>
  <si>
    <t>11º</t>
  </si>
  <si>
    <t>12º</t>
  </si>
  <si>
    <t>01/12/2024</t>
  </si>
  <si>
    <t>934/2013</t>
  </si>
  <si>
    <t xml:space="preserve">LOCAÇÃO DE 01 (UM) IMÓVEL </t>
  </si>
  <si>
    <t>CONT./SEME/Nº 160/2013</t>
  </si>
  <si>
    <t>IÃ LUCAS CONDUTA</t>
  </si>
  <si>
    <t>005.225.772-02</t>
  </si>
  <si>
    <t>11.160</t>
  </si>
  <si>
    <t>096/2025</t>
  </si>
  <si>
    <t>Reajuste de Valor</t>
  </si>
  <si>
    <t>SUPRESSÃO DE VALOR</t>
  </si>
  <si>
    <t>PRORROGAÇÃO DE PRAZO E RESJUSTE DE PREÇO</t>
  </si>
  <si>
    <t>026/2014</t>
  </si>
  <si>
    <t xml:space="preserve">LOCAÇÃO DE UM IMOVEL </t>
  </si>
  <si>
    <t>Art. 24, Inciso  X da Lei 8.666/93</t>
  </si>
  <si>
    <t>CONT./SEME/Nº 145/2014</t>
  </si>
  <si>
    <t>EDINEY DE LIMA CARVALHO HOLANDA</t>
  </si>
  <si>
    <t>04.515.235/0001-77 - 558.645.032-15</t>
  </si>
  <si>
    <t>095/2025</t>
  </si>
  <si>
    <t>Edneyde Ribeiro Rola Fontinele</t>
  </si>
  <si>
    <t>Prorrogaçao de Prazo 12 meses</t>
  </si>
  <si>
    <t xml:space="preserve"> TERMO DE APOSTILAMENTO</t>
  </si>
  <si>
    <t>Valor reajustado</t>
  </si>
  <si>
    <t>4°</t>
  </si>
  <si>
    <t>5°</t>
  </si>
  <si>
    <t>6°</t>
  </si>
  <si>
    <t>Prorrogaçao de Prazo 06 meses</t>
  </si>
  <si>
    <t>7°</t>
  </si>
  <si>
    <t>8°</t>
  </si>
  <si>
    <t>9°</t>
  </si>
  <si>
    <t>TROCA DE TITULARIDADE DA EMPRESA</t>
  </si>
  <si>
    <t>10°</t>
  </si>
  <si>
    <t>11</t>
  </si>
  <si>
    <t>12</t>
  </si>
  <si>
    <t>13</t>
  </si>
  <si>
    <t>14</t>
  </si>
  <si>
    <t>15</t>
  </si>
  <si>
    <t>049/2014</t>
  </si>
  <si>
    <t xml:space="preserve">LOCACAO DE 01 IMOVEL </t>
  </si>
  <si>
    <t>art.24, inciso X da Lei 8.666/93</t>
  </si>
  <si>
    <t>CONT./SEME/Nº 179/2014</t>
  </si>
  <si>
    <t>IMOBILIARIA FORTALEZA LTDA/IF LOCAÇOES DE IMOVEIS EIRELI</t>
  </si>
  <si>
    <t>14.294.326/0001-83</t>
  </si>
  <si>
    <t>227/2025</t>
  </si>
  <si>
    <t xml:space="preserve"> Lázara dos Santos Campos</t>
  </si>
  <si>
    <t>Flávia Burlamaqui Machado</t>
  </si>
  <si>
    <t>Reajuste de Valor e Prorrogação de Prazo or mais 12 (DOZE) meses</t>
  </si>
  <si>
    <t>Prorrogação de Prazo por 12 mess</t>
  </si>
  <si>
    <t>08/12/2020</t>
  </si>
  <si>
    <t>07/12/2021</t>
  </si>
  <si>
    <t>PRORROGAÇÃO DE PRAZO POR MAIS 12 MESES E REAJUSTE DE PREÇO</t>
  </si>
  <si>
    <t>06/12/2022</t>
  </si>
  <si>
    <t>07/12/2022</t>
  </si>
  <si>
    <t>06/12/2023</t>
  </si>
  <si>
    <t>13º</t>
  </si>
  <si>
    <t>002/2015</t>
  </si>
  <si>
    <t>LOCACAO DE 01 IMOVEL (MAURO LIMA)</t>
  </si>
  <si>
    <t>CONT./SEME/Nº 61/2015</t>
  </si>
  <si>
    <t>IF LOCAÇÕES DE IMÓVEIS EIRELI</t>
  </si>
  <si>
    <t>097/2025</t>
  </si>
  <si>
    <t xml:space="preserve">Adauto da Silva Gois </t>
  </si>
  <si>
    <t>Prorrogação de Prazo de Vigencia 12 meses</t>
  </si>
  <si>
    <t>TERMO DE APOSTILAMENTO</t>
  </si>
  <si>
    <t>TROCA DE TIRULARIDADE</t>
  </si>
  <si>
    <t>Prorrogação de Prazo de Vigencia 6 meses</t>
  </si>
  <si>
    <t>01/01/202</t>
  </si>
  <si>
    <t>10º</t>
  </si>
  <si>
    <t>258/2022</t>
  </si>
  <si>
    <t xml:space="preserve">PRESTAÇÃO DE SERVIÇO DE AGUA E ESGOTO </t>
  </si>
  <si>
    <t>Art. 25, ionciso I da Lei 8.666/93</t>
  </si>
  <si>
    <t>CONT./SEME/Nº 32/2023</t>
  </si>
  <si>
    <t>SERVIÇO DE AGUA E ESGOTO RIO BRANCO</t>
  </si>
  <si>
    <t>01.634.845/0001-00</t>
  </si>
  <si>
    <t>PRAZO INDEWTERMINADO</t>
  </si>
  <si>
    <t>VALOR CONFORME PAGAMENTO MENSAL</t>
  </si>
  <si>
    <t>173/2023</t>
  </si>
  <si>
    <t>60/2020</t>
  </si>
  <si>
    <t>007/2020</t>
  </si>
  <si>
    <t>LOCAÇÃO DE 01 IMÓVEL - DIVISÃO DE ALMOXARIFADO</t>
  </si>
  <si>
    <t>Art. 24, ionciso X da Lei 8.666/93</t>
  </si>
  <si>
    <t>CONT./SEME/Nº 38/2021</t>
  </si>
  <si>
    <t>198/2021</t>
  </si>
  <si>
    <t xml:space="preserve">GLEDSON MELO DE LIMA - IGOR BIACARDI </t>
  </si>
  <si>
    <t>706.977 - 712964</t>
  </si>
  <si>
    <t>10/08/2023</t>
  </si>
  <si>
    <t>09/08/2024</t>
  </si>
  <si>
    <t xml:space="preserve">PRORROGAÇÃO DE PRAZO POR 12 MESES E REAJUSTE </t>
  </si>
  <si>
    <t>10/08/2024</t>
  </si>
  <si>
    <t>09/08/2025</t>
  </si>
  <si>
    <t>10/08/2025</t>
  </si>
  <si>
    <t>09/08/2026</t>
  </si>
  <si>
    <t xml:space="preserve">Aquisição de suprimentos de informática, para atendimento as instituições e ferramentas para as demandas e trabalho dos técnicos que prestam serviço aos setores da Educação Municipal Rio Branco - SEME. - </t>
  </si>
  <si>
    <t>CONT./SEME/Nº  058/2026</t>
  </si>
  <si>
    <t>CONSULTSIDE COMNERCIO SERVIÇOS E SOLUÇÕES LTDA</t>
  </si>
  <si>
    <t>37.400.911/0001-16</t>
  </si>
  <si>
    <t>33.90.30 -44.90.52</t>
  </si>
  <si>
    <t>103/2026</t>
  </si>
  <si>
    <t>290/2022</t>
  </si>
  <si>
    <t>DISPENSA DE LICITAÇÃO(INEXIGIBILIDADE)</t>
  </si>
  <si>
    <t>AQUISIÇÃO DE PRESTAÇÃO DE SERVIÇOS DE TRANSPORTE PÚBLICO COLETIVO, PARA ATENDER AS NECESSIDADES DESTA SECRETARIA MUNICIPAL DE EDUCAÇÃO</t>
  </si>
  <si>
    <t>Art. 25, I, da Lei 8666/1993</t>
  </si>
  <si>
    <t>CONT./SEME/Nº 98/2022</t>
  </si>
  <si>
    <t>RICCO TRANSPORTE E TURISMO LTDA</t>
  </si>
  <si>
    <t>30.094.876/0002-96</t>
  </si>
  <si>
    <t>326/2022</t>
  </si>
  <si>
    <t xml:space="preserve">SANDRELLY NOGUEIRA DE MOURA - RAUAN VITOR LIMA DA SILVA </t>
  </si>
  <si>
    <t>706.257 - 713037</t>
  </si>
  <si>
    <t xml:space="preserve">Prorrogação de Prazo de Vigencia </t>
  </si>
  <si>
    <t>ALTERAÇÃO PRAZO FINAL DE VIGENCIA (ONDE SE LÊ 30/07/2023, LÊ-SE 31/07/2023)</t>
  </si>
  <si>
    <t xml:space="preserve">PRORROGAÇÃO DE PRAZO POR 3 MESES </t>
  </si>
  <si>
    <t xml:space="preserve">PRORROGAÇÃO DE PRAZO POR 6 MESES </t>
  </si>
  <si>
    <t>TOTAL</t>
  </si>
  <si>
    <t xml:space="preserve">CONTRATAÇÃO DE EMPRESA ESPECIALIZADA EM SERVIÇOS DE FORNECIMENTO DE PEÇAS, ACESSÓRIOS, MANUTENÇÃO PREVENTIVA E CORRETIVA VEICULAR DESTINADO A ATENDER AS DEMANDAS DA DIVISÃO DE ZELADORIA E TRANSPORTE, DESTA SECRETARIA MUNICIPAL DE EDUCAÇÃO – SEME.
</t>
  </si>
  <si>
    <t xml:space="preserve">PRESTAÇÃO DE SERVIÇOS DE LIMPEZA, CONSERV. E HIGIENIZAÇÃO DE ÁREAS INTERNAS E EXTERNAS DE PRÉDIOS, MOBILIÁRIOS, EQUIPAMENTOS, VISANDO À OBTENÇÃO DE ADEQUADAS CONDIÇÕES DE SALUBRIDADE E HIGIENE COM DISPONIBILIDADE DE MÃO DE OBRA, FORNECIMENTO DE PRODUTOS </t>
  </si>
  <si>
    <t>PRESTAÇÃO DE SERVIÇOS DE LIMPEZA, CONSERV. E HIGIENIZAÇÃO DE ÁREAS INTERNAS E EXTERNAS DE PRÉDIOS, MOBILIÁRIOS, EQUIPAMENTOS, VISANDO À OBTENÇÃO DE ADEQUADAS CONDIÇÕES DE SALUBRIDADE E HIGIENE COM DISPONIBILIDADE DE MÃO DE OBRA, FORNECIMENTO DE PRODUTOS</t>
  </si>
  <si>
    <t>Gelivan da Silva Dias</t>
  </si>
  <si>
    <t>44/20</t>
  </si>
  <si>
    <t>PREGÃO</t>
  </si>
  <si>
    <t>420/25</t>
  </si>
  <si>
    <t>JONE CLEI PEREIRA DE ASSIS</t>
  </si>
  <si>
    <t>FRANCELY DA SILVA ANDRADE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</si>
</sst>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R$&quot;\ * #,##0.00_-;\-&quot;R$&quot;\ * #,##0.00_-;_-&quot;R$&quot;\ * &quot;-&quot;??_-;_-@"/>
    <numFmt numFmtId="165" formatCode="&quot;R$&quot;\ #,##0.00"/>
    <numFmt numFmtId="166" formatCode="dd/mm/yy"/>
    <numFmt numFmtId="167" formatCode="_-* #,##0.00_-;\-* #,##0.00_-;_-* &quot;-&quot;??_-;_-@"/>
    <numFmt numFmtId="168" formatCode="#,##0.00_ ;\-#,##0.00\ "/>
  </numFmts>
  <fonts count="24">
    <font>
      <sz val="11"/>
      <color theme="1"/>
      <name val="Calibri"/>
      <scheme val="minor"/>
    </font>
    <font>
      <sz val="10"/>
      <color theme="1"/>
      <name val="Arial"/>
    </font>
    <font>
      <b/>
      <sz val="10"/>
      <color theme="1"/>
      <name val="Arial"/>
    </font>
    <font>
      <b/>
      <sz val="11"/>
      <color theme="1"/>
      <name val="Arial"/>
    </font>
    <font>
      <sz val="11"/>
      <color theme="1"/>
      <name val="Arial"/>
    </font>
    <font>
      <b/>
      <sz val="14"/>
      <color theme="1"/>
      <name val="Arial Black"/>
    </font>
    <font>
      <sz val="11"/>
      <name val="Calibri"/>
    </font>
    <font>
      <b/>
      <sz val="12"/>
      <color theme="1"/>
      <name val="Arial Black"/>
    </font>
    <font>
      <b/>
      <sz val="10"/>
      <color rgb="FF00B0F0"/>
      <name val="Arial"/>
    </font>
    <font>
      <sz val="11"/>
      <color theme="1"/>
      <name val="Calibri"/>
    </font>
    <font>
      <sz val="10"/>
      <color rgb="FFFF0000"/>
      <name val="Arial"/>
    </font>
    <font>
      <sz val="11"/>
      <color rgb="FFFF0000"/>
      <name val="Calibri"/>
    </font>
    <font>
      <sz val="11"/>
      <color rgb="FFFF0000"/>
      <name val="Arial"/>
    </font>
    <font>
      <b/>
      <sz val="10"/>
      <color rgb="FFFF0000"/>
      <name val="Arial"/>
    </font>
    <font>
      <sz val="10"/>
      <color theme="1"/>
      <name val="Arial"/>
      <family val="2"/>
    </font>
    <font>
      <sz val="11"/>
      <name val="Arial"/>
      <family val="2"/>
    </font>
    <font>
      <sz val="10"/>
      <name val="Arial"/>
      <family val="2"/>
    </font>
    <font>
      <b/>
      <sz val="10"/>
      <color theme="1"/>
      <name val="Arial"/>
      <family val="2"/>
    </font>
    <font>
      <sz val="9"/>
      <color theme="1"/>
      <name val="Arial"/>
      <family val="2"/>
    </font>
    <font>
      <sz val="10"/>
      <color rgb="FFFF0000"/>
      <name val="Arial"/>
      <family val="2"/>
    </font>
    <font>
      <sz val="10"/>
      <color rgb="FF000000"/>
      <name val="Arial"/>
      <family val="2"/>
    </font>
    <font>
      <b/>
      <sz val="12"/>
      <color theme="1"/>
      <name val="Arial"/>
      <family val="2"/>
    </font>
    <font>
      <b/>
      <sz val="12"/>
      <color theme="1"/>
      <name val="Calibri"/>
      <family val="2"/>
      <scheme val="minor"/>
    </font>
    <font>
      <sz val="11"/>
      <name val="Calibri"/>
      <family val="2"/>
    </font>
  </fonts>
  <fills count="14">
    <fill>
      <patternFill patternType="none"/>
    </fill>
    <fill>
      <patternFill patternType="gray125"/>
    </fill>
    <fill>
      <patternFill patternType="solid">
        <fgColor theme="0"/>
        <bgColor theme="0"/>
      </patternFill>
    </fill>
    <fill>
      <patternFill patternType="solid">
        <fgColor rgb="FFF2F2F2"/>
        <bgColor rgb="FFF2F2F2"/>
      </patternFill>
    </fill>
    <fill>
      <patternFill patternType="solid">
        <fgColor rgb="FFA5A5A5"/>
        <bgColor rgb="FFA5A5A5"/>
      </patternFill>
    </fill>
    <fill>
      <patternFill patternType="solid">
        <fgColor rgb="FFDDD9C3"/>
        <bgColor rgb="FFDDD9C3"/>
      </patternFill>
    </fill>
    <fill>
      <patternFill patternType="solid">
        <fgColor rgb="FFF1F3F3"/>
        <bgColor rgb="FFF1F3F3"/>
      </patternFill>
    </fill>
    <fill>
      <patternFill patternType="solid">
        <fgColor rgb="FFEAF1DD"/>
        <bgColor rgb="FFEAF1DD"/>
      </patternFill>
    </fill>
    <fill>
      <patternFill patternType="solid">
        <fgColor rgb="FFD8D8D8"/>
        <bgColor rgb="FFD8D8D8"/>
      </patternFill>
    </fill>
    <fill>
      <patternFill patternType="solid">
        <fgColor rgb="FFBFBFBF"/>
        <bgColor rgb="FFBFBFBF"/>
      </patternFill>
    </fill>
    <fill>
      <patternFill patternType="solid">
        <fgColor rgb="FFC4BD97"/>
        <bgColor rgb="FFC4BD97"/>
      </patternFill>
    </fill>
    <fill>
      <patternFill patternType="solid">
        <fgColor rgb="FFEEECE1"/>
        <bgColor rgb="FFEEECE1"/>
      </patternFill>
    </fill>
    <fill>
      <patternFill patternType="solid">
        <fgColor rgb="FFC4BDBA"/>
        <bgColor rgb="FFC4BDBA"/>
      </patternFill>
    </fill>
    <fill>
      <patternFill patternType="solid">
        <fgColor rgb="FFFDE9D9"/>
        <bgColor rgb="FFFDE9D9"/>
      </patternFill>
    </fill>
  </fills>
  <borders count="73">
    <border>
      <left/>
      <right/>
      <top/>
      <bottom/>
      <diagonal/>
    </border>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top/>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style="thin">
        <color rgb="FF000000"/>
      </left>
      <right/>
      <top style="medium">
        <color rgb="FF000000"/>
      </top>
      <bottom/>
      <diagonal/>
    </border>
    <border>
      <left style="thin">
        <color rgb="FF000000"/>
      </left>
      <right/>
      <top/>
      <bottom/>
      <diagonal/>
    </border>
    <border>
      <left/>
      <right style="thin">
        <color rgb="FF000000"/>
      </right>
      <top/>
      <bottom/>
      <diagonal/>
    </border>
    <border>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s>
  <cellStyleXfs count="1">
    <xf numFmtId="0" fontId="0" fillId="0" borderId="0"/>
  </cellStyleXfs>
  <cellXfs count="314">
    <xf numFmtId="0" fontId="0" fillId="0" borderId="0" xfId="0"/>
    <xf numFmtId="0" fontId="3" fillId="0" borderId="0" xfId="0" applyFont="1" applyAlignment="1">
      <alignment vertical="center" wrapText="1"/>
    </xf>
    <xf numFmtId="0" fontId="3" fillId="8" borderId="40" xfId="0" applyFont="1" applyFill="1" applyBorder="1" applyAlignment="1">
      <alignment horizontal="center" vertical="center" wrapText="1"/>
    </xf>
    <xf numFmtId="0" fontId="3" fillId="8" borderId="41" xfId="0" applyFont="1" applyFill="1" applyBorder="1" applyAlignment="1">
      <alignment horizontal="center" vertical="center" wrapText="1"/>
    </xf>
    <xf numFmtId="0" fontId="3" fillId="8" borderId="42" xfId="0" applyFont="1" applyFill="1" applyBorder="1" applyAlignment="1">
      <alignment horizontal="center" vertical="center" wrapText="1"/>
    </xf>
    <xf numFmtId="0" fontId="3" fillId="9" borderId="41" xfId="0" applyFont="1" applyFill="1" applyBorder="1" applyAlignment="1">
      <alignment horizontal="center" vertical="center" wrapText="1"/>
    </xf>
    <xf numFmtId="0" fontId="3" fillId="11" borderId="41" xfId="0" applyFont="1" applyFill="1" applyBorder="1" applyAlignment="1">
      <alignment horizontal="center" vertical="center" wrapText="1"/>
    </xf>
    <xf numFmtId="164" fontId="3" fillId="11" borderId="41" xfId="0" applyNumberFormat="1" applyFont="1" applyFill="1" applyBorder="1" applyAlignment="1">
      <alignment horizontal="center" vertical="center" wrapText="1"/>
    </xf>
    <xf numFmtId="164" fontId="3" fillId="11" borderId="42" xfId="0" applyNumberFormat="1" applyFont="1" applyFill="1" applyBorder="1" applyAlignment="1">
      <alignment horizontal="center" vertical="center" wrapText="1"/>
    </xf>
    <xf numFmtId="0" fontId="3" fillId="11" borderId="40" xfId="0" applyFont="1" applyFill="1" applyBorder="1" applyAlignment="1">
      <alignment horizontal="center" vertical="center" wrapText="1"/>
    </xf>
    <xf numFmtId="164" fontId="3" fillId="11" borderId="40" xfId="0" applyNumberFormat="1" applyFont="1" applyFill="1" applyBorder="1" applyAlignment="1">
      <alignment horizontal="center" vertical="center" wrapText="1"/>
    </xf>
    <xf numFmtId="164" fontId="3" fillId="11" borderId="47" xfId="0" applyNumberFormat="1" applyFont="1" applyFill="1" applyBorder="1" applyAlignment="1">
      <alignment horizontal="center" vertical="center" wrapText="1"/>
    </xf>
    <xf numFmtId="0" fontId="3" fillId="6" borderId="41" xfId="0" applyFont="1" applyFill="1" applyBorder="1" applyAlignment="1">
      <alignment horizontal="center" vertical="center"/>
    </xf>
    <xf numFmtId="0" fontId="3" fillId="6" borderId="41" xfId="0" applyFont="1" applyFill="1" applyBorder="1" applyAlignment="1">
      <alignment horizontal="center" vertical="center" wrapText="1"/>
    </xf>
    <xf numFmtId="0" fontId="3" fillId="6" borderId="42" xfId="0" applyFont="1" applyFill="1" applyBorder="1" applyAlignment="1">
      <alignment horizontal="center" vertical="center"/>
    </xf>
    <xf numFmtId="0" fontId="3" fillId="7" borderId="40" xfId="0" applyFont="1" applyFill="1" applyBorder="1" applyAlignment="1">
      <alignment horizontal="center" vertical="center" wrapText="1"/>
    </xf>
    <xf numFmtId="0" fontId="3" fillId="7" borderId="41" xfId="0" applyFont="1" applyFill="1" applyBorder="1" applyAlignment="1">
      <alignment horizontal="center" vertical="center" wrapText="1"/>
    </xf>
    <xf numFmtId="0" fontId="3" fillId="7" borderId="41" xfId="0" applyFont="1" applyFill="1" applyBorder="1" applyAlignment="1">
      <alignment horizontal="center" vertical="center"/>
    </xf>
    <xf numFmtId="0" fontId="3" fillId="7" borderId="42" xfId="0" applyFont="1" applyFill="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164" fontId="2" fillId="0" borderId="49" xfId="0" applyNumberFormat="1" applyFont="1" applyBorder="1" applyAlignment="1">
      <alignment horizontal="center" vertical="center" wrapText="1"/>
    </xf>
    <xf numFmtId="164" fontId="2" fillId="2" borderId="49" xfId="0" applyNumberFormat="1" applyFont="1" applyFill="1" applyBorder="1" applyAlignment="1">
      <alignment horizontal="center" vertical="center" wrapText="1"/>
    </xf>
    <xf numFmtId="164" fontId="8" fillId="13" borderId="49" xfId="0" applyNumberFormat="1" applyFont="1" applyFill="1" applyBorder="1" applyAlignment="1">
      <alignment horizontal="center" vertical="center" wrapText="1"/>
    </xf>
    <xf numFmtId="0" fontId="2" fillId="0" borderId="49" xfId="0" applyFont="1" applyBorder="1" applyAlignment="1">
      <alignment horizontal="center" vertical="center"/>
    </xf>
    <xf numFmtId="164" fontId="2" fillId="0" borderId="49" xfId="0" applyNumberFormat="1" applyFont="1" applyBorder="1" applyAlignment="1">
      <alignment horizontal="center" vertical="center"/>
    </xf>
    <xf numFmtId="0" fontId="2" fillId="0" borderId="51" xfId="0" applyFont="1" applyBorder="1" applyAlignment="1">
      <alignment horizontal="center" vertical="center"/>
    </xf>
    <xf numFmtId="49" fontId="9" fillId="2" borderId="52" xfId="0" applyNumberFormat="1" applyFont="1" applyFill="1" applyBorder="1" applyAlignment="1">
      <alignment horizontal="center" vertical="center" wrapText="1"/>
    </xf>
    <xf numFmtId="14" fontId="9" fillId="2" borderId="52" xfId="0" applyNumberFormat="1" applyFont="1" applyFill="1" applyBorder="1" applyAlignment="1">
      <alignment horizontal="center" vertical="center" wrapText="1"/>
    </xf>
    <xf numFmtId="3" fontId="9" fillId="2" borderId="52" xfId="0" applyNumberFormat="1" applyFont="1" applyFill="1" applyBorder="1" applyAlignment="1">
      <alignment horizontal="center" vertical="center" wrapText="1"/>
    </xf>
    <xf numFmtId="10" fontId="9" fillId="2" borderId="52" xfId="0" applyNumberFormat="1" applyFont="1" applyFill="1" applyBorder="1" applyAlignment="1">
      <alignment horizontal="center" vertical="center" wrapText="1"/>
    </xf>
    <xf numFmtId="0" fontId="9" fillId="2" borderId="52" xfId="0" applyFont="1" applyFill="1" applyBorder="1" applyAlignment="1">
      <alignment horizontal="center" vertical="center" wrapText="1"/>
    </xf>
    <xf numFmtId="165" fontId="9" fillId="2" borderId="52" xfId="0" applyNumberFormat="1" applyFont="1" applyFill="1" applyBorder="1" applyAlignment="1">
      <alignment horizontal="center" vertical="center" wrapText="1"/>
    </xf>
    <xf numFmtId="4" fontId="9" fillId="2" borderId="52" xfId="0" applyNumberFormat="1" applyFont="1" applyFill="1" applyBorder="1" applyAlignment="1">
      <alignment horizontal="right" vertical="center" wrapText="1"/>
    </xf>
    <xf numFmtId="164" fontId="1" fillId="2" borderId="52" xfId="0" applyNumberFormat="1" applyFont="1" applyFill="1" applyBorder="1" applyAlignment="1">
      <alignment horizontal="center" vertical="center" wrapText="1"/>
    </xf>
    <xf numFmtId="0" fontId="1" fillId="2" borderId="52" xfId="0" applyFont="1" applyFill="1" applyBorder="1" applyAlignment="1">
      <alignment horizontal="center" vertical="center" wrapText="1"/>
    </xf>
    <xf numFmtId="4" fontId="1" fillId="2" borderId="52" xfId="0" applyNumberFormat="1" applyFont="1" applyFill="1" applyBorder="1" applyAlignment="1">
      <alignment horizontal="right" vertical="center" wrapText="1"/>
    </xf>
    <xf numFmtId="165" fontId="9" fillId="2" borderId="53" xfId="0" applyNumberFormat="1" applyFont="1" applyFill="1" applyBorder="1" applyAlignment="1">
      <alignment horizontal="right" vertical="center"/>
    </xf>
    <xf numFmtId="164" fontId="1" fillId="2" borderId="54" xfId="0" applyNumberFormat="1" applyFont="1" applyFill="1" applyBorder="1" applyAlignment="1">
      <alignment horizontal="center" vertical="center" wrapText="1"/>
    </xf>
    <xf numFmtId="0" fontId="1" fillId="2" borderId="52" xfId="0" applyFont="1" applyFill="1" applyBorder="1" applyAlignment="1">
      <alignment horizontal="center" vertical="center"/>
    </xf>
    <xf numFmtId="164" fontId="1" fillId="2" borderId="52" xfId="0" applyNumberFormat="1" applyFont="1" applyFill="1" applyBorder="1" applyAlignment="1">
      <alignment horizontal="center" vertical="center"/>
    </xf>
    <xf numFmtId="164" fontId="2" fillId="2" borderId="52" xfId="0" applyNumberFormat="1" applyFont="1" applyFill="1" applyBorder="1" applyAlignment="1">
      <alignment horizontal="center" vertical="center" wrapText="1"/>
    </xf>
    <xf numFmtId="0" fontId="4" fillId="2" borderId="53"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0" fillId="2" borderId="58" xfId="0" applyFont="1" applyFill="1" applyBorder="1" applyAlignment="1">
      <alignment horizontal="center" vertical="center" wrapText="1"/>
    </xf>
    <xf numFmtId="164" fontId="10" fillId="2" borderId="58" xfId="0" applyNumberFormat="1" applyFont="1" applyFill="1" applyBorder="1" applyAlignment="1">
      <alignment horizontal="center" vertical="center" wrapText="1"/>
    </xf>
    <xf numFmtId="0" fontId="1" fillId="2" borderId="54" xfId="0" applyFont="1" applyFill="1" applyBorder="1" applyAlignment="1">
      <alignment horizontal="center" vertical="center" wrapText="1"/>
    </xf>
    <xf numFmtId="14" fontId="1" fillId="2" borderId="52" xfId="0" applyNumberFormat="1" applyFont="1" applyFill="1" applyBorder="1" applyAlignment="1">
      <alignment horizontal="center" vertical="center" wrapText="1"/>
    </xf>
    <xf numFmtId="3" fontId="1" fillId="2" borderId="52" xfId="0" applyNumberFormat="1" applyFont="1" applyFill="1" applyBorder="1" applyAlignment="1">
      <alignment horizontal="center" vertical="center" wrapText="1"/>
    </xf>
    <xf numFmtId="10" fontId="1" fillId="2" borderId="52" xfId="0" applyNumberFormat="1" applyFont="1" applyFill="1" applyBorder="1" applyAlignment="1">
      <alignment horizontal="center" vertical="center" wrapText="1"/>
    </xf>
    <xf numFmtId="164" fontId="1" fillId="2" borderId="53" xfId="0" applyNumberFormat="1" applyFont="1" applyFill="1" applyBorder="1" applyAlignment="1">
      <alignment horizontal="center" vertical="center" wrapText="1"/>
    </xf>
    <xf numFmtId="0" fontId="4" fillId="2" borderId="58" xfId="0" applyFont="1" applyFill="1" applyBorder="1" applyAlignment="1">
      <alignment horizontal="center" vertical="center" wrapText="1"/>
    </xf>
    <xf numFmtId="0" fontId="1" fillId="2" borderId="58" xfId="0" applyFont="1" applyFill="1" applyBorder="1" applyAlignment="1">
      <alignment horizontal="center" vertical="center" wrapText="1"/>
    </xf>
    <xf numFmtId="0" fontId="4" fillId="2" borderId="54" xfId="0" applyFont="1" applyFill="1" applyBorder="1" applyAlignment="1">
      <alignment horizontal="center" vertical="center" wrapText="1"/>
    </xf>
    <xf numFmtId="49" fontId="1" fillId="2" borderId="54" xfId="0" applyNumberFormat="1" applyFont="1" applyFill="1" applyBorder="1" applyAlignment="1">
      <alignment horizontal="center" vertical="center" wrapText="1"/>
    </xf>
    <xf numFmtId="0" fontId="10" fillId="2" borderId="54" xfId="0" applyFont="1" applyFill="1" applyBorder="1" applyAlignment="1">
      <alignment horizontal="center" vertical="center" wrapText="1"/>
    </xf>
    <xf numFmtId="164" fontId="10" fillId="2" borderId="54" xfId="0" applyNumberFormat="1" applyFont="1" applyFill="1" applyBorder="1" applyAlignment="1">
      <alignment horizontal="center" vertical="center" wrapText="1"/>
    </xf>
    <xf numFmtId="164" fontId="1" fillId="2" borderId="58" xfId="0" applyNumberFormat="1" applyFont="1" applyFill="1" applyBorder="1" applyAlignment="1">
      <alignment horizontal="center" vertical="center" wrapText="1"/>
    </xf>
    <xf numFmtId="0" fontId="12" fillId="2" borderId="53" xfId="0" applyFont="1" applyFill="1" applyBorder="1" applyAlignment="1">
      <alignment horizontal="center" vertical="center" wrapText="1"/>
    </xf>
    <xf numFmtId="0" fontId="10" fillId="2" borderId="52" xfId="0" applyFont="1" applyFill="1" applyBorder="1" applyAlignment="1">
      <alignment horizontal="center" vertical="center" wrapText="1"/>
    </xf>
    <xf numFmtId="14" fontId="10" fillId="2" borderId="52" xfId="0" applyNumberFormat="1" applyFont="1" applyFill="1" applyBorder="1" applyAlignment="1">
      <alignment horizontal="center" vertical="center" wrapText="1"/>
    </xf>
    <xf numFmtId="3" fontId="10" fillId="2" borderId="52" xfId="0" applyNumberFormat="1" applyFont="1" applyFill="1" applyBorder="1" applyAlignment="1">
      <alignment horizontal="center" vertical="center" wrapText="1"/>
    </xf>
    <xf numFmtId="10" fontId="11" fillId="2" borderId="52" xfId="0" applyNumberFormat="1" applyFont="1" applyFill="1" applyBorder="1" applyAlignment="1">
      <alignment horizontal="center" vertical="center" wrapText="1"/>
    </xf>
    <xf numFmtId="0" fontId="11" fillId="2" borderId="52" xfId="0" applyFont="1" applyFill="1" applyBorder="1" applyAlignment="1">
      <alignment horizontal="center" vertical="center" wrapText="1"/>
    </xf>
    <xf numFmtId="165" fontId="11" fillId="2" borderId="52" xfId="0" applyNumberFormat="1" applyFont="1" applyFill="1" applyBorder="1" applyAlignment="1">
      <alignment horizontal="center" vertical="center" wrapText="1"/>
    </xf>
    <xf numFmtId="4" fontId="11" fillId="2" borderId="52" xfId="0" applyNumberFormat="1" applyFont="1" applyFill="1" applyBorder="1" applyAlignment="1">
      <alignment horizontal="right" vertical="center" wrapText="1"/>
    </xf>
    <xf numFmtId="164" fontId="10" fillId="2" borderId="52" xfId="0" applyNumberFormat="1" applyFont="1" applyFill="1" applyBorder="1" applyAlignment="1">
      <alignment horizontal="center" vertical="center" wrapText="1"/>
    </xf>
    <xf numFmtId="10" fontId="10" fillId="2" borderId="52" xfId="0" applyNumberFormat="1" applyFont="1" applyFill="1" applyBorder="1" applyAlignment="1">
      <alignment horizontal="center" vertical="center" wrapText="1"/>
    </xf>
    <xf numFmtId="0" fontId="10" fillId="2" borderId="52" xfId="0" applyFont="1" applyFill="1" applyBorder="1" applyAlignment="1">
      <alignment horizontal="center" vertical="center"/>
    </xf>
    <xf numFmtId="164" fontId="10" fillId="2" borderId="52" xfId="0" applyNumberFormat="1" applyFont="1" applyFill="1" applyBorder="1" applyAlignment="1">
      <alignment horizontal="center" vertical="center"/>
    </xf>
    <xf numFmtId="0" fontId="12" fillId="2" borderId="54" xfId="0" applyFont="1" applyFill="1" applyBorder="1" applyAlignment="1">
      <alignment horizontal="center" vertical="center" wrapText="1"/>
    </xf>
    <xf numFmtId="49" fontId="1" fillId="2" borderId="52" xfId="0" applyNumberFormat="1" applyFont="1" applyFill="1" applyBorder="1" applyAlignment="1">
      <alignment horizontal="center" vertical="center" wrapText="1"/>
    </xf>
    <xf numFmtId="164" fontId="13" fillId="2" borderId="52" xfId="0" applyNumberFormat="1" applyFont="1" applyFill="1" applyBorder="1" applyAlignment="1">
      <alignment horizontal="center" vertical="center" wrapText="1"/>
    </xf>
    <xf numFmtId="164" fontId="10" fillId="2" borderId="53" xfId="0" applyNumberFormat="1" applyFont="1" applyFill="1" applyBorder="1" applyAlignment="1">
      <alignment horizontal="center" vertical="center" wrapText="1"/>
    </xf>
    <xf numFmtId="13" fontId="1" fillId="2" borderId="58" xfId="0" applyNumberFormat="1" applyFont="1" applyFill="1" applyBorder="1" applyAlignment="1">
      <alignment horizontal="center" vertical="center" wrapText="1"/>
    </xf>
    <xf numFmtId="165" fontId="1" fillId="2" borderId="53" xfId="0" applyNumberFormat="1" applyFont="1" applyFill="1" applyBorder="1" applyAlignment="1">
      <alignment horizontal="right" vertical="center" wrapText="1"/>
    </xf>
    <xf numFmtId="3" fontId="1" fillId="2" borderId="53" xfId="0" applyNumberFormat="1" applyFont="1" applyFill="1" applyBorder="1" applyAlignment="1">
      <alignment horizontal="center" vertical="center" wrapText="1"/>
    </xf>
    <xf numFmtId="165" fontId="1" fillId="2" borderId="52" xfId="0" applyNumberFormat="1" applyFont="1" applyFill="1" applyBorder="1" applyAlignment="1">
      <alignment horizontal="center" vertical="center" wrapText="1"/>
    </xf>
    <xf numFmtId="166" fontId="1" fillId="2" borderId="53" xfId="0" applyNumberFormat="1" applyFont="1" applyFill="1" applyBorder="1" applyAlignment="1">
      <alignment horizontal="center" vertical="center" wrapText="1"/>
    </xf>
    <xf numFmtId="165" fontId="1" fillId="2" borderId="53" xfId="0" applyNumberFormat="1" applyFont="1" applyFill="1" applyBorder="1" applyAlignment="1">
      <alignment horizontal="center" vertical="center" wrapText="1"/>
    </xf>
    <xf numFmtId="0" fontId="10" fillId="2" borderId="53" xfId="0" applyFont="1" applyFill="1" applyBorder="1" applyAlignment="1">
      <alignment horizontal="center" vertical="center" wrapText="1"/>
    </xf>
    <xf numFmtId="3" fontId="10" fillId="2" borderId="53" xfId="0" applyNumberFormat="1" applyFont="1" applyFill="1" applyBorder="1" applyAlignment="1">
      <alignment horizontal="center" vertical="center" wrapText="1"/>
    </xf>
    <xf numFmtId="165" fontId="10" fillId="2" borderId="52" xfId="0" applyNumberFormat="1" applyFont="1" applyFill="1" applyBorder="1" applyAlignment="1">
      <alignment horizontal="center" vertical="center" wrapText="1"/>
    </xf>
    <xf numFmtId="166" fontId="10" fillId="2" borderId="53" xfId="0" applyNumberFormat="1" applyFont="1" applyFill="1" applyBorder="1" applyAlignment="1">
      <alignment horizontal="center" vertical="center" wrapText="1"/>
    </xf>
    <xf numFmtId="165" fontId="10" fillId="2" borderId="53" xfId="0" applyNumberFormat="1" applyFont="1" applyFill="1" applyBorder="1" applyAlignment="1">
      <alignment horizontal="center" vertical="center" wrapText="1"/>
    </xf>
    <xf numFmtId="10" fontId="1" fillId="2" borderId="53" xfId="0" applyNumberFormat="1" applyFont="1" applyFill="1" applyBorder="1" applyAlignment="1">
      <alignment horizontal="center" vertical="center" wrapText="1"/>
    </xf>
    <xf numFmtId="164" fontId="2" fillId="2" borderId="54" xfId="0" applyNumberFormat="1" applyFont="1" applyFill="1" applyBorder="1" applyAlignment="1">
      <alignment horizontal="center" vertical="center" wrapText="1"/>
    </xf>
    <xf numFmtId="3" fontId="1" fillId="2" borderId="58" xfId="0" applyNumberFormat="1" applyFont="1" applyFill="1" applyBorder="1" applyAlignment="1">
      <alignment horizontal="center" vertical="center" wrapText="1"/>
    </xf>
    <xf numFmtId="0" fontId="1" fillId="2" borderId="58" xfId="0" applyFont="1" applyFill="1" applyBorder="1" applyAlignment="1">
      <alignment horizontal="center" vertical="center"/>
    </xf>
    <xf numFmtId="0" fontId="10" fillId="2" borderId="58" xfId="0" applyFont="1" applyFill="1" applyBorder="1" applyAlignment="1">
      <alignment horizontal="center" vertical="center"/>
    </xf>
    <xf numFmtId="49" fontId="1" fillId="2" borderId="53" xfId="0" applyNumberFormat="1" applyFont="1" applyFill="1" applyBorder="1" applyAlignment="1">
      <alignment vertical="center" wrapText="1"/>
    </xf>
    <xf numFmtId="49" fontId="1" fillId="2" borderId="54" xfId="0" applyNumberFormat="1" applyFont="1" applyFill="1" applyBorder="1" applyAlignment="1">
      <alignment vertical="center" wrapText="1"/>
    </xf>
    <xf numFmtId="3" fontId="10" fillId="2" borderId="58" xfId="0" applyNumberFormat="1" applyFont="1" applyFill="1" applyBorder="1" applyAlignment="1">
      <alignment horizontal="center" vertical="center" wrapText="1"/>
    </xf>
    <xf numFmtId="165" fontId="1" fillId="2" borderId="58" xfId="0" applyNumberFormat="1" applyFont="1" applyFill="1" applyBorder="1" applyAlignment="1">
      <alignment horizontal="right" vertical="center" wrapText="1"/>
    </xf>
    <xf numFmtId="165" fontId="1" fillId="2" borderId="52" xfId="0" applyNumberFormat="1" applyFont="1" applyFill="1" applyBorder="1" applyAlignment="1">
      <alignment horizontal="right" vertical="center" wrapText="1"/>
    </xf>
    <xf numFmtId="165" fontId="2" fillId="2" borderId="52" xfId="0" applyNumberFormat="1" applyFont="1" applyFill="1" applyBorder="1" applyAlignment="1">
      <alignment horizontal="right" vertical="center" wrapText="1"/>
    </xf>
    <xf numFmtId="165" fontId="2" fillId="2" borderId="52" xfId="0" applyNumberFormat="1" applyFont="1" applyFill="1" applyBorder="1" applyAlignment="1">
      <alignment horizontal="center" vertical="center" wrapText="1"/>
    </xf>
    <xf numFmtId="49" fontId="1" fillId="2" borderId="53" xfId="0" applyNumberFormat="1" applyFont="1" applyFill="1" applyBorder="1" applyAlignment="1">
      <alignment horizontal="center" vertical="center" wrapText="1"/>
    </xf>
    <xf numFmtId="49" fontId="1" fillId="2" borderId="58" xfId="0" applyNumberFormat="1" applyFont="1" applyFill="1" applyBorder="1" applyAlignment="1">
      <alignment vertical="center" wrapText="1"/>
    </xf>
    <xf numFmtId="9" fontId="1" fillId="2" borderId="52" xfId="0" applyNumberFormat="1" applyFont="1" applyFill="1" applyBorder="1" applyAlignment="1">
      <alignment horizontal="center" vertical="center" wrapText="1"/>
    </xf>
    <xf numFmtId="0" fontId="1" fillId="2" borderId="52" xfId="0" applyFont="1" applyFill="1" applyBorder="1" applyAlignment="1">
      <alignment vertical="center" wrapText="1"/>
    </xf>
    <xf numFmtId="14" fontId="1" fillId="2" borderId="52" xfId="0" applyNumberFormat="1" applyFont="1" applyFill="1" applyBorder="1" applyAlignment="1">
      <alignment vertical="center" wrapText="1"/>
    </xf>
    <xf numFmtId="3" fontId="1" fillId="2" borderId="52" xfId="0" applyNumberFormat="1" applyFont="1" applyFill="1" applyBorder="1" applyAlignment="1">
      <alignment vertical="center" wrapText="1"/>
    </xf>
    <xf numFmtId="164" fontId="1" fillId="2" borderId="52" xfId="0" applyNumberFormat="1" applyFont="1" applyFill="1" applyBorder="1" applyAlignment="1">
      <alignment vertical="center" wrapText="1"/>
    </xf>
    <xf numFmtId="3" fontId="1" fillId="2" borderId="54" xfId="0" applyNumberFormat="1" applyFont="1" applyFill="1" applyBorder="1" applyAlignment="1">
      <alignment horizontal="center" vertical="center" wrapText="1"/>
    </xf>
    <xf numFmtId="0" fontId="1" fillId="2" borderId="54" xfId="0" applyFont="1" applyFill="1" applyBorder="1" applyAlignment="1">
      <alignment horizontal="center" vertical="center"/>
    </xf>
    <xf numFmtId="0" fontId="9" fillId="2" borderId="52" xfId="0" applyFont="1" applyFill="1" applyBorder="1"/>
    <xf numFmtId="0" fontId="1" fillId="2" borderId="53" xfId="0" applyFont="1" applyFill="1" applyBorder="1" applyAlignment="1">
      <alignment horizontal="center" vertical="center"/>
    </xf>
    <xf numFmtId="0" fontId="9" fillId="2" borderId="53" xfId="0" applyFont="1" applyFill="1" applyBorder="1" applyAlignment="1">
      <alignment horizontal="center" vertical="center" wrapText="1"/>
    </xf>
    <xf numFmtId="3" fontId="9" fillId="2" borderId="58" xfId="0" applyNumberFormat="1" applyFont="1" applyFill="1" applyBorder="1" applyAlignment="1">
      <alignment horizontal="center" vertical="center" wrapText="1"/>
    </xf>
    <xf numFmtId="14" fontId="1" fillId="2" borderId="53" xfId="0" applyNumberFormat="1" applyFont="1" applyFill="1" applyBorder="1" applyAlignment="1">
      <alignment horizontal="center" vertical="center" wrapText="1"/>
    </xf>
    <xf numFmtId="165" fontId="9" fillId="2" borderId="53" xfId="0" applyNumberFormat="1" applyFont="1" applyFill="1" applyBorder="1" applyAlignment="1">
      <alignment horizontal="center" vertical="center" wrapText="1"/>
    </xf>
    <xf numFmtId="0" fontId="9" fillId="2" borderId="53" xfId="0" applyFont="1" applyFill="1" applyBorder="1"/>
    <xf numFmtId="164" fontId="9" fillId="2" borderId="53" xfId="0" applyNumberFormat="1" applyFont="1" applyFill="1" applyBorder="1"/>
    <xf numFmtId="3" fontId="11" fillId="2" borderId="53" xfId="0" applyNumberFormat="1" applyFont="1" applyFill="1" applyBorder="1" applyAlignment="1">
      <alignment horizontal="center" vertical="center" wrapText="1"/>
    </xf>
    <xf numFmtId="14" fontId="1" fillId="2" borderId="54" xfId="0" applyNumberFormat="1" applyFont="1" applyFill="1" applyBorder="1" applyAlignment="1">
      <alignment horizontal="center" vertical="center" wrapText="1"/>
    </xf>
    <xf numFmtId="165" fontId="1" fillId="2" borderId="52" xfId="0" applyNumberFormat="1" applyFont="1" applyFill="1" applyBorder="1" applyAlignment="1">
      <alignment vertical="center" wrapText="1"/>
    </xf>
    <xf numFmtId="165" fontId="1" fillId="2" borderId="53" xfId="0" applyNumberFormat="1" applyFont="1" applyFill="1" applyBorder="1" applyAlignment="1">
      <alignment vertical="center" wrapText="1"/>
    </xf>
    <xf numFmtId="10" fontId="9" fillId="2" borderId="52" xfId="0" applyNumberFormat="1" applyFont="1" applyFill="1" applyBorder="1" applyAlignment="1">
      <alignment horizontal="right" vertical="center" wrapText="1"/>
    </xf>
    <xf numFmtId="3" fontId="1" fillId="2" borderId="54" xfId="0" applyNumberFormat="1" applyFont="1" applyFill="1" applyBorder="1" applyAlignment="1">
      <alignment horizontal="center" vertical="center"/>
    </xf>
    <xf numFmtId="49" fontId="1" fillId="2" borderId="52" xfId="0" applyNumberFormat="1" applyFont="1" applyFill="1" applyBorder="1" applyAlignment="1">
      <alignment vertical="center" wrapText="1"/>
    </xf>
    <xf numFmtId="14" fontId="1" fillId="2" borderId="52" xfId="0" applyNumberFormat="1" applyFont="1" applyFill="1" applyBorder="1" applyAlignment="1">
      <alignment vertical="center"/>
    </xf>
    <xf numFmtId="0" fontId="1" fillId="2" borderId="52" xfId="0" applyFont="1" applyFill="1" applyBorder="1" applyAlignment="1">
      <alignment vertical="center"/>
    </xf>
    <xf numFmtId="4" fontId="1" fillId="2" borderId="52" xfId="0" applyNumberFormat="1" applyFont="1" applyFill="1" applyBorder="1" applyAlignment="1">
      <alignment horizontal="center" vertical="center"/>
    </xf>
    <xf numFmtId="4" fontId="1" fillId="2" borderId="53" xfId="0" applyNumberFormat="1" applyFont="1" applyFill="1" applyBorder="1" applyAlignment="1">
      <alignment horizontal="center" vertical="center"/>
    </xf>
    <xf numFmtId="14" fontId="1" fillId="2" borderId="52" xfId="0" applyNumberFormat="1" applyFont="1" applyFill="1" applyBorder="1" applyAlignment="1">
      <alignment horizontal="center" vertical="center"/>
    </xf>
    <xf numFmtId="49" fontId="1" fillId="2" borderId="54" xfId="0" applyNumberFormat="1" applyFont="1" applyFill="1" applyBorder="1" applyAlignment="1">
      <alignment horizontal="center" vertical="center"/>
    </xf>
    <xf numFmtId="14" fontId="1" fillId="2" borderId="58" xfId="0" applyNumberFormat="1" applyFont="1" applyFill="1" applyBorder="1" applyAlignment="1">
      <alignment horizontal="center" vertical="center"/>
    </xf>
    <xf numFmtId="10" fontId="1" fillId="2" borderId="58" xfId="0" applyNumberFormat="1" applyFont="1" applyFill="1" applyBorder="1" applyAlignment="1">
      <alignment horizontal="center" vertical="center"/>
    </xf>
    <xf numFmtId="17" fontId="1" fillId="2" borderId="54" xfId="0" applyNumberFormat="1" applyFont="1" applyFill="1" applyBorder="1" applyAlignment="1">
      <alignment horizontal="center" vertical="center"/>
    </xf>
    <xf numFmtId="17" fontId="1" fillId="2" borderId="54" xfId="0" applyNumberFormat="1" applyFont="1" applyFill="1" applyBorder="1" applyAlignment="1">
      <alignment horizontal="center" vertical="center" wrapText="1"/>
    </xf>
    <xf numFmtId="14" fontId="1" fillId="2" borderId="54" xfId="0" applyNumberFormat="1" applyFont="1" applyFill="1" applyBorder="1" applyAlignment="1">
      <alignment horizontal="center" vertical="center"/>
    </xf>
    <xf numFmtId="165" fontId="1" fillId="2" borderId="54" xfId="0" applyNumberFormat="1" applyFont="1" applyFill="1" applyBorder="1" applyAlignment="1">
      <alignment horizontal="center" vertical="center"/>
    </xf>
    <xf numFmtId="14" fontId="1" fillId="2" borderId="53" xfId="0" applyNumberFormat="1" applyFont="1" applyFill="1" applyBorder="1" applyAlignment="1">
      <alignment horizontal="center" vertical="center"/>
    </xf>
    <xf numFmtId="165" fontId="2" fillId="2" borderId="53" xfId="0" applyNumberFormat="1" applyFont="1" applyFill="1" applyBorder="1" applyAlignment="1">
      <alignment horizontal="center" vertical="center" wrapText="1"/>
    </xf>
    <xf numFmtId="4" fontId="1" fillId="2" borderId="53" xfId="0" applyNumberFormat="1" applyFont="1" applyFill="1" applyBorder="1" applyAlignment="1">
      <alignment horizontal="right" vertical="center" wrapText="1"/>
    </xf>
    <xf numFmtId="49" fontId="1" fillId="2" borderId="58" xfId="0" applyNumberFormat="1" applyFont="1" applyFill="1" applyBorder="1" applyAlignment="1">
      <alignment horizontal="center" vertical="center" wrapText="1"/>
    </xf>
    <xf numFmtId="0" fontId="9" fillId="2" borderId="52" xfId="0" applyFont="1" applyFill="1" applyBorder="1" applyAlignment="1">
      <alignment horizontal="center" vertical="center"/>
    </xf>
    <xf numFmtId="4" fontId="1" fillId="2" borderId="52" xfId="0" applyNumberFormat="1" applyFont="1" applyFill="1" applyBorder="1" applyAlignment="1">
      <alignment vertical="center" wrapText="1"/>
    </xf>
    <xf numFmtId="168" fontId="1" fillId="2" borderId="52" xfId="0" applyNumberFormat="1" applyFont="1" applyFill="1" applyBorder="1" applyAlignment="1">
      <alignment horizontal="right" vertical="center" wrapText="1"/>
    </xf>
    <xf numFmtId="168" fontId="2" fillId="2" borderId="52" xfId="0" applyNumberFormat="1" applyFont="1" applyFill="1" applyBorder="1" applyAlignment="1">
      <alignment horizontal="right" vertical="center" wrapText="1"/>
    </xf>
    <xf numFmtId="0" fontId="1" fillId="2" borderId="54" xfId="0" applyFont="1" applyFill="1" applyBorder="1" applyAlignment="1">
      <alignment vertical="center" wrapText="1"/>
    </xf>
    <xf numFmtId="14" fontId="1" fillId="2" borderId="53" xfId="0" applyNumberFormat="1" applyFont="1" applyFill="1" applyBorder="1" applyAlignment="1">
      <alignment vertical="center" wrapText="1"/>
    </xf>
    <xf numFmtId="3" fontId="1" fillId="2" borderId="53" xfId="0" applyNumberFormat="1" applyFont="1" applyFill="1" applyBorder="1" applyAlignment="1">
      <alignment vertical="center" wrapText="1"/>
    </xf>
    <xf numFmtId="165" fontId="1" fillId="2" borderId="58" xfId="0" applyNumberFormat="1" applyFont="1" applyFill="1" applyBorder="1" applyAlignment="1">
      <alignment horizontal="center" vertical="center" wrapText="1"/>
    </xf>
    <xf numFmtId="165" fontId="1" fillId="2" borderId="54" xfId="0" applyNumberFormat="1" applyFont="1" applyFill="1" applyBorder="1" applyAlignment="1">
      <alignment horizontal="center" vertical="center" wrapText="1"/>
    </xf>
    <xf numFmtId="17" fontId="1" fillId="2" borderId="52" xfId="0" applyNumberFormat="1" applyFont="1" applyFill="1" applyBorder="1" applyAlignment="1">
      <alignment horizontal="center" vertical="center" wrapText="1"/>
    </xf>
    <xf numFmtId="14" fontId="1" fillId="2" borderId="69" xfId="0" applyNumberFormat="1" applyFont="1" applyFill="1" applyBorder="1" applyAlignment="1">
      <alignment horizontal="center" vertical="center" wrapText="1"/>
    </xf>
    <xf numFmtId="14" fontId="1" fillId="2" borderId="58" xfId="0" applyNumberFormat="1" applyFont="1" applyFill="1" applyBorder="1" applyAlignment="1">
      <alignment horizontal="center" vertical="center" wrapText="1"/>
    </xf>
    <xf numFmtId="164" fontId="2" fillId="2" borderId="49" xfId="0" applyNumberFormat="1" applyFont="1" applyFill="1" applyBorder="1" applyAlignment="1">
      <alignment vertical="center" wrapText="1"/>
    </xf>
    <xf numFmtId="0" fontId="2" fillId="2" borderId="71" xfId="0" applyFont="1" applyFill="1" applyBorder="1" applyAlignment="1">
      <alignment vertical="center" wrapText="1"/>
    </xf>
    <xf numFmtId="0" fontId="2" fillId="2" borderId="72" xfId="0" applyFont="1" applyFill="1" applyBorder="1" applyAlignment="1">
      <alignment horizontal="center" vertical="center" wrapText="1"/>
    </xf>
    <xf numFmtId="0" fontId="2" fillId="2" borderId="49" xfId="0" applyFont="1" applyFill="1" applyBorder="1" applyAlignment="1">
      <alignment horizontal="center" vertical="center"/>
    </xf>
    <xf numFmtId="0" fontId="1" fillId="2" borderId="23" xfId="0" applyFont="1" applyFill="1" applyBorder="1" applyAlignment="1">
      <alignment horizontal="center" vertical="center" wrapText="1"/>
    </xf>
    <xf numFmtId="0" fontId="6" fillId="0" borderId="36" xfId="0" applyFont="1" applyBorder="1"/>
    <xf numFmtId="0" fontId="6" fillId="0" borderId="63" xfId="0" applyFont="1" applyBorder="1"/>
    <xf numFmtId="3" fontId="1" fillId="2" borderId="23"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0" borderId="4" xfId="0" applyFont="1" applyBorder="1"/>
    <xf numFmtId="0" fontId="6" fillId="0" borderId="70" xfId="0" applyFont="1" applyBorder="1"/>
    <xf numFmtId="14" fontId="1" fillId="2" borderId="23" xfId="0" applyNumberFormat="1" applyFont="1" applyFill="1" applyBorder="1" applyAlignment="1">
      <alignment horizontal="center" vertical="center" wrapText="1"/>
    </xf>
    <xf numFmtId="0" fontId="6" fillId="0" borderId="55" xfId="0" applyFont="1" applyBorder="1"/>
    <xf numFmtId="49" fontId="1" fillId="2" borderId="23" xfId="0" applyNumberFormat="1" applyFont="1" applyFill="1" applyBorder="1" applyAlignment="1">
      <alignment horizontal="center" vertical="center" wrapText="1"/>
    </xf>
    <xf numFmtId="4" fontId="9" fillId="2" borderId="23" xfId="0" applyNumberFormat="1" applyFont="1" applyFill="1" applyBorder="1" applyAlignment="1">
      <alignment horizontal="center" vertical="center" wrapText="1"/>
    </xf>
    <xf numFmtId="0" fontId="9" fillId="2" borderId="23" xfId="0" applyFont="1" applyFill="1" applyBorder="1" applyAlignment="1">
      <alignment horizontal="center" vertical="center" wrapText="1"/>
    </xf>
    <xf numFmtId="14" fontId="1" fillId="2" borderId="57" xfId="0" applyNumberFormat="1" applyFont="1" applyFill="1" applyBorder="1" applyAlignment="1">
      <alignment horizontal="center" vertical="center" wrapText="1"/>
    </xf>
    <xf numFmtId="0" fontId="6" fillId="0" borderId="60" xfId="0" applyFont="1" applyBorder="1"/>
    <xf numFmtId="0" fontId="6" fillId="0" borderId="62" xfId="0" applyFont="1" applyBorder="1"/>
    <xf numFmtId="3" fontId="9" fillId="2" borderId="23" xfId="0" applyNumberFormat="1" applyFont="1" applyFill="1" applyBorder="1" applyAlignment="1">
      <alignment horizontal="center" vertical="center" wrapText="1"/>
    </xf>
    <xf numFmtId="0" fontId="1" fillId="2" borderId="23" xfId="0" applyFont="1" applyFill="1" applyBorder="1" applyAlignment="1">
      <alignment horizontal="center" vertical="center"/>
    </xf>
    <xf numFmtId="0" fontId="9" fillId="2" borderId="23" xfId="0" applyFont="1" applyFill="1" applyBorder="1" applyAlignment="1">
      <alignment horizontal="center" vertical="center"/>
    </xf>
    <xf numFmtId="165" fontId="1" fillId="2" borderId="23" xfId="0" applyNumberFormat="1" applyFont="1" applyFill="1" applyBorder="1" applyAlignment="1">
      <alignment horizontal="center" vertical="center" wrapText="1"/>
    </xf>
    <xf numFmtId="17" fontId="1" fillId="2" borderId="23" xfId="0" applyNumberFormat="1" applyFont="1" applyFill="1" applyBorder="1" applyAlignment="1">
      <alignment horizontal="center" vertical="center" wrapText="1"/>
    </xf>
    <xf numFmtId="165" fontId="1" fillId="2" borderId="23" xfId="0" applyNumberFormat="1" applyFont="1" applyFill="1" applyBorder="1" applyAlignment="1">
      <alignment horizontal="center" vertical="center"/>
    </xf>
    <xf numFmtId="3" fontId="1" fillId="2" borderId="23" xfId="0" applyNumberFormat="1" applyFont="1" applyFill="1" applyBorder="1" applyAlignment="1">
      <alignment horizontal="center" vertical="center"/>
    </xf>
    <xf numFmtId="14" fontId="1" fillId="2" borderId="23" xfId="0" applyNumberFormat="1" applyFont="1" applyFill="1" applyBorder="1" applyAlignment="1">
      <alignment horizontal="center" vertical="center"/>
    </xf>
    <xf numFmtId="49" fontId="1" fillId="2" borderId="23" xfId="0" applyNumberFormat="1" applyFont="1" applyFill="1" applyBorder="1" applyAlignment="1">
      <alignment horizontal="center" vertical="center"/>
    </xf>
    <xf numFmtId="164" fontId="1" fillId="2" borderId="23" xfId="0" applyNumberFormat="1" applyFont="1" applyFill="1" applyBorder="1" applyAlignment="1">
      <alignment horizontal="center" vertical="center" wrapText="1"/>
    </xf>
    <xf numFmtId="10" fontId="1" fillId="2" borderId="23" xfId="0" applyNumberFormat="1" applyFont="1" applyFill="1" applyBorder="1" applyAlignment="1">
      <alignment horizontal="center" vertical="center"/>
    </xf>
    <xf numFmtId="3" fontId="1" fillId="2" borderId="67" xfId="0" applyNumberFormat="1" applyFont="1" applyFill="1" applyBorder="1" applyAlignment="1">
      <alignment horizontal="center" vertical="center" wrapText="1"/>
    </xf>
    <xf numFmtId="0" fontId="6" fillId="0" borderId="59" xfId="0" applyFont="1" applyBorder="1"/>
    <xf numFmtId="0" fontId="6" fillId="0" borderId="68" xfId="0" applyFont="1" applyBorder="1"/>
    <xf numFmtId="17" fontId="9" fillId="2" borderId="23" xfId="0" applyNumberFormat="1" applyFont="1" applyFill="1" applyBorder="1" applyAlignment="1">
      <alignment horizontal="center" vertical="center" wrapText="1"/>
    </xf>
    <xf numFmtId="0" fontId="1" fillId="2" borderId="50" xfId="0" applyFont="1" applyFill="1" applyBorder="1" applyAlignment="1">
      <alignment horizontal="center" vertical="center" wrapText="1"/>
    </xf>
    <xf numFmtId="3" fontId="1" fillId="2" borderId="50" xfId="0" applyNumberFormat="1" applyFont="1" applyFill="1" applyBorder="1" applyAlignment="1">
      <alignment horizontal="center" vertical="center" wrapText="1"/>
    </xf>
    <xf numFmtId="0" fontId="6" fillId="0" borderId="45" xfId="0" applyFont="1" applyBorder="1"/>
    <xf numFmtId="0" fontId="1" fillId="2" borderId="65" xfId="0" applyFont="1" applyFill="1" applyBorder="1" applyAlignment="1">
      <alignment horizontal="center" vertical="center" wrapText="1"/>
    </xf>
    <xf numFmtId="0" fontId="6" fillId="0" borderId="66" xfId="0" applyFont="1" applyBorder="1"/>
    <xf numFmtId="0" fontId="6" fillId="0" borderId="44" xfId="0" applyFont="1" applyBorder="1"/>
    <xf numFmtId="0" fontId="1" fillId="2" borderId="56" xfId="0" applyFont="1" applyFill="1" applyBorder="1" applyAlignment="1">
      <alignment horizontal="center" vertical="center" wrapText="1"/>
    </xf>
    <xf numFmtId="0" fontId="6" fillId="0" borderId="61" xfId="0" applyFont="1" applyBorder="1"/>
    <xf numFmtId="0" fontId="1" fillId="2" borderId="64" xfId="0" applyFont="1" applyFill="1" applyBorder="1" applyAlignment="1">
      <alignment horizontal="center" vertical="center" wrapText="1"/>
    </xf>
    <xf numFmtId="3" fontId="1" fillId="2" borderId="64" xfId="0" applyNumberFormat="1" applyFont="1" applyFill="1" applyBorder="1" applyAlignment="1">
      <alignment horizontal="center" vertical="center" wrapText="1"/>
    </xf>
    <xf numFmtId="165" fontId="9" fillId="2" borderId="23" xfId="0" applyNumberFormat="1" applyFont="1" applyFill="1" applyBorder="1" applyAlignment="1">
      <alignment horizontal="center" vertical="center" wrapText="1"/>
    </xf>
    <xf numFmtId="17" fontId="9" fillId="2" borderId="23" xfId="0" applyNumberFormat="1" applyFont="1" applyFill="1" applyBorder="1" applyAlignment="1">
      <alignment horizontal="center" vertical="center"/>
    </xf>
    <xf numFmtId="0" fontId="4" fillId="2" borderId="23" xfId="0" applyFont="1" applyFill="1" applyBorder="1" applyAlignment="1">
      <alignment horizontal="center" vertical="center" wrapText="1"/>
    </xf>
    <xf numFmtId="14" fontId="9" fillId="2" borderId="23" xfId="0" applyNumberFormat="1" applyFont="1" applyFill="1" applyBorder="1" applyAlignment="1">
      <alignment horizontal="center" vertical="center"/>
    </xf>
    <xf numFmtId="49" fontId="9" fillId="2" borderId="23" xfId="0" applyNumberFormat="1" applyFont="1" applyFill="1" applyBorder="1" applyAlignment="1">
      <alignment horizontal="center" vertical="center" wrapText="1"/>
    </xf>
    <xf numFmtId="49" fontId="10" fillId="2" borderId="64" xfId="0" applyNumberFormat="1" applyFont="1" applyFill="1" applyBorder="1" applyAlignment="1">
      <alignment horizontal="center" vertical="center" wrapText="1"/>
    </xf>
    <xf numFmtId="3" fontId="11" fillId="2" borderId="23" xfId="0" applyNumberFormat="1" applyFont="1" applyFill="1" applyBorder="1" applyAlignment="1">
      <alignment horizontal="center" vertical="center" wrapText="1"/>
    </xf>
    <xf numFmtId="0" fontId="10" fillId="2" borderId="23" xfId="0" applyFont="1" applyFill="1" applyBorder="1" applyAlignment="1">
      <alignment horizontal="center" vertical="center" wrapText="1"/>
    </xf>
    <xf numFmtId="164" fontId="10" fillId="2" borderId="23" xfId="0" applyNumberFormat="1" applyFont="1" applyFill="1" applyBorder="1" applyAlignment="1">
      <alignment horizontal="center" vertical="center" wrapText="1"/>
    </xf>
    <xf numFmtId="0" fontId="12" fillId="2" borderId="23" xfId="0" applyFont="1" applyFill="1" applyBorder="1" applyAlignment="1">
      <alignment horizontal="center" vertical="center" wrapText="1"/>
    </xf>
    <xf numFmtId="14" fontId="1" fillId="2" borderId="56" xfId="0" applyNumberFormat="1" applyFont="1" applyFill="1" applyBorder="1" applyAlignment="1">
      <alignment horizontal="center" vertical="center" wrapText="1"/>
    </xf>
    <xf numFmtId="0" fontId="1" fillId="2" borderId="57" xfId="0" applyFont="1" applyFill="1" applyBorder="1" applyAlignment="1">
      <alignment horizontal="center" vertical="center" wrapText="1"/>
    </xf>
    <xf numFmtId="0" fontId="3" fillId="11" borderId="28" xfId="0" applyFont="1" applyFill="1" applyBorder="1" applyAlignment="1">
      <alignment horizontal="center" vertical="center" wrapText="1"/>
    </xf>
    <xf numFmtId="0" fontId="6" fillId="0" borderId="31" xfId="0" applyFont="1" applyBorder="1"/>
    <xf numFmtId="0" fontId="6" fillId="0" borderId="29" xfId="0" applyFont="1" applyBorder="1"/>
    <xf numFmtId="0" fontId="6" fillId="0" borderId="32" xfId="0" applyFont="1" applyBorder="1"/>
    <xf numFmtId="0" fontId="3" fillId="11" borderId="33" xfId="0" applyFont="1" applyFill="1" applyBorder="1" applyAlignment="1">
      <alignment horizontal="center" vertical="center" wrapText="1"/>
    </xf>
    <xf numFmtId="164" fontId="3" fillId="11" borderId="33" xfId="0" applyNumberFormat="1" applyFont="1" applyFill="1" applyBorder="1" applyAlignment="1">
      <alignment horizontal="center" vertical="center" wrapText="1"/>
    </xf>
    <xf numFmtId="164" fontId="3" fillId="10" borderId="23" xfId="0" applyNumberFormat="1" applyFont="1" applyFill="1" applyBorder="1" applyAlignment="1">
      <alignment horizontal="center" vertical="center" wrapText="1"/>
    </xf>
    <xf numFmtId="0" fontId="3" fillId="10" borderId="30" xfId="0" applyFont="1" applyFill="1" applyBorder="1" applyAlignment="1">
      <alignment horizontal="center" vertical="center" wrapText="1"/>
    </xf>
    <xf numFmtId="0" fontId="3" fillId="11" borderId="22" xfId="0" applyFont="1" applyFill="1" applyBorder="1" applyAlignment="1">
      <alignment horizontal="center" vertical="center" wrapText="1"/>
    </xf>
    <xf numFmtId="0" fontId="6" fillId="0" borderId="43" xfId="0" applyFont="1" applyBorder="1"/>
    <xf numFmtId="0" fontId="3" fillId="11" borderId="23" xfId="0" applyFont="1" applyFill="1" applyBorder="1" applyAlignment="1">
      <alignment horizontal="center" vertical="center" wrapText="1"/>
    </xf>
    <xf numFmtId="0" fontId="3" fillId="10" borderId="23" xfId="0" applyFont="1" applyFill="1" applyBorder="1" applyAlignment="1">
      <alignment horizontal="center" vertical="center" wrapText="1"/>
    </xf>
    <xf numFmtId="0" fontId="3" fillId="8" borderId="23" xfId="0" applyFont="1" applyFill="1" applyBorder="1" applyAlignment="1">
      <alignment horizontal="center" vertical="center" wrapText="1"/>
    </xf>
    <xf numFmtId="164" fontId="3" fillId="8" borderId="30" xfId="0" applyNumberFormat="1" applyFont="1" applyFill="1" applyBorder="1" applyAlignment="1">
      <alignment horizontal="center" vertical="center" wrapText="1"/>
    </xf>
    <xf numFmtId="0" fontId="3" fillId="10" borderId="22"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3" fillId="9" borderId="22" xfId="0" applyFont="1" applyFill="1" applyBorder="1" applyAlignment="1">
      <alignment horizontal="center" vertical="center" wrapText="1"/>
    </xf>
    <xf numFmtId="0" fontId="3" fillId="9" borderId="28" xfId="0" applyFont="1" applyFill="1" applyBorder="1" applyAlignment="1">
      <alignment horizontal="center" vertical="center" wrapText="1"/>
    </xf>
    <xf numFmtId="0" fontId="3" fillId="9" borderId="30"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6" borderId="24" xfId="0" applyFont="1" applyFill="1" applyBorder="1" applyAlignment="1">
      <alignment horizontal="center" vertical="center"/>
    </xf>
    <xf numFmtId="0" fontId="6" fillId="0" borderId="25" xfId="0" applyFont="1" applyBorder="1"/>
    <xf numFmtId="0" fontId="6" fillId="0" borderId="26" xfId="0" applyFont="1" applyBorder="1"/>
    <xf numFmtId="0" fontId="6" fillId="0" borderId="37" xfId="0" applyFont="1" applyBorder="1"/>
    <xf numFmtId="0" fontId="6" fillId="0" borderId="16" xfId="0" applyFont="1" applyBorder="1"/>
    <xf numFmtId="0" fontId="6" fillId="0" borderId="38" xfId="0" applyFont="1" applyBorder="1"/>
    <xf numFmtId="0" fontId="3" fillId="6" borderId="23" xfId="0" applyFont="1" applyFill="1" applyBorder="1" applyAlignment="1">
      <alignment horizontal="center" vertical="center" wrapText="1"/>
    </xf>
    <xf numFmtId="164" fontId="3" fillId="6" borderId="23" xfId="0" applyNumberFormat="1" applyFont="1" applyFill="1" applyBorder="1" applyAlignment="1">
      <alignment horizontal="center" vertical="center" wrapText="1"/>
    </xf>
    <xf numFmtId="0" fontId="6" fillId="0" borderId="27" xfId="0" applyFont="1" applyBorder="1"/>
    <xf numFmtId="0" fontId="6" fillId="0" borderId="17" xfId="0" applyFont="1" applyBorder="1"/>
    <xf numFmtId="0" fontId="7" fillId="11" borderId="18" xfId="0" applyFont="1" applyFill="1" applyBorder="1" applyAlignment="1">
      <alignment horizontal="center" vertical="center" wrapText="1"/>
    </xf>
    <xf numFmtId="0" fontId="6" fillId="0" borderId="19" xfId="0" applyFont="1" applyBorder="1"/>
    <xf numFmtId="0" fontId="6" fillId="0" borderId="20" xfId="0" applyFont="1" applyBorder="1"/>
    <xf numFmtId="164" fontId="3" fillId="12" borderId="21" xfId="0" applyNumberFormat="1" applyFont="1" applyFill="1" applyBorder="1" applyAlignment="1">
      <alignment horizontal="center" vertical="center" wrapText="1"/>
    </xf>
    <xf numFmtId="0" fontId="6" fillId="0" borderId="34" xfId="0" applyFont="1" applyBorder="1"/>
    <xf numFmtId="0" fontId="6" fillId="0" borderId="46" xfId="0" applyFont="1" applyBorder="1"/>
    <xf numFmtId="164" fontId="7" fillId="11" borderId="18" xfId="0" applyNumberFormat="1" applyFont="1" applyFill="1" applyBorder="1" applyAlignment="1">
      <alignment horizontal="center" vertical="center" wrapText="1"/>
    </xf>
    <xf numFmtId="0" fontId="3" fillId="6" borderId="22" xfId="0" applyFont="1" applyFill="1" applyBorder="1" applyAlignment="1">
      <alignment horizontal="center" vertical="center" wrapText="1"/>
    </xf>
    <xf numFmtId="0" fontId="6" fillId="0" borderId="35" xfId="0" applyFont="1" applyBorder="1"/>
    <xf numFmtId="0" fontId="2" fillId="3" borderId="2" xfId="0" applyFont="1" applyFill="1" applyBorder="1" applyAlignment="1">
      <alignment horizontal="center" vertical="center"/>
    </xf>
    <xf numFmtId="0" fontId="6" fillId="0" borderId="9" xfId="0" applyFont="1" applyBorder="1"/>
    <xf numFmtId="0" fontId="6" fillId="0" borderId="39" xfId="0" applyFont="1" applyBorder="1"/>
    <xf numFmtId="0" fontId="5" fillId="4" borderId="3" xfId="0" applyFont="1" applyFill="1" applyBorder="1" applyAlignment="1">
      <alignment horizontal="center" vertical="center" wrapText="1"/>
    </xf>
    <xf numFmtId="0" fontId="6" fillId="0" borderId="5" xfId="0" applyFont="1" applyBorder="1"/>
    <xf numFmtId="0" fontId="5" fillId="5" borderId="6" xfId="0" applyFont="1" applyFill="1" applyBorder="1" applyAlignment="1">
      <alignment horizontal="center" vertical="center" wrapText="1"/>
    </xf>
    <xf numFmtId="0" fontId="6" fillId="0" borderId="7" xfId="0" applyFont="1" applyBorder="1"/>
    <xf numFmtId="0" fontId="6" fillId="0" borderId="8" xfId="0" applyFont="1" applyBorder="1"/>
    <xf numFmtId="0" fontId="6" fillId="0" borderId="10" xfId="0" applyFont="1" applyBorder="1"/>
    <xf numFmtId="0" fontId="0" fillId="0" borderId="0" xfId="0"/>
    <xf numFmtId="0" fontId="6" fillId="0" borderId="11" xfId="0" applyFont="1" applyBorder="1"/>
    <xf numFmtId="0" fontId="6" fillId="0" borderId="12" xfId="0" applyFont="1" applyBorder="1"/>
    <xf numFmtId="0" fontId="6" fillId="0" borderId="13" xfId="0" applyFont="1" applyBorder="1"/>
    <xf numFmtId="0" fontId="6" fillId="0" borderId="14" xfId="0" applyFont="1" applyBorder="1"/>
    <xf numFmtId="0" fontId="5" fillId="6" borderId="6" xfId="0" applyFont="1" applyFill="1" applyBorder="1" applyAlignment="1">
      <alignment horizontal="center" vertical="center" wrapText="1"/>
    </xf>
    <xf numFmtId="0" fontId="6" fillId="0" borderId="15" xfId="0" applyFont="1" applyBorder="1"/>
    <xf numFmtId="0" fontId="5" fillId="7" borderId="6" xfId="0" applyFont="1" applyFill="1" applyBorder="1" applyAlignment="1">
      <alignment horizontal="center" vertical="center"/>
    </xf>
    <xf numFmtId="0" fontId="5" fillId="8" borderId="6"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7" fillId="10" borderId="18" xfId="0" applyFont="1" applyFill="1" applyBorder="1" applyAlignment="1">
      <alignment horizontal="center" vertical="center" wrapText="1"/>
    </xf>
    <xf numFmtId="0" fontId="6" fillId="0" borderId="36" xfId="0" applyFont="1" applyBorder="1" applyAlignment="1">
      <alignment horizontal="center" vertical="center"/>
    </xf>
    <xf numFmtId="0" fontId="6" fillId="0" borderId="55" xfId="0" applyFont="1" applyBorder="1" applyAlignment="1">
      <alignment horizontal="center" vertical="center"/>
    </xf>
    <xf numFmtId="0" fontId="6" fillId="0" borderId="36" xfId="0" applyFont="1" applyBorder="1" applyAlignment="1">
      <alignment horizontal="center" vertical="center" wrapText="1"/>
    </xf>
    <xf numFmtId="0" fontId="6" fillId="0" borderId="55" xfId="0" applyFont="1" applyBorder="1" applyAlignment="1">
      <alignment horizontal="center" vertical="center" wrapText="1"/>
    </xf>
    <xf numFmtId="0" fontId="14" fillId="2" borderId="23" xfId="0" applyFont="1" applyFill="1" applyBorder="1" applyAlignment="1">
      <alignment horizontal="center" vertical="center" wrapText="1"/>
    </xf>
    <xf numFmtId="0" fontId="16" fillId="0" borderId="36" xfId="0" applyFont="1" applyBorder="1"/>
    <xf numFmtId="0" fontId="16" fillId="0" borderId="63" xfId="0" applyFont="1" applyBorder="1"/>
    <xf numFmtId="0" fontId="16" fillId="0" borderId="55" xfId="0" applyFont="1" applyBorder="1"/>
    <xf numFmtId="49" fontId="17" fillId="0" borderId="49" xfId="0" applyNumberFormat="1" applyFont="1" applyBorder="1" applyAlignment="1">
      <alignment horizontal="center" vertical="center" wrapText="1"/>
    </xf>
    <xf numFmtId="0" fontId="14" fillId="2" borderId="54" xfId="0" applyFont="1" applyFill="1" applyBorder="1" applyAlignment="1">
      <alignment horizontal="center" vertical="center" wrapText="1"/>
    </xf>
    <xf numFmtId="0" fontId="14" fillId="0" borderId="0" xfId="0" applyFont="1"/>
    <xf numFmtId="0" fontId="17" fillId="8" borderId="41" xfId="0" applyFont="1" applyFill="1" applyBorder="1" applyAlignment="1">
      <alignment horizontal="center" vertical="center" wrapText="1"/>
    </xf>
    <xf numFmtId="0" fontId="14" fillId="2" borderId="53" xfId="0" applyFont="1" applyFill="1" applyBorder="1" applyAlignment="1">
      <alignment horizontal="center" vertical="center" wrapText="1"/>
    </xf>
    <xf numFmtId="0" fontId="17" fillId="0" borderId="49" xfId="0" applyFont="1" applyBorder="1" applyAlignment="1">
      <alignment horizontal="center" vertical="center" wrapText="1"/>
    </xf>
    <xf numFmtId="167" fontId="14" fillId="2" borderId="23" xfId="0" applyNumberFormat="1" applyFont="1" applyFill="1" applyBorder="1" applyAlignment="1">
      <alignment horizontal="center" vertical="center" wrapText="1"/>
    </xf>
    <xf numFmtId="167" fontId="14" fillId="2" borderId="54" xfId="0" applyNumberFormat="1"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9" fillId="2" borderId="53"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8" fillId="2" borderId="53" xfId="0" applyFont="1" applyFill="1" applyBorder="1" applyAlignment="1">
      <alignment horizontal="center" vertical="center" wrapText="1"/>
    </xf>
    <xf numFmtId="0" fontId="18" fillId="2" borderId="52" xfId="0" applyFont="1" applyFill="1" applyBorder="1" applyAlignment="1">
      <alignment horizontal="center" vertical="center" wrapText="1"/>
    </xf>
    <xf numFmtId="0" fontId="16" fillId="0" borderId="36" xfId="0" applyFont="1" applyBorder="1" applyAlignment="1">
      <alignment horizontal="center" vertical="center" wrapText="1"/>
    </xf>
    <xf numFmtId="0" fontId="16" fillId="0" borderId="55" xfId="0" applyFont="1" applyBorder="1" applyAlignment="1">
      <alignment horizontal="center" vertical="center" wrapText="1"/>
    </xf>
    <xf numFmtId="0" fontId="14" fillId="2" borderId="23" xfId="0" applyFont="1" applyFill="1" applyBorder="1" applyAlignment="1">
      <alignment horizontal="center" vertical="center"/>
    </xf>
    <xf numFmtId="14" fontId="14" fillId="2" borderId="52" xfId="0" applyNumberFormat="1" applyFont="1" applyFill="1" applyBorder="1" applyAlignment="1">
      <alignment horizontal="center" vertical="center"/>
    </xf>
    <xf numFmtId="3" fontId="14" fillId="2" borderId="52"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3" fontId="14" fillId="2" borderId="54" xfId="0" applyNumberFormat="1" applyFont="1" applyFill="1" applyBorder="1" applyAlignment="1">
      <alignment horizontal="center" vertical="center" wrapText="1"/>
    </xf>
    <xf numFmtId="164" fontId="1" fillId="2" borderId="54" xfId="0" applyNumberFormat="1" applyFont="1" applyFill="1" applyBorder="1" applyAlignment="1">
      <alignment vertical="center" wrapText="1"/>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vertical="center" wrapText="1"/>
    </xf>
    <xf numFmtId="0" fontId="22" fillId="0" borderId="0" xfId="0" applyFont="1"/>
    <xf numFmtId="0" fontId="22" fillId="0" borderId="0" xfId="0" applyFont="1"/>
    <xf numFmtId="0" fontId="21" fillId="0" borderId="0" xfId="0" applyFont="1"/>
    <xf numFmtId="0" fontId="15" fillId="0" borderId="36" xfId="0" applyFont="1" applyBorder="1" applyAlignment="1">
      <alignment horizontal="center" vertical="center"/>
    </xf>
    <xf numFmtId="0" fontId="15" fillId="0" borderId="55" xfId="0" applyFont="1" applyBorder="1" applyAlignment="1">
      <alignment horizontal="center" vertical="center"/>
    </xf>
    <xf numFmtId="0" fontId="16" fillId="0" borderId="36" xfId="0" applyFont="1" applyBorder="1" applyAlignment="1">
      <alignment horizontal="center" vertical="center"/>
    </xf>
    <xf numFmtId="0" fontId="16" fillId="0" borderId="55" xfId="0" applyFont="1" applyBorder="1" applyAlignment="1">
      <alignment horizontal="center" vertical="center"/>
    </xf>
    <xf numFmtId="0" fontId="23" fillId="0" borderId="36" xfId="0" applyFont="1" applyBorder="1" applyAlignment="1">
      <alignment horizontal="center" vertical="center"/>
    </xf>
    <xf numFmtId="0" fontId="23" fillId="0" borderId="36" xfId="0" applyFont="1" applyBorder="1" applyAlignment="1">
      <alignment horizontal="center" vertical="center" wrapText="1"/>
    </xf>
    <xf numFmtId="3" fontId="23" fillId="0" borderId="36" xfId="0" applyNumberFormat="1" applyFont="1" applyBorder="1" applyAlignment="1">
      <alignment horizontal="center" vertical="center"/>
    </xf>
    <xf numFmtId="14" fontId="23" fillId="0" borderId="36" xfId="0" applyNumberFormat="1" applyFont="1" applyBorder="1" applyAlignment="1">
      <alignment horizontal="center" vertical="center"/>
    </xf>
    <xf numFmtId="14" fontId="6" fillId="0" borderId="36" xfId="0" applyNumberFormat="1" applyFont="1" applyBorder="1" applyAlignment="1">
      <alignment horizontal="center" vertical="center"/>
    </xf>
    <xf numFmtId="3" fontId="16" fillId="0" borderId="36"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657225</xdr:colOff>
      <xdr:row>0</xdr:row>
      <xdr:rowOff>123825</xdr:rowOff>
    </xdr:from>
    <xdr:to>
      <xdr:col>0</xdr:col>
      <xdr:colOff>1236395</xdr:colOff>
      <xdr:row>3</xdr:row>
      <xdr:rowOff>174171</xdr:rowOff>
    </xdr:to>
    <xdr:pic>
      <xdr:nvPicPr>
        <xdr:cNvPr id="2" name="Imagem 1">
          <a:extLst>
            <a:ext uri="{FF2B5EF4-FFF2-40B4-BE49-F238E27FC236}">
              <a16:creationId xmlns:a16="http://schemas.microsoft.com/office/drawing/2014/main" id="{F0D35F21-9331-5F19-13DB-151C36B660B1}"/>
            </a:ext>
          </a:extLst>
        </xdr:cNvPr>
        <xdr:cNvPicPr>
          <a:picLocks noChangeAspect="1"/>
        </xdr:cNvPicPr>
      </xdr:nvPicPr>
      <xdr:blipFill>
        <a:blip xmlns:r="http://schemas.openxmlformats.org/officeDocument/2006/relationships" r:embed="rId1"/>
        <a:stretch>
          <a:fillRect/>
        </a:stretch>
      </xdr:blipFill>
      <xdr:spPr>
        <a:xfrm>
          <a:off x="657225" y="123825"/>
          <a:ext cx="579170" cy="621846"/>
        </a:xfrm>
        <a:prstGeom prst="rect">
          <a:avLst/>
        </a:prstGeom>
      </xdr:spPr>
    </xdr:pic>
    <xdr:clientData/>
  </xdr:two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G1010"/>
  <sheetViews>
    <sheetView tabSelected="1" topLeftCell="A7" workbookViewId="0">
      <selection activeCell="F22" sqref="F22:F30"/>
    </sheetView>
  </sheetViews>
  <sheetFormatPr defaultColWidth="14.42578125" defaultRowHeight="15" customHeight="1"/>
  <cols>
    <col min="1" max="3" width="25.7109375" customWidth="1"/>
    <col min="4" max="5" width="25.7109375" style="279" customWidth="1"/>
    <col min="6" max="6" width="40.7109375" style="279" customWidth="1"/>
    <col min="7" max="33" width="25.7109375" customWidth="1"/>
    <col min="38" max="38" width="22.7109375" customWidth="1"/>
    <col min="42" max="42" width="40.7109375" customWidth="1"/>
    <col min="66" max="66" width="16.85546875" bestFit="1" customWidth="1"/>
  </cols>
  <sheetData>
    <row r="1" spans="1:85" customFormat="1" ht="15" customHeight="1">
      <c r="D1" s="279"/>
      <c r="E1" s="279"/>
      <c r="F1" s="279"/>
    </row>
    <row r="2" spans="1:85" customFormat="1" ht="15" customHeight="1">
      <c r="D2" s="279"/>
      <c r="E2" s="279"/>
      <c r="F2" s="279"/>
    </row>
    <row r="3" spans="1:85" customFormat="1" ht="15" customHeight="1">
      <c r="D3" s="279"/>
      <c r="E3" s="279"/>
      <c r="F3" s="279"/>
    </row>
    <row r="4" spans="1:85" customFormat="1" ht="15" customHeight="1">
      <c r="D4" s="279"/>
      <c r="E4" s="279"/>
      <c r="F4" s="279"/>
    </row>
    <row r="5" spans="1:85" customFormat="1" ht="15" customHeight="1">
      <c r="A5" s="298" t="s">
        <v>0</v>
      </c>
      <c r="B5" s="301"/>
      <c r="C5" s="301"/>
      <c r="D5" s="301"/>
      <c r="E5" s="301"/>
      <c r="F5" s="301"/>
    </row>
    <row r="6" spans="1:85" customFormat="1" ht="15" customHeight="1">
      <c r="A6" s="302"/>
      <c r="B6" s="302"/>
      <c r="C6" s="302"/>
      <c r="D6" s="303"/>
      <c r="E6" s="303"/>
      <c r="F6" s="303"/>
    </row>
    <row r="7" spans="1:85" customFormat="1" ht="15" customHeight="1">
      <c r="A7" s="298" t="s">
        <v>1</v>
      </c>
      <c r="B7" s="301"/>
      <c r="C7" s="301"/>
      <c r="D7" s="301"/>
      <c r="E7" s="301"/>
      <c r="F7" s="301"/>
    </row>
    <row r="8" spans="1:85" customFormat="1" ht="15" customHeight="1">
      <c r="A8" s="298" t="s">
        <v>2</v>
      </c>
      <c r="B8" s="301"/>
      <c r="C8" s="301"/>
      <c r="D8" s="301"/>
      <c r="E8" s="301"/>
      <c r="F8" s="301"/>
    </row>
    <row r="9" spans="1:85" customFormat="1" ht="15" customHeight="1">
      <c r="A9" s="298" t="s">
        <v>3</v>
      </c>
      <c r="B9" s="301"/>
      <c r="C9" s="301"/>
      <c r="D9" s="301"/>
      <c r="E9" s="301"/>
      <c r="F9" s="301"/>
    </row>
    <row r="10" spans="1:85" customFormat="1" ht="15" customHeight="1">
      <c r="A10" s="302"/>
      <c r="B10" s="302"/>
      <c r="C10" s="302"/>
      <c r="D10" s="303"/>
      <c r="E10" s="303"/>
      <c r="F10" s="303"/>
    </row>
    <row r="11" spans="1:85" customFormat="1" ht="15" customHeight="1">
      <c r="A11" s="298" t="s">
        <v>4</v>
      </c>
      <c r="B11" s="301"/>
      <c r="C11" s="301"/>
      <c r="D11" s="301"/>
      <c r="E11" s="301"/>
      <c r="F11" s="301"/>
    </row>
    <row r="12" spans="1:85" customFormat="1" ht="15" customHeight="1">
      <c r="A12" s="298" t="s">
        <v>5</v>
      </c>
      <c r="B12" s="301"/>
      <c r="C12" s="301"/>
      <c r="D12" s="301"/>
      <c r="E12" s="301"/>
      <c r="F12" s="301"/>
    </row>
    <row r="13" spans="1:85" customFormat="1" ht="15" customHeight="1">
      <c r="A13" s="302"/>
      <c r="B13" s="302"/>
      <c r="C13" s="302"/>
      <c r="D13" s="303"/>
      <c r="E13" s="303"/>
      <c r="F13" s="303"/>
    </row>
    <row r="14" spans="1:85" customFormat="1" ht="15" customHeight="1" thickBot="1">
      <c r="A14" s="299" t="s">
        <v>6</v>
      </c>
      <c r="B14" s="300"/>
      <c r="C14" s="300"/>
      <c r="D14" s="300"/>
      <c r="E14" s="300"/>
      <c r="F14" s="300"/>
      <c r="G14" s="1"/>
      <c r="H14" s="1"/>
    </row>
    <row r="15" spans="1:85" customFormat="1" ht="30.75" customHeight="1" thickBot="1">
      <c r="A15" s="248" t="s">
        <v>7</v>
      </c>
      <c r="B15" s="251" t="s">
        <v>8</v>
      </c>
      <c r="C15" s="159"/>
      <c r="D15" s="159"/>
      <c r="E15" s="159"/>
      <c r="F15" s="159"/>
      <c r="G15" s="159"/>
      <c r="H15" s="159"/>
      <c r="I15" s="159"/>
      <c r="J15" s="159"/>
      <c r="K15" s="159"/>
      <c r="L15" s="159"/>
      <c r="M15" s="159"/>
      <c r="N15" s="159"/>
      <c r="O15" s="159"/>
      <c r="P15" s="159"/>
      <c r="Q15" s="159"/>
      <c r="R15" s="159"/>
      <c r="S15" s="159"/>
      <c r="T15" s="159"/>
      <c r="U15" s="159"/>
      <c r="V15" s="159"/>
      <c r="W15" s="159"/>
      <c r="X15" s="252"/>
      <c r="Y15" s="253" t="s">
        <v>9</v>
      </c>
      <c r="Z15" s="254"/>
      <c r="AA15" s="254"/>
      <c r="AB15" s="254"/>
      <c r="AC15" s="254"/>
      <c r="AD15" s="254"/>
      <c r="AE15" s="254"/>
      <c r="AF15" s="254"/>
      <c r="AG15" s="254"/>
      <c r="AH15" s="254"/>
      <c r="AI15" s="254"/>
      <c r="AJ15" s="254"/>
      <c r="AK15" s="254"/>
      <c r="AL15" s="254"/>
      <c r="AM15" s="254"/>
      <c r="AN15" s="254"/>
      <c r="AO15" s="254"/>
      <c r="AP15" s="254"/>
      <c r="AQ15" s="254"/>
      <c r="AR15" s="254"/>
      <c r="AS15" s="254"/>
      <c r="AT15" s="254"/>
      <c r="AU15" s="254"/>
      <c r="AV15" s="254"/>
      <c r="AW15" s="254"/>
      <c r="AX15" s="254"/>
      <c r="AY15" s="254"/>
      <c r="AZ15" s="254"/>
      <c r="BA15" s="254"/>
      <c r="BB15" s="254"/>
      <c r="BC15" s="254"/>
      <c r="BD15" s="254"/>
      <c r="BE15" s="254"/>
      <c r="BF15" s="254"/>
      <c r="BG15" s="254"/>
      <c r="BH15" s="254"/>
      <c r="BI15" s="254"/>
      <c r="BJ15" s="254"/>
      <c r="BK15" s="254"/>
      <c r="BL15" s="254"/>
      <c r="BM15" s="254"/>
      <c r="BN15" s="255"/>
      <c r="BO15" s="262" t="s">
        <v>10</v>
      </c>
      <c r="BP15" s="254"/>
      <c r="BQ15" s="254"/>
      <c r="BR15" s="254"/>
      <c r="BS15" s="254"/>
      <c r="BT15" s="254"/>
      <c r="BU15" s="254"/>
      <c r="BV15" s="254"/>
      <c r="BW15" s="254"/>
      <c r="BX15" s="254"/>
      <c r="BY15" s="254"/>
      <c r="BZ15" s="254"/>
      <c r="CA15" s="255"/>
      <c r="CB15" s="264" t="s">
        <v>11</v>
      </c>
      <c r="CC15" s="254"/>
      <c r="CD15" s="254"/>
      <c r="CE15" s="254"/>
      <c r="CF15" s="254"/>
      <c r="CG15" s="255"/>
    </row>
    <row r="16" spans="1:85" customFormat="1" ht="30.75" customHeight="1">
      <c r="A16" s="249"/>
      <c r="B16" s="265" t="s">
        <v>12</v>
      </c>
      <c r="C16" s="254"/>
      <c r="D16" s="254"/>
      <c r="E16" s="254"/>
      <c r="F16" s="254"/>
      <c r="G16" s="254"/>
      <c r="H16" s="255"/>
      <c r="I16" s="266" t="s">
        <v>13</v>
      </c>
      <c r="J16" s="254"/>
      <c r="K16" s="254"/>
      <c r="L16" s="255"/>
      <c r="M16" s="267" t="s">
        <v>14</v>
      </c>
      <c r="N16" s="254"/>
      <c r="O16" s="254"/>
      <c r="P16" s="255"/>
      <c r="Q16" s="265" t="s">
        <v>15</v>
      </c>
      <c r="R16" s="254"/>
      <c r="S16" s="254"/>
      <c r="T16" s="254"/>
      <c r="U16" s="254"/>
      <c r="V16" s="254"/>
      <c r="W16" s="254"/>
      <c r="X16" s="255"/>
      <c r="Y16" s="256"/>
      <c r="Z16" s="257"/>
      <c r="AA16" s="257"/>
      <c r="AB16" s="257"/>
      <c r="AC16" s="257"/>
      <c r="AD16" s="257"/>
      <c r="AE16" s="257"/>
      <c r="AF16" s="257"/>
      <c r="AG16" s="257"/>
      <c r="AH16" s="257"/>
      <c r="AI16" s="257"/>
      <c r="AJ16" s="257"/>
      <c r="AK16" s="257"/>
      <c r="AL16" s="257"/>
      <c r="AM16" s="257"/>
      <c r="AN16" s="257"/>
      <c r="AO16" s="257"/>
      <c r="AP16" s="257"/>
      <c r="AQ16" s="257"/>
      <c r="AR16" s="257"/>
      <c r="AS16" s="257"/>
      <c r="AT16" s="257"/>
      <c r="AU16" s="257"/>
      <c r="AV16" s="257"/>
      <c r="AW16" s="257"/>
      <c r="AX16" s="257"/>
      <c r="AY16" s="257"/>
      <c r="AZ16" s="257"/>
      <c r="BA16" s="257"/>
      <c r="BB16" s="257"/>
      <c r="BC16" s="257"/>
      <c r="BD16" s="257"/>
      <c r="BE16" s="257"/>
      <c r="BF16" s="257"/>
      <c r="BG16" s="257"/>
      <c r="BH16" s="257"/>
      <c r="BI16" s="257"/>
      <c r="BJ16" s="257"/>
      <c r="BK16" s="257"/>
      <c r="BL16" s="257"/>
      <c r="BM16" s="257"/>
      <c r="BN16" s="258"/>
      <c r="BO16" s="256"/>
      <c r="BP16" s="257"/>
      <c r="BQ16" s="257"/>
      <c r="BR16" s="257"/>
      <c r="BS16" s="257"/>
      <c r="BT16" s="257"/>
      <c r="BU16" s="257"/>
      <c r="BV16" s="257"/>
      <c r="BW16" s="257"/>
      <c r="BX16" s="257"/>
      <c r="BY16" s="257"/>
      <c r="BZ16" s="257"/>
      <c r="CA16" s="258"/>
      <c r="CB16" s="256"/>
      <c r="CC16" s="257"/>
      <c r="CD16" s="257"/>
      <c r="CE16" s="257"/>
      <c r="CF16" s="257"/>
      <c r="CG16" s="258"/>
    </row>
    <row r="17" spans="1:85" customFormat="1" ht="25.5" customHeight="1" thickBot="1">
      <c r="A17" s="249"/>
      <c r="B17" s="256"/>
      <c r="C17" s="257"/>
      <c r="D17" s="257"/>
      <c r="E17" s="257"/>
      <c r="F17" s="257"/>
      <c r="G17" s="257"/>
      <c r="H17" s="258"/>
      <c r="I17" s="256"/>
      <c r="J17" s="257"/>
      <c r="K17" s="257"/>
      <c r="L17" s="258"/>
      <c r="M17" s="256"/>
      <c r="N17" s="257"/>
      <c r="O17" s="257"/>
      <c r="P17" s="258"/>
      <c r="Q17" s="256"/>
      <c r="R17" s="257"/>
      <c r="S17" s="257"/>
      <c r="T17" s="257"/>
      <c r="U17" s="257"/>
      <c r="V17" s="257"/>
      <c r="W17" s="257"/>
      <c r="X17" s="258"/>
      <c r="Y17" s="259"/>
      <c r="Z17" s="260"/>
      <c r="AA17" s="260"/>
      <c r="AB17" s="260"/>
      <c r="AC17" s="260"/>
      <c r="AD17" s="260"/>
      <c r="AE17" s="260"/>
      <c r="AF17" s="260"/>
      <c r="AG17" s="260"/>
      <c r="AH17" s="260"/>
      <c r="AI17" s="260"/>
      <c r="AJ17" s="260"/>
      <c r="AK17" s="260"/>
      <c r="AL17" s="260"/>
      <c r="AM17" s="260"/>
      <c r="AN17" s="260"/>
      <c r="AO17" s="260"/>
      <c r="AP17" s="260"/>
      <c r="AQ17" s="260"/>
      <c r="AR17" s="260"/>
      <c r="AS17" s="260"/>
      <c r="AT17" s="260"/>
      <c r="AU17" s="260"/>
      <c r="AV17" s="260"/>
      <c r="AW17" s="260"/>
      <c r="AX17" s="260"/>
      <c r="AY17" s="260"/>
      <c r="AZ17" s="260"/>
      <c r="BA17" s="260"/>
      <c r="BB17" s="260"/>
      <c r="BC17" s="260"/>
      <c r="BD17" s="260"/>
      <c r="BE17" s="260"/>
      <c r="BF17" s="260"/>
      <c r="BG17" s="260"/>
      <c r="BH17" s="260"/>
      <c r="BI17" s="260"/>
      <c r="BJ17" s="260"/>
      <c r="BK17" s="260"/>
      <c r="BL17" s="260"/>
      <c r="BM17" s="260"/>
      <c r="BN17" s="261"/>
      <c r="BO17" s="263"/>
      <c r="BP17" s="233"/>
      <c r="BQ17" s="233"/>
      <c r="BR17" s="233"/>
      <c r="BS17" s="233"/>
      <c r="BT17" s="233"/>
      <c r="BU17" s="233"/>
      <c r="BV17" s="233"/>
      <c r="BW17" s="233"/>
      <c r="BX17" s="233"/>
      <c r="BY17" s="233"/>
      <c r="BZ17" s="233"/>
      <c r="CA17" s="238"/>
      <c r="CB17" s="256"/>
      <c r="CC17" s="257"/>
      <c r="CD17" s="257"/>
      <c r="CE17" s="257"/>
      <c r="CF17" s="257"/>
      <c r="CG17" s="258"/>
    </row>
    <row r="18" spans="1:85" customFormat="1" ht="12.75" customHeight="1">
      <c r="A18" s="249"/>
      <c r="B18" s="256"/>
      <c r="C18" s="257"/>
      <c r="D18" s="257"/>
      <c r="E18" s="257"/>
      <c r="F18" s="257"/>
      <c r="G18" s="257"/>
      <c r="H18" s="258"/>
      <c r="I18" s="263"/>
      <c r="J18" s="233"/>
      <c r="K18" s="233"/>
      <c r="L18" s="238"/>
      <c r="M18" s="263"/>
      <c r="N18" s="233"/>
      <c r="O18" s="233"/>
      <c r="P18" s="238"/>
      <c r="Q18" s="263"/>
      <c r="R18" s="233"/>
      <c r="S18" s="233"/>
      <c r="T18" s="233"/>
      <c r="U18" s="233"/>
      <c r="V18" s="233"/>
      <c r="W18" s="233"/>
      <c r="X18" s="238"/>
      <c r="Y18" s="268" t="s">
        <v>16</v>
      </c>
      <c r="Z18" s="240"/>
      <c r="AA18" s="240"/>
      <c r="AB18" s="240"/>
      <c r="AC18" s="240"/>
      <c r="AD18" s="240"/>
      <c r="AE18" s="240"/>
      <c r="AF18" s="240"/>
      <c r="AG18" s="240"/>
      <c r="AH18" s="240"/>
      <c r="AI18" s="240"/>
      <c r="AJ18" s="240"/>
      <c r="AK18" s="241"/>
      <c r="AL18" s="239" t="s">
        <v>17</v>
      </c>
      <c r="AM18" s="240"/>
      <c r="AN18" s="240"/>
      <c r="AO18" s="240"/>
      <c r="AP18" s="240"/>
      <c r="AQ18" s="240"/>
      <c r="AR18" s="240"/>
      <c r="AS18" s="240"/>
      <c r="AT18" s="240"/>
      <c r="AU18" s="240"/>
      <c r="AV18" s="240"/>
      <c r="AW18" s="240"/>
      <c r="AX18" s="240"/>
      <c r="AY18" s="240"/>
      <c r="AZ18" s="240"/>
      <c r="BA18" s="240"/>
      <c r="BB18" s="241"/>
      <c r="BC18" s="239" t="s">
        <v>18</v>
      </c>
      <c r="BD18" s="240"/>
      <c r="BE18" s="240"/>
      <c r="BF18" s="240"/>
      <c r="BG18" s="240"/>
      <c r="BH18" s="241"/>
      <c r="BI18" s="242" t="s">
        <v>19</v>
      </c>
      <c r="BJ18" s="245" t="s">
        <v>20</v>
      </c>
      <c r="BK18" s="240"/>
      <c r="BL18" s="240"/>
      <c r="BM18" s="240"/>
      <c r="BN18" s="241"/>
      <c r="BO18" s="246" t="s">
        <v>21</v>
      </c>
      <c r="BP18" s="235" t="s">
        <v>22</v>
      </c>
      <c r="BQ18" s="229" t="s">
        <v>23</v>
      </c>
      <c r="BR18" s="230"/>
      <c r="BS18" s="231"/>
      <c r="BT18" s="229" t="s">
        <v>24</v>
      </c>
      <c r="BU18" s="231"/>
      <c r="BV18" s="235" t="s">
        <v>25</v>
      </c>
      <c r="BW18" s="236" t="s">
        <v>26</v>
      </c>
      <c r="BX18" s="236" t="s">
        <v>27</v>
      </c>
      <c r="BY18" s="229" t="s">
        <v>28</v>
      </c>
      <c r="BZ18" s="230"/>
      <c r="CA18" s="237"/>
      <c r="CB18" s="256"/>
      <c r="CC18" s="257"/>
      <c r="CD18" s="257"/>
      <c r="CE18" s="257"/>
      <c r="CF18" s="257"/>
      <c r="CG18" s="258"/>
    </row>
    <row r="19" spans="1:85" customFormat="1" ht="12.75" customHeight="1">
      <c r="A19" s="249"/>
      <c r="B19" s="263"/>
      <c r="C19" s="233"/>
      <c r="D19" s="233"/>
      <c r="E19" s="233"/>
      <c r="F19" s="233"/>
      <c r="G19" s="233"/>
      <c r="H19" s="238"/>
      <c r="I19" s="224" t="s">
        <v>29</v>
      </c>
      <c r="J19" s="225" t="s">
        <v>30</v>
      </c>
      <c r="K19" s="208"/>
      <c r="L19" s="226" t="s">
        <v>31</v>
      </c>
      <c r="M19" s="227" t="s">
        <v>32</v>
      </c>
      <c r="N19" s="228" t="s">
        <v>33</v>
      </c>
      <c r="O19" s="228" t="s">
        <v>34</v>
      </c>
      <c r="P19" s="221" t="s">
        <v>35</v>
      </c>
      <c r="Q19" s="222" t="s">
        <v>36</v>
      </c>
      <c r="R19" s="223" t="s">
        <v>30</v>
      </c>
      <c r="S19" s="208"/>
      <c r="T19" s="218" t="s">
        <v>37</v>
      </c>
      <c r="U19" s="218" t="s">
        <v>38</v>
      </c>
      <c r="V19" s="218" t="s">
        <v>39</v>
      </c>
      <c r="W19" s="218" t="s">
        <v>40</v>
      </c>
      <c r="X19" s="219" t="s">
        <v>41</v>
      </c>
      <c r="Y19" s="220" t="s">
        <v>42</v>
      </c>
      <c r="Z19" s="217" t="s">
        <v>43</v>
      </c>
      <c r="AA19" s="217" t="s">
        <v>44</v>
      </c>
      <c r="AB19" s="217" t="s">
        <v>45</v>
      </c>
      <c r="AC19" s="217" t="s">
        <v>46</v>
      </c>
      <c r="AD19" s="217" t="s">
        <v>47</v>
      </c>
      <c r="AE19" s="217" t="s">
        <v>48</v>
      </c>
      <c r="AF19" s="217" t="s">
        <v>49</v>
      </c>
      <c r="AG19" s="217" t="s">
        <v>50</v>
      </c>
      <c r="AH19" s="217" t="s">
        <v>51</v>
      </c>
      <c r="AI19" s="212" t="s">
        <v>52</v>
      </c>
      <c r="AJ19" s="212" t="s">
        <v>53</v>
      </c>
      <c r="AK19" s="213" t="s">
        <v>54</v>
      </c>
      <c r="AL19" s="214" t="s">
        <v>55</v>
      </c>
      <c r="AM19" s="216" t="s">
        <v>56</v>
      </c>
      <c r="AN19" s="216" t="s">
        <v>57</v>
      </c>
      <c r="AO19" s="216" t="s">
        <v>46</v>
      </c>
      <c r="AP19" s="216" t="s">
        <v>58</v>
      </c>
      <c r="AQ19" s="206" t="s">
        <v>59</v>
      </c>
      <c r="AR19" s="208"/>
      <c r="AS19" s="206" t="s">
        <v>60</v>
      </c>
      <c r="AT19" s="208"/>
      <c r="AU19" s="206" t="s">
        <v>61</v>
      </c>
      <c r="AV19" s="207"/>
      <c r="AW19" s="207"/>
      <c r="AX19" s="208"/>
      <c r="AY19" s="206" t="s">
        <v>62</v>
      </c>
      <c r="AZ19" s="207"/>
      <c r="BA19" s="207"/>
      <c r="BB19" s="209"/>
      <c r="BC19" s="210" t="s">
        <v>63</v>
      </c>
      <c r="BD19" s="207"/>
      <c r="BE19" s="208"/>
      <c r="BF19" s="206" t="s">
        <v>64</v>
      </c>
      <c r="BG19" s="207"/>
      <c r="BH19" s="209"/>
      <c r="BI19" s="243"/>
      <c r="BJ19" s="211" t="s">
        <v>65</v>
      </c>
      <c r="BK19" s="207"/>
      <c r="BL19" s="207"/>
      <c r="BM19" s="207"/>
      <c r="BN19" s="209"/>
      <c r="BO19" s="247"/>
      <c r="BP19" s="155"/>
      <c r="BQ19" s="232"/>
      <c r="BR19" s="233"/>
      <c r="BS19" s="234"/>
      <c r="BT19" s="232"/>
      <c r="BU19" s="234"/>
      <c r="BV19" s="155"/>
      <c r="BW19" s="155"/>
      <c r="BX19" s="155"/>
      <c r="BY19" s="232"/>
      <c r="BZ19" s="233"/>
      <c r="CA19" s="238"/>
      <c r="CB19" s="263"/>
      <c r="CC19" s="233"/>
      <c r="CD19" s="233"/>
      <c r="CE19" s="233"/>
      <c r="CF19" s="233"/>
      <c r="CG19" s="238"/>
    </row>
    <row r="20" spans="1:85" customFormat="1" ht="57.75" customHeight="1" thickBot="1">
      <c r="A20" s="250"/>
      <c r="B20" s="2" t="s">
        <v>66</v>
      </c>
      <c r="C20" s="3" t="s">
        <v>67</v>
      </c>
      <c r="D20" s="280" t="s">
        <v>68</v>
      </c>
      <c r="E20" s="280" t="s">
        <v>21</v>
      </c>
      <c r="F20" s="280" t="s">
        <v>40</v>
      </c>
      <c r="G20" s="3" t="s">
        <v>69</v>
      </c>
      <c r="H20" s="4" t="s">
        <v>31</v>
      </c>
      <c r="I20" s="215"/>
      <c r="J20" s="5" t="s">
        <v>70</v>
      </c>
      <c r="K20" s="5" t="s">
        <v>71</v>
      </c>
      <c r="L20" s="189"/>
      <c r="M20" s="215"/>
      <c r="N20" s="186"/>
      <c r="O20" s="186"/>
      <c r="P20" s="189"/>
      <c r="Q20" s="215"/>
      <c r="R20" s="3" t="s">
        <v>70</v>
      </c>
      <c r="S20" s="3" t="s">
        <v>71</v>
      </c>
      <c r="T20" s="186"/>
      <c r="U20" s="186"/>
      <c r="V20" s="186"/>
      <c r="W20" s="186"/>
      <c r="X20" s="189"/>
      <c r="Y20" s="215"/>
      <c r="Z20" s="186"/>
      <c r="AA20" s="186"/>
      <c r="AB20" s="186"/>
      <c r="AC20" s="186"/>
      <c r="AD20" s="186"/>
      <c r="AE20" s="186"/>
      <c r="AF20" s="186"/>
      <c r="AG20" s="186"/>
      <c r="AH20" s="186"/>
      <c r="AI20" s="186"/>
      <c r="AJ20" s="186"/>
      <c r="AK20" s="189"/>
      <c r="AL20" s="215"/>
      <c r="AM20" s="186"/>
      <c r="AN20" s="186"/>
      <c r="AO20" s="186"/>
      <c r="AP20" s="186"/>
      <c r="AQ20" s="6" t="s">
        <v>72</v>
      </c>
      <c r="AR20" s="6" t="s">
        <v>48</v>
      </c>
      <c r="AS20" s="6" t="s">
        <v>73</v>
      </c>
      <c r="AT20" s="6" t="s">
        <v>48</v>
      </c>
      <c r="AU20" s="6" t="s">
        <v>74</v>
      </c>
      <c r="AV20" s="6" t="s">
        <v>75</v>
      </c>
      <c r="AW20" s="7" t="s">
        <v>76</v>
      </c>
      <c r="AX20" s="7" t="s">
        <v>77</v>
      </c>
      <c r="AY20" s="6" t="s">
        <v>74</v>
      </c>
      <c r="AZ20" s="6" t="s">
        <v>75</v>
      </c>
      <c r="BA20" s="7" t="s">
        <v>76</v>
      </c>
      <c r="BB20" s="8" t="s">
        <v>77</v>
      </c>
      <c r="BC20" s="9" t="s">
        <v>78</v>
      </c>
      <c r="BD20" s="6" t="s">
        <v>79</v>
      </c>
      <c r="BE20" s="7" t="s">
        <v>80</v>
      </c>
      <c r="BF20" s="7" t="s">
        <v>78</v>
      </c>
      <c r="BG20" s="6" t="s">
        <v>79</v>
      </c>
      <c r="BH20" s="8" t="s">
        <v>80</v>
      </c>
      <c r="BI20" s="244"/>
      <c r="BJ20" s="10" t="s">
        <v>81</v>
      </c>
      <c r="BK20" s="11"/>
      <c r="BL20" s="7" t="s">
        <v>82</v>
      </c>
      <c r="BM20" s="11"/>
      <c r="BN20" s="8" t="s">
        <v>83</v>
      </c>
      <c r="BO20" s="215"/>
      <c r="BP20" s="186"/>
      <c r="BQ20" s="12" t="s">
        <v>70</v>
      </c>
      <c r="BR20" s="12" t="s">
        <v>71</v>
      </c>
      <c r="BS20" s="12" t="s">
        <v>84</v>
      </c>
      <c r="BT20" s="12" t="s">
        <v>85</v>
      </c>
      <c r="BU20" s="13" t="s">
        <v>86</v>
      </c>
      <c r="BV20" s="186"/>
      <c r="BW20" s="186"/>
      <c r="BX20" s="186"/>
      <c r="BY20" s="12" t="s">
        <v>70</v>
      </c>
      <c r="BZ20" s="12" t="s">
        <v>87</v>
      </c>
      <c r="CA20" s="14" t="s">
        <v>88</v>
      </c>
      <c r="CB20" s="15" t="s">
        <v>89</v>
      </c>
      <c r="CC20" s="16" t="s">
        <v>90</v>
      </c>
      <c r="CD20" s="17" t="s">
        <v>91</v>
      </c>
      <c r="CE20" s="17" t="s">
        <v>92</v>
      </c>
      <c r="CF20" s="17" t="s">
        <v>93</v>
      </c>
      <c r="CG20" s="18" t="s">
        <v>94</v>
      </c>
    </row>
    <row r="21" spans="1:85" customFormat="1" ht="67.5" customHeight="1" thickBot="1">
      <c r="A21" s="19" t="s">
        <v>95</v>
      </c>
      <c r="B21" s="20" t="s">
        <v>96</v>
      </c>
      <c r="C21" s="20" t="s">
        <v>97</v>
      </c>
      <c r="D21" s="277" t="s">
        <v>98</v>
      </c>
      <c r="E21" s="282" t="s">
        <v>99</v>
      </c>
      <c r="F21" s="282" t="s">
        <v>100</v>
      </c>
      <c r="G21" s="20" t="s">
        <v>101</v>
      </c>
      <c r="H21" s="20" t="s">
        <v>102</v>
      </c>
      <c r="I21" s="21" t="s">
        <v>103</v>
      </c>
      <c r="J21" s="21" t="s">
        <v>104</v>
      </c>
      <c r="K21" s="21" t="s">
        <v>105</v>
      </c>
      <c r="L21" s="21" t="s">
        <v>106</v>
      </c>
      <c r="M21" s="21" t="s">
        <v>107</v>
      </c>
      <c r="N21" s="21" t="s">
        <v>108</v>
      </c>
      <c r="O21" s="20" t="s">
        <v>109</v>
      </c>
      <c r="P21" s="20" t="s">
        <v>110</v>
      </c>
      <c r="Q21" s="20" t="s">
        <v>111</v>
      </c>
      <c r="R21" s="20" t="s">
        <v>112</v>
      </c>
      <c r="S21" s="20" t="s">
        <v>113</v>
      </c>
      <c r="T21" s="20" t="s">
        <v>114</v>
      </c>
      <c r="U21" s="20" t="s">
        <v>115</v>
      </c>
      <c r="V21" s="20" t="s">
        <v>116</v>
      </c>
      <c r="W21" s="20" t="s">
        <v>117</v>
      </c>
      <c r="X21" s="22" t="s">
        <v>118</v>
      </c>
      <c r="Y21" s="20" t="s">
        <v>119</v>
      </c>
      <c r="Z21" s="20" t="s">
        <v>120</v>
      </c>
      <c r="AA21" s="20" t="s">
        <v>121</v>
      </c>
      <c r="AB21" s="20" t="s">
        <v>122</v>
      </c>
      <c r="AC21" s="20" t="s">
        <v>123</v>
      </c>
      <c r="AD21" s="20" t="s">
        <v>124</v>
      </c>
      <c r="AE21" s="20" t="s">
        <v>125</v>
      </c>
      <c r="AF21" s="20" t="s">
        <v>126</v>
      </c>
      <c r="AG21" s="20" t="s">
        <v>127</v>
      </c>
      <c r="AH21" s="20" t="s">
        <v>128</v>
      </c>
      <c r="AI21" s="22" t="s">
        <v>129</v>
      </c>
      <c r="AJ21" s="22" t="s">
        <v>130</v>
      </c>
      <c r="AK21" s="20" t="s">
        <v>131</v>
      </c>
      <c r="AL21" s="20" t="s">
        <v>132</v>
      </c>
      <c r="AM21" s="20" t="s">
        <v>133</v>
      </c>
      <c r="AN21" s="20" t="s">
        <v>134</v>
      </c>
      <c r="AO21" s="20" t="s">
        <v>135</v>
      </c>
      <c r="AP21" s="20" t="s">
        <v>136</v>
      </c>
      <c r="AQ21" s="20" t="s">
        <v>137</v>
      </c>
      <c r="AR21" s="20" t="s">
        <v>138</v>
      </c>
      <c r="AS21" s="20" t="s">
        <v>139</v>
      </c>
      <c r="AT21" s="20" t="s">
        <v>140</v>
      </c>
      <c r="AU21" s="20" t="s">
        <v>141</v>
      </c>
      <c r="AV21" s="20" t="s">
        <v>142</v>
      </c>
      <c r="AW21" s="22" t="s">
        <v>143</v>
      </c>
      <c r="AX21" s="22" t="s">
        <v>144</v>
      </c>
      <c r="AY21" s="20" t="s">
        <v>145</v>
      </c>
      <c r="AZ21" s="20" t="s">
        <v>146</v>
      </c>
      <c r="BA21" s="22" t="s">
        <v>147</v>
      </c>
      <c r="BB21" s="22" t="s">
        <v>148</v>
      </c>
      <c r="BC21" s="20" t="s">
        <v>149</v>
      </c>
      <c r="BD21" s="20" t="s">
        <v>150</v>
      </c>
      <c r="BE21" s="22" t="s">
        <v>151</v>
      </c>
      <c r="BF21" s="22" t="s">
        <v>152</v>
      </c>
      <c r="BG21" s="20" t="s">
        <v>153</v>
      </c>
      <c r="BH21" s="22" t="s">
        <v>154</v>
      </c>
      <c r="BI21" s="23" t="s">
        <v>155</v>
      </c>
      <c r="BJ21" s="23" t="s">
        <v>156</v>
      </c>
      <c r="BK21" s="24" t="s">
        <v>157</v>
      </c>
      <c r="BL21" s="23" t="s">
        <v>158</v>
      </c>
      <c r="BM21" s="24" t="s">
        <v>159</v>
      </c>
      <c r="BN21" s="23" t="s">
        <v>160</v>
      </c>
      <c r="BO21" s="25" t="s">
        <v>161</v>
      </c>
      <c r="BP21" s="25" t="s">
        <v>162</v>
      </c>
      <c r="BQ21" s="25" t="s">
        <v>163</v>
      </c>
      <c r="BR21" s="25" t="s">
        <v>164</v>
      </c>
      <c r="BS21" s="25" t="s">
        <v>165</v>
      </c>
      <c r="BT21" s="25" t="s">
        <v>166</v>
      </c>
      <c r="BU21" s="25" t="s">
        <v>167</v>
      </c>
      <c r="BV21" s="25" t="s">
        <v>168</v>
      </c>
      <c r="BW21" s="26" t="s">
        <v>169</v>
      </c>
      <c r="BX21" s="26" t="s">
        <v>170</v>
      </c>
      <c r="BY21" s="25" t="s">
        <v>171</v>
      </c>
      <c r="BZ21" s="25" t="s">
        <v>172</v>
      </c>
      <c r="CA21" s="25" t="s">
        <v>173</v>
      </c>
      <c r="CB21" s="25" t="s">
        <v>174</v>
      </c>
      <c r="CC21" s="25" t="s">
        <v>175</v>
      </c>
      <c r="CD21" s="25" t="s">
        <v>176</v>
      </c>
      <c r="CE21" s="25" t="s">
        <v>177</v>
      </c>
      <c r="CF21" s="25" t="s">
        <v>178</v>
      </c>
      <c r="CG21" s="27" t="s">
        <v>179</v>
      </c>
    </row>
    <row r="22" spans="1:85" customFormat="1" ht="39.950000000000003" customHeight="1">
      <c r="A22" s="304">
        <v>1</v>
      </c>
      <c r="B22" s="308" t="s">
        <v>1143</v>
      </c>
      <c r="C22" s="308" t="s">
        <v>1144</v>
      </c>
      <c r="D22" s="306" t="s">
        <v>180</v>
      </c>
      <c r="E22" s="290"/>
      <c r="F22" s="290" t="s">
        <v>181</v>
      </c>
      <c r="G22" s="269"/>
      <c r="H22" s="269">
        <v>12905</v>
      </c>
      <c r="I22" s="269"/>
      <c r="J22" s="269"/>
      <c r="K22" s="269"/>
      <c r="L22" s="269"/>
      <c r="M22" s="269"/>
      <c r="N22" s="269"/>
      <c r="O22" s="269"/>
      <c r="P22" s="269"/>
      <c r="Q22" s="269"/>
      <c r="R22" s="269"/>
      <c r="S22" s="269"/>
      <c r="T22" s="269"/>
      <c r="U22" s="269"/>
      <c r="V22" s="269"/>
      <c r="W22" s="269"/>
      <c r="X22" s="269"/>
      <c r="Y22" s="309" t="s">
        <v>182</v>
      </c>
      <c r="Z22" s="309" t="s">
        <v>183</v>
      </c>
      <c r="AA22" s="310" t="s">
        <v>184</v>
      </c>
      <c r="AB22" s="311">
        <v>44224</v>
      </c>
      <c r="AC22" s="269">
        <v>12973</v>
      </c>
      <c r="AD22" s="312">
        <v>44224</v>
      </c>
      <c r="AE22" s="312">
        <v>44561</v>
      </c>
      <c r="AF22" s="269">
        <v>1500</v>
      </c>
      <c r="AG22" s="308" t="s">
        <v>185</v>
      </c>
      <c r="AH22" s="269"/>
      <c r="AI22" s="269"/>
      <c r="AJ22" s="269"/>
      <c r="AK22" s="269">
        <v>59880</v>
      </c>
      <c r="AL22" s="28" t="s">
        <v>189</v>
      </c>
      <c r="AM22" s="28" t="s">
        <v>190</v>
      </c>
      <c r="AN22" s="29">
        <v>44551</v>
      </c>
      <c r="AO22" s="30">
        <v>13194</v>
      </c>
      <c r="AP22" s="28" t="s">
        <v>191</v>
      </c>
      <c r="AQ22" s="28" t="s">
        <v>192</v>
      </c>
      <c r="AR22" s="28" t="s">
        <v>193</v>
      </c>
      <c r="AS22" s="31"/>
      <c r="AT22" s="32"/>
      <c r="AU22" s="31">
        <f>AW22/59880</f>
        <v>9.0284569138276552E-2</v>
      </c>
      <c r="AV22" s="32"/>
      <c r="AW22" s="33">
        <v>5406.24</v>
      </c>
      <c r="AX22" s="33"/>
      <c r="AY22" s="33"/>
      <c r="AZ22" s="34"/>
      <c r="BA22" s="35"/>
      <c r="BB22" s="35"/>
      <c r="BC22" s="36"/>
      <c r="BD22" s="36"/>
      <c r="BE22" s="35"/>
      <c r="BF22" s="35"/>
      <c r="BG22" s="36"/>
      <c r="BH22" s="35"/>
      <c r="BI22" s="35">
        <f>5406.24*12</f>
        <v>64874.879999999997</v>
      </c>
      <c r="BJ22" s="35"/>
      <c r="BK22" s="35"/>
      <c r="BL22" s="39">
        <v>31497.39</v>
      </c>
      <c r="BM22" s="35"/>
      <c r="BN22" s="39">
        <v>237344.19</v>
      </c>
      <c r="BO22" s="40"/>
      <c r="BP22" s="40"/>
      <c r="BQ22" s="40"/>
      <c r="BR22" s="40"/>
      <c r="BS22" s="40"/>
      <c r="BT22" s="40"/>
      <c r="BU22" s="40"/>
      <c r="BV22" s="40"/>
      <c r="BW22" s="41"/>
      <c r="BX22" s="41"/>
      <c r="BY22" s="40"/>
      <c r="BZ22" s="40"/>
      <c r="CA22" s="40"/>
      <c r="CB22" s="306" t="s">
        <v>1145</v>
      </c>
      <c r="CC22" s="313">
        <v>14116</v>
      </c>
      <c r="CD22" s="290" t="s">
        <v>1146</v>
      </c>
      <c r="CE22" s="313" t="s">
        <v>187</v>
      </c>
      <c r="CF22" s="290" t="s">
        <v>1147</v>
      </c>
      <c r="CG22" s="290">
        <v>715268</v>
      </c>
    </row>
    <row r="23" spans="1:85" customFormat="1" ht="39.950000000000003" customHeight="1">
      <c r="A23" s="304"/>
      <c r="B23" s="269"/>
      <c r="C23" s="269"/>
      <c r="D23" s="306"/>
      <c r="E23" s="290"/>
      <c r="F23" s="290"/>
      <c r="G23" s="269"/>
      <c r="H23" s="269"/>
      <c r="I23" s="269"/>
      <c r="J23" s="269"/>
      <c r="K23" s="269"/>
      <c r="L23" s="269"/>
      <c r="M23" s="269"/>
      <c r="N23" s="269"/>
      <c r="O23" s="269"/>
      <c r="P23" s="269"/>
      <c r="Q23" s="269"/>
      <c r="R23" s="269"/>
      <c r="S23" s="269"/>
      <c r="T23" s="269"/>
      <c r="U23" s="269"/>
      <c r="V23" s="269"/>
      <c r="W23" s="269"/>
      <c r="X23" s="269"/>
      <c r="Y23" s="271"/>
      <c r="Z23" s="271"/>
      <c r="AA23" s="269"/>
      <c r="AB23" s="269"/>
      <c r="AC23" s="269"/>
      <c r="AD23" s="269"/>
      <c r="AE23" s="269"/>
      <c r="AF23" s="269"/>
      <c r="AG23" s="269"/>
      <c r="AH23" s="269"/>
      <c r="AI23" s="269"/>
      <c r="AJ23" s="269"/>
      <c r="AK23" s="269"/>
      <c r="AL23" s="28" t="s">
        <v>189</v>
      </c>
      <c r="AM23" s="28" t="s">
        <v>194</v>
      </c>
      <c r="AN23" s="29">
        <v>44923</v>
      </c>
      <c r="AO23" s="30">
        <v>13457</v>
      </c>
      <c r="AP23" s="28" t="s">
        <v>195</v>
      </c>
      <c r="AQ23" s="28" t="s">
        <v>196</v>
      </c>
      <c r="AR23" s="28" t="s">
        <v>197</v>
      </c>
      <c r="AS23" s="31"/>
      <c r="AT23" s="32"/>
      <c r="AU23" s="31"/>
      <c r="AV23" s="32"/>
      <c r="AW23" s="33"/>
      <c r="AX23" s="33"/>
      <c r="AY23" s="33"/>
      <c r="AZ23" s="34"/>
      <c r="BA23" s="35"/>
      <c r="BB23" s="35"/>
      <c r="BC23" s="36"/>
      <c r="BD23" s="36"/>
      <c r="BE23" s="35"/>
      <c r="BF23" s="35"/>
      <c r="BG23" s="36"/>
      <c r="BH23" s="35"/>
      <c r="BI23" s="42"/>
      <c r="BJ23" s="35"/>
      <c r="BK23" s="35"/>
      <c r="BL23" s="35"/>
      <c r="BM23" s="35"/>
      <c r="BN23" s="39">
        <f t="shared" ref="BN22:BN23" si="0">BJ23+BL23</f>
        <v>0</v>
      </c>
      <c r="BO23" s="40"/>
      <c r="BP23" s="40"/>
      <c r="BQ23" s="40"/>
      <c r="BR23" s="40"/>
      <c r="BS23" s="40"/>
      <c r="BT23" s="40"/>
      <c r="BU23" s="40"/>
      <c r="BV23" s="40"/>
      <c r="BW23" s="41"/>
      <c r="BX23" s="41"/>
      <c r="BY23" s="40"/>
      <c r="BZ23" s="40"/>
      <c r="CA23" s="40"/>
      <c r="CB23" s="306"/>
      <c r="CC23" s="290"/>
      <c r="CD23" s="290"/>
      <c r="CE23" s="290"/>
      <c r="CF23" s="290"/>
      <c r="CG23" s="290"/>
    </row>
    <row r="24" spans="1:85" customFormat="1" ht="39.950000000000003" customHeight="1">
      <c r="A24" s="304"/>
      <c r="B24" s="269"/>
      <c r="C24" s="269"/>
      <c r="D24" s="306"/>
      <c r="E24" s="290"/>
      <c r="F24" s="290"/>
      <c r="G24" s="269"/>
      <c r="H24" s="269"/>
      <c r="I24" s="269"/>
      <c r="J24" s="269"/>
      <c r="K24" s="269"/>
      <c r="L24" s="269"/>
      <c r="M24" s="269"/>
      <c r="N24" s="269"/>
      <c r="O24" s="269"/>
      <c r="P24" s="269"/>
      <c r="Q24" s="269"/>
      <c r="R24" s="269"/>
      <c r="S24" s="269"/>
      <c r="T24" s="269"/>
      <c r="U24" s="269"/>
      <c r="V24" s="269"/>
      <c r="W24" s="269"/>
      <c r="X24" s="269"/>
      <c r="Y24" s="271"/>
      <c r="Z24" s="271"/>
      <c r="AA24" s="269"/>
      <c r="AB24" s="269"/>
      <c r="AC24" s="269"/>
      <c r="AD24" s="269"/>
      <c r="AE24" s="269"/>
      <c r="AF24" s="269"/>
      <c r="AG24" s="269"/>
      <c r="AH24" s="269"/>
      <c r="AI24" s="269"/>
      <c r="AJ24" s="269"/>
      <c r="AK24" s="269"/>
      <c r="AL24" s="28" t="s">
        <v>198</v>
      </c>
      <c r="AM24" s="28" t="s">
        <v>199</v>
      </c>
      <c r="AN24" s="29">
        <v>45106</v>
      </c>
      <c r="AO24" s="30"/>
      <c r="AP24" s="28" t="s">
        <v>200</v>
      </c>
      <c r="AQ24" s="28" t="s">
        <v>201</v>
      </c>
      <c r="AR24" s="28" t="s">
        <v>197</v>
      </c>
      <c r="AS24" s="31"/>
      <c r="AT24" s="32"/>
      <c r="AU24" s="31">
        <f>AW24/BI22</f>
        <v>0.10876690638965353</v>
      </c>
      <c r="AV24" s="32"/>
      <c r="AW24" s="33">
        <f>SUM(5994.26-5406.24)*12</f>
        <v>7056.2400000000052</v>
      </c>
      <c r="AX24" s="33"/>
      <c r="AY24" s="33"/>
      <c r="AZ24" s="34"/>
      <c r="BA24" s="35"/>
      <c r="BB24" s="35"/>
      <c r="BC24" s="36"/>
      <c r="BD24" s="36"/>
      <c r="BE24" s="35"/>
      <c r="BF24" s="35"/>
      <c r="BG24" s="36"/>
      <c r="BH24" s="35"/>
      <c r="BI24" s="35">
        <f>BI22+AW24</f>
        <v>71931.12</v>
      </c>
      <c r="BJ24" s="35"/>
      <c r="BK24" s="35"/>
      <c r="BL24" s="35"/>
      <c r="BM24" s="35"/>
      <c r="BN24" s="39"/>
      <c r="BO24" s="40"/>
      <c r="BP24" s="40"/>
      <c r="BQ24" s="40"/>
      <c r="BR24" s="40"/>
      <c r="BS24" s="40"/>
      <c r="BT24" s="40"/>
      <c r="BU24" s="40"/>
      <c r="BV24" s="40"/>
      <c r="BW24" s="41"/>
      <c r="BX24" s="41"/>
      <c r="BY24" s="40"/>
      <c r="BZ24" s="40"/>
      <c r="CA24" s="40"/>
      <c r="CB24" s="306"/>
      <c r="CC24" s="290"/>
      <c r="CD24" s="290"/>
      <c r="CE24" s="290"/>
      <c r="CF24" s="290"/>
      <c r="CG24" s="290"/>
    </row>
    <row r="25" spans="1:85" customFormat="1" ht="39.950000000000003" customHeight="1">
      <c r="A25" s="304"/>
      <c r="B25" s="269"/>
      <c r="C25" s="269"/>
      <c r="D25" s="306"/>
      <c r="E25" s="290"/>
      <c r="F25" s="290"/>
      <c r="G25" s="269"/>
      <c r="H25" s="269"/>
      <c r="I25" s="269"/>
      <c r="J25" s="269"/>
      <c r="K25" s="269"/>
      <c r="L25" s="269"/>
      <c r="M25" s="269"/>
      <c r="N25" s="269"/>
      <c r="O25" s="269"/>
      <c r="P25" s="269"/>
      <c r="Q25" s="269"/>
      <c r="R25" s="269"/>
      <c r="S25" s="269"/>
      <c r="T25" s="269"/>
      <c r="U25" s="269"/>
      <c r="V25" s="269"/>
      <c r="W25" s="269"/>
      <c r="X25" s="269"/>
      <c r="Y25" s="271"/>
      <c r="Z25" s="271"/>
      <c r="AA25" s="269"/>
      <c r="AB25" s="269"/>
      <c r="AC25" s="269"/>
      <c r="AD25" s="269"/>
      <c r="AE25" s="269"/>
      <c r="AF25" s="269"/>
      <c r="AG25" s="269"/>
      <c r="AH25" s="269"/>
      <c r="AI25" s="269"/>
      <c r="AJ25" s="269"/>
      <c r="AK25" s="269"/>
      <c r="AL25" s="28" t="s">
        <v>189</v>
      </c>
      <c r="AM25" s="28" t="s">
        <v>202</v>
      </c>
      <c r="AN25" s="29">
        <v>45286</v>
      </c>
      <c r="AO25" s="30">
        <v>13696</v>
      </c>
      <c r="AP25" s="28" t="s">
        <v>195</v>
      </c>
      <c r="AQ25" s="28" t="s">
        <v>203</v>
      </c>
      <c r="AR25" s="28" t="s">
        <v>204</v>
      </c>
      <c r="AS25" s="31"/>
      <c r="AT25" s="32"/>
      <c r="AU25" s="31"/>
      <c r="AV25" s="32"/>
      <c r="AW25" s="33"/>
      <c r="AX25" s="33"/>
      <c r="AY25" s="33"/>
      <c r="AZ25" s="34"/>
      <c r="BA25" s="35"/>
      <c r="BB25" s="35"/>
      <c r="BC25" s="36"/>
      <c r="BD25" s="36"/>
      <c r="BE25" s="35"/>
      <c r="BF25" s="35"/>
      <c r="BG25" s="36"/>
      <c r="BH25" s="35"/>
      <c r="BI25" s="35"/>
      <c r="BJ25" s="35"/>
      <c r="BK25" s="35"/>
      <c r="BL25" s="35"/>
      <c r="BM25" s="35"/>
      <c r="BN25" s="39">
        <f>BJ25+BL25</f>
        <v>0</v>
      </c>
      <c r="BO25" s="40"/>
      <c r="BP25" s="40"/>
      <c r="BQ25" s="40"/>
      <c r="BR25" s="40"/>
      <c r="BS25" s="40"/>
      <c r="BT25" s="40"/>
      <c r="BU25" s="40"/>
      <c r="BV25" s="40"/>
      <c r="BW25" s="41"/>
      <c r="BX25" s="41"/>
      <c r="BY25" s="40"/>
      <c r="BZ25" s="40"/>
      <c r="CA25" s="40"/>
      <c r="CB25" s="306"/>
      <c r="CC25" s="290"/>
      <c r="CD25" s="290"/>
      <c r="CE25" s="290"/>
      <c r="CF25" s="290"/>
      <c r="CG25" s="290"/>
    </row>
    <row r="26" spans="1:85" customFormat="1" ht="39.950000000000003" customHeight="1">
      <c r="A26" s="304"/>
      <c r="B26" s="269"/>
      <c r="C26" s="269"/>
      <c r="D26" s="306"/>
      <c r="E26" s="290"/>
      <c r="F26" s="290"/>
      <c r="G26" s="269"/>
      <c r="H26" s="269"/>
      <c r="I26" s="269"/>
      <c r="J26" s="269"/>
      <c r="K26" s="269"/>
      <c r="L26" s="269"/>
      <c r="M26" s="269"/>
      <c r="N26" s="269"/>
      <c r="O26" s="269"/>
      <c r="P26" s="269"/>
      <c r="Q26" s="269"/>
      <c r="R26" s="269"/>
      <c r="S26" s="269"/>
      <c r="T26" s="269"/>
      <c r="U26" s="269"/>
      <c r="V26" s="269"/>
      <c r="W26" s="269"/>
      <c r="X26" s="269"/>
      <c r="Y26" s="271"/>
      <c r="Z26" s="271"/>
      <c r="AA26" s="269"/>
      <c r="AB26" s="269"/>
      <c r="AC26" s="269"/>
      <c r="AD26" s="269"/>
      <c r="AE26" s="269"/>
      <c r="AF26" s="269"/>
      <c r="AG26" s="269"/>
      <c r="AH26" s="269"/>
      <c r="AI26" s="269"/>
      <c r="AJ26" s="269"/>
      <c r="AK26" s="269"/>
      <c r="AL26" s="28" t="s">
        <v>189</v>
      </c>
      <c r="AM26" s="28" t="s">
        <v>205</v>
      </c>
      <c r="AN26" s="29">
        <v>45657</v>
      </c>
      <c r="AO26" s="30">
        <v>13696</v>
      </c>
      <c r="AP26" s="28" t="s">
        <v>195</v>
      </c>
      <c r="AQ26" s="28" t="s">
        <v>206</v>
      </c>
      <c r="AR26" s="28" t="s">
        <v>207</v>
      </c>
      <c r="AS26" s="31"/>
      <c r="AT26" s="32"/>
      <c r="AU26" s="31"/>
      <c r="AV26" s="32"/>
      <c r="AW26" s="33"/>
      <c r="AX26" s="33"/>
      <c r="AY26" s="33"/>
      <c r="AZ26" s="34"/>
      <c r="BA26" s="35"/>
      <c r="BB26" s="35"/>
      <c r="BC26" s="36"/>
      <c r="BD26" s="36"/>
      <c r="BE26" s="35"/>
      <c r="BF26" s="35"/>
      <c r="BG26" s="36"/>
      <c r="BH26" s="35"/>
      <c r="BI26" s="35"/>
      <c r="BJ26" s="35"/>
      <c r="BK26" s="35"/>
      <c r="BL26" s="35"/>
      <c r="BM26" s="35"/>
      <c r="BN26" s="39"/>
      <c r="BO26" s="40"/>
      <c r="BP26" s="40"/>
      <c r="BQ26" s="40"/>
      <c r="BR26" s="40"/>
      <c r="BS26" s="40"/>
      <c r="BT26" s="40"/>
      <c r="BU26" s="40"/>
      <c r="BV26" s="40"/>
      <c r="BW26" s="41"/>
      <c r="BX26" s="41"/>
      <c r="BY26" s="40"/>
      <c r="BZ26" s="40"/>
      <c r="CA26" s="40"/>
      <c r="CB26" s="306"/>
      <c r="CC26" s="290"/>
      <c r="CD26" s="290"/>
      <c r="CE26" s="290"/>
      <c r="CF26" s="290"/>
      <c r="CG26" s="290"/>
    </row>
    <row r="27" spans="1:85" customFormat="1" ht="39.950000000000003" customHeight="1">
      <c r="A27" s="304"/>
      <c r="B27" s="269"/>
      <c r="C27" s="269"/>
      <c r="D27" s="306"/>
      <c r="E27" s="290"/>
      <c r="F27" s="290"/>
      <c r="G27" s="269"/>
      <c r="H27" s="269"/>
      <c r="I27" s="269"/>
      <c r="J27" s="269"/>
      <c r="K27" s="269"/>
      <c r="L27" s="269"/>
      <c r="M27" s="269"/>
      <c r="N27" s="269"/>
      <c r="O27" s="269"/>
      <c r="P27" s="269"/>
      <c r="Q27" s="269"/>
      <c r="R27" s="269"/>
      <c r="S27" s="269"/>
      <c r="T27" s="269"/>
      <c r="U27" s="269"/>
      <c r="V27" s="269"/>
      <c r="W27" s="269"/>
      <c r="X27" s="269"/>
      <c r="Y27" s="271"/>
      <c r="Z27" s="271"/>
      <c r="AA27" s="269"/>
      <c r="AB27" s="269"/>
      <c r="AC27" s="269"/>
      <c r="AD27" s="269"/>
      <c r="AE27" s="269"/>
      <c r="AF27" s="269"/>
      <c r="AG27" s="269"/>
      <c r="AH27" s="269"/>
      <c r="AI27" s="269"/>
      <c r="AJ27" s="269"/>
      <c r="AK27" s="269"/>
      <c r="AL27" s="28" t="s">
        <v>198</v>
      </c>
      <c r="AM27" s="28" t="s">
        <v>194</v>
      </c>
      <c r="AN27" s="29"/>
      <c r="AO27" s="30">
        <v>13981</v>
      </c>
      <c r="AP27" s="28" t="s">
        <v>200</v>
      </c>
      <c r="AQ27" s="28"/>
      <c r="AR27" s="28" t="s">
        <v>207</v>
      </c>
      <c r="AS27" s="31"/>
      <c r="AT27" s="32"/>
      <c r="AU27" s="31">
        <f>AW27/BI24</f>
        <v>2.9257990143904337E-2</v>
      </c>
      <c r="AV27" s="32"/>
      <c r="AW27" s="33">
        <v>2104.56</v>
      </c>
      <c r="AX27" s="33"/>
      <c r="AY27" s="33"/>
      <c r="AZ27" s="34"/>
      <c r="BA27" s="35"/>
      <c r="BB27" s="35"/>
      <c r="BC27" s="36"/>
      <c r="BD27" s="36"/>
      <c r="BE27" s="35"/>
      <c r="BF27" s="35"/>
      <c r="BG27" s="36"/>
      <c r="BH27" s="35"/>
      <c r="BI27" s="35">
        <f>BI24+AW27</f>
        <v>74035.679999999993</v>
      </c>
      <c r="BJ27" s="35"/>
      <c r="BK27" s="35"/>
      <c r="BL27" s="35"/>
      <c r="BM27" s="35"/>
      <c r="BN27" s="39"/>
      <c r="BO27" s="40"/>
      <c r="BP27" s="40"/>
      <c r="BQ27" s="40"/>
      <c r="BR27" s="40"/>
      <c r="BS27" s="40"/>
      <c r="BT27" s="40"/>
      <c r="BU27" s="40"/>
      <c r="BV27" s="40"/>
      <c r="BW27" s="41"/>
      <c r="BX27" s="41"/>
      <c r="BY27" s="40"/>
      <c r="BZ27" s="40"/>
      <c r="CA27" s="40"/>
      <c r="CB27" s="306"/>
      <c r="CC27" s="290"/>
      <c r="CD27" s="290"/>
      <c r="CE27" s="290"/>
      <c r="CF27" s="290"/>
      <c r="CG27" s="290"/>
    </row>
    <row r="28" spans="1:85" customFormat="1" ht="39.950000000000003" customHeight="1">
      <c r="A28" s="304"/>
      <c r="B28" s="269"/>
      <c r="C28" s="269"/>
      <c r="D28" s="306"/>
      <c r="E28" s="290"/>
      <c r="F28" s="290"/>
      <c r="G28" s="269"/>
      <c r="H28" s="269"/>
      <c r="I28" s="269"/>
      <c r="J28" s="269"/>
      <c r="K28" s="269"/>
      <c r="L28" s="269"/>
      <c r="M28" s="269"/>
      <c r="N28" s="269"/>
      <c r="O28" s="269"/>
      <c r="P28" s="269"/>
      <c r="Q28" s="269"/>
      <c r="R28" s="269"/>
      <c r="S28" s="269"/>
      <c r="T28" s="269"/>
      <c r="U28" s="269"/>
      <c r="V28" s="269"/>
      <c r="W28" s="269"/>
      <c r="X28" s="269"/>
      <c r="Y28" s="271"/>
      <c r="Z28" s="271"/>
      <c r="AA28" s="269"/>
      <c r="AB28" s="269"/>
      <c r="AC28" s="269"/>
      <c r="AD28" s="269"/>
      <c r="AE28" s="269"/>
      <c r="AF28" s="269"/>
      <c r="AG28" s="269"/>
      <c r="AH28" s="269"/>
      <c r="AI28" s="269"/>
      <c r="AJ28" s="269"/>
      <c r="AK28" s="269"/>
      <c r="AL28" s="28" t="s">
        <v>189</v>
      </c>
      <c r="AM28" s="28" t="s">
        <v>208</v>
      </c>
      <c r="AN28" s="29">
        <v>46021</v>
      </c>
      <c r="AO28" s="30">
        <v>14181</v>
      </c>
      <c r="AP28" s="28" t="s">
        <v>209</v>
      </c>
      <c r="AQ28" s="28" t="s">
        <v>210</v>
      </c>
      <c r="AR28" s="28" t="s">
        <v>211</v>
      </c>
      <c r="AS28" s="31"/>
      <c r="AT28" s="32"/>
      <c r="AU28" s="31"/>
      <c r="AV28" s="32"/>
      <c r="AW28" s="33"/>
      <c r="AX28" s="33"/>
      <c r="AY28" s="33"/>
      <c r="AZ28" s="34"/>
      <c r="BA28" s="35"/>
      <c r="BB28" s="35"/>
      <c r="BC28" s="36"/>
      <c r="BD28" s="36"/>
      <c r="BE28" s="35"/>
      <c r="BF28" s="35"/>
      <c r="BG28" s="36"/>
      <c r="BH28" s="35"/>
      <c r="BI28" s="35"/>
      <c r="BJ28" s="35"/>
      <c r="BK28" s="35"/>
      <c r="BL28" s="35"/>
      <c r="BM28" s="35"/>
      <c r="BN28" s="39"/>
      <c r="BO28" s="40"/>
      <c r="BP28" s="40"/>
      <c r="BQ28" s="40"/>
      <c r="BR28" s="40"/>
      <c r="BS28" s="40"/>
      <c r="BT28" s="40"/>
      <c r="BU28" s="40"/>
      <c r="BV28" s="40"/>
      <c r="BW28" s="41"/>
      <c r="BX28" s="41"/>
      <c r="BY28" s="40"/>
      <c r="BZ28" s="40"/>
      <c r="CA28" s="40"/>
      <c r="CB28" s="306"/>
      <c r="CC28" s="290"/>
      <c r="CD28" s="290"/>
      <c r="CE28" s="290"/>
      <c r="CF28" s="290"/>
      <c r="CG28" s="290"/>
    </row>
    <row r="29" spans="1:85" customFormat="1" ht="39.950000000000003" customHeight="1">
      <c r="A29" s="304"/>
      <c r="B29" s="269"/>
      <c r="C29" s="269"/>
      <c r="D29" s="306"/>
      <c r="E29" s="290"/>
      <c r="F29" s="290"/>
      <c r="G29" s="269"/>
      <c r="H29" s="269"/>
      <c r="I29" s="269"/>
      <c r="J29" s="269"/>
      <c r="K29" s="269"/>
      <c r="L29" s="269"/>
      <c r="M29" s="269"/>
      <c r="N29" s="269"/>
      <c r="O29" s="269"/>
      <c r="P29" s="269"/>
      <c r="Q29" s="269"/>
      <c r="R29" s="269"/>
      <c r="S29" s="269"/>
      <c r="T29" s="269"/>
      <c r="U29" s="269"/>
      <c r="V29" s="269"/>
      <c r="W29" s="269"/>
      <c r="X29" s="269"/>
      <c r="Y29" s="271"/>
      <c r="Z29" s="271"/>
      <c r="AA29" s="269"/>
      <c r="AB29" s="269"/>
      <c r="AC29" s="269"/>
      <c r="AD29" s="269"/>
      <c r="AE29" s="269"/>
      <c r="AF29" s="269"/>
      <c r="AG29" s="269"/>
      <c r="AH29" s="269"/>
      <c r="AI29" s="269"/>
      <c r="AJ29" s="269"/>
      <c r="AK29" s="269"/>
      <c r="AL29" s="28" t="s">
        <v>189</v>
      </c>
      <c r="AM29" s="28" t="s">
        <v>212</v>
      </c>
      <c r="AN29" s="29">
        <v>46050</v>
      </c>
      <c r="AO29" s="30">
        <v>14210</v>
      </c>
      <c r="AP29" s="28" t="s">
        <v>213</v>
      </c>
      <c r="AQ29" s="28" t="s">
        <v>214</v>
      </c>
      <c r="AR29" s="28" t="s">
        <v>215</v>
      </c>
      <c r="AS29" s="31"/>
      <c r="AT29" s="32"/>
      <c r="AU29" s="31"/>
      <c r="AV29" s="32"/>
      <c r="AW29" s="33"/>
      <c r="AX29" s="33"/>
      <c r="AY29" s="33"/>
      <c r="AZ29" s="34"/>
      <c r="BA29" s="35"/>
      <c r="BB29" s="35"/>
      <c r="BC29" s="36"/>
      <c r="BD29" s="36"/>
      <c r="BE29" s="35"/>
      <c r="BF29" s="35"/>
      <c r="BG29" s="36"/>
      <c r="BH29" s="35"/>
      <c r="BI29" s="35"/>
      <c r="BJ29" s="35"/>
      <c r="BK29" s="35"/>
      <c r="BL29" s="35"/>
      <c r="BM29" s="35"/>
      <c r="BN29" s="39"/>
      <c r="BO29" s="40"/>
      <c r="BP29" s="40"/>
      <c r="BQ29" s="40"/>
      <c r="BR29" s="40"/>
      <c r="BS29" s="40"/>
      <c r="BT29" s="40"/>
      <c r="BU29" s="40"/>
      <c r="BV29" s="40"/>
      <c r="BW29" s="41"/>
      <c r="BX29" s="41"/>
      <c r="BY29" s="40"/>
      <c r="BZ29" s="40"/>
      <c r="CA29" s="40"/>
      <c r="CB29" s="306"/>
      <c r="CC29" s="290"/>
      <c r="CD29" s="290"/>
      <c r="CE29" s="290"/>
      <c r="CF29" s="290"/>
      <c r="CG29" s="290"/>
    </row>
    <row r="30" spans="1:85" customFormat="1" ht="39.950000000000003" customHeight="1">
      <c r="A30" s="305"/>
      <c r="B30" s="270"/>
      <c r="C30" s="270"/>
      <c r="D30" s="307"/>
      <c r="E30" s="291"/>
      <c r="F30" s="291"/>
      <c r="G30" s="270"/>
      <c r="H30" s="270"/>
      <c r="I30" s="270"/>
      <c r="J30" s="270"/>
      <c r="K30" s="270"/>
      <c r="L30" s="270"/>
      <c r="M30" s="270"/>
      <c r="N30" s="270"/>
      <c r="O30" s="270"/>
      <c r="P30" s="270"/>
      <c r="Q30" s="270"/>
      <c r="R30" s="270"/>
      <c r="S30" s="270"/>
      <c r="T30" s="270"/>
      <c r="U30" s="270"/>
      <c r="V30" s="270"/>
      <c r="W30" s="270"/>
      <c r="X30" s="270"/>
      <c r="Y30" s="272"/>
      <c r="Z30" s="272"/>
      <c r="AA30" s="270"/>
      <c r="AB30" s="270"/>
      <c r="AC30" s="270"/>
      <c r="AD30" s="270"/>
      <c r="AE30" s="270"/>
      <c r="AF30" s="270"/>
      <c r="AG30" s="270"/>
      <c r="AH30" s="270"/>
      <c r="AI30" s="270"/>
      <c r="AJ30" s="270"/>
      <c r="AK30" s="270"/>
      <c r="AL30" s="28"/>
      <c r="AM30" s="28"/>
      <c r="AN30" s="29"/>
      <c r="AO30" s="30"/>
      <c r="AP30" s="28"/>
      <c r="AQ30" s="28"/>
      <c r="AR30" s="28"/>
      <c r="AS30" s="31"/>
      <c r="AT30" s="32"/>
      <c r="AU30" s="31"/>
      <c r="AV30" s="32"/>
      <c r="AW30" s="33"/>
      <c r="AX30" s="33"/>
      <c r="AY30" s="33"/>
      <c r="AZ30" s="34"/>
      <c r="BA30" s="35"/>
      <c r="BB30" s="35"/>
      <c r="BC30" s="36"/>
      <c r="BD30" s="36"/>
      <c r="BE30" s="35"/>
      <c r="BF30" s="35"/>
      <c r="BG30" s="36"/>
      <c r="BH30" s="35"/>
      <c r="BI30" s="42"/>
      <c r="BJ30" s="35"/>
      <c r="BK30" s="35"/>
      <c r="BL30" s="35"/>
      <c r="BM30" s="35"/>
      <c r="BN30" s="39">
        <f t="shared" ref="BN30:BN31" si="1">BJ30+BL30</f>
        <v>0</v>
      </c>
      <c r="BO30" s="40"/>
      <c r="BP30" s="40"/>
      <c r="BQ30" s="40"/>
      <c r="BR30" s="40"/>
      <c r="BS30" s="40"/>
      <c r="BT30" s="40"/>
      <c r="BU30" s="40"/>
      <c r="BV30" s="40"/>
      <c r="BW30" s="41"/>
      <c r="BX30" s="41"/>
      <c r="BY30" s="40"/>
      <c r="BZ30" s="40"/>
      <c r="CA30" s="40"/>
      <c r="CB30" s="307"/>
      <c r="CC30" s="291"/>
      <c r="CD30" s="291"/>
      <c r="CE30" s="291"/>
      <c r="CF30" s="291"/>
      <c r="CG30" s="291"/>
    </row>
    <row r="31" spans="1:85" customFormat="1" ht="60" customHeight="1">
      <c r="A31" s="170">
        <v>2</v>
      </c>
      <c r="B31" s="171" t="s">
        <v>216</v>
      </c>
      <c r="C31" s="165" t="s">
        <v>217</v>
      </c>
      <c r="D31" s="273" t="s">
        <v>218</v>
      </c>
      <c r="E31" s="273"/>
      <c r="F31" s="273" t="s">
        <v>219</v>
      </c>
      <c r="G31" s="43"/>
      <c r="H31" s="169">
        <v>14002</v>
      </c>
      <c r="I31" s="163" t="s">
        <v>220</v>
      </c>
      <c r="J31" s="161">
        <v>45524</v>
      </c>
      <c r="K31" s="161">
        <v>45888</v>
      </c>
      <c r="L31" s="157">
        <v>13848</v>
      </c>
      <c r="M31" s="154"/>
      <c r="N31" s="154"/>
      <c r="O31" s="154"/>
      <c r="P31" s="154"/>
      <c r="Q31" s="154"/>
      <c r="R31" s="154"/>
      <c r="S31" s="154"/>
      <c r="T31" s="154"/>
      <c r="U31" s="154"/>
      <c r="V31" s="154"/>
      <c r="W31" s="154"/>
      <c r="X31" s="178"/>
      <c r="Y31" s="163" t="s">
        <v>221</v>
      </c>
      <c r="Z31" s="165" t="s">
        <v>222</v>
      </c>
      <c r="AA31" s="165" t="s">
        <v>223</v>
      </c>
      <c r="AB31" s="161">
        <v>46055</v>
      </c>
      <c r="AC31" s="157">
        <v>14201</v>
      </c>
      <c r="AD31" s="161">
        <v>46055</v>
      </c>
      <c r="AE31" s="204" t="s">
        <v>224</v>
      </c>
      <c r="AF31" s="44" t="s">
        <v>225</v>
      </c>
      <c r="AG31" s="205" t="s">
        <v>226</v>
      </c>
      <c r="AH31" s="45"/>
      <c r="AI31" s="46"/>
      <c r="AJ31" s="46"/>
      <c r="AK31" s="164">
        <v>160677.79999999999</v>
      </c>
      <c r="AL31" s="47" t="s">
        <v>227</v>
      </c>
      <c r="AM31" s="36">
        <v>1</v>
      </c>
      <c r="AN31" s="48">
        <v>45888</v>
      </c>
      <c r="AO31" s="49">
        <v>14123</v>
      </c>
      <c r="AP31" s="36" t="s">
        <v>228</v>
      </c>
      <c r="AQ31" s="48">
        <v>45888</v>
      </c>
      <c r="AR31" s="48">
        <v>46252</v>
      </c>
      <c r="AS31" s="31"/>
      <c r="AT31" s="32"/>
      <c r="AU31" s="31"/>
      <c r="AV31" s="32"/>
      <c r="AW31" s="33"/>
      <c r="AX31" s="33"/>
      <c r="AY31" s="33"/>
      <c r="AZ31" s="34"/>
      <c r="BA31" s="35"/>
      <c r="BB31" s="35"/>
      <c r="BC31" s="36"/>
      <c r="BD31" s="50"/>
      <c r="BE31" s="35"/>
      <c r="BF31" s="35"/>
      <c r="BG31" s="36"/>
      <c r="BH31" s="35"/>
      <c r="BI31" s="42">
        <f>AK31</f>
        <v>160677.79999999999</v>
      </c>
      <c r="BJ31" s="35"/>
      <c r="BK31" s="51">
        <f>14915.6+14934.3+12587.1+1987.2</f>
        <v>44424.2</v>
      </c>
      <c r="BL31" s="51"/>
      <c r="BM31" s="51"/>
      <c r="BN31" s="39">
        <f t="shared" si="1"/>
        <v>0</v>
      </c>
      <c r="BO31" s="40"/>
      <c r="BP31" s="40"/>
      <c r="BQ31" s="40"/>
      <c r="BR31" s="40"/>
      <c r="BS31" s="40"/>
      <c r="BT31" s="40"/>
      <c r="BU31" s="40"/>
      <c r="BV31" s="40"/>
      <c r="BW31" s="41"/>
      <c r="BX31" s="41"/>
      <c r="BY31" s="40"/>
      <c r="BZ31" s="40"/>
      <c r="CA31" s="40"/>
      <c r="CB31" s="154" t="s">
        <v>229</v>
      </c>
      <c r="CC31" s="157">
        <v>14082</v>
      </c>
      <c r="CD31" s="154" t="s">
        <v>230</v>
      </c>
      <c r="CE31" s="157">
        <v>713115</v>
      </c>
      <c r="CF31" s="154" t="s">
        <v>231</v>
      </c>
      <c r="CG31" s="157">
        <v>716641</v>
      </c>
    </row>
    <row r="32" spans="1:85" customFormat="1" ht="60" customHeight="1">
      <c r="A32" s="155"/>
      <c r="B32" s="155"/>
      <c r="C32" s="155"/>
      <c r="D32" s="274"/>
      <c r="E32" s="274"/>
      <c r="F32" s="274"/>
      <c r="G32" s="52"/>
      <c r="H32" s="155"/>
      <c r="I32" s="155"/>
      <c r="J32" s="155"/>
      <c r="K32" s="155"/>
      <c r="L32" s="155"/>
      <c r="M32" s="155"/>
      <c r="N32" s="155"/>
      <c r="O32" s="155"/>
      <c r="P32" s="155"/>
      <c r="Q32" s="155"/>
      <c r="R32" s="155"/>
      <c r="S32" s="155"/>
      <c r="T32" s="155"/>
      <c r="U32" s="155"/>
      <c r="V32" s="155"/>
      <c r="W32" s="155"/>
      <c r="X32" s="155"/>
      <c r="Y32" s="155"/>
      <c r="Z32" s="155"/>
      <c r="AA32" s="155"/>
      <c r="AB32" s="155"/>
      <c r="AC32" s="155"/>
      <c r="AD32" s="155"/>
      <c r="AE32" s="181"/>
      <c r="AF32" s="53"/>
      <c r="AG32" s="167"/>
      <c r="AH32" s="45"/>
      <c r="AI32" s="46"/>
      <c r="AJ32" s="46"/>
      <c r="AK32" s="155"/>
      <c r="AL32" s="47"/>
      <c r="AM32" s="36"/>
      <c r="AN32" s="48"/>
      <c r="AO32" s="49"/>
      <c r="AP32" s="36"/>
      <c r="AQ32" s="48"/>
      <c r="AR32" s="48"/>
      <c r="AS32" s="31"/>
      <c r="AT32" s="32"/>
      <c r="AU32" s="31"/>
      <c r="AV32" s="32"/>
      <c r="AW32" s="33"/>
      <c r="AX32" s="33"/>
      <c r="AY32" s="33"/>
      <c r="AZ32" s="34"/>
      <c r="BA32" s="35"/>
      <c r="BB32" s="35"/>
      <c r="BC32" s="36"/>
      <c r="BD32" s="50"/>
      <c r="BE32" s="35"/>
      <c r="BF32" s="35"/>
      <c r="BG32" s="36"/>
      <c r="BH32" s="35"/>
      <c r="BI32" s="42"/>
      <c r="BJ32" s="35"/>
      <c r="BK32" s="51"/>
      <c r="BL32" s="51"/>
      <c r="BM32" s="51"/>
      <c r="BN32" s="39"/>
      <c r="BO32" s="40"/>
      <c r="BP32" s="40"/>
      <c r="BQ32" s="40"/>
      <c r="BR32" s="40"/>
      <c r="BS32" s="40"/>
      <c r="BT32" s="40"/>
      <c r="BU32" s="40"/>
      <c r="BV32" s="40"/>
      <c r="BW32" s="41"/>
      <c r="BX32" s="41"/>
      <c r="BY32" s="40"/>
      <c r="BZ32" s="40"/>
      <c r="CA32" s="40"/>
      <c r="CB32" s="155"/>
      <c r="CC32" s="155"/>
      <c r="CD32" s="155"/>
      <c r="CE32" s="155"/>
      <c r="CF32" s="155"/>
      <c r="CG32" s="155"/>
    </row>
    <row r="33" spans="1:85" customFormat="1" ht="60" customHeight="1">
      <c r="A33" s="162"/>
      <c r="B33" s="162"/>
      <c r="C33" s="162"/>
      <c r="D33" s="276"/>
      <c r="E33" s="276"/>
      <c r="F33" s="276"/>
      <c r="G33" s="54"/>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91"/>
      <c r="AF33" s="55" t="s">
        <v>232</v>
      </c>
      <c r="AG33" s="168"/>
      <c r="AH33" s="56"/>
      <c r="AI33" s="57"/>
      <c r="AJ33" s="57"/>
      <c r="AK33" s="162"/>
      <c r="AL33" s="47"/>
      <c r="AM33" s="36"/>
      <c r="AN33" s="48"/>
      <c r="AO33" s="49"/>
      <c r="AP33" s="36"/>
      <c r="AQ33" s="48"/>
      <c r="AR33" s="48"/>
      <c r="AS33" s="31"/>
      <c r="AT33" s="32"/>
      <c r="AU33" s="31"/>
      <c r="AV33" s="32"/>
      <c r="AW33" s="33"/>
      <c r="AX33" s="33"/>
      <c r="AY33" s="33"/>
      <c r="AZ33" s="34"/>
      <c r="BA33" s="35"/>
      <c r="BB33" s="35"/>
      <c r="BC33" s="36"/>
      <c r="BD33" s="50"/>
      <c r="BE33" s="35"/>
      <c r="BF33" s="35"/>
      <c r="BG33" s="36"/>
      <c r="BH33" s="35"/>
      <c r="BI33" s="42"/>
      <c r="BJ33" s="35"/>
      <c r="BK33" s="51"/>
      <c r="BL33" s="51">
        <f>3976+4970+4970+994+15269.3+43199.8+43000+43000</f>
        <v>159379.1</v>
      </c>
      <c r="BM33" s="51"/>
      <c r="BN33" s="39">
        <f t="shared" ref="BN33:BN116" si="2">BJ33+BL33</f>
        <v>159379.1</v>
      </c>
      <c r="BO33" s="40"/>
      <c r="BP33" s="40"/>
      <c r="BQ33" s="40"/>
      <c r="BR33" s="40"/>
      <c r="BS33" s="40"/>
      <c r="BT33" s="40"/>
      <c r="BU33" s="40"/>
      <c r="BV33" s="40"/>
      <c r="BW33" s="41"/>
      <c r="BX33" s="41"/>
      <c r="BY33" s="40"/>
      <c r="BZ33" s="40"/>
      <c r="CA33" s="40"/>
      <c r="CB33" s="162"/>
      <c r="CC33" s="162"/>
      <c r="CD33" s="162"/>
      <c r="CE33" s="162"/>
      <c r="CF33" s="162"/>
      <c r="CG33" s="162"/>
    </row>
    <row r="34" spans="1:85" customFormat="1" ht="60" customHeight="1">
      <c r="A34" s="170">
        <v>3</v>
      </c>
      <c r="B34" s="171" t="s">
        <v>233</v>
      </c>
      <c r="C34" s="165" t="s">
        <v>234</v>
      </c>
      <c r="D34" s="273" t="s">
        <v>218</v>
      </c>
      <c r="E34" s="273"/>
      <c r="F34" s="273" t="s">
        <v>235</v>
      </c>
      <c r="G34" s="43"/>
      <c r="H34" s="169">
        <v>13903</v>
      </c>
      <c r="I34" s="163" t="s">
        <v>236</v>
      </c>
      <c r="J34" s="161">
        <v>45604</v>
      </c>
      <c r="K34" s="161">
        <v>45970</v>
      </c>
      <c r="L34" s="157">
        <v>13914</v>
      </c>
      <c r="M34" s="154"/>
      <c r="N34" s="154"/>
      <c r="O34" s="154"/>
      <c r="P34" s="154"/>
      <c r="Q34" s="154"/>
      <c r="R34" s="154"/>
      <c r="S34" s="154"/>
      <c r="T34" s="154"/>
      <c r="U34" s="154"/>
      <c r="V34" s="154"/>
      <c r="W34" s="154"/>
      <c r="X34" s="178"/>
      <c r="Y34" s="163" t="s">
        <v>237</v>
      </c>
      <c r="Z34" s="165" t="s">
        <v>238</v>
      </c>
      <c r="AA34" s="165" t="s">
        <v>239</v>
      </c>
      <c r="AB34" s="161">
        <v>46051</v>
      </c>
      <c r="AC34" s="157">
        <v>14202</v>
      </c>
      <c r="AD34" s="161">
        <v>46051</v>
      </c>
      <c r="AE34" s="161">
        <v>46415</v>
      </c>
      <c r="AF34" s="53" t="s">
        <v>225</v>
      </c>
      <c r="AG34" s="154" t="s">
        <v>226</v>
      </c>
      <c r="AH34" s="53"/>
      <c r="AI34" s="58"/>
      <c r="AJ34" s="58"/>
      <c r="AK34" s="164">
        <v>452173.4</v>
      </c>
      <c r="AL34" s="47" t="s">
        <v>227</v>
      </c>
      <c r="AM34" s="36">
        <v>1</v>
      </c>
      <c r="AN34" s="48">
        <v>45969</v>
      </c>
      <c r="AO34" s="49">
        <v>14157</v>
      </c>
      <c r="AP34" s="36" t="s">
        <v>228</v>
      </c>
      <c r="AQ34" s="48"/>
      <c r="AR34" s="48"/>
      <c r="AS34" s="31"/>
      <c r="AT34" s="32"/>
      <c r="AU34" s="31"/>
      <c r="AV34" s="32"/>
      <c r="AW34" s="33"/>
      <c r="AX34" s="33"/>
      <c r="AY34" s="33"/>
      <c r="AZ34" s="34"/>
      <c r="BA34" s="35"/>
      <c r="BB34" s="35"/>
      <c r="BC34" s="36"/>
      <c r="BD34" s="50"/>
      <c r="BE34" s="35"/>
      <c r="BF34" s="35"/>
      <c r="BG34" s="36"/>
      <c r="BH34" s="35"/>
      <c r="BI34" s="42">
        <f>AK34</f>
        <v>452173.4</v>
      </c>
      <c r="BJ34" s="35"/>
      <c r="BK34" s="51">
        <f>14915.6+14934.3+12587.1+1987.2</f>
        <v>44424.2</v>
      </c>
      <c r="BL34" s="51">
        <f>191.68+3206.82+5023.61+5833.49+235.18+2458.12+5626.16+6087.99+89678.58+535.22+19041.39+17550.74+17211.13</f>
        <v>172680.11</v>
      </c>
      <c r="BM34" s="51"/>
      <c r="BN34" s="39">
        <f t="shared" si="2"/>
        <v>172680.11</v>
      </c>
      <c r="BO34" s="40"/>
      <c r="BP34" s="40"/>
      <c r="BQ34" s="40"/>
      <c r="BR34" s="40"/>
      <c r="BS34" s="40"/>
      <c r="BT34" s="40"/>
      <c r="BU34" s="40"/>
      <c r="BV34" s="40"/>
      <c r="BW34" s="41"/>
      <c r="BX34" s="41"/>
      <c r="BY34" s="40"/>
      <c r="BZ34" s="40"/>
      <c r="CA34" s="40"/>
      <c r="CB34" s="154" t="s">
        <v>229</v>
      </c>
      <c r="CC34" s="157">
        <v>14082</v>
      </c>
      <c r="CD34" s="154" t="s">
        <v>230</v>
      </c>
      <c r="CE34" s="157">
        <v>713115</v>
      </c>
      <c r="CF34" s="154" t="s">
        <v>231</v>
      </c>
      <c r="CG34" s="157">
        <v>716641</v>
      </c>
    </row>
    <row r="35" spans="1:85" customFormat="1" ht="60" customHeight="1">
      <c r="A35" s="162"/>
      <c r="B35" s="162"/>
      <c r="C35" s="162"/>
      <c r="D35" s="276"/>
      <c r="E35" s="276"/>
      <c r="F35" s="276"/>
      <c r="G35" s="54"/>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55" t="s">
        <v>232</v>
      </c>
      <c r="AG35" s="162"/>
      <c r="AH35" s="47"/>
      <c r="AI35" s="39"/>
      <c r="AJ35" s="39"/>
      <c r="AK35" s="162"/>
      <c r="AL35" s="47"/>
      <c r="AM35" s="36"/>
      <c r="AN35" s="48"/>
      <c r="AO35" s="49"/>
      <c r="AP35" s="36"/>
      <c r="AQ35" s="48"/>
      <c r="AR35" s="48"/>
      <c r="AS35" s="31"/>
      <c r="AT35" s="32"/>
      <c r="AU35" s="31"/>
      <c r="AV35" s="32"/>
      <c r="AW35" s="33"/>
      <c r="AX35" s="33"/>
      <c r="AY35" s="33"/>
      <c r="AZ35" s="34"/>
      <c r="BA35" s="35"/>
      <c r="BB35" s="35"/>
      <c r="BC35" s="36"/>
      <c r="BD35" s="50"/>
      <c r="BE35" s="35"/>
      <c r="BF35" s="35"/>
      <c r="BG35" s="36"/>
      <c r="BH35" s="35"/>
      <c r="BI35" s="42"/>
      <c r="BJ35" s="35"/>
      <c r="BK35" s="51"/>
      <c r="BL35" s="51"/>
      <c r="BM35" s="51"/>
      <c r="BN35" s="39">
        <f t="shared" si="2"/>
        <v>0</v>
      </c>
      <c r="BO35" s="40"/>
      <c r="BP35" s="40"/>
      <c r="BQ35" s="40"/>
      <c r="BR35" s="40"/>
      <c r="BS35" s="40"/>
      <c r="BT35" s="40"/>
      <c r="BU35" s="40"/>
      <c r="BV35" s="40"/>
      <c r="BW35" s="41"/>
      <c r="BX35" s="41"/>
      <c r="BY35" s="40"/>
      <c r="BZ35" s="40"/>
      <c r="CA35" s="40"/>
      <c r="CB35" s="162"/>
      <c r="CC35" s="162"/>
      <c r="CD35" s="162"/>
      <c r="CE35" s="162"/>
      <c r="CF35" s="162"/>
      <c r="CG35" s="162"/>
    </row>
    <row r="36" spans="1:85" customFormat="1" ht="60" customHeight="1">
      <c r="A36" s="170">
        <v>4</v>
      </c>
      <c r="B36" s="171" t="s">
        <v>240</v>
      </c>
      <c r="C36" s="165" t="s">
        <v>217</v>
      </c>
      <c r="D36" s="273" t="s">
        <v>218</v>
      </c>
      <c r="E36" s="273"/>
      <c r="F36" s="273" t="s">
        <v>241</v>
      </c>
      <c r="G36" s="43"/>
      <c r="H36" s="169">
        <v>14002</v>
      </c>
      <c r="I36" s="163"/>
      <c r="J36" s="154"/>
      <c r="K36" s="154"/>
      <c r="L36" s="154"/>
      <c r="M36" s="154"/>
      <c r="N36" s="154"/>
      <c r="O36" s="154"/>
      <c r="P36" s="154"/>
      <c r="Q36" s="154"/>
      <c r="R36" s="154"/>
      <c r="S36" s="154"/>
      <c r="T36" s="154"/>
      <c r="U36" s="154"/>
      <c r="V36" s="154"/>
      <c r="W36" s="154"/>
      <c r="X36" s="178"/>
      <c r="Y36" s="163" t="s">
        <v>242</v>
      </c>
      <c r="Z36" s="165" t="s">
        <v>238</v>
      </c>
      <c r="AA36" s="165" t="s">
        <v>239</v>
      </c>
      <c r="AB36" s="161">
        <v>46055</v>
      </c>
      <c r="AC36" s="157">
        <v>14201</v>
      </c>
      <c r="AD36" s="161">
        <v>46055</v>
      </c>
      <c r="AE36" s="204" t="s">
        <v>224</v>
      </c>
      <c r="AF36" s="53" t="s">
        <v>225</v>
      </c>
      <c r="AG36" s="154" t="s">
        <v>226</v>
      </c>
      <c r="AH36" s="53"/>
      <c r="AI36" s="58"/>
      <c r="AJ36" s="58"/>
      <c r="AK36" s="164"/>
      <c r="AL36" s="47"/>
      <c r="AM36" s="36"/>
      <c r="AN36" s="48"/>
      <c r="AO36" s="49"/>
      <c r="AP36" s="36"/>
      <c r="AQ36" s="48"/>
      <c r="AR36" s="48"/>
      <c r="AS36" s="31"/>
      <c r="AT36" s="32"/>
      <c r="AU36" s="31"/>
      <c r="AV36" s="32"/>
      <c r="AW36" s="33"/>
      <c r="AX36" s="33"/>
      <c r="AY36" s="33"/>
      <c r="AZ36" s="34"/>
      <c r="BA36" s="35"/>
      <c r="BB36" s="35"/>
      <c r="BC36" s="36"/>
      <c r="BD36" s="50"/>
      <c r="BE36" s="35"/>
      <c r="BF36" s="35"/>
      <c r="BG36" s="36"/>
      <c r="BH36" s="35"/>
      <c r="BI36" s="42">
        <f>AK36</f>
        <v>0</v>
      </c>
      <c r="BJ36" s="35"/>
      <c r="BK36" s="51">
        <f>14915.6+14934.3+12587.1+1987.2</f>
        <v>44424.2</v>
      </c>
      <c r="BL36" s="51">
        <f>1508+6695+5972+5855.2+2870.4+7758.4+2641.6+665.6</f>
        <v>33966.199999999997</v>
      </c>
      <c r="BM36" s="51"/>
      <c r="BN36" s="39">
        <f t="shared" si="2"/>
        <v>33966.199999999997</v>
      </c>
      <c r="BO36" s="40"/>
      <c r="BP36" s="40"/>
      <c r="BQ36" s="40"/>
      <c r="BR36" s="40"/>
      <c r="BS36" s="40"/>
      <c r="BT36" s="40"/>
      <c r="BU36" s="40"/>
      <c r="BV36" s="40"/>
      <c r="BW36" s="41"/>
      <c r="BX36" s="41"/>
      <c r="BY36" s="40"/>
      <c r="BZ36" s="40"/>
      <c r="CA36" s="40"/>
      <c r="CB36" s="154" t="s">
        <v>229</v>
      </c>
      <c r="CC36" s="157">
        <v>14082</v>
      </c>
      <c r="CD36" s="154" t="s">
        <v>230</v>
      </c>
      <c r="CE36" s="157">
        <v>713115</v>
      </c>
      <c r="CF36" s="154" t="s">
        <v>231</v>
      </c>
      <c r="CG36" s="157">
        <v>716641</v>
      </c>
    </row>
    <row r="37" spans="1:85" customFormat="1" ht="60" customHeight="1">
      <c r="A37" s="162"/>
      <c r="B37" s="162"/>
      <c r="C37" s="162"/>
      <c r="D37" s="276"/>
      <c r="E37" s="276"/>
      <c r="F37" s="276"/>
      <c r="G37" s="54"/>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91"/>
      <c r="AF37" s="55" t="s">
        <v>232</v>
      </c>
      <c r="AG37" s="162"/>
      <c r="AH37" s="47"/>
      <c r="AI37" s="39"/>
      <c r="AJ37" s="39"/>
      <c r="AK37" s="162"/>
      <c r="AL37" s="47"/>
      <c r="AM37" s="36"/>
      <c r="AN37" s="48"/>
      <c r="AO37" s="49"/>
      <c r="AP37" s="36"/>
      <c r="AQ37" s="48"/>
      <c r="AR37" s="48"/>
      <c r="AS37" s="31"/>
      <c r="AT37" s="32"/>
      <c r="AU37" s="31"/>
      <c r="AV37" s="32"/>
      <c r="AW37" s="33"/>
      <c r="AX37" s="33"/>
      <c r="AY37" s="33"/>
      <c r="AZ37" s="34"/>
      <c r="BA37" s="35"/>
      <c r="BB37" s="35"/>
      <c r="BC37" s="36"/>
      <c r="BD37" s="50"/>
      <c r="BE37" s="35"/>
      <c r="BF37" s="35"/>
      <c r="BG37" s="36"/>
      <c r="BH37" s="35"/>
      <c r="BI37" s="42"/>
      <c r="BJ37" s="35"/>
      <c r="BK37" s="51"/>
      <c r="BL37" s="51"/>
      <c r="BM37" s="51"/>
      <c r="BN37" s="39">
        <f t="shared" si="2"/>
        <v>0</v>
      </c>
      <c r="BO37" s="40"/>
      <c r="BP37" s="40"/>
      <c r="BQ37" s="40"/>
      <c r="BR37" s="40"/>
      <c r="BS37" s="40"/>
      <c r="BT37" s="40"/>
      <c r="BU37" s="40"/>
      <c r="BV37" s="40"/>
      <c r="BW37" s="41"/>
      <c r="BX37" s="41"/>
      <c r="BY37" s="40"/>
      <c r="BZ37" s="40"/>
      <c r="CA37" s="40"/>
      <c r="CB37" s="162"/>
      <c r="CC37" s="162"/>
      <c r="CD37" s="162"/>
      <c r="CE37" s="162"/>
      <c r="CF37" s="162"/>
      <c r="CG37" s="162"/>
    </row>
    <row r="38" spans="1:85" customFormat="1" ht="60" customHeight="1">
      <c r="A38" s="170">
        <v>5</v>
      </c>
      <c r="B38" s="165" t="s">
        <v>243</v>
      </c>
      <c r="C38" s="198" t="s">
        <v>244</v>
      </c>
      <c r="D38" s="273" t="s">
        <v>218</v>
      </c>
      <c r="E38" s="285"/>
      <c r="F38" s="273" t="s">
        <v>245</v>
      </c>
      <c r="G38" s="59"/>
      <c r="H38" s="169">
        <v>14158</v>
      </c>
      <c r="I38" s="154" t="s">
        <v>246</v>
      </c>
      <c r="J38" s="161">
        <v>45992</v>
      </c>
      <c r="K38" s="161">
        <v>46356</v>
      </c>
      <c r="L38" s="157">
        <v>14166</v>
      </c>
      <c r="M38" s="201"/>
      <c r="N38" s="201"/>
      <c r="O38" s="201"/>
      <c r="P38" s="201"/>
      <c r="Q38" s="201"/>
      <c r="R38" s="201"/>
      <c r="S38" s="201"/>
      <c r="T38" s="201"/>
      <c r="U38" s="201"/>
      <c r="V38" s="201"/>
      <c r="W38" s="201"/>
      <c r="X38" s="202"/>
      <c r="Y38" s="163" t="s">
        <v>247</v>
      </c>
      <c r="Z38" s="165" t="s">
        <v>248</v>
      </c>
      <c r="AA38" s="165" t="s">
        <v>249</v>
      </c>
      <c r="AB38" s="161">
        <v>46048</v>
      </c>
      <c r="AC38" s="157">
        <v>14197</v>
      </c>
      <c r="AD38" s="161">
        <v>46048</v>
      </c>
      <c r="AE38" s="161">
        <v>46412</v>
      </c>
      <c r="AF38" s="36" t="s">
        <v>225</v>
      </c>
      <c r="AG38" s="154" t="s">
        <v>226</v>
      </c>
      <c r="AH38" s="45"/>
      <c r="AI38" s="46"/>
      <c r="AJ38" s="46"/>
      <c r="AK38" s="164">
        <v>32640</v>
      </c>
      <c r="AL38" s="56"/>
      <c r="AM38" s="60"/>
      <c r="AN38" s="61"/>
      <c r="AO38" s="62"/>
      <c r="AP38" s="60"/>
      <c r="AQ38" s="61"/>
      <c r="AR38" s="61"/>
      <c r="AS38" s="63"/>
      <c r="AT38" s="64"/>
      <c r="AU38" s="63"/>
      <c r="AV38" s="64"/>
      <c r="AW38" s="65"/>
      <c r="AX38" s="65"/>
      <c r="AY38" s="65"/>
      <c r="AZ38" s="66"/>
      <c r="BA38" s="67"/>
      <c r="BB38" s="67"/>
      <c r="BC38" s="60"/>
      <c r="BD38" s="68"/>
      <c r="BE38" s="67"/>
      <c r="BF38" s="67"/>
      <c r="BG38" s="60"/>
      <c r="BH38" s="67"/>
      <c r="BI38" s="42">
        <f>AK38</f>
        <v>32640</v>
      </c>
      <c r="BJ38" s="35"/>
      <c r="BK38" s="51">
        <f>6263.4+31557.9+32236.8</f>
        <v>70058.100000000006</v>
      </c>
      <c r="BL38" s="51">
        <f>16320+12240+4080</f>
        <v>32640</v>
      </c>
      <c r="BM38" s="51"/>
      <c r="BN38" s="39">
        <f t="shared" si="2"/>
        <v>32640</v>
      </c>
      <c r="BO38" s="69"/>
      <c r="BP38" s="69"/>
      <c r="BQ38" s="69"/>
      <c r="BR38" s="69"/>
      <c r="BS38" s="69"/>
      <c r="BT38" s="69"/>
      <c r="BU38" s="69"/>
      <c r="BV38" s="69"/>
      <c r="BW38" s="70"/>
      <c r="BX38" s="70"/>
      <c r="BY38" s="69"/>
      <c r="BZ38" s="69"/>
      <c r="CA38" s="69"/>
      <c r="CB38" s="154" t="s">
        <v>250</v>
      </c>
      <c r="CC38" s="157">
        <v>14112</v>
      </c>
      <c r="CD38" s="154" t="s">
        <v>251</v>
      </c>
      <c r="CE38" s="157">
        <v>716807</v>
      </c>
      <c r="CF38" s="154" t="s">
        <v>252</v>
      </c>
      <c r="CG38" s="157">
        <v>716641</v>
      </c>
    </row>
    <row r="39" spans="1:85" customFormat="1" ht="60" customHeight="1">
      <c r="A39" s="162"/>
      <c r="B39" s="162"/>
      <c r="C39" s="162"/>
      <c r="D39" s="276"/>
      <c r="E39" s="276"/>
      <c r="F39" s="276"/>
      <c r="G39" s="71"/>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72" t="s">
        <v>232</v>
      </c>
      <c r="AG39" s="162"/>
      <c r="AH39" s="56"/>
      <c r="AI39" s="57"/>
      <c r="AJ39" s="57"/>
      <c r="AK39" s="162"/>
      <c r="AL39" s="56"/>
      <c r="AM39" s="60"/>
      <c r="AN39" s="61"/>
      <c r="AO39" s="62"/>
      <c r="AP39" s="60"/>
      <c r="AQ39" s="61"/>
      <c r="AR39" s="61"/>
      <c r="AS39" s="63"/>
      <c r="AT39" s="64"/>
      <c r="AU39" s="63"/>
      <c r="AV39" s="64"/>
      <c r="AW39" s="65"/>
      <c r="AX39" s="65"/>
      <c r="AY39" s="65"/>
      <c r="AZ39" s="66"/>
      <c r="BA39" s="67"/>
      <c r="BB39" s="67"/>
      <c r="BC39" s="60"/>
      <c r="BD39" s="68"/>
      <c r="BE39" s="67"/>
      <c r="BF39" s="67"/>
      <c r="BG39" s="60"/>
      <c r="BH39" s="67"/>
      <c r="BI39" s="73"/>
      <c r="BJ39" s="67"/>
      <c r="BK39" s="74"/>
      <c r="BL39" s="74"/>
      <c r="BM39" s="74"/>
      <c r="BN39" s="57">
        <f t="shared" si="2"/>
        <v>0</v>
      </c>
      <c r="BO39" s="69"/>
      <c r="BP39" s="69"/>
      <c r="BQ39" s="69"/>
      <c r="BR39" s="69"/>
      <c r="BS39" s="69"/>
      <c r="BT39" s="69"/>
      <c r="BU39" s="69"/>
      <c r="BV39" s="69"/>
      <c r="BW39" s="70"/>
      <c r="BX39" s="70"/>
      <c r="BY39" s="69"/>
      <c r="BZ39" s="69"/>
      <c r="CA39" s="69"/>
      <c r="CB39" s="162"/>
      <c r="CC39" s="162"/>
      <c r="CD39" s="162"/>
      <c r="CE39" s="162"/>
      <c r="CF39" s="162"/>
      <c r="CG39" s="162"/>
    </row>
    <row r="40" spans="1:85" customFormat="1" ht="60" customHeight="1">
      <c r="A40" s="170">
        <v>6</v>
      </c>
      <c r="B40" s="171" t="s">
        <v>253</v>
      </c>
      <c r="C40" s="198" t="s">
        <v>254</v>
      </c>
      <c r="D40" s="273" t="s">
        <v>218</v>
      </c>
      <c r="E40" s="285"/>
      <c r="F40" s="273" t="s">
        <v>255</v>
      </c>
      <c r="G40" s="59"/>
      <c r="H40" s="169">
        <v>13903</v>
      </c>
      <c r="I40" s="154" t="s">
        <v>236</v>
      </c>
      <c r="J40" s="161">
        <v>45992</v>
      </c>
      <c r="K40" s="161">
        <v>46356</v>
      </c>
      <c r="L40" s="157">
        <v>14166</v>
      </c>
      <c r="M40" s="201"/>
      <c r="N40" s="201"/>
      <c r="O40" s="201"/>
      <c r="P40" s="201"/>
      <c r="Q40" s="201"/>
      <c r="R40" s="201"/>
      <c r="S40" s="201"/>
      <c r="T40" s="201"/>
      <c r="U40" s="201"/>
      <c r="V40" s="201"/>
      <c r="W40" s="201"/>
      <c r="X40" s="202"/>
      <c r="Y40" s="163" t="s">
        <v>256</v>
      </c>
      <c r="Z40" s="165" t="s">
        <v>257</v>
      </c>
      <c r="AA40" s="165" t="s">
        <v>258</v>
      </c>
      <c r="AB40" s="161">
        <v>46051</v>
      </c>
      <c r="AC40" s="157">
        <v>14202</v>
      </c>
      <c r="AD40" s="161">
        <v>46051</v>
      </c>
      <c r="AE40" s="161">
        <v>46415</v>
      </c>
      <c r="AF40" s="36" t="s">
        <v>225</v>
      </c>
      <c r="AG40" s="154" t="s">
        <v>226</v>
      </c>
      <c r="AH40" s="45"/>
      <c r="AI40" s="46"/>
      <c r="AJ40" s="46"/>
      <c r="AK40" s="164">
        <v>1404729.2</v>
      </c>
      <c r="AL40" s="56"/>
      <c r="AM40" s="60"/>
      <c r="AN40" s="61"/>
      <c r="AO40" s="62"/>
      <c r="AP40" s="60"/>
      <c r="AQ40" s="61"/>
      <c r="AR40" s="61"/>
      <c r="AS40" s="63"/>
      <c r="AT40" s="64"/>
      <c r="AU40" s="63"/>
      <c r="AV40" s="64"/>
      <c r="AW40" s="65"/>
      <c r="AX40" s="65"/>
      <c r="AY40" s="65"/>
      <c r="AZ40" s="66"/>
      <c r="BA40" s="67"/>
      <c r="BB40" s="67"/>
      <c r="BC40" s="60"/>
      <c r="BD40" s="68"/>
      <c r="BE40" s="67"/>
      <c r="BF40" s="67"/>
      <c r="BG40" s="60"/>
      <c r="BH40" s="67"/>
      <c r="BI40" s="42">
        <f>AK40</f>
        <v>1404729.2</v>
      </c>
      <c r="BJ40" s="35"/>
      <c r="BK40" s="51">
        <f>6263.4+31557.9+32236.8</f>
        <v>70058.100000000006</v>
      </c>
      <c r="BL40" s="51">
        <f>18485.18+56708.4+75589.22+4209.17+73490.13+308695.52</f>
        <v>537177.62</v>
      </c>
      <c r="BM40" s="51"/>
      <c r="BN40" s="39">
        <f t="shared" si="2"/>
        <v>537177.62</v>
      </c>
      <c r="BO40" s="69"/>
      <c r="BP40" s="69"/>
      <c r="BQ40" s="69"/>
      <c r="BR40" s="69"/>
      <c r="BS40" s="69"/>
      <c r="BT40" s="69"/>
      <c r="BU40" s="69"/>
      <c r="BV40" s="69"/>
      <c r="BW40" s="70"/>
      <c r="BX40" s="70"/>
      <c r="BY40" s="69"/>
      <c r="BZ40" s="69"/>
      <c r="CA40" s="69"/>
      <c r="CB40" s="154" t="s">
        <v>259</v>
      </c>
      <c r="CC40" s="157">
        <v>14203</v>
      </c>
      <c r="CD40" s="154" t="s">
        <v>251</v>
      </c>
      <c r="CE40" s="157">
        <v>716807</v>
      </c>
      <c r="CF40" s="154" t="s">
        <v>252</v>
      </c>
      <c r="CG40" s="157">
        <v>716641</v>
      </c>
    </row>
    <row r="41" spans="1:85" customFormat="1" ht="60" customHeight="1">
      <c r="A41" s="162"/>
      <c r="B41" s="162"/>
      <c r="C41" s="162"/>
      <c r="D41" s="276"/>
      <c r="E41" s="276"/>
      <c r="F41" s="276"/>
      <c r="G41" s="71"/>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72" t="s">
        <v>232</v>
      </c>
      <c r="AG41" s="162"/>
      <c r="AH41" s="56"/>
      <c r="AI41" s="57"/>
      <c r="AJ41" s="57"/>
      <c r="AK41" s="162"/>
      <c r="AL41" s="56"/>
      <c r="AM41" s="60"/>
      <c r="AN41" s="61"/>
      <c r="AO41" s="62"/>
      <c r="AP41" s="60"/>
      <c r="AQ41" s="61"/>
      <c r="AR41" s="61"/>
      <c r="AS41" s="63"/>
      <c r="AT41" s="64"/>
      <c r="AU41" s="63"/>
      <c r="AV41" s="64"/>
      <c r="AW41" s="65"/>
      <c r="AX41" s="65"/>
      <c r="AY41" s="65"/>
      <c r="AZ41" s="66"/>
      <c r="BA41" s="67"/>
      <c r="BB41" s="67"/>
      <c r="BC41" s="60"/>
      <c r="BD41" s="68"/>
      <c r="BE41" s="67"/>
      <c r="BF41" s="67"/>
      <c r="BG41" s="60"/>
      <c r="BH41" s="67"/>
      <c r="BI41" s="73"/>
      <c r="BJ41" s="67"/>
      <c r="BK41" s="74"/>
      <c r="BL41" s="74"/>
      <c r="BM41" s="74"/>
      <c r="BN41" s="57">
        <f t="shared" si="2"/>
        <v>0</v>
      </c>
      <c r="BO41" s="69"/>
      <c r="BP41" s="69"/>
      <c r="BQ41" s="69"/>
      <c r="BR41" s="69"/>
      <c r="BS41" s="69"/>
      <c r="BT41" s="69"/>
      <c r="BU41" s="69"/>
      <c r="BV41" s="69"/>
      <c r="BW41" s="70"/>
      <c r="BX41" s="70"/>
      <c r="BY41" s="69"/>
      <c r="BZ41" s="69"/>
      <c r="CA41" s="69"/>
      <c r="CB41" s="162"/>
      <c r="CC41" s="162"/>
      <c r="CD41" s="162"/>
      <c r="CE41" s="162"/>
      <c r="CF41" s="162"/>
      <c r="CG41" s="162"/>
    </row>
    <row r="42" spans="1:85" customFormat="1" ht="60" customHeight="1">
      <c r="A42" s="170">
        <v>7</v>
      </c>
      <c r="B42" s="165" t="s">
        <v>260</v>
      </c>
      <c r="C42" s="198" t="s">
        <v>261</v>
      </c>
      <c r="D42" s="273" t="s">
        <v>262</v>
      </c>
      <c r="E42" s="285"/>
      <c r="F42" s="273" t="s">
        <v>263</v>
      </c>
      <c r="G42" s="59"/>
      <c r="H42" s="169">
        <v>14158</v>
      </c>
      <c r="I42" s="154" t="s">
        <v>264</v>
      </c>
      <c r="J42" s="201"/>
      <c r="K42" s="201"/>
      <c r="L42" s="201"/>
      <c r="M42" s="201"/>
      <c r="N42" s="201"/>
      <c r="O42" s="201"/>
      <c r="P42" s="201"/>
      <c r="Q42" s="201"/>
      <c r="R42" s="201"/>
      <c r="S42" s="201"/>
      <c r="T42" s="201"/>
      <c r="U42" s="201"/>
      <c r="V42" s="201"/>
      <c r="W42" s="201"/>
      <c r="X42" s="202"/>
      <c r="Y42" s="163" t="s">
        <v>265</v>
      </c>
      <c r="Z42" s="165" t="s">
        <v>266</v>
      </c>
      <c r="AA42" s="165" t="s">
        <v>267</v>
      </c>
      <c r="AB42" s="161">
        <v>46048</v>
      </c>
      <c r="AC42" s="157">
        <v>14197</v>
      </c>
      <c r="AD42" s="161">
        <v>46048</v>
      </c>
      <c r="AE42" s="161">
        <v>46412</v>
      </c>
      <c r="AF42" s="154" t="s">
        <v>225</v>
      </c>
      <c r="AG42" s="154" t="s">
        <v>226</v>
      </c>
      <c r="AH42" s="45"/>
      <c r="AI42" s="46"/>
      <c r="AJ42" s="46"/>
      <c r="AK42" s="164">
        <v>59464.04</v>
      </c>
      <c r="AL42" s="56"/>
      <c r="AM42" s="60"/>
      <c r="AN42" s="61"/>
      <c r="AO42" s="62"/>
      <c r="AP42" s="60"/>
      <c r="AQ42" s="61"/>
      <c r="AR42" s="61"/>
      <c r="AS42" s="63"/>
      <c r="AT42" s="64"/>
      <c r="AU42" s="63"/>
      <c r="AV42" s="64"/>
      <c r="AW42" s="65"/>
      <c r="AX42" s="65"/>
      <c r="AY42" s="65"/>
      <c r="AZ42" s="66"/>
      <c r="BA42" s="67"/>
      <c r="BB42" s="67"/>
      <c r="BC42" s="60"/>
      <c r="BD42" s="68"/>
      <c r="BE42" s="67"/>
      <c r="BF42" s="67"/>
      <c r="BG42" s="60"/>
      <c r="BH42" s="67"/>
      <c r="BI42" s="42">
        <f>AK42</f>
        <v>59464.04</v>
      </c>
      <c r="BJ42" s="35"/>
      <c r="BK42" s="51">
        <f>6263.4+31557.9+32236.8</f>
        <v>70058.100000000006</v>
      </c>
      <c r="BL42" s="51">
        <f>3709.24+5607.1+1353.6+3877.5+2529.54+4599.42</f>
        <v>21676.400000000001</v>
      </c>
      <c r="BM42" s="51"/>
      <c r="BN42" s="39">
        <f t="shared" si="2"/>
        <v>21676.400000000001</v>
      </c>
      <c r="BO42" s="69"/>
      <c r="BP42" s="69"/>
      <c r="BQ42" s="69"/>
      <c r="BR42" s="69"/>
      <c r="BS42" s="69"/>
      <c r="BT42" s="69"/>
      <c r="BU42" s="69"/>
      <c r="BV42" s="69"/>
      <c r="BW42" s="70"/>
      <c r="BX42" s="70"/>
      <c r="BY42" s="69"/>
      <c r="BZ42" s="69"/>
      <c r="CA42" s="69"/>
      <c r="CB42" s="154" t="s">
        <v>268</v>
      </c>
      <c r="CC42" s="157">
        <v>14196</v>
      </c>
      <c r="CD42" s="154" t="s">
        <v>251</v>
      </c>
      <c r="CE42" s="157">
        <v>716807</v>
      </c>
      <c r="CF42" s="154" t="s">
        <v>252</v>
      </c>
      <c r="CG42" s="157">
        <v>716641</v>
      </c>
    </row>
    <row r="43" spans="1:85" customFormat="1" ht="60" customHeight="1">
      <c r="A43" s="162"/>
      <c r="B43" s="162"/>
      <c r="C43" s="162"/>
      <c r="D43" s="276"/>
      <c r="E43" s="276"/>
      <c r="F43" s="276"/>
      <c r="G43" s="71"/>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56"/>
      <c r="AI43" s="57"/>
      <c r="AJ43" s="57"/>
      <c r="AK43" s="162"/>
      <c r="AL43" s="56"/>
      <c r="AM43" s="60"/>
      <c r="AN43" s="61"/>
      <c r="AO43" s="62"/>
      <c r="AP43" s="60"/>
      <c r="AQ43" s="61"/>
      <c r="AR43" s="61"/>
      <c r="AS43" s="63"/>
      <c r="AT43" s="64"/>
      <c r="AU43" s="63"/>
      <c r="AV43" s="64"/>
      <c r="AW43" s="65"/>
      <c r="AX43" s="65"/>
      <c r="AY43" s="65"/>
      <c r="AZ43" s="66"/>
      <c r="BA43" s="67"/>
      <c r="BB43" s="67"/>
      <c r="BC43" s="60"/>
      <c r="BD43" s="68"/>
      <c r="BE43" s="67"/>
      <c r="BF43" s="67"/>
      <c r="BG43" s="60"/>
      <c r="BH43" s="67"/>
      <c r="BI43" s="73"/>
      <c r="BJ43" s="67"/>
      <c r="BK43" s="74"/>
      <c r="BL43" s="74"/>
      <c r="BM43" s="74"/>
      <c r="BN43" s="57">
        <f t="shared" si="2"/>
        <v>0</v>
      </c>
      <c r="BO43" s="69"/>
      <c r="BP43" s="69"/>
      <c r="BQ43" s="69"/>
      <c r="BR43" s="69"/>
      <c r="BS43" s="69"/>
      <c r="BT43" s="69"/>
      <c r="BU43" s="69"/>
      <c r="BV43" s="69"/>
      <c r="BW43" s="70"/>
      <c r="BX43" s="70"/>
      <c r="BY43" s="69"/>
      <c r="BZ43" s="69"/>
      <c r="CA43" s="69"/>
      <c r="CB43" s="162"/>
      <c r="CC43" s="162"/>
      <c r="CD43" s="162"/>
      <c r="CE43" s="162"/>
      <c r="CF43" s="162"/>
      <c r="CG43" s="162"/>
    </row>
    <row r="44" spans="1:85" customFormat="1" ht="60" customHeight="1">
      <c r="A44" s="170">
        <v>8</v>
      </c>
      <c r="B44" s="165" t="s">
        <v>243</v>
      </c>
      <c r="C44" s="165" t="s">
        <v>269</v>
      </c>
      <c r="D44" s="273" t="s">
        <v>218</v>
      </c>
      <c r="E44" s="285"/>
      <c r="F44" s="273" t="s">
        <v>270</v>
      </c>
      <c r="G44" s="59"/>
      <c r="H44" s="200"/>
      <c r="I44" s="154"/>
      <c r="J44" s="201"/>
      <c r="K44" s="201"/>
      <c r="L44" s="201"/>
      <c r="M44" s="201"/>
      <c r="N44" s="201"/>
      <c r="O44" s="201"/>
      <c r="P44" s="201"/>
      <c r="Q44" s="201"/>
      <c r="R44" s="201"/>
      <c r="S44" s="201"/>
      <c r="T44" s="201"/>
      <c r="U44" s="201"/>
      <c r="V44" s="201"/>
      <c r="W44" s="201"/>
      <c r="X44" s="202"/>
      <c r="Y44" s="163" t="s">
        <v>271</v>
      </c>
      <c r="Z44" s="165" t="s">
        <v>272</v>
      </c>
      <c r="AA44" s="165" t="s">
        <v>273</v>
      </c>
      <c r="AB44" s="161">
        <v>46048</v>
      </c>
      <c r="AC44" s="157">
        <v>14197</v>
      </c>
      <c r="AD44" s="161">
        <v>46048</v>
      </c>
      <c r="AE44" s="161">
        <v>46412</v>
      </c>
      <c r="AF44" s="36">
        <v>1500</v>
      </c>
      <c r="AG44" s="154" t="s">
        <v>226</v>
      </c>
      <c r="AH44" s="45"/>
      <c r="AI44" s="46"/>
      <c r="AJ44" s="46"/>
      <c r="AK44" s="164">
        <v>150331.4</v>
      </c>
      <c r="AL44" s="56"/>
      <c r="AM44" s="60"/>
      <c r="AN44" s="61"/>
      <c r="AO44" s="62"/>
      <c r="AP44" s="60"/>
      <c r="AQ44" s="61"/>
      <c r="AR44" s="61"/>
      <c r="AS44" s="63"/>
      <c r="AT44" s="64"/>
      <c r="AU44" s="63"/>
      <c r="AV44" s="64"/>
      <c r="AW44" s="65"/>
      <c r="AX44" s="65"/>
      <c r="AY44" s="65"/>
      <c r="AZ44" s="66"/>
      <c r="BA44" s="67"/>
      <c r="BB44" s="67"/>
      <c r="BC44" s="60"/>
      <c r="BD44" s="68"/>
      <c r="BE44" s="67"/>
      <c r="BF44" s="67"/>
      <c r="BG44" s="60"/>
      <c r="BH44" s="67"/>
      <c r="BI44" s="42">
        <f>AK44</f>
        <v>150331.4</v>
      </c>
      <c r="BJ44" s="35"/>
      <c r="BK44" s="51">
        <f>6263.4+31557.9+32236.8</f>
        <v>70058.100000000006</v>
      </c>
      <c r="BL44" s="51"/>
      <c r="BM44" s="51"/>
      <c r="BN44" s="39">
        <f t="shared" si="2"/>
        <v>0</v>
      </c>
      <c r="BO44" s="69"/>
      <c r="BP44" s="69"/>
      <c r="BQ44" s="69"/>
      <c r="BR44" s="69"/>
      <c r="BS44" s="69"/>
      <c r="BT44" s="69"/>
      <c r="BU44" s="69"/>
      <c r="BV44" s="69"/>
      <c r="BW44" s="70"/>
      <c r="BX44" s="70"/>
      <c r="BY44" s="69"/>
      <c r="BZ44" s="69"/>
      <c r="CA44" s="69"/>
      <c r="CB44" s="154" t="s">
        <v>274</v>
      </c>
      <c r="CC44" s="157">
        <v>14196</v>
      </c>
      <c r="CD44" s="154" t="s">
        <v>251</v>
      </c>
      <c r="CE44" s="157">
        <v>716807</v>
      </c>
      <c r="CF44" s="154" t="s">
        <v>252</v>
      </c>
      <c r="CG44" s="157">
        <v>716641</v>
      </c>
    </row>
    <row r="45" spans="1:85" customFormat="1" ht="60" customHeight="1">
      <c r="A45" s="162"/>
      <c r="B45" s="162"/>
      <c r="C45" s="162"/>
      <c r="D45" s="276"/>
      <c r="E45" s="276"/>
      <c r="F45" s="276"/>
      <c r="G45" s="71"/>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72" t="s">
        <v>275</v>
      </c>
      <c r="AG45" s="162"/>
      <c r="AH45" s="56"/>
      <c r="AI45" s="57"/>
      <c r="AJ45" s="57"/>
      <c r="AK45" s="162"/>
      <c r="AL45" s="56"/>
      <c r="AM45" s="60"/>
      <c r="AN45" s="61"/>
      <c r="AO45" s="62"/>
      <c r="AP45" s="60"/>
      <c r="AQ45" s="61"/>
      <c r="AR45" s="61"/>
      <c r="AS45" s="63"/>
      <c r="AT45" s="64"/>
      <c r="AU45" s="63"/>
      <c r="AV45" s="64"/>
      <c r="AW45" s="65"/>
      <c r="AX45" s="65"/>
      <c r="AY45" s="65"/>
      <c r="AZ45" s="66"/>
      <c r="BA45" s="67"/>
      <c r="BB45" s="67"/>
      <c r="BC45" s="60"/>
      <c r="BD45" s="68"/>
      <c r="BE45" s="67"/>
      <c r="BF45" s="67"/>
      <c r="BG45" s="60"/>
      <c r="BH45" s="67"/>
      <c r="BI45" s="73"/>
      <c r="BJ45" s="67"/>
      <c r="BK45" s="74"/>
      <c r="BL45" s="74"/>
      <c r="BM45" s="74"/>
      <c r="BN45" s="57">
        <f t="shared" si="2"/>
        <v>0</v>
      </c>
      <c r="BO45" s="69"/>
      <c r="BP45" s="69"/>
      <c r="BQ45" s="69"/>
      <c r="BR45" s="69"/>
      <c r="BS45" s="69"/>
      <c r="BT45" s="69"/>
      <c r="BU45" s="69"/>
      <c r="BV45" s="69"/>
      <c r="BW45" s="70"/>
      <c r="BX45" s="70"/>
      <c r="BY45" s="69"/>
      <c r="BZ45" s="69"/>
      <c r="CA45" s="69"/>
      <c r="CB45" s="162"/>
      <c r="CC45" s="162"/>
      <c r="CD45" s="162"/>
      <c r="CE45" s="162"/>
      <c r="CF45" s="162"/>
      <c r="CG45" s="162"/>
    </row>
    <row r="46" spans="1:85" customFormat="1" ht="60" customHeight="1">
      <c r="A46" s="170">
        <v>9</v>
      </c>
      <c r="B46" s="165" t="s">
        <v>260</v>
      </c>
      <c r="C46" s="165" t="s">
        <v>276</v>
      </c>
      <c r="D46" s="273" t="s">
        <v>277</v>
      </c>
      <c r="E46" s="285"/>
      <c r="F46" s="273" t="s">
        <v>278</v>
      </c>
      <c r="G46" s="59"/>
      <c r="H46" s="169">
        <v>14158</v>
      </c>
      <c r="I46" s="154" t="s">
        <v>264</v>
      </c>
      <c r="J46" s="201"/>
      <c r="K46" s="201"/>
      <c r="L46" s="201"/>
      <c r="M46" s="201"/>
      <c r="N46" s="201"/>
      <c r="O46" s="201"/>
      <c r="P46" s="201"/>
      <c r="Q46" s="201"/>
      <c r="R46" s="201"/>
      <c r="S46" s="201"/>
      <c r="T46" s="201"/>
      <c r="U46" s="201"/>
      <c r="V46" s="201"/>
      <c r="W46" s="201"/>
      <c r="X46" s="202"/>
      <c r="Y46" s="163" t="s">
        <v>279</v>
      </c>
      <c r="Z46" s="165" t="s">
        <v>280</v>
      </c>
      <c r="AA46" s="165" t="s">
        <v>281</v>
      </c>
      <c r="AB46" s="161">
        <v>46048</v>
      </c>
      <c r="AC46" s="157"/>
      <c r="AD46" s="161">
        <v>46048</v>
      </c>
      <c r="AE46" s="161">
        <v>46412</v>
      </c>
      <c r="AF46" s="154" t="s">
        <v>225</v>
      </c>
      <c r="AG46" s="154" t="s">
        <v>226</v>
      </c>
      <c r="AH46" s="45"/>
      <c r="AI46" s="46"/>
      <c r="AJ46" s="46"/>
      <c r="AK46" s="164">
        <v>67800.56</v>
      </c>
      <c r="AL46" s="56"/>
      <c r="AM46" s="60"/>
      <c r="AN46" s="61"/>
      <c r="AO46" s="62"/>
      <c r="AP46" s="60"/>
      <c r="AQ46" s="61"/>
      <c r="AR46" s="61"/>
      <c r="AS46" s="63"/>
      <c r="AT46" s="64"/>
      <c r="AU46" s="63"/>
      <c r="AV46" s="64"/>
      <c r="AW46" s="65"/>
      <c r="AX46" s="65"/>
      <c r="AY46" s="65"/>
      <c r="AZ46" s="66"/>
      <c r="BA46" s="67"/>
      <c r="BB46" s="67"/>
      <c r="BC46" s="60"/>
      <c r="BD46" s="68"/>
      <c r="BE46" s="67"/>
      <c r="BF46" s="67"/>
      <c r="BG46" s="60"/>
      <c r="BH46" s="67"/>
      <c r="BI46" s="42">
        <f>AK46</f>
        <v>67800.56</v>
      </c>
      <c r="BJ46" s="35"/>
      <c r="BK46" s="51">
        <f>6263.4+31557.9+32236.8</f>
        <v>70058.100000000006</v>
      </c>
      <c r="BL46" s="51">
        <f>5170+1353.6+5097.62+3753.42+2019.12+1383.68+1570.92+4687.78</f>
        <v>25036.14</v>
      </c>
      <c r="BM46" s="51"/>
      <c r="BN46" s="39">
        <f t="shared" si="2"/>
        <v>25036.14</v>
      </c>
      <c r="BO46" s="69"/>
      <c r="BP46" s="69"/>
      <c r="BQ46" s="69"/>
      <c r="BR46" s="69"/>
      <c r="BS46" s="69"/>
      <c r="BT46" s="69"/>
      <c r="BU46" s="69"/>
      <c r="BV46" s="69"/>
      <c r="BW46" s="70"/>
      <c r="BX46" s="70"/>
      <c r="BY46" s="69"/>
      <c r="BZ46" s="69"/>
      <c r="CA46" s="69"/>
      <c r="CB46" s="154" t="s">
        <v>282</v>
      </c>
      <c r="CC46" s="157">
        <v>14196</v>
      </c>
      <c r="CD46" s="154" t="s">
        <v>251</v>
      </c>
      <c r="CE46" s="157">
        <v>716807</v>
      </c>
      <c r="CF46" s="154" t="s">
        <v>252</v>
      </c>
      <c r="CG46" s="157">
        <v>716641</v>
      </c>
    </row>
    <row r="47" spans="1:85" customFormat="1" ht="60" customHeight="1">
      <c r="A47" s="162"/>
      <c r="B47" s="162"/>
      <c r="C47" s="162"/>
      <c r="D47" s="276"/>
      <c r="E47" s="276"/>
      <c r="F47" s="276"/>
      <c r="G47" s="71"/>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56"/>
      <c r="AI47" s="57"/>
      <c r="AJ47" s="57"/>
      <c r="AK47" s="162"/>
      <c r="AL47" s="56"/>
      <c r="AM47" s="60"/>
      <c r="AN47" s="61"/>
      <c r="AO47" s="62"/>
      <c r="AP47" s="60"/>
      <c r="AQ47" s="61"/>
      <c r="AR47" s="61"/>
      <c r="AS47" s="63"/>
      <c r="AT47" s="64"/>
      <c r="AU47" s="63"/>
      <c r="AV47" s="64"/>
      <c r="AW47" s="65"/>
      <c r="AX47" s="65"/>
      <c r="AY47" s="65"/>
      <c r="AZ47" s="66"/>
      <c r="BA47" s="67"/>
      <c r="BB47" s="67"/>
      <c r="BC47" s="60"/>
      <c r="BD47" s="68"/>
      <c r="BE47" s="67"/>
      <c r="BF47" s="67"/>
      <c r="BG47" s="60"/>
      <c r="BH47" s="67"/>
      <c r="BI47" s="73"/>
      <c r="BJ47" s="67"/>
      <c r="BK47" s="74"/>
      <c r="BL47" s="74"/>
      <c r="BM47" s="74"/>
      <c r="BN47" s="57">
        <f t="shared" si="2"/>
        <v>0</v>
      </c>
      <c r="BO47" s="69"/>
      <c r="BP47" s="69"/>
      <c r="BQ47" s="69"/>
      <c r="BR47" s="69"/>
      <c r="BS47" s="69"/>
      <c r="BT47" s="69"/>
      <c r="BU47" s="69"/>
      <c r="BV47" s="69"/>
      <c r="BW47" s="70"/>
      <c r="BX47" s="70"/>
      <c r="BY47" s="69"/>
      <c r="BZ47" s="69"/>
      <c r="CA47" s="69"/>
      <c r="CB47" s="162"/>
      <c r="CC47" s="162"/>
      <c r="CD47" s="162"/>
      <c r="CE47" s="162"/>
      <c r="CF47" s="162"/>
      <c r="CG47" s="162"/>
    </row>
    <row r="48" spans="1:85" customFormat="1" ht="60" customHeight="1">
      <c r="A48" s="170">
        <v>10</v>
      </c>
      <c r="B48" s="165" t="s">
        <v>260</v>
      </c>
      <c r="C48" s="165" t="s">
        <v>276</v>
      </c>
      <c r="D48" s="273" t="s">
        <v>277</v>
      </c>
      <c r="E48" s="285"/>
      <c r="F48" s="273" t="s">
        <v>278</v>
      </c>
      <c r="G48" s="59"/>
      <c r="H48" s="169">
        <v>14158</v>
      </c>
      <c r="I48" s="154" t="s">
        <v>264</v>
      </c>
      <c r="J48" s="201"/>
      <c r="K48" s="201"/>
      <c r="L48" s="201"/>
      <c r="M48" s="201"/>
      <c r="N48" s="201"/>
      <c r="O48" s="201"/>
      <c r="P48" s="201"/>
      <c r="Q48" s="201"/>
      <c r="R48" s="201"/>
      <c r="S48" s="201"/>
      <c r="T48" s="201"/>
      <c r="U48" s="201"/>
      <c r="V48" s="201"/>
      <c r="W48" s="201"/>
      <c r="X48" s="202"/>
      <c r="Y48" s="163" t="s">
        <v>283</v>
      </c>
      <c r="Z48" s="165" t="s">
        <v>284</v>
      </c>
      <c r="AA48" s="165" t="s">
        <v>285</v>
      </c>
      <c r="AB48" s="161">
        <v>46048</v>
      </c>
      <c r="AC48" s="157"/>
      <c r="AD48" s="161">
        <v>46048</v>
      </c>
      <c r="AE48" s="161">
        <v>46412</v>
      </c>
      <c r="AF48" s="154" t="s">
        <v>225</v>
      </c>
      <c r="AG48" s="154" t="s">
        <v>226</v>
      </c>
      <c r="AH48" s="45"/>
      <c r="AI48" s="46"/>
      <c r="AJ48" s="46"/>
      <c r="AK48" s="164">
        <v>65037.599999999999</v>
      </c>
      <c r="AL48" s="56"/>
      <c r="AM48" s="60"/>
      <c r="AN48" s="61"/>
      <c r="AO48" s="62"/>
      <c r="AP48" s="60"/>
      <c r="AQ48" s="61"/>
      <c r="AR48" s="61"/>
      <c r="AS48" s="63"/>
      <c r="AT48" s="64"/>
      <c r="AU48" s="63"/>
      <c r="AV48" s="64"/>
      <c r="AW48" s="65"/>
      <c r="AX48" s="65"/>
      <c r="AY48" s="65"/>
      <c r="AZ48" s="66"/>
      <c r="BA48" s="67"/>
      <c r="BB48" s="67"/>
      <c r="BC48" s="60"/>
      <c r="BD48" s="68"/>
      <c r="BE48" s="67"/>
      <c r="BF48" s="67"/>
      <c r="BG48" s="60"/>
      <c r="BH48" s="67"/>
      <c r="BI48" s="42">
        <f>AK48</f>
        <v>65037.599999999999</v>
      </c>
      <c r="BJ48" s="35"/>
      <c r="BK48" s="51">
        <f>6263.4+31557.9+32236.8</f>
        <v>70058.100000000006</v>
      </c>
      <c r="BL48" s="51">
        <f>5170+1353.6+5097.62+3753.42+9800.44</f>
        <v>25175.08</v>
      </c>
      <c r="BM48" s="51"/>
      <c r="BN48" s="39">
        <f t="shared" si="2"/>
        <v>25175.08</v>
      </c>
      <c r="BO48" s="69"/>
      <c r="BP48" s="69"/>
      <c r="BQ48" s="69"/>
      <c r="BR48" s="69"/>
      <c r="BS48" s="69"/>
      <c r="BT48" s="69"/>
      <c r="BU48" s="69"/>
      <c r="BV48" s="69"/>
      <c r="BW48" s="70"/>
      <c r="BX48" s="70"/>
      <c r="BY48" s="69"/>
      <c r="BZ48" s="69"/>
      <c r="CA48" s="69"/>
      <c r="CB48" s="154" t="s">
        <v>286</v>
      </c>
      <c r="CC48" s="157">
        <v>14196</v>
      </c>
      <c r="CD48" s="154" t="s">
        <v>251</v>
      </c>
      <c r="CE48" s="157">
        <v>716807</v>
      </c>
      <c r="CF48" s="154" t="s">
        <v>252</v>
      </c>
      <c r="CG48" s="157">
        <v>716641</v>
      </c>
    </row>
    <row r="49" spans="1:85" customFormat="1" ht="60" customHeight="1">
      <c r="A49" s="162"/>
      <c r="B49" s="162"/>
      <c r="C49" s="162"/>
      <c r="D49" s="276"/>
      <c r="E49" s="276"/>
      <c r="F49" s="276"/>
      <c r="G49" s="71"/>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56"/>
      <c r="AI49" s="57"/>
      <c r="AJ49" s="57"/>
      <c r="AK49" s="162"/>
      <c r="AL49" s="56"/>
      <c r="AM49" s="60"/>
      <c r="AN49" s="61"/>
      <c r="AO49" s="62"/>
      <c r="AP49" s="60"/>
      <c r="AQ49" s="61"/>
      <c r="AR49" s="61"/>
      <c r="AS49" s="63"/>
      <c r="AT49" s="64"/>
      <c r="AU49" s="63"/>
      <c r="AV49" s="64"/>
      <c r="AW49" s="65"/>
      <c r="AX49" s="65"/>
      <c r="AY49" s="65"/>
      <c r="AZ49" s="66"/>
      <c r="BA49" s="67"/>
      <c r="BB49" s="67"/>
      <c r="BC49" s="60"/>
      <c r="BD49" s="68"/>
      <c r="BE49" s="67"/>
      <c r="BF49" s="67"/>
      <c r="BG49" s="60"/>
      <c r="BH49" s="67"/>
      <c r="BI49" s="73"/>
      <c r="BJ49" s="67"/>
      <c r="BK49" s="74"/>
      <c r="BL49" s="74"/>
      <c r="BM49" s="74"/>
      <c r="BN49" s="57">
        <f t="shared" si="2"/>
        <v>0</v>
      </c>
      <c r="BO49" s="69"/>
      <c r="BP49" s="69"/>
      <c r="BQ49" s="69"/>
      <c r="BR49" s="69"/>
      <c r="BS49" s="69"/>
      <c r="BT49" s="69"/>
      <c r="BU49" s="69"/>
      <c r="BV49" s="69"/>
      <c r="BW49" s="70"/>
      <c r="BX49" s="70"/>
      <c r="BY49" s="69"/>
      <c r="BZ49" s="69"/>
      <c r="CA49" s="69"/>
      <c r="CB49" s="162"/>
      <c r="CC49" s="162"/>
      <c r="CD49" s="162"/>
      <c r="CE49" s="162"/>
      <c r="CF49" s="162"/>
      <c r="CG49" s="162"/>
    </row>
    <row r="50" spans="1:85" customFormat="1" ht="60" customHeight="1">
      <c r="A50" s="170">
        <v>11</v>
      </c>
      <c r="B50" s="165" t="s">
        <v>260</v>
      </c>
      <c r="C50" s="165" t="s">
        <v>276</v>
      </c>
      <c r="D50" s="273" t="s">
        <v>277</v>
      </c>
      <c r="E50" s="285"/>
      <c r="F50" s="273" t="s">
        <v>263</v>
      </c>
      <c r="G50" s="59"/>
      <c r="H50" s="169">
        <v>14158</v>
      </c>
      <c r="I50" s="154" t="s">
        <v>264</v>
      </c>
      <c r="J50" s="201"/>
      <c r="K50" s="201"/>
      <c r="L50" s="201"/>
      <c r="M50" s="201"/>
      <c r="N50" s="201"/>
      <c r="O50" s="201"/>
      <c r="P50" s="201"/>
      <c r="Q50" s="201"/>
      <c r="R50" s="201"/>
      <c r="S50" s="201"/>
      <c r="T50" s="201"/>
      <c r="U50" s="201"/>
      <c r="V50" s="201"/>
      <c r="W50" s="201"/>
      <c r="X50" s="202"/>
      <c r="Y50" s="163" t="s">
        <v>287</v>
      </c>
      <c r="Z50" s="165" t="s">
        <v>288</v>
      </c>
      <c r="AA50" s="165" t="s">
        <v>289</v>
      </c>
      <c r="AB50" s="161">
        <v>46048</v>
      </c>
      <c r="AC50" s="157"/>
      <c r="AD50" s="161">
        <v>46048</v>
      </c>
      <c r="AE50" s="161">
        <v>46412</v>
      </c>
      <c r="AF50" s="154" t="s">
        <v>225</v>
      </c>
      <c r="AG50" s="154" t="s">
        <v>226</v>
      </c>
      <c r="AH50" s="45"/>
      <c r="AI50" s="46"/>
      <c r="AJ50" s="46"/>
      <c r="AK50" s="164">
        <v>64886.13</v>
      </c>
      <c r="AL50" s="56"/>
      <c r="AM50" s="60"/>
      <c r="AN50" s="61"/>
      <c r="AO50" s="62"/>
      <c r="AP50" s="60"/>
      <c r="AQ50" s="61"/>
      <c r="AR50" s="61"/>
      <c r="AS50" s="63"/>
      <c r="AT50" s="64"/>
      <c r="AU50" s="63"/>
      <c r="AV50" s="64"/>
      <c r="AW50" s="65"/>
      <c r="AX50" s="65"/>
      <c r="AY50" s="65"/>
      <c r="AZ50" s="66"/>
      <c r="BA50" s="67"/>
      <c r="BB50" s="67"/>
      <c r="BC50" s="60"/>
      <c r="BD50" s="68"/>
      <c r="BE50" s="67"/>
      <c r="BF50" s="67"/>
      <c r="BG50" s="60"/>
      <c r="BH50" s="67"/>
      <c r="BI50" s="42">
        <f>AK50</f>
        <v>64886.13</v>
      </c>
      <c r="BJ50" s="35"/>
      <c r="BK50" s="51">
        <f>6263.4+31557.9+32236.8</f>
        <v>70058.100000000006</v>
      </c>
      <c r="BL50" s="51">
        <f>1599.88+1222+774.56+2046.56+658+1457</f>
        <v>7758</v>
      </c>
      <c r="BM50" s="51"/>
      <c r="BN50" s="39">
        <f t="shared" si="2"/>
        <v>7758</v>
      </c>
      <c r="BO50" s="69"/>
      <c r="BP50" s="69"/>
      <c r="BQ50" s="69"/>
      <c r="BR50" s="69"/>
      <c r="BS50" s="69"/>
      <c r="BT50" s="69"/>
      <c r="BU50" s="69"/>
      <c r="BV50" s="69"/>
      <c r="BW50" s="70"/>
      <c r="BX50" s="70"/>
      <c r="BY50" s="69"/>
      <c r="BZ50" s="69"/>
      <c r="CA50" s="69"/>
      <c r="CB50" s="154" t="s">
        <v>290</v>
      </c>
      <c r="CC50" s="157">
        <v>14196</v>
      </c>
      <c r="CD50" s="154" t="s">
        <v>251</v>
      </c>
      <c r="CE50" s="157">
        <v>716807</v>
      </c>
      <c r="CF50" s="154" t="s">
        <v>252</v>
      </c>
      <c r="CG50" s="157">
        <v>716641</v>
      </c>
    </row>
    <row r="51" spans="1:85" customFormat="1" ht="60" customHeight="1">
      <c r="A51" s="162"/>
      <c r="B51" s="162"/>
      <c r="C51" s="162"/>
      <c r="D51" s="276"/>
      <c r="E51" s="276"/>
      <c r="F51" s="276"/>
      <c r="G51" s="71"/>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56"/>
      <c r="AI51" s="57"/>
      <c r="AJ51" s="57"/>
      <c r="AK51" s="162"/>
      <c r="AL51" s="56"/>
      <c r="AM51" s="60"/>
      <c r="AN51" s="61"/>
      <c r="AO51" s="62"/>
      <c r="AP51" s="60"/>
      <c r="AQ51" s="61"/>
      <c r="AR51" s="61"/>
      <c r="AS51" s="63"/>
      <c r="AT51" s="64"/>
      <c r="AU51" s="63"/>
      <c r="AV51" s="64"/>
      <c r="AW51" s="65"/>
      <c r="AX51" s="65"/>
      <c r="AY51" s="65"/>
      <c r="AZ51" s="66"/>
      <c r="BA51" s="67"/>
      <c r="BB51" s="67"/>
      <c r="BC51" s="60"/>
      <c r="BD51" s="68"/>
      <c r="BE51" s="67"/>
      <c r="BF51" s="67"/>
      <c r="BG51" s="60"/>
      <c r="BH51" s="67"/>
      <c r="BI51" s="73"/>
      <c r="BJ51" s="67"/>
      <c r="BK51" s="74"/>
      <c r="BL51" s="74"/>
      <c r="BM51" s="74"/>
      <c r="BN51" s="57">
        <f t="shared" si="2"/>
        <v>0</v>
      </c>
      <c r="BO51" s="69"/>
      <c r="BP51" s="69"/>
      <c r="BQ51" s="69"/>
      <c r="BR51" s="69"/>
      <c r="BS51" s="69"/>
      <c r="BT51" s="69"/>
      <c r="BU51" s="69"/>
      <c r="BV51" s="69"/>
      <c r="BW51" s="70"/>
      <c r="BX51" s="70"/>
      <c r="BY51" s="69"/>
      <c r="BZ51" s="69"/>
      <c r="CA51" s="69"/>
      <c r="CB51" s="162"/>
      <c r="CC51" s="162"/>
      <c r="CD51" s="162"/>
      <c r="CE51" s="162"/>
      <c r="CF51" s="162"/>
      <c r="CG51" s="162"/>
    </row>
    <row r="52" spans="1:85" customFormat="1" ht="60" customHeight="1">
      <c r="A52" s="170">
        <v>12</v>
      </c>
      <c r="B52" s="165" t="s">
        <v>260</v>
      </c>
      <c r="C52" s="165" t="s">
        <v>276</v>
      </c>
      <c r="D52" s="273" t="s">
        <v>277</v>
      </c>
      <c r="E52" s="285"/>
      <c r="F52" s="273" t="s">
        <v>263</v>
      </c>
      <c r="G52" s="59"/>
      <c r="H52" s="169">
        <v>14158</v>
      </c>
      <c r="I52" s="154" t="s">
        <v>264</v>
      </c>
      <c r="J52" s="201"/>
      <c r="K52" s="201"/>
      <c r="L52" s="201"/>
      <c r="M52" s="201"/>
      <c r="N52" s="201"/>
      <c r="O52" s="201"/>
      <c r="P52" s="201"/>
      <c r="Q52" s="201"/>
      <c r="R52" s="201"/>
      <c r="S52" s="201"/>
      <c r="T52" s="201"/>
      <c r="U52" s="201"/>
      <c r="V52" s="201"/>
      <c r="W52" s="201"/>
      <c r="X52" s="202"/>
      <c r="Y52" s="163" t="s">
        <v>291</v>
      </c>
      <c r="Z52" s="165" t="s">
        <v>292</v>
      </c>
      <c r="AA52" s="165" t="s">
        <v>293</v>
      </c>
      <c r="AB52" s="161">
        <v>46048</v>
      </c>
      <c r="AC52" s="157"/>
      <c r="AD52" s="161">
        <v>46048</v>
      </c>
      <c r="AE52" s="161">
        <v>46412</v>
      </c>
      <c r="AF52" s="154" t="s">
        <v>225</v>
      </c>
      <c r="AG52" s="154" t="s">
        <v>226</v>
      </c>
      <c r="AH52" s="45"/>
      <c r="AI52" s="46"/>
      <c r="AJ52" s="46"/>
      <c r="AK52" s="164">
        <v>70679.399999999994</v>
      </c>
      <c r="AL52" s="56"/>
      <c r="AM52" s="60"/>
      <c r="AN52" s="61"/>
      <c r="AO52" s="62"/>
      <c r="AP52" s="60"/>
      <c r="AQ52" s="61"/>
      <c r="AR52" s="61"/>
      <c r="AS52" s="63"/>
      <c r="AT52" s="64"/>
      <c r="AU52" s="63"/>
      <c r="AV52" s="64"/>
      <c r="AW52" s="65"/>
      <c r="AX52" s="65"/>
      <c r="AY52" s="65"/>
      <c r="AZ52" s="66"/>
      <c r="BA52" s="67"/>
      <c r="BB52" s="67"/>
      <c r="BC52" s="60"/>
      <c r="BD52" s="68"/>
      <c r="BE52" s="67"/>
      <c r="BF52" s="67"/>
      <c r="BG52" s="60"/>
      <c r="BH52" s="67"/>
      <c r="BI52" s="42">
        <f>AK52</f>
        <v>70679.399999999994</v>
      </c>
      <c r="BJ52" s="35"/>
      <c r="BK52" s="51">
        <f>6263.4+31557.9+32236.8</f>
        <v>70058.100000000006</v>
      </c>
      <c r="BL52" s="51">
        <f>1832.06+3036.2+2177.04+2802.48+4992.34+4631.17+4057.55</f>
        <v>23528.84</v>
      </c>
      <c r="BM52" s="51"/>
      <c r="BN52" s="39">
        <f t="shared" si="2"/>
        <v>23528.84</v>
      </c>
      <c r="BO52" s="69"/>
      <c r="BP52" s="69"/>
      <c r="BQ52" s="69"/>
      <c r="BR52" s="69"/>
      <c r="BS52" s="69"/>
      <c r="BT52" s="69"/>
      <c r="BU52" s="69"/>
      <c r="BV52" s="69"/>
      <c r="BW52" s="70"/>
      <c r="BX52" s="70"/>
      <c r="BY52" s="69"/>
      <c r="BZ52" s="69"/>
      <c r="CA52" s="69"/>
      <c r="CB52" s="154" t="s">
        <v>294</v>
      </c>
      <c r="CC52" s="157">
        <v>14196</v>
      </c>
      <c r="CD52" s="154" t="s">
        <v>251</v>
      </c>
      <c r="CE52" s="157">
        <v>716807</v>
      </c>
      <c r="CF52" s="154" t="s">
        <v>252</v>
      </c>
      <c r="CG52" s="157">
        <v>716641</v>
      </c>
    </row>
    <row r="53" spans="1:85" customFormat="1" ht="60" customHeight="1">
      <c r="A53" s="162"/>
      <c r="B53" s="162"/>
      <c r="C53" s="162"/>
      <c r="D53" s="276"/>
      <c r="E53" s="276"/>
      <c r="F53" s="276"/>
      <c r="G53" s="71"/>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56"/>
      <c r="AI53" s="57"/>
      <c r="AJ53" s="57"/>
      <c r="AK53" s="162"/>
      <c r="AL53" s="56"/>
      <c r="AM53" s="60"/>
      <c r="AN53" s="61"/>
      <c r="AO53" s="62"/>
      <c r="AP53" s="60"/>
      <c r="AQ53" s="61"/>
      <c r="AR53" s="61"/>
      <c r="AS53" s="63"/>
      <c r="AT53" s="64"/>
      <c r="AU53" s="63"/>
      <c r="AV53" s="64"/>
      <c r="AW53" s="65"/>
      <c r="AX53" s="65"/>
      <c r="AY53" s="65"/>
      <c r="AZ53" s="66"/>
      <c r="BA53" s="67"/>
      <c r="BB53" s="67"/>
      <c r="BC53" s="60"/>
      <c r="BD53" s="68"/>
      <c r="BE53" s="67"/>
      <c r="BF53" s="67"/>
      <c r="BG53" s="60"/>
      <c r="BH53" s="67"/>
      <c r="BI53" s="73"/>
      <c r="BJ53" s="67"/>
      <c r="BK53" s="74"/>
      <c r="BL53" s="74"/>
      <c r="BM53" s="74"/>
      <c r="BN53" s="57">
        <f t="shared" si="2"/>
        <v>0</v>
      </c>
      <c r="BO53" s="69"/>
      <c r="BP53" s="69"/>
      <c r="BQ53" s="69"/>
      <c r="BR53" s="69"/>
      <c r="BS53" s="69"/>
      <c r="BT53" s="69"/>
      <c r="BU53" s="69"/>
      <c r="BV53" s="69"/>
      <c r="BW53" s="70"/>
      <c r="BX53" s="70"/>
      <c r="BY53" s="69"/>
      <c r="BZ53" s="69"/>
      <c r="CA53" s="69"/>
      <c r="CB53" s="162"/>
      <c r="CC53" s="162"/>
      <c r="CD53" s="162"/>
      <c r="CE53" s="162"/>
      <c r="CF53" s="162"/>
      <c r="CG53" s="162"/>
    </row>
    <row r="54" spans="1:85" customFormat="1" ht="60" customHeight="1">
      <c r="A54" s="170">
        <v>13</v>
      </c>
      <c r="B54" s="165" t="s">
        <v>260</v>
      </c>
      <c r="C54" s="165" t="s">
        <v>276</v>
      </c>
      <c r="D54" s="273" t="s">
        <v>277</v>
      </c>
      <c r="E54" s="285"/>
      <c r="F54" s="273" t="s">
        <v>278</v>
      </c>
      <c r="G54" s="59"/>
      <c r="H54" s="169">
        <v>14158</v>
      </c>
      <c r="I54" s="154" t="s">
        <v>264</v>
      </c>
      <c r="J54" s="201"/>
      <c r="K54" s="201"/>
      <c r="L54" s="201"/>
      <c r="M54" s="201"/>
      <c r="N54" s="201"/>
      <c r="O54" s="201"/>
      <c r="P54" s="201"/>
      <c r="Q54" s="201"/>
      <c r="R54" s="201"/>
      <c r="S54" s="201"/>
      <c r="T54" s="201"/>
      <c r="U54" s="201"/>
      <c r="V54" s="201"/>
      <c r="W54" s="201"/>
      <c r="X54" s="202"/>
      <c r="Y54" s="163" t="s">
        <v>295</v>
      </c>
      <c r="Z54" s="165" t="s">
        <v>296</v>
      </c>
      <c r="AA54" s="165" t="s">
        <v>297</v>
      </c>
      <c r="AB54" s="161">
        <v>46048</v>
      </c>
      <c r="AC54" s="157"/>
      <c r="AD54" s="161">
        <v>46048</v>
      </c>
      <c r="AE54" s="161">
        <v>46412</v>
      </c>
      <c r="AF54" s="154" t="s">
        <v>225</v>
      </c>
      <c r="AG54" s="154" t="s">
        <v>226</v>
      </c>
      <c r="AH54" s="45"/>
      <c r="AI54" s="46"/>
      <c r="AJ54" s="46"/>
      <c r="AK54" s="164">
        <v>70491.179999999993</v>
      </c>
      <c r="AL54" s="56"/>
      <c r="AM54" s="60"/>
      <c r="AN54" s="61"/>
      <c r="AO54" s="62"/>
      <c r="AP54" s="60"/>
      <c r="AQ54" s="61"/>
      <c r="AR54" s="61"/>
      <c r="AS54" s="63"/>
      <c r="AT54" s="64"/>
      <c r="AU54" s="63"/>
      <c r="AV54" s="64"/>
      <c r="AW54" s="65"/>
      <c r="AX54" s="65"/>
      <c r="AY54" s="65"/>
      <c r="AZ54" s="66"/>
      <c r="BA54" s="67"/>
      <c r="BB54" s="67"/>
      <c r="BC54" s="60"/>
      <c r="BD54" s="68"/>
      <c r="BE54" s="67"/>
      <c r="BF54" s="67"/>
      <c r="BG54" s="60"/>
      <c r="BH54" s="67"/>
      <c r="BI54" s="42">
        <f>AK54</f>
        <v>70491.179999999993</v>
      </c>
      <c r="BJ54" s="35"/>
      <c r="BK54" s="51">
        <f>6263.4+31557.9+32236.8</f>
        <v>70058.100000000006</v>
      </c>
      <c r="BL54" s="51">
        <f>7088.54+8408.38+1175.94+849.82+661.76+526.4+3720.86+3003.7</f>
        <v>25435.399999999998</v>
      </c>
      <c r="BM54" s="51"/>
      <c r="BN54" s="39">
        <f t="shared" si="2"/>
        <v>25435.399999999998</v>
      </c>
      <c r="BO54" s="69"/>
      <c r="BP54" s="69"/>
      <c r="BQ54" s="69"/>
      <c r="BR54" s="69"/>
      <c r="BS54" s="69"/>
      <c r="BT54" s="69"/>
      <c r="BU54" s="69"/>
      <c r="BV54" s="69"/>
      <c r="BW54" s="70"/>
      <c r="BX54" s="70"/>
      <c r="BY54" s="69"/>
      <c r="BZ54" s="69"/>
      <c r="CA54" s="69"/>
      <c r="CB54" s="154" t="s">
        <v>298</v>
      </c>
      <c r="CC54" s="157">
        <v>14196</v>
      </c>
      <c r="CD54" s="154" t="s">
        <v>251</v>
      </c>
      <c r="CE54" s="157">
        <v>716807</v>
      </c>
      <c r="CF54" s="154" t="s">
        <v>252</v>
      </c>
      <c r="CG54" s="157">
        <v>716641</v>
      </c>
    </row>
    <row r="55" spans="1:85" customFormat="1" ht="60" customHeight="1">
      <c r="A55" s="162"/>
      <c r="B55" s="162"/>
      <c r="C55" s="162"/>
      <c r="D55" s="276"/>
      <c r="E55" s="276"/>
      <c r="F55" s="276"/>
      <c r="G55" s="71"/>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56"/>
      <c r="AI55" s="57"/>
      <c r="AJ55" s="57"/>
      <c r="AK55" s="162"/>
      <c r="AL55" s="56"/>
      <c r="AM55" s="60"/>
      <c r="AN55" s="61"/>
      <c r="AO55" s="62"/>
      <c r="AP55" s="60"/>
      <c r="AQ55" s="61"/>
      <c r="AR55" s="61"/>
      <c r="AS55" s="63"/>
      <c r="AT55" s="64"/>
      <c r="AU55" s="63"/>
      <c r="AV55" s="64"/>
      <c r="AW55" s="65"/>
      <c r="AX55" s="65"/>
      <c r="AY55" s="65"/>
      <c r="AZ55" s="66"/>
      <c r="BA55" s="67"/>
      <c r="BB55" s="67"/>
      <c r="BC55" s="60"/>
      <c r="BD55" s="68"/>
      <c r="BE55" s="67"/>
      <c r="BF55" s="67"/>
      <c r="BG55" s="60"/>
      <c r="BH55" s="67"/>
      <c r="BI55" s="73"/>
      <c r="BJ55" s="67"/>
      <c r="BK55" s="74"/>
      <c r="BL55" s="74"/>
      <c r="BM55" s="74"/>
      <c r="BN55" s="57">
        <f t="shared" si="2"/>
        <v>0</v>
      </c>
      <c r="BO55" s="69"/>
      <c r="BP55" s="69"/>
      <c r="BQ55" s="69"/>
      <c r="BR55" s="69"/>
      <c r="BS55" s="69"/>
      <c r="BT55" s="69"/>
      <c r="BU55" s="69"/>
      <c r="BV55" s="69"/>
      <c r="BW55" s="70"/>
      <c r="BX55" s="70"/>
      <c r="BY55" s="69"/>
      <c r="BZ55" s="69"/>
      <c r="CA55" s="69"/>
      <c r="CB55" s="162"/>
      <c r="CC55" s="162"/>
      <c r="CD55" s="162"/>
      <c r="CE55" s="162"/>
      <c r="CF55" s="162"/>
      <c r="CG55" s="162"/>
    </row>
    <row r="56" spans="1:85" customFormat="1" ht="60" customHeight="1">
      <c r="A56" s="170">
        <v>14</v>
      </c>
      <c r="B56" s="165" t="s">
        <v>260</v>
      </c>
      <c r="C56" s="165" t="s">
        <v>276</v>
      </c>
      <c r="D56" s="273" t="s">
        <v>277</v>
      </c>
      <c r="E56" s="285"/>
      <c r="F56" s="273" t="s">
        <v>278</v>
      </c>
      <c r="G56" s="59"/>
      <c r="H56" s="169">
        <v>14158</v>
      </c>
      <c r="I56" s="154" t="s">
        <v>264</v>
      </c>
      <c r="J56" s="201"/>
      <c r="K56" s="201"/>
      <c r="L56" s="201"/>
      <c r="M56" s="201"/>
      <c r="N56" s="201"/>
      <c r="O56" s="201"/>
      <c r="P56" s="201"/>
      <c r="Q56" s="201"/>
      <c r="R56" s="201"/>
      <c r="S56" s="201"/>
      <c r="T56" s="201"/>
      <c r="U56" s="201"/>
      <c r="V56" s="201"/>
      <c r="W56" s="201"/>
      <c r="X56" s="202"/>
      <c r="Y56" s="163" t="s">
        <v>299</v>
      </c>
      <c r="Z56" s="165" t="s">
        <v>300</v>
      </c>
      <c r="AA56" s="165" t="s">
        <v>301</v>
      </c>
      <c r="AB56" s="161">
        <v>46048</v>
      </c>
      <c r="AC56" s="157"/>
      <c r="AD56" s="161">
        <v>46048</v>
      </c>
      <c r="AE56" s="161">
        <v>46412</v>
      </c>
      <c r="AF56" s="154" t="s">
        <v>225</v>
      </c>
      <c r="AG56" s="154" t="s">
        <v>226</v>
      </c>
      <c r="AH56" s="45"/>
      <c r="AI56" s="46"/>
      <c r="AJ56" s="46"/>
      <c r="AK56" s="164">
        <v>71201.88</v>
      </c>
      <c r="AL56" s="56"/>
      <c r="AM56" s="60"/>
      <c r="AN56" s="61"/>
      <c r="AO56" s="62"/>
      <c r="AP56" s="60"/>
      <c r="AQ56" s="61"/>
      <c r="AR56" s="61"/>
      <c r="AS56" s="63"/>
      <c r="AT56" s="64"/>
      <c r="AU56" s="63"/>
      <c r="AV56" s="64"/>
      <c r="AW56" s="65"/>
      <c r="AX56" s="65"/>
      <c r="AY56" s="65"/>
      <c r="AZ56" s="66"/>
      <c r="BA56" s="67"/>
      <c r="BB56" s="67"/>
      <c r="BC56" s="60"/>
      <c r="BD56" s="68"/>
      <c r="BE56" s="67"/>
      <c r="BF56" s="67"/>
      <c r="BG56" s="60"/>
      <c r="BH56" s="67"/>
      <c r="BI56" s="42">
        <f>AK56</f>
        <v>71201.88</v>
      </c>
      <c r="BJ56" s="35"/>
      <c r="BK56" s="51">
        <f>6263.4+31557.9+32236.8</f>
        <v>70058.100000000006</v>
      </c>
      <c r="BL56" s="51">
        <f>1224.82+2470.32+485.04+1976.82+7788.36+2730.7+7586.42</f>
        <v>24262.480000000003</v>
      </c>
      <c r="BM56" s="51"/>
      <c r="BN56" s="39">
        <f t="shared" si="2"/>
        <v>24262.480000000003</v>
      </c>
      <c r="BO56" s="69"/>
      <c r="BP56" s="69"/>
      <c r="BQ56" s="69"/>
      <c r="BR56" s="69"/>
      <c r="BS56" s="69"/>
      <c r="BT56" s="69"/>
      <c r="BU56" s="69"/>
      <c r="BV56" s="69"/>
      <c r="BW56" s="70"/>
      <c r="BX56" s="70"/>
      <c r="BY56" s="69"/>
      <c r="BZ56" s="69"/>
      <c r="CA56" s="69"/>
      <c r="CB56" s="154" t="s">
        <v>302</v>
      </c>
      <c r="CC56" s="157">
        <v>14196</v>
      </c>
      <c r="CD56" s="154" t="s">
        <v>251</v>
      </c>
      <c r="CE56" s="157">
        <v>716807</v>
      </c>
      <c r="CF56" s="154" t="s">
        <v>252</v>
      </c>
      <c r="CG56" s="157">
        <v>716641</v>
      </c>
    </row>
    <row r="57" spans="1:85" customFormat="1" ht="60" customHeight="1">
      <c r="A57" s="162"/>
      <c r="B57" s="162"/>
      <c r="C57" s="162"/>
      <c r="D57" s="276"/>
      <c r="E57" s="276"/>
      <c r="F57" s="276"/>
      <c r="G57" s="71"/>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56"/>
      <c r="AI57" s="57"/>
      <c r="AJ57" s="57"/>
      <c r="AK57" s="162"/>
      <c r="AL57" s="56"/>
      <c r="AM57" s="60"/>
      <c r="AN57" s="61"/>
      <c r="AO57" s="62"/>
      <c r="AP57" s="60"/>
      <c r="AQ57" s="61"/>
      <c r="AR57" s="61"/>
      <c r="AS57" s="63"/>
      <c r="AT57" s="64"/>
      <c r="AU57" s="63"/>
      <c r="AV57" s="64"/>
      <c r="AW57" s="65"/>
      <c r="AX57" s="65"/>
      <c r="AY57" s="65"/>
      <c r="AZ57" s="66"/>
      <c r="BA57" s="67"/>
      <c r="BB57" s="67"/>
      <c r="BC57" s="60"/>
      <c r="BD57" s="68"/>
      <c r="BE57" s="67"/>
      <c r="BF57" s="67"/>
      <c r="BG57" s="60"/>
      <c r="BH57" s="67"/>
      <c r="BI57" s="73"/>
      <c r="BJ57" s="67"/>
      <c r="BK57" s="74"/>
      <c r="BL57" s="74"/>
      <c r="BM57" s="74"/>
      <c r="BN57" s="57">
        <f t="shared" si="2"/>
        <v>0</v>
      </c>
      <c r="BO57" s="69"/>
      <c r="BP57" s="69"/>
      <c r="BQ57" s="69"/>
      <c r="BR57" s="69"/>
      <c r="BS57" s="69"/>
      <c r="BT57" s="69"/>
      <c r="BU57" s="69"/>
      <c r="BV57" s="69"/>
      <c r="BW57" s="70"/>
      <c r="BX57" s="70"/>
      <c r="BY57" s="69"/>
      <c r="BZ57" s="69"/>
      <c r="CA57" s="69"/>
      <c r="CB57" s="162"/>
      <c r="CC57" s="162"/>
      <c r="CD57" s="162"/>
      <c r="CE57" s="162"/>
      <c r="CF57" s="162"/>
      <c r="CG57" s="162"/>
    </row>
    <row r="58" spans="1:85" customFormat="1" ht="60" customHeight="1">
      <c r="A58" s="170">
        <v>15</v>
      </c>
      <c r="B58" s="165" t="s">
        <v>260</v>
      </c>
      <c r="C58" s="165" t="s">
        <v>276</v>
      </c>
      <c r="D58" s="273" t="s">
        <v>277</v>
      </c>
      <c r="E58" s="285"/>
      <c r="F58" s="273" t="s">
        <v>303</v>
      </c>
      <c r="G58" s="59"/>
      <c r="H58" s="169">
        <v>14158</v>
      </c>
      <c r="I58" s="154" t="s">
        <v>264</v>
      </c>
      <c r="J58" s="201"/>
      <c r="K58" s="201"/>
      <c r="L58" s="201"/>
      <c r="M58" s="201"/>
      <c r="N58" s="201"/>
      <c r="O58" s="201"/>
      <c r="P58" s="201"/>
      <c r="Q58" s="201"/>
      <c r="R58" s="201"/>
      <c r="S58" s="201"/>
      <c r="T58" s="201"/>
      <c r="U58" s="201"/>
      <c r="V58" s="201"/>
      <c r="W58" s="201"/>
      <c r="X58" s="202"/>
      <c r="Y58" s="163" t="s">
        <v>304</v>
      </c>
      <c r="Z58" s="165" t="s">
        <v>305</v>
      </c>
      <c r="AA58" s="165" t="s">
        <v>306</v>
      </c>
      <c r="AB58" s="161">
        <v>46048</v>
      </c>
      <c r="AC58" s="157"/>
      <c r="AD58" s="161">
        <v>46048</v>
      </c>
      <c r="AE58" s="161">
        <v>46412</v>
      </c>
      <c r="AF58" s="154" t="s">
        <v>225</v>
      </c>
      <c r="AG58" s="154" t="s">
        <v>226</v>
      </c>
      <c r="AH58" s="45"/>
      <c r="AI58" s="46"/>
      <c r="AJ58" s="46"/>
      <c r="AK58" s="164">
        <v>62685.2</v>
      </c>
      <c r="AL58" s="56"/>
      <c r="AM58" s="60"/>
      <c r="AN58" s="61"/>
      <c r="AO58" s="62"/>
      <c r="AP58" s="60"/>
      <c r="AQ58" s="61"/>
      <c r="AR58" s="61"/>
      <c r="AS58" s="63"/>
      <c r="AT58" s="64"/>
      <c r="AU58" s="63"/>
      <c r="AV58" s="64"/>
      <c r="AW58" s="65"/>
      <c r="AX58" s="65"/>
      <c r="AY58" s="65"/>
      <c r="AZ58" s="66"/>
      <c r="BA58" s="67"/>
      <c r="BB58" s="67"/>
      <c r="BC58" s="60"/>
      <c r="BD58" s="68"/>
      <c r="BE58" s="67"/>
      <c r="BF58" s="67"/>
      <c r="BG58" s="60"/>
      <c r="BH58" s="67"/>
      <c r="BI58" s="42">
        <f>AK58</f>
        <v>62685.2</v>
      </c>
      <c r="BJ58" s="35"/>
      <c r="BK58" s="51">
        <f>6263.4+31557.9+32236.8</f>
        <v>70058.100000000006</v>
      </c>
      <c r="BL58" s="51">
        <f>131.6+2736.34+1341.38+5311.94</f>
        <v>9521.2599999999984</v>
      </c>
      <c r="BM58" s="51"/>
      <c r="BN58" s="39">
        <f t="shared" si="2"/>
        <v>9521.2599999999984</v>
      </c>
      <c r="BO58" s="69"/>
      <c r="BP58" s="69"/>
      <c r="BQ58" s="69"/>
      <c r="BR58" s="69"/>
      <c r="BS58" s="69"/>
      <c r="BT58" s="69"/>
      <c r="BU58" s="69"/>
      <c r="BV58" s="69"/>
      <c r="BW58" s="70"/>
      <c r="BX58" s="70"/>
      <c r="BY58" s="69"/>
      <c r="BZ58" s="69"/>
      <c r="CA58" s="69"/>
      <c r="CB58" s="154" t="s">
        <v>307</v>
      </c>
      <c r="CC58" s="157">
        <v>14196</v>
      </c>
      <c r="CD58" s="154" t="s">
        <v>251</v>
      </c>
      <c r="CE58" s="157">
        <v>716807</v>
      </c>
      <c r="CF58" s="154" t="s">
        <v>252</v>
      </c>
      <c r="CG58" s="157">
        <v>716641</v>
      </c>
    </row>
    <row r="59" spans="1:85" customFormat="1" ht="60" customHeight="1">
      <c r="A59" s="162"/>
      <c r="B59" s="162"/>
      <c r="C59" s="162"/>
      <c r="D59" s="276"/>
      <c r="E59" s="276"/>
      <c r="F59" s="276"/>
      <c r="G59" s="71"/>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56"/>
      <c r="AI59" s="57"/>
      <c r="AJ59" s="57"/>
      <c r="AK59" s="162"/>
      <c r="AL59" s="56"/>
      <c r="AM59" s="60"/>
      <c r="AN59" s="61"/>
      <c r="AO59" s="62"/>
      <c r="AP59" s="60"/>
      <c r="AQ59" s="61"/>
      <c r="AR59" s="61"/>
      <c r="AS59" s="63"/>
      <c r="AT59" s="64"/>
      <c r="AU59" s="63"/>
      <c r="AV59" s="64"/>
      <c r="AW59" s="65"/>
      <c r="AX59" s="65"/>
      <c r="AY59" s="65"/>
      <c r="AZ59" s="66"/>
      <c r="BA59" s="67"/>
      <c r="BB59" s="67"/>
      <c r="BC59" s="60"/>
      <c r="BD59" s="68"/>
      <c r="BE59" s="67"/>
      <c r="BF59" s="67"/>
      <c r="BG59" s="60"/>
      <c r="BH59" s="67"/>
      <c r="BI59" s="73"/>
      <c r="BJ59" s="67"/>
      <c r="BK59" s="74"/>
      <c r="BL59" s="74"/>
      <c r="BM59" s="74"/>
      <c r="BN59" s="57">
        <f t="shared" si="2"/>
        <v>0</v>
      </c>
      <c r="BO59" s="69"/>
      <c r="BP59" s="69"/>
      <c r="BQ59" s="69"/>
      <c r="BR59" s="69"/>
      <c r="BS59" s="69"/>
      <c r="BT59" s="69"/>
      <c r="BU59" s="69"/>
      <c r="BV59" s="69"/>
      <c r="BW59" s="70"/>
      <c r="BX59" s="70"/>
      <c r="BY59" s="69"/>
      <c r="BZ59" s="69"/>
      <c r="CA59" s="69"/>
      <c r="CB59" s="162"/>
      <c r="CC59" s="162"/>
      <c r="CD59" s="162"/>
      <c r="CE59" s="162"/>
      <c r="CF59" s="162"/>
      <c r="CG59" s="162"/>
    </row>
    <row r="60" spans="1:85" customFormat="1" ht="60" customHeight="1">
      <c r="A60" s="170">
        <v>16</v>
      </c>
      <c r="B60" s="165" t="s">
        <v>260</v>
      </c>
      <c r="C60" s="165" t="s">
        <v>276</v>
      </c>
      <c r="D60" s="273" t="s">
        <v>277</v>
      </c>
      <c r="E60" s="285"/>
      <c r="F60" s="273" t="s">
        <v>303</v>
      </c>
      <c r="G60" s="59"/>
      <c r="H60" s="169">
        <v>14158</v>
      </c>
      <c r="I60" s="154" t="s">
        <v>264</v>
      </c>
      <c r="J60" s="201"/>
      <c r="K60" s="201"/>
      <c r="L60" s="201"/>
      <c r="M60" s="201"/>
      <c r="N60" s="201"/>
      <c r="O60" s="201"/>
      <c r="P60" s="201"/>
      <c r="Q60" s="201"/>
      <c r="R60" s="201"/>
      <c r="S60" s="201"/>
      <c r="T60" s="201"/>
      <c r="U60" s="201"/>
      <c r="V60" s="201"/>
      <c r="W60" s="201"/>
      <c r="X60" s="202"/>
      <c r="Y60" s="163" t="s">
        <v>308</v>
      </c>
      <c r="Z60" s="165" t="s">
        <v>309</v>
      </c>
      <c r="AA60" s="165" t="s">
        <v>310</v>
      </c>
      <c r="AB60" s="161">
        <v>46048</v>
      </c>
      <c r="AC60" s="157"/>
      <c r="AD60" s="161">
        <v>46048</v>
      </c>
      <c r="AE60" s="161">
        <v>46412</v>
      </c>
      <c r="AF60" s="154" t="s">
        <v>225</v>
      </c>
      <c r="AG60" s="154" t="s">
        <v>226</v>
      </c>
      <c r="AH60" s="45"/>
      <c r="AI60" s="46"/>
      <c r="AJ60" s="46"/>
      <c r="AK60" s="164">
        <v>64216.9</v>
      </c>
      <c r="AL60" s="56"/>
      <c r="AM60" s="60"/>
      <c r="AN60" s="61"/>
      <c r="AO60" s="62"/>
      <c r="AP60" s="60"/>
      <c r="AQ60" s="61"/>
      <c r="AR60" s="61"/>
      <c r="AS60" s="63"/>
      <c r="AT60" s="64"/>
      <c r="AU60" s="63"/>
      <c r="AV60" s="64"/>
      <c r="AW60" s="65"/>
      <c r="AX60" s="65"/>
      <c r="AY60" s="65"/>
      <c r="AZ60" s="66"/>
      <c r="BA60" s="67"/>
      <c r="BB60" s="67"/>
      <c r="BC60" s="60"/>
      <c r="BD60" s="68"/>
      <c r="BE60" s="67"/>
      <c r="BF60" s="67"/>
      <c r="BG60" s="60"/>
      <c r="BH60" s="67"/>
      <c r="BI60" s="42">
        <f>AK60</f>
        <v>64216.9</v>
      </c>
      <c r="BJ60" s="35"/>
      <c r="BK60" s="51">
        <f>6263.4+31557.9+32236.8</f>
        <v>70058.100000000006</v>
      </c>
      <c r="BL60" s="51">
        <f>782.08+1730.54+1986.22+4072.08+2841.8</f>
        <v>11412.720000000001</v>
      </c>
      <c r="BM60" s="51"/>
      <c r="BN60" s="39">
        <f t="shared" si="2"/>
        <v>11412.720000000001</v>
      </c>
      <c r="BO60" s="69"/>
      <c r="BP60" s="69"/>
      <c r="BQ60" s="69"/>
      <c r="BR60" s="69"/>
      <c r="BS60" s="69"/>
      <c r="BT60" s="69"/>
      <c r="BU60" s="69"/>
      <c r="BV60" s="69"/>
      <c r="BW60" s="70"/>
      <c r="BX60" s="70"/>
      <c r="BY60" s="69"/>
      <c r="BZ60" s="69"/>
      <c r="CA60" s="69"/>
      <c r="CB60" s="154" t="s">
        <v>311</v>
      </c>
      <c r="CC60" s="157">
        <v>14196</v>
      </c>
      <c r="CD60" s="154" t="s">
        <v>251</v>
      </c>
      <c r="CE60" s="157">
        <v>716807</v>
      </c>
      <c r="CF60" s="154" t="s">
        <v>252</v>
      </c>
      <c r="CG60" s="157">
        <v>716641</v>
      </c>
    </row>
    <row r="61" spans="1:85" customFormat="1" ht="60" customHeight="1">
      <c r="A61" s="162"/>
      <c r="B61" s="162"/>
      <c r="C61" s="162"/>
      <c r="D61" s="276"/>
      <c r="E61" s="276"/>
      <c r="F61" s="276"/>
      <c r="G61" s="71"/>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56"/>
      <c r="AI61" s="57"/>
      <c r="AJ61" s="57"/>
      <c r="AK61" s="162"/>
      <c r="AL61" s="56"/>
      <c r="AM61" s="60"/>
      <c r="AN61" s="61"/>
      <c r="AO61" s="62"/>
      <c r="AP61" s="60"/>
      <c r="AQ61" s="61"/>
      <c r="AR61" s="61"/>
      <c r="AS61" s="63"/>
      <c r="AT61" s="64"/>
      <c r="AU61" s="63"/>
      <c r="AV61" s="64"/>
      <c r="AW61" s="65"/>
      <c r="AX61" s="65"/>
      <c r="AY61" s="65"/>
      <c r="AZ61" s="66"/>
      <c r="BA61" s="67"/>
      <c r="BB61" s="67"/>
      <c r="BC61" s="60"/>
      <c r="BD61" s="68"/>
      <c r="BE61" s="67"/>
      <c r="BF61" s="67"/>
      <c r="BG61" s="60"/>
      <c r="BH61" s="67"/>
      <c r="BI61" s="73"/>
      <c r="BJ61" s="67"/>
      <c r="BK61" s="74"/>
      <c r="BL61" s="74"/>
      <c r="BM61" s="74"/>
      <c r="BN61" s="57">
        <f t="shared" si="2"/>
        <v>0</v>
      </c>
      <c r="BO61" s="69"/>
      <c r="BP61" s="69"/>
      <c r="BQ61" s="69"/>
      <c r="BR61" s="69"/>
      <c r="BS61" s="69"/>
      <c r="BT61" s="69"/>
      <c r="BU61" s="69"/>
      <c r="BV61" s="69"/>
      <c r="BW61" s="70"/>
      <c r="BX61" s="70"/>
      <c r="BY61" s="69"/>
      <c r="BZ61" s="69"/>
      <c r="CA61" s="69"/>
      <c r="CB61" s="162"/>
      <c r="CC61" s="162"/>
      <c r="CD61" s="162"/>
      <c r="CE61" s="162"/>
      <c r="CF61" s="162"/>
      <c r="CG61" s="162"/>
    </row>
    <row r="62" spans="1:85" customFormat="1" ht="60" customHeight="1">
      <c r="A62" s="170">
        <v>17</v>
      </c>
      <c r="B62" s="165" t="s">
        <v>260</v>
      </c>
      <c r="C62" s="165" t="s">
        <v>276</v>
      </c>
      <c r="D62" s="273" t="s">
        <v>277</v>
      </c>
      <c r="E62" s="285"/>
      <c r="F62" s="273" t="s">
        <v>278</v>
      </c>
      <c r="G62" s="59"/>
      <c r="H62" s="169">
        <v>14158</v>
      </c>
      <c r="I62" s="154" t="s">
        <v>264</v>
      </c>
      <c r="J62" s="201"/>
      <c r="K62" s="201"/>
      <c r="L62" s="201"/>
      <c r="M62" s="201"/>
      <c r="N62" s="201"/>
      <c r="O62" s="201"/>
      <c r="P62" s="201"/>
      <c r="Q62" s="201"/>
      <c r="R62" s="201"/>
      <c r="S62" s="201"/>
      <c r="T62" s="201"/>
      <c r="U62" s="201"/>
      <c r="V62" s="201"/>
      <c r="W62" s="201"/>
      <c r="X62" s="202"/>
      <c r="Y62" s="163" t="s">
        <v>312</v>
      </c>
      <c r="Z62" s="165" t="s">
        <v>313</v>
      </c>
      <c r="AA62" s="165" t="s">
        <v>314</v>
      </c>
      <c r="AB62" s="161">
        <v>46048</v>
      </c>
      <c r="AC62" s="157"/>
      <c r="AD62" s="161">
        <v>46048</v>
      </c>
      <c r="AE62" s="161">
        <v>46412</v>
      </c>
      <c r="AF62" s="154" t="s">
        <v>225</v>
      </c>
      <c r="AG62" s="154" t="s">
        <v>226</v>
      </c>
      <c r="AH62" s="45"/>
      <c r="AI62" s="46"/>
      <c r="AJ62" s="46"/>
      <c r="AK62" s="164">
        <v>75126.48</v>
      </c>
      <c r="AL62" s="56"/>
      <c r="AM62" s="60"/>
      <c r="AN62" s="61"/>
      <c r="AO62" s="62"/>
      <c r="AP62" s="60"/>
      <c r="AQ62" s="61"/>
      <c r="AR62" s="61"/>
      <c r="AS62" s="63"/>
      <c r="AT62" s="64"/>
      <c r="AU62" s="63"/>
      <c r="AV62" s="64"/>
      <c r="AW62" s="65"/>
      <c r="AX62" s="65"/>
      <c r="AY62" s="65"/>
      <c r="AZ62" s="66"/>
      <c r="BA62" s="67"/>
      <c r="BB62" s="67"/>
      <c r="BC62" s="60"/>
      <c r="BD62" s="68"/>
      <c r="BE62" s="67"/>
      <c r="BF62" s="67"/>
      <c r="BG62" s="60"/>
      <c r="BH62" s="67"/>
      <c r="BI62" s="42">
        <f>AK62</f>
        <v>75126.48</v>
      </c>
      <c r="BJ62" s="35"/>
      <c r="BK62" s="51">
        <f>6263.4+31557.9+32236.8</f>
        <v>70058.100000000006</v>
      </c>
      <c r="BL62" s="51">
        <f>7048.12+7849.94+4812.36+1016.2+1477.68+3136.78+7212.68</f>
        <v>32553.759999999998</v>
      </c>
      <c r="BM62" s="51"/>
      <c r="BN62" s="39">
        <f t="shared" si="2"/>
        <v>32553.759999999998</v>
      </c>
      <c r="BO62" s="69"/>
      <c r="BP62" s="69"/>
      <c r="BQ62" s="69"/>
      <c r="BR62" s="69"/>
      <c r="BS62" s="69"/>
      <c r="BT62" s="69"/>
      <c r="BU62" s="69"/>
      <c r="BV62" s="69"/>
      <c r="BW62" s="70"/>
      <c r="BX62" s="70"/>
      <c r="BY62" s="69"/>
      <c r="BZ62" s="69"/>
      <c r="CA62" s="69"/>
      <c r="CB62" s="154" t="s">
        <v>315</v>
      </c>
      <c r="CC62" s="157">
        <v>14196</v>
      </c>
      <c r="CD62" s="154" t="s">
        <v>251</v>
      </c>
      <c r="CE62" s="157">
        <v>716807</v>
      </c>
      <c r="CF62" s="154" t="s">
        <v>252</v>
      </c>
      <c r="CG62" s="157">
        <v>716641</v>
      </c>
    </row>
    <row r="63" spans="1:85" customFormat="1" ht="60" customHeight="1">
      <c r="A63" s="162"/>
      <c r="B63" s="162"/>
      <c r="C63" s="162"/>
      <c r="D63" s="276"/>
      <c r="E63" s="276"/>
      <c r="F63" s="276"/>
      <c r="G63" s="71"/>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56"/>
      <c r="AI63" s="57"/>
      <c r="AJ63" s="57"/>
      <c r="AK63" s="162"/>
      <c r="AL63" s="56"/>
      <c r="AM63" s="60"/>
      <c r="AN63" s="61"/>
      <c r="AO63" s="62"/>
      <c r="AP63" s="60"/>
      <c r="AQ63" s="61"/>
      <c r="AR63" s="61"/>
      <c r="AS63" s="63"/>
      <c r="AT63" s="64"/>
      <c r="AU63" s="63"/>
      <c r="AV63" s="64"/>
      <c r="AW63" s="65"/>
      <c r="AX63" s="65"/>
      <c r="AY63" s="65"/>
      <c r="AZ63" s="66"/>
      <c r="BA63" s="67"/>
      <c r="BB63" s="67"/>
      <c r="BC63" s="60"/>
      <c r="BD63" s="68"/>
      <c r="BE63" s="67"/>
      <c r="BF63" s="67"/>
      <c r="BG63" s="60"/>
      <c r="BH63" s="67"/>
      <c r="BI63" s="73"/>
      <c r="BJ63" s="67"/>
      <c r="BK63" s="74"/>
      <c r="BL63" s="74"/>
      <c r="BM63" s="74"/>
      <c r="BN63" s="57">
        <f t="shared" si="2"/>
        <v>0</v>
      </c>
      <c r="BO63" s="69"/>
      <c r="BP63" s="69"/>
      <c r="BQ63" s="69"/>
      <c r="BR63" s="69"/>
      <c r="BS63" s="69"/>
      <c r="BT63" s="69"/>
      <c r="BU63" s="69"/>
      <c r="BV63" s="69"/>
      <c r="BW63" s="70"/>
      <c r="BX63" s="70"/>
      <c r="BY63" s="69"/>
      <c r="BZ63" s="69"/>
      <c r="CA63" s="69"/>
      <c r="CB63" s="162"/>
      <c r="CC63" s="162"/>
      <c r="CD63" s="162"/>
      <c r="CE63" s="162"/>
      <c r="CF63" s="162"/>
      <c r="CG63" s="162"/>
    </row>
    <row r="64" spans="1:85" customFormat="1" ht="60" customHeight="1">
      <c r="A64" s="170">
        <v>18</v>
      </c>
      <c r="B64" s="171" t="s">
        <v>253</v>
      </c>
      <c r="C64" s="165" t="s">
        <v>234</v>
      </c>
      <c r="D64" s="273" t="s">
        <v>218</v>
      </c>
      <c r="E64" s="285"/>
      <c r="F64" s="273" t="s">
        <v>278</v>
      </c>
      <c r="G64" s="59"/>
      <c r="H64" s="169">
        <v>13903</v>
      </c>
      <c r="I64" s="154" t="s">
        <v>236</v>
      </c>
      <c r="J64" s="161">
        <v>45992</v>
      </c>
      <c r="K64" s="161">
        <v>46356</v>
      </c>
      <c r="L64" s="157">
        <v>14166</v>
      </c>
      <c r="M64" s="201"/>
      <c r="N64" s="201"/>
      <c r="O64" s="201"/>
      <c r="P64" s="201"/>
      <c r="Q64" s="201"/>
      <c r="R64" s="201"/>
      <c r="S64" s="201"/>
      <c r="T64" s="201"/>
      <c r="U64" s="201"/>
      <c r="V64" s="201"/>
      <c r="W64" s="201"/>
      <c r="X64" s="202"/>
      <c r="Y64" s="163" t="s">
        <v>316</v>
      </c>
      <c r="Z64" s="165" t="s">
        <v>317</v>
      </c>
      <c r="AA64" s="165" t="s">
        <v>318</v>
      </c>
      <c r="AB64" s="161">
        <v>46051</v>
      </c>
      <c r="AC64" s="157">
        <v>14202</v>
      </c>
      <c r="AD64" s="161">
        <v>46051</v>
      </c>
      <c r="AE64" s="161">
        <v>46415</v>
      </c>
      <c r="AF64" s="36" t="s">
        <v>225</v>
      </c>
      <c r="AG64" s="154" t="s">
        <v>226</v>
      </c>
      <c r="AH64" s="45"/>
      <c r="AI64" s="46"/>
      <c r="AJ64" s="46"/>
      <c r="AK64" s="164">
        <v>275146.59999999998</v>
      </c>
      <c r="AL64" s="56"/>
      <c r="AM64" s="60"/>
      <c r="AN64" s="61"/>
      <c r="AO64" s="62"/>
      <c r="AP64" s="60"/>
      <c r="AQ64" s="61"/>
      <c r="AR64" s="61"/>
      <c r="AS64" s="63"/>
      <c r="AT64" s="64"/>
      <c r="AU64" s="63"/>
      <c r="AV64" s="64"/>
      <c r="AW64" s="65"/>
      <c r="AX64" s="65"/>
      <c r="AY64" s="65"/>
      <c r="AZ64" s="66"/>
      <c r="BA64" s="67"/>
      <c r="BB64" s="67"/>
      <c r="BC64" s="60"/>
      <c r="BD64" s="68"/>
      <c r="BE64" s="67"/>
      <c r="BF64" s="67"/>
      <c r="BG64" s="60"/>
      <c r="BH64" s="67"/>
      <c r="BI64" s="42">
        <f>AK64</f>
        <v>275146.59999999998</v>
      </c>
      <c r="BJ64" s="35"/>
      <c r="BK64" s="51">
        <f>6263.4+31557.9+32236.8</f>
        <v>70058.100000000006</v>
      </c>
      <c r="BL64" s="51">
        <f>14162+51138.4+56686.8</f>
        <v>121987.20000000001</v>
      </c>
      <c r="BM64" s="51"/>
      <c r="BN64" s="39">
        <f t="shared" si="2"/>
        <v>121987.20000000001</v>
      </c>
      <c r="BO64" s="69"/>
      <c r="BP64" s="69"/>
      <c r="BQ64" s="69"/>
      <c r="BR64" s="69"/>
      <c r="BS64" s="69"/>
      <c r="BT64" s="69"/>
      <c r="BU64" s="69"/>
      <c r="BV64" s="69"/>
      <c r="BW64" s="70"/>
      <c r="BX64" s="70"/>
      <c r="BY64" s="69"/>
      <c r="BZ64" s="69"/>
      <c r="CA64" s="69"/>
      <c r="CB64" s="154" t="s">
        <v>319</v>
      </c>
      <c r="CC64" s="157">
        <v>14203</v>
      </c>
      <c r="CD64" s="154" t="s">
        <v>251</v>
      </c>
      <c r="CE64" s="157">
        <v>716807</v>
      </c>
      <c r="CF64" s="154" t="s">
        <v>252</v>
      </c>
      <c r="CG64" s="157">
        <v>716641</v>
      </c>
    </row>
    <row r="65" spans="1:85" customFormat="1" ht="60" customHeight="1">
      <c r="A65" s="162"/>
      <c r="B65" s="162"/>
      <c r="C65" s="162"/>
      <c r="D65" s="276"/>
      <c r="E65" s="276"/>
      <c r="F65" s="276"/>
      <c r="G65" s="71"/>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72" t="s">
        <v>232</v>
      </c>
      <c r="AG65" s="162"/>
      <c r="AH65" s="56"/>
      <c r="AI65" s="57"/>
      <c r="AJ65" s="57"/>
      <c r="AK65" s="162"/>
      <c r="AL65" s="56"/>
      <c r="AM65" s="60"/>
      <c r="AN65" s="61"/>
      <c r="AO65" s="62"/>
      <c r="AP65" s="60"/>
      <c r="AQ65" s="61"/>
      <c r="AR65" s="61"/>
      <c r="AS65" s="63"/>
      <c r="AT65" s="64"/>
      <c r="AU65" s="63"/>
      <c r="AV65" s="64"/>
      <c r="AW65" s="65"/>
      <c r="AX65" s="65"/>
      <c r="AY65" s="65"/>
      <c r="AZ65" s="66"/>
      <c r="BA65" s="67"/>
      <c r="BB65" s="67"/>
      <c r="BC65" s="60"/>
      <c r="BD65" s="68"/>
      <c r="BE65" s="67"/>
      <c r="BF65" s="67"/>
      <c r="BG65" s="60"/>
      <c r="BH65" s="67"/>
      <c r="BI65" s="73"/>
      <c r="BJ65" s="67"/>
      <c r="BK65" s="74"/>
      <c r="BL65" s="74"/>
      <c r="BM65" s="74"/>
      <c r="BN65" s="57">
        <f t="shared" si="2"/>
        <v>0</v>
      </c>
      <c r="BO65" s="69"/>
      <c r="BP65" s="69"/>
      <c r="BQ65" s="69"/>
      <c r="BR65" s="69"/>
      <c r="BS65" s="69"/>
      <c r="BT65" s="69"/>
      <c r="BU65" s="69"/>
      <c r="BV65" s="69"/>
      <c r="BW65" s="70"/>
      <c r="BX65" s="70"/>
      <c r="BY65" s="69"/>
      <c r="BZ65" s="69"/>
      <c r="CA65" s="69"/>
      <c r="CB65" s="162"/>
      <c r="CC65" s="162"/>
      <c r="CD65" s="162"/>
      <c r="CE65" s="162"/>
      <c r="CF65" s="162"/>
      <c r="CG65" s="162"/>
    </row>
    <row r="66" spans="1:85" customFormat="1" ht="60" customHeight="1">
      <c r="A66" s="170">
        <v>19</v>
      </c>
      <c r="B66" s="171" t="s">
        <v>216</v>
      </c>
      <c r="C66" s="165" t="s">
        <v>217</v>
      </c>
      <c r="D66" s="273" t="s">
        <v>218</v>
      </c>
      <c r="E66" s="285"/>
      <c r="F66" s="273" t="s">
        <v>320</v>
      </c>
      <c r="G66" s="59"/>
      <c r="H66" s="169">
        <v>14002</v>
      </c>
      <c r="I66" s="163" t="s">
        <v>321</v>
      </c>
      <c r="J66" s="161">
        <v>45888</v>
      </c>
      <c r="K66" s="161">
        <v>46252</v>
      </c>
      <c r="L66" s="157">
        <v>14123</v>
      </c>
      <c r="M66" s="201"/>
      <c r="N66" s="201"/>
      <c r="O66" s="201"/>
      <c r="P66" s="201"/>
      <c r="Q66" s="201"/>
      <c r="R66" s="201"/>
      <c r="S66" s="201"/>
      <c r="T66" s="201"/>
      <c r="U66" s="201"/>
      <c r="V66" s="201"/>
      <c r="W66" s="201"/>
      <c r="X66" s="202"/>
      <c r="Y66" s="163" t="s">
        <v>322</v>
      </c>
      <c r="Z66" s="165" t="s">
        <v>323</v>
      </c>
      <c r="AA66" s="165" t="s">
        <v>324</v>
      </c>
      <c r="AB66" s="161">
        <v>46055</v>
      </c>
      <c r="AC66" s="157">
        <v>14202</v>
      </c>
      <c r="AD66" s="161">
        <v>46055</v>
      </c>
      <c r="AE66" s="161">
        <v>46419</v>
      </c>
      <c r="AF66" s="36" t="s">
        <v>225</v>
      </c>
      <c r="AG66" s="154" t="s">
        <v>226</v>
      </c>
      <c r="AH66" s="45"/>
      <c r="AI66" s="46"/>
      <c r="AJ66" s="46"/>
      <c r="AK66" s="164">
        <v>131769.47</v>
      </c>
      <c r="AL66" s="56"/>
      <c r="AM66" s="60"/>
      <c r="AN66" s="61"/>
      <c r="AO66" s="62"/>
      <c r="AP66" s="60"/>
      <c r="AQ66" s="61"/>
      <c r="AR66" s="61"/>
      <c r="AS66" s="63"/>
      <c r="AT66" s="64"/>
      <c r="AU66" s="63"/>
      <c r="AV66" s="64"/>
      <c r="AW66" s="65"/>
      <c r="AX66" s="65"/>
      <c r="AY66" s="65"/>
      <c r="AZ66" s="66"/>
      <c r="BA66" s="67"/>
      <c r="BB66" s="67"/>
      <c r="BC66" s="60"/>
      <c r="BD66" s="68"/>
      <c r="BE66" s="67"/>
      <c r="BF66" s="67"/>
      <c r="BG66" s="60"/>
      <c r="BH66" s="67"/>
      <c r="BI66" s="42">
        <f>AK66</f>
        <v>131769.47</v>
      </c>
      <c r="BJ66" s="35"/>
      <c r="BK66" s="51">
        <f>6263.4+31557.9+32236.8</f>
        <v>70058.100000000006</v>
      </c>
      <c r="BL66" s="51">
        <f>6211.18+39759.71+38936.79+46861.79</f>
        <v>131769.47</v>
      </c>
      <c r="BM66" s="51"/>
      <c r="BN66" s="39">
        <f t="shared" si="2"/>
        <v>131769.47</v>
      </c>
      <c r="BO66" s="69"/>
      <c r="BP66" s="69"/>
      <c r="BQ66" s="69"/>
      <c r="BR66" s="69"/>
      <c r="BS66" s="69"/>
      <c r="BT66" s="69"/>
      <c r="BU66" s="69"/>
      <c r="BV66" s="69"/>
      <c r="BW66" s="70"/>
      <c r="BX66" s="70"/>
      <c r="BY66" s="69"/>
      <c r="BZ66" s="69"/>
      <c r="CA66" s="69"/>
      <c r="CB66" s="154" t="s">
        <v>325</v>
      </c>
      <c r="CC66" s="157">
        <v>14203</v>
      </c>
      <c r="CD66" s="154" t="s">
        <v>251</v>
      </c>
      <c r="CE66" s="157">
        <v>716807</v>
      </c>
      <c r="CF66" s="154" t="s">
        <v>252</v>
      </c>
      <c r="CG66" s="157">
        <v>716641</v>
      </c>
    </row>
    <row r="67" spans="1:85" customFormat="1" ht="60" customHeight="1">
      <c r="A67" s="162"/>
      <c r="B67" s="162"/>
      <c r="C67" s="162"/>
      <c r="D67" s="276"/>
      <c r="E67" s="276"/>
      <c r="F67" s="276"/>
      <c r="G67" s="71"/>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72" t="s">
        <v>232</v>
      </c>
      <c r="AG67" s="162"/>
      <c r="AH67" s="56"/>
      <c r="AI67" s="57"/>
      <c r="AJ67" s="57"/>
      <c r="AK67" s="162"/>
      <c r="AL67" s="56"/>
      <c r="AM67" s="60"/>
      <c r="AN67" s="61"/>
      <c r="AO67" s="62"/>
      <c r="AP67" s="60"/>
      <c r="AQ67" s="61"/>
      <c r="AR67" s="61"/>
      <c r="AS67" s="63"/>
      <c r="AT67" s="64"/>
      <c r="AU67" s="63"/>
      <c r="AV67" s="64"/>
      <c r="AW67" s="65"/>
      <c r="AX67" s="65"/>
      <c r="AY67" s="65"/>
      <c r="AZ67" s="66"/>
      <c r="BA67" s="67"/>
      <c r="BB67" s="67"/>
      <c r="BC67" s="60"/>
      <c r="BD67" s="68"/>
      <c r="BE67" s="67"/>
      <c r="BF67" s="67"/>
      <c r="BG67" s="60"/>
      <c r="BH67" s="67"/>
      <c r="BI67" s="42"/>
      <c r="BJ67" s="35"/>
      <c r="BK67" s="51"/>
      <c r="BL67" s="51"/>
      <c r="BM67" s="51"/>
      <c r="BN67" s="39">
        <f t="shared" si="2"/>
        <v>0</v>
      </c>
      <c r="BO67" s="69"/>
      <c r="BP67" s="69"/>
      <c r="BQ67" s="69"/>
      <c r="BR67" s="69"/>
      <c r="BS67" s="69"/>
      <c r="BT67" s="69"/>
      <c r="BU67" s="69"/>
      <c r="BV67" s="69"/>
      <c r="BW67" s="70"/>
      <c r="BX67" s="70"/>
      <c r="BY67" s="69"/>
      <c r="BZ67" s="69"/>
      <c r="CA67" s="69"/>
      <c r="CB67" s="162"/>
      <c r="CC67" s="162"/>
      <c r="CD67" s="162"/>
      <c r="CE67" s="162"/>
      <c r="CF67" s="162"/>
      <c r="CG67" s="162"/>
    </row>
    <row r="68" spans="1:85" customFormat="1" ht="60" customHeight="1">
      <c r="A68" s="170">
        <v>20</v>
      </c>
      <c r="B68" s="171" t="s">
        <v>253</v>
      </c>
      <c r="C68" s="165" t="s">
        <v>234</v>
      </c>
      <c r="D68" s="273" t="s">
        <v>218</v>
      </c>
      <c r="E68" s="285"/>
      <c r="F68" s="273" t="s">
        <v>278</v>
      </c>
      <c r="G68" s="59"/>
      <c r="H68" s="169">
        <v>13903</v>
      </c>
      <c r="I68" s="154" t="s">
        <v>236</v>
      </c>
      <c r="J68" s="161">
        <v>45992</v>
      </c>
      <c r="K68" s="161">
        <v>46356</v>
      </c>
      <c r="L68" s="157">
        <v>14166</v>
      </c>
      <c r="M68" s="201"/>
      <c r="N68" s="201"/>
      <c r="O68" s="201"/>
      <c r="P68" s="201"/>
      <c r="Q68" s="201"/>
      <c r="R68" s="201"/>
      <c r="S68" s="201"/>
      <c r="T68" s="201"/>
      <c r="U68" s="201"/>
      <c r="V68" s="201"/>
      <c r="W68" s="201"/>
      <c r="X68" s="202"/>
      <c r="Y68" s="163" t="s">
        <v>326</v>
      </c>
      <c r="Z68" s="165" t="s">
        <v>323</v>
      </c>
      <c r="AA68" s="165" t="s">
        <v>324</v>
      </c>
      <c r="AB68" s="161">
        <v>46051</v>
      </c>
      <c r="AC68" s="157"/>
      <c r="AD68" s="161">
        <v>46051</v>
      </c>
      <c r="AE68" s="161">
        <v>46415</v>
      </c>
      <c r="AF68" s="36" t="s">
        <v>225</v>
      </c>
      <c r="AG68" s="154" t="s">
        <v>226</v>
      </c>
      <c r="AH68" s="53"/>
      <c r="AI68" s="58"/>
      <c r="AJ68" s="58"/>
      <c r="AK68" s="164">
        <v>153291</v>
      </c>
      <c r="AL68" s="56"/>
      <c r="AM68" s="60"/>
      <c r="AN68" s="61"/>
      <c r="AO68" s="62"/>
      <c r="AP68" s="60"/>
      <c r="AQ68" s="61"/>
      <c r="AR68" s="61"/>
      <c r="AS68" s="63"/>
      <c r="AT68" s="64"/>
      <c r="AU68" s="63"/>
      <c r="AV68" s="64"/>
      <c r="AW68" s="65"/>
      <c r="AX68" s="65"/>
      <c r="AY68" s="65"/>
      <c r="AZ68" s="66"/>
      <c r="BA68" s="67"/>
      <c r="BB68" s="67"/>
      <c r="BC68" s="60"/>
      <c r="BD68" s="68"/>
      <c r="BE68" s="67"/>
      <c r="BF68" s="67"/>
      <c r="BG68" s="60"/>
      <c r="BH68" s="67"/>
      <c r="BI68" s="42">
        <f>AK68</f>
        <v>153291</v>
      </c>
      <c r="BJ68" s="35"/>
      <c r="BK68" s="51">
        <f>6263.4+31557.9+32236.8</f>
        <v>70058.100000000006</v>
      </c>
      <c r="BL68" s="51">
        <f>836.4+1342.5+4066.4+4950.4+6283.2+34127.7+1342.5+2631.6+1876.8+2006</f>
        <v>59463.5</v>
      </c>
      <c r="BM68" s="51"/>
      <c r="BN68" s="39">
        <f t="shared" si="2"/>
        <v>59463.5</v>
      </c>
      <c r="BO68" s="69"/>
      <c r="BP68" s="69"/>
      <c r="BQ68" s="69"/>
      <c r="BR68" s="69"/>
      <c r="BS68" s="69"/>
      <c r="BT68" s="69"/>
      <c r="BU68" s="69"/>
      <c r="BV68" s="69"/>
      <c r="BW68" s="70"/>
      <c r="BX68" s="70"/>
      <c r="BY68" s="69"/>
      <c r="BZ68" s="69"/>
      <c r="CA68" s="69"/>
      <c r="CB68" s="154" t="s">
        <v>327</v>
      </c>
      <c r="CC68" s="157">
        <v>14203</v>
      </c>
      <c r="CD68" s="154" t="s">
        <v>251</v>
      </c>
      <c r="CE68" s="157">
        <v>716807</v>
      </c>
      <c r="CF68" s="154" t="s">
        <v>252</v>
      </c>
      <c r="CG68" s="157">
        <v>716641</v>
      </c>
    </row>
    <row r="69" spans="1:85" customFormat="1" ht="60" customHeight="1">
      <c r="A69" s="162"/>
      <c r="B69" s="162"/>
      <c r="C69" s="162"/>
      <c r="D69" s="276"/>
      <c r="E69" s="276"/>
      <c r="F69" s="276"/>
      <c r="G69" s="71"/>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72" t="s">
        <v>232</v>
      </c>
      <c r="AG69" s="162"/>
      <c r="AH69" s="47"/>
      <c r="AI69" s="39"/>
      <c r="AJ69" s="39"/>
      <c r="AK69" s="162"/>
      <c r="AL69" s="56"/>
      <c r="AM69" s="60"/>
      <c r="AN69" s="61"/>
      <c r="AO69" s="62"/>
      <c r="AP69" s="60"/>
      <c r="AQ69" s="61"/>
      <c r="AR69" s="61"/>
      <c r="AS69" s="63"/>
      <c r="AT69" s="64"/>
      <c r="AU69" s="63"/>
      <c r="AV69" s="64"/>
      <c r="AW69" s="65"/>
      <c r="AX69" s="65"/>
      <c r="AY69" s="65"/>
      <c r="AZ69" s="66"/>
      <c r="BA69" s="67"/>
      <c r="BB69" s="67"/>
      <c r="BC69" s="60"/>
      <c r="BD69" s="68"/>
      <c r="BE69" s="67"/>
      <c r="BF69" s="67"/>
      <c r="BG69" s="60"/>
      <c r="BH69" s="67"/>
      <c r="BI69" s="73"/>
      <c r="BJ69" s="35"/>
      <c r="BK69" s="51"/>
      <c r="BL69" s="51"/>
      <c r="BM69" s="51"/>
      <c r="BN69" s="39">
        <f t="shared" si="2"/>
        <v>0</v>
      </c>
      <c r="BO69" s="69"/>
      <c r="BP69" s="69"/>
      <c r="BQ69" s="69"/>
      <c r="BR69" s="69"/>
      <c r="BS69" s="69"/>
      <c r="BT69" s="69"/>
      <c r="BU69" s="69"/>
      <c r="BV69" s="69"/>
      <c r="BW69" s="70"/>
      <c r="BX69" s="70"/>
      <c r="BY69" s="69"/>
      <c r="BZ69" s="69"/>
      <c r="CA69" s="69"/>
      <c r="CB69" s="162"/>
      <c r="CC69" s="162"/>
      <c r="CD69" s="162"/>
      <c r="CE69" s="162"/>
      <c r="CF69" s="162"/>
      <c r="CG69" s="162"/>
    </row>
    <row r="70" spans="1:85" customFormat="1" ht="60" customHeight="1">
      <c r="A70" s="170">
        <v>21</v>
      </c>
      <c r="B70" s="171" t="s">
        <v>253</v>
      </c>
      <c r="C70" s="165" t="s">
        <v>234</v>
      </c>
      <c r="D70" s="273" t="s">
        <v>218</v>
      </c>
      <c r="E70" s="285"/>
      <c r="F70" s="273" t="s">
        <v>278</v>
      </c>
      <c r="G70" s="59"/>
      <c r="H70" s="169">
        <v>13903</v>
      </c>
      <c r="I70" s="154" t="s">
        <v>236</v>
      </c>
      <c r="J70" s="161">
        <v>45992</v>
      </c>
      <c r="K70" s="161">
        <v>46356</v>
      </c>
      <c r="L70" s="157">
        <v>14166</v>
      </c>
      <c r="M70" s="201"/>
      <c r="N70" s="201"/>
      <c r="O70" s="201"/>
      <c r="P70" s="201"/>
      <c r="Q70" s="201"/>
      <c r="R70" s="201"/>
      <c r="S70" s="201"/>
      <c r="T70" s="201"/>
      <c r="U70" s="201"/>
      <c r="V70" s="201"/>
      <c r="W70" s="201"/>
      <c r="X70" s="202"/>
      <c r="Y70" s="163" t="s">
        <v>328</v>
      </c>
      <c r="Z70" s="165" t="s">
        <v>329</v>
      </c>
      <c r="AA70" s="165" t="s">
        <v>330</v>
      </c>
      <c r="AB70" s="161">
        <v>46051</v>
      </c>
      <c r="AC70" s="157"/>
      <c r="AD70" s="161">
        <v>46051</v>
      </c>
      <c r="AE70" s="161">
        <v>46415</v>
      </c>
      <c r="AF70" s="36" t="s">
        <v>225</v>
      </c>
      <c r="AG70" s="154" t="s">
        <v>226</v>
      </c>
      <c r="AH70" s="45"/>
      <c r="AI70" s="46"/>
      <c r="AJ70" s="46"/>
      <c r="AK70" s="164">
        <v>245344.8</v>
      </c>
      <c r="AL70" s="56"/>
      <c r="AM70" s="60"/>
      <c r="AN70" s="61"/>
      <c r="AO70" s="62"/>
      <c r="AP70" s="60"/>
      <c r="AQ70" s="61"/>
      <c r="AR70" s="61"/>
      <c r="AS70" s="63"/>
      <c r="AT70" s="64"/>
      <c r="AU70" s="63"/>
      <c r="AV70" s="64"/>
      <c r="AW70" s="65"/>
      <c r="AX70" s="65"/>
      <c r="AY70" s="65"/>
      <c r="AZ70" s="66"/>
      <c r="BA70" s="67"/>
      <c r="BB70" s="67"/>
      <c r="BC70" s="60"/>
      <c r="BD70" s="68"/>
      <c r="BE70" s="67"/>
      <c r="BF70" s="67"/>
      <c r="BG70" s="60"/>
      <c r="BH70" s="67"/>
      <c r="BI70" s="42">
        <f>AK70</f>
        <v>245344.8</v>
      </c>
      <c r="BJ70" s="35"/>
      <c r="BK70" s="51">
        <f>6263.4+31557.9+32236.8</f>
        <v>70058.100000000006</v>
      </c>
      <c r="BL70" s="51">
        <f>1785.4+3168+3299.6+3464.36+3032.78+1295.28+339.24+96063.44+34998.78</f>
        <v>147446.88</v>
      </c>
      <c r="BM70" s="51"/>
      <c r="BN70" s="39">
        <f t="shared" si="2"/>
        <v>147446.88</v>
      </c>
      <c r="BO70" s="69"/>
      <c r="BP70" s="69"/>
      <c r="BQ70" s="69"/>
      <c r="BR70" s="69"/>
      <c r="BS70" s="69"/>
      <c r="BT70" s="69"/>
      <c r="BU70" s="69"/>
      <c r="BV70" s="69"/>
      <c r="BW70" s="70"/>
      <c r="BX70" s="70"/>
      <c r="BY70" s="69"/>
      <c r="BZ70" s="69"/>
      <c r="CA70" s="69"/>
      <c r="CB70" s="154" t="s">
        <v>331</v>
      </c>
      <c r="CC70" s="157">
        <v>14203</v>
      </c>
      <c r="CD70" s="154" t="s">
        <v>251</v>
      </c>
      <c r="CE70" s="157">
        <v>716807</v>
      </c>
      <c r="CF70" s="154" t="s">
        <v>252</v>
      </c>
      <c r="CG70" s="157">
        <v>716641</v>
      </c>
    </row>
    <row r="71" spans="1:85" customFormat="1" ht="60" customHeight="1">
      <c r="A71" s="162"/>
      <c r="B71" s="162"/>
      <c r="C71" s="162"/>
      <c r="D71" s="276"/>
      <c r="E71" s="276"/>
      <c r="F71" s="276"/>
      <c r="G71" s="71"/>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72" t="s">
        <v>232</v>
      </c>
      <c r="AG71" s="162"/>
      <c r="AH71" s="56"/>
      <c r="AI71" s="57"/>
      <c r="AJ71" s="57"/>
      <c r="AK71" s="162"/>
      <c r="AL71" s="56"/>
      <c r="AM71" s="60"/>
      <c r="AN71" s="61"/>
      <c r="AO71" s="62"/>
      <c r="AP71" s="60"/>
      <c r="AQ71" s="61"/>
      <c r="AR71" s="61"/>
      <c r="AS71" s="63"/>
      <c r="AT71" s="64"/>
      <c r="AU71" s="63"/>
      <c r="AV71" s="64"/>
      <c r="AW71" s="65"/>
      <c r="AX71" s="65"/>
      <c r="AY71" s="65"/>
      <c r="AZ71" s="66"/>
      <c r="BA71" s="67"/>
      <c r="BB71" s="67"/>
      <c r="BC71" s="60"/>
      <c r="BD71" s="68"/>
      <c r="BE71" s="67"/>
      <c r="BF71" s="67"/>
      <c r="BG71" s="60"/>
      <c r="BH71" s="67"/>
      <c r="BI71" s="73"/>
      <c r="BJ71" s="67"/>
      <c r="BK71" s="74"/>
      <c r="BL71" s="74"/>
      <c r="BM71" s="74"/>
      <c r="BN71" s="57">
        <f t="shared" si="2"/>
        <v>0</v>
      </c>
      <c r="BO71" s="69"/>
      <c r="BP71" s="69"/>
      <c r="BQ71" s="69"/>
      <c r="BR71" s="69"/>
      <c r="BS71" s="69"/>
      <c r="BT71" s="69"/>
      <c r="BU71" s="69"/>
      <c r="BV71" s="69"/>
      <c r="BW71" s="70"/>
      <c r="BX71" s="70"/>
      <c r="BY71" s="69"/>
      <c r="BZ71" s="69"/>
      <c r="CA71" s="69"/>
      <c r="CB71" s="162"/>
      <c r="CC71" s="162"/>
      <c r="CD71" s="162"/>
      <c r="CE71" s="162"/>
      <c r="CF71" s="162"/>
      <c r="CG71" s="162"/>
    </row>
    <row r="72" spans="1:85" customFormat="1" ht="60" customHeight="1">
      <c r="A72" s="170">
        <v>22</v>
      </c>
      <c r="B72" s="171" t="s">
        <v>216</v>
      </c>
      <c r="C72" s="165" t="s">
        <v>217</v>
      </c>
      <c r="D72" s="273" t="s">
        <v>218</v>
      </c>
      <c r="E72" s="285"/>
      <c r="F72" s="273" t="s">
        <v>332</v>
      </c>
      <c r="G72" s="59"/>
      <c r="H72" s="169">
        <v>14002</v>
      </c>
      <c r="I72" s="154" t="s">
        <v>333</v>
      </c>
      <c r="J72" s="161">
        <v>45889</v>
      </c>
      <c r="K72" s="161">
        <v>46253</v>
      </c>
      <c r="L72" s="157">
        <v>14157</v>
      </c>
      <c r="M72" s="201"/>
      <c r="N72" s="201"/>
      <c r="O72" s="201"/>
      <c r="P72" s="201"/>
      <c r="Q72" s="201"/>
      <c r="R72" s="201"/>
      <c r="S72" s="201"/>
      <c r="T72" s="201"/>
      <c r="U72" s="201"/>
      <c r="V72" s="201"/>
      <c r="W72" s="201"/>
      <c r="X72" s="202"/>
      <c r="Y72" s="163" t="s">
        <v>334</v>
      </c>
      <c r="Z72" s="165" t="s">
        <v>335</v>
      </c>
      <c r="AA72" s="165" t="s">
        <v>336</v>
      </c>
      <c r="AB72" s="161">
        <v>46055</v>
      </c>
      <c r="AC72" s="157">
        <v>14201</v>
      </c>
      <c r="AD72" s="161">
        <v>46055</v>
      </c>
      <c r="AE72" s="161">
        <v>46419</v>
      </c>
      <c r="AF72" s="36" t="s">
        <v>225</v>
      </c>
      <c r="AG72" s="154" t="s">
        <v>226</v>
      </c>
      <c r="AH72" s="45"/>
      <c r="AI72" s="46"/>
      <c r="AJ72" s="46"/>
      <c r="AK72" s="164">
        <v>460544</v>
      </c>
      <c r="AL72" s="56"/>
      <c r="AM72" s="60"/>
      <c r="AN72" s="61"/>
      <c r="AO72" s="62"/>
      <c r="AP72" s="60"/>
      <c r="AQ72" s="61"/>
      <c r="AR72" s="61"/>
      <c r="AS72" s="63"/>
      <c r="AT72" s="64"/>
      <c r="AU72" s="63"/>
      <c r="AV72" s="64"/>
      <c r="AW72" s="65"/>
      <c r="AX72" s="65"/>
      <c r="AY72" s="65"/>
      <c r="AZ72" s="66"/>
      <c r="BA72" s="67"/>
      <c r="BB72" s="67"/>
      <c r="BC72" s="60"/>
      <c r="BD72" s="68"/>
      <c r="BE72" s="67"/>
      <c r="BF72" s="67"/>
      <c r="BG72" s="60"/>
      <c r="BH72" s="67"/>
      <c r="BI72" s="42">
        <f>AK72</f>
        <v>460544</v>
      </c>
      <c r="BJ72" s="35"/>
      <c r="BK72" s="51">
        <f>6263.4+31557.9+32236.8</f>
        <v>70058.100000000006</v>
      </c>
      <c r="BL72" s="51">
        <f>35840+3584+62720+43008+69888</f>
        <v>215040</v>
      </c>
      <c r="BM72" s="51"/>
      <c r="BN72" s="39">
        <f t="shared" si="2"/>
        <v>215040</v>
      </c>
      <c r="BO72" s="69"/>
      <c r="BP72" s="69"/>
      <c r="BQ72" s="69"/>
      <c r="BR72" s="69"/>
      <c r="BS72" s="69"/>
      <c r="BT72" s="69"/>
      <c r="BU72" s="69"/>
      <c r="BV72" s="69"/>
      <c r="BW72" s="70"/>
      <c r="BX72" s="70"/>
      <c r="BY72" s="69"/>
      <c r="BZ72" s="69"/>
      <c r="CA72" s="69"/>
      <c r="CB72" s="154" t="s">
        <v>337</v>
      </c>
      <c r="CC72" s="157">
        <v>14203</v>
      </c>
      <c r="CD72" s="154" t="s">
        <v>251</v>
      </c>
      <c r="CE72" s="157">
        <v>716807</v>
      </c>
      <c r="CF72" s="154" t="s">
        <v>252</v>
      </c>
      <c r="CG72" s="157">
        <v>716641</v>
      </c>
    </row>
    <row r="73" spans="1:85" customFormat="1" ht="60" customHeight="1">
      <c r="A73" s="162"/>
      <c r="B73" s="162"/>
      <c r="C73" s="162"/>
      <c r="D73" s="276"/>
      <c r="E73" s="276"/>
      <c r="F73" s="276"/>
      <c r="G73" s="71"/>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72" t="s">
        <v>232</v>
      </c>
      <c r="AG73" s="162"/>
      <c r="AH73" s="56"/>
      <c r="AI73" s="57"/>
      <c r="AJ73" s="57"/>
      <c r="AK73" s="162"/>
      <c r="AL73" s="56"/>
      <c r="AM73" s="60"/>
      <c r="AN73" s="61"/>
      <c r="AO73" s="62"/>
      <c r="AP73" s="60"/>
      <c r="AQ73" s="61"/>
      <c r="AR73" s="61"/>
      <c r="AS73" s="63"/>
      <c r="AT73" s="64"/>
      <c r="AU73" s="63"/>
      <c r="AV73" s="64"/>
      <c r="AW73" s="65"/>
      <c r="AX73" s="65"/>
      <c r="AY73" s="65"/>
      <c r="AZ73" s="66"/>
      <c r="BA73" s="67"/>
      <c r="BB73" s="67"/>
      <c r="BC73" s="60"/>
      <c r="BD73" s="68"/>
      <c r="BE73" s="67"/>
      <c r="BF73" s="67"/>
      <c r="BG73" s="60"/>
      <c r="BH73" s="67"/>
      <c r="BI73" s="73"/>
      <c r="BJ73" s="67"/>
      <c r="BK73" s="74"/>
      <c r="BL73" s="74"/>
      <c r="BM73" s="74"/>
      <c r="BN73" s="57">
        <f t="shared" si="2"/>
        <v>0</v>
      </c>
      <c r="BO73" s="69"/>
      <c r="BP73" s="69"/>
      <c r="BQ73" s="69"/>
      <c r="BR73" s="69"/>
      <c r="BS73" s="69"/>
      <c r="BT73" s="69"/>
      <c r="BU73" s="69"/>
      <c r="BV73" s="69"/>
      <c r="BW73" s="70"/>
      <c r="BX73" s="70"/>
      <c r="BY73" s="69"/>
      <c r="BZ73" s="69"/>
      <c r="CA73" s="69"/>
      <c r="CB73" s="162"/>
      <c r="CC73" s="162"/>
      <c r="CD73" s="162"/>
      <c r="CE73" s="162"/>
      <c r="CF73" s="162"/>
      <c r="CG73" s="162"/>
    </row>
    <row r="74" spans="1:85" customFormat="1" ht="60" customHeight="1">
      <c r="A74" s="170">
        <v>23</v>
      </c>
      <c r="B74" s="171" t="s">
        <v>216</v>
      </c>
      <c r="C74" s="165" t="s">
        <v>217</v>
      </c>
      <c r="D74" s="273" t="s">
        <v>218</v>
      </c>
      <c r="E74" s="285"/>
      <c r="F74" s="273" t="s">
        <v>338</v>
      </c>
      <c r="G74" s="59"/>
      <c r="H74" s="169">
        <v>14002</v>
      </c>
      <c r="I74" s="163" t="s">
        <v>220</v>
      </c>
      <c r="J74" s="161">
        <v>45888</v>
      </c>
      <c r="K74" s="161">
        <v>46252</v>
      </c>
      <c r="L74" s="157">
        <v>14157</v>
      </c>
      <c r="M74" s="201"/>
      <c r="N74" s="201"/>
      <c r="O74" s="201"/>
      <c r="P74" s="201"/>
      <c r="Q74" s="201"/>
      <c r="R74" s="201"/>
      <c r="S74" s="201"/>
      <c r="T74" s="201"/>
      <c r="U74" s="201"/>
      <c r="V74" s="201"/>
      <c r="W74" s="201"/>
      <c r="X74" s="202"/>
      <c r="Y74" s="163" t="s">
        <v>339</v>
      </c>
      <c r="Z74" s="165" t="s">
        <v>329</v>
      </c>
      <c r="AA74" s="165" t="s">
        <v>330</v>
      </c>
      <c r="AB74" s="161">
        <v>46055</v>
      </c>
      <c r="AC74" s="157">
        <v>14201</v>
      </c>
      <c r="AD74" s="161">
        <v>46055</v>
      </c>
      <c r="AE74" s="161">
        <v>46419</v>
      </c>
      <c r="AF74" s="36" t="s">
        <v>225</v>
      </c>
      <c r="AG74" s="154" t="s">
        <v>226</v>
      </c>
      <c r="AH74" s="45"/>
      <c r="AI74" s="46"/>
      <c r="AJ74" s="46"/>
      <c r="AK74" s="164">
        <v>936</v>
      </c>
      <c r="AL74" s="56"/>
      <c r="AM74" s="60"/>
      <c r="AN74" s="61"/>
      <c r="AO74" s="62"/>
      <c r="AP74" s="60"/>
      <c r="AQ74" s="61"/>
      <c r="AR74" s="61"/>
      <c r="AS74" s="63"/>
      <c r="AT74" s="64"/>
      <c r="AU74" s="63"/>
      <c r="AV74" s="64"/>
      <c r="AW74" s="65"/>
      <c r="AX74" s="65"/>
      <c r="AY74" s="65"/>
      <c r="AZ74" s="66"/>
      <c r="BA74" s="67"/>
      <c r="BB74" s="67"/>
      <c r="BC74" s="60"/>
      <c r="BD74" s="68"/>
      <c r="BE74" s="67"/>
      <c r="BF74" s="67"/>
      <c r="BG74" s="60"/>
      <c r="BH74" s="67"/>
      <c r="BI74" s="42">
        <f>AK74</f>
        <v>936</v>
      </c>
      <c r="BJ74" s="35"/>
      <c r="BK74" s="51">
        <f>6263.4+31557.9+32236.8</f>
        <v>70058.100000000006</v>
      </c>
      <c r="BL74" s="51">
        <f>312+312+312</f>
        <v>936</v>
      </c>
      <c r="BM74" s="51"/>
      <c r="BN74" s="39">
        <f t="shared" si="2"/>
        <v>936</v>
      </c>
      <c r="BO74" s="69"/>
      <c r="BP74" s="69"/>
      <c r="BQ74" s="69"/>
      <c r="BR74" s="69"/>
      <c r="BS74" s="69"/>
      <c r="BT74" s="69"/>
      <c r="BU74" s="69"/>
      <c r="BV74" s="69"/>
      <c r="BW74" s="70"/>
      <c r="BX74" s="70"/>
      <c r="BY74" s="69"/>
      <c r="BZ74" s="69"/>
      <c r="CA74" s="69"/>
      <c r="CB74" s="154" t="s">
        <v>340</v>
      </c>
      <c r="CC74" s="157">
        <v>14203</v>
      </c>
      <c r="CD74" s="154" t="s">
        <v>251</v>
      </c>
      <c r="CE74" s="157">
        <v>716807</v>
      </c>
      <c r="CF74" s="154" t="s">
        <v>252</v>
      </c>
      <c r="CG74" s="157">
        <v>716641</v>
      </c>
    </row>
    <row r="75" spans="1:85" customFormat="1" ht="60" customHeight="1">
      <c r="A75" s="162"/>
      <c r="B75" s="162"/>
      <c r="C75" s="162"/>
      <c r="D75" s="276"/>
      <c r="E75" s="276"/>
      <c r="F75" s="276"/>
      <c r="G75" s="71"/>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72" t="s">
        <v>232</v>
      </c>
      <c r="AG75" s="162"/>
      <c r="AH75" s="56"/>
      <c r="AI75" s="57"/>
      <c r="AJ75" s="57"/>
      <c r="AK75" s="162"/>
      <c r="AL75" s="56"/>
      <c r="AM75" s="60"/>
      <c r="AN75" s="61"/>
      <c r="AO75" s="62"/>
      <c r="AP75" s="60"/>
      <c r="AQ75" s="61"/>
      <c r="AR75" s="61"/>
      <c r="AS75" s="63"/>
      <c r="AT75" s="64"/>
      <c r="AU75" s="63"/>
      <c r="AV75" s="64"/>
      <c r="AW75" s="65"/>
      <c r="AX75" s="65"/>
      <c r="AY75" s="65"/>
      <c r="AZ75" s="66"/>
      <c r="BA75" s="67"/>
      <c r="BB75" s="67"/>
      <c r="BC75" s="60"/>
      <c r="BD75" s="68"/>
      <c r="BE75" s="67"/>
      <c r="BF75" s="67"/>
      <c r="BG75" s="60"/>
      <c r="BH75" s="67"/>
      <c r="BI75" s="73"/>
      <c r="BJ75" s="67"/>
      <c r="BK75" s="74"/>
      <c r="BL75" s="74"/>
      <c r="BM75" s="74"/>
      <c r="BN75" s="57">
        <f t="shared" si="2"/>
        <v>0</v>
      </c>
      <c r="BO75" s="69"/>
      <c r="BP75" s="69"/>
      <c r="BQ75" s="69"/>
      <c r="BR75" s="69"/>
      <c r="BS75" s="69"/>
      <c r="BT75" s="69"/>
      <c r="BU75" s="69"/>
      <c r="BV75" s="69"/>
      <c r="BW75" s="70"/>
      <c r="BX75" s="70"/>
      <c r="BY75" s="69"/>
      <c r="BZ75" s="69"/>
      <c r="CA75" s="69"/>
      <c r="CB75" s="162"/>
      <c r="CC75" s="162"/>
      <c r="CD75" s="162"/>
      <c r="CE75" s="162"/>
      <c r="CF75" s="162"/>
      <c r="CG75" s="162"/>
    </row>
    <row r="76" spans="1:85" customFormat="1" ht="60" customHeight="1">
      <c r="A76" s="170">
        <v>24</v>
      </c>
      <c r="B76" s="171" t="s">
        <v>341</v>
      </c>
      <c r="C76" s="165" t="s">
        <v>342</v>
      </c>
      <c r="D76" s="273" t="s">
        <v>218</v>
      </c>
      <c r="E76" s="285"/>
      <c r="F76" s="273" t="s">
        <v>278</v>
      </c>
      <c r="G76" s="59"/>
      <c r="H76" s="200"/>
      <c r="I76" s="154" t="s">
        <v>343</v>
      </c>
      <c r="J76" s="161">
        <v>45930</v>
      </c>
      <c r="K76" s="161">
        <v>46294</v>
      </c>
      <c r="L76" s="157">
        <v>14165</v>
      </c>
      <c r="M76" s="201"/>
      <c r="N76" s="201"/>
      <c r="O76" s="201"/>
      <c r="P76" s="201"/>
      <c r="Q76" s="201"/>
      <c r="R76" s="201"/>
      <c r="S76" s="201"/>
      <c r="T76" s="201"/>
      <c r="U76" s="201"/>
      <c r="V76" s="201"/>
      <c r="W76" s="201"/>
      <c r="X76" s="202"/>
      <c r="Y76" s="163" t="s">
        <v>344</v>
      </c>
      <c r="Z76" s="165" t="s">
        <v>345</v>
      </c>
      <c r="AA76" s="165" t="s">
        <v>346</v>
      </c>
      <c r="AB76" s="161">
        <v>46048</v>
      </c>
      <c r="AC76" s="157">
        <v>14199</v>
      </c>
      <c r="AD76" s="161">
        <v>46048</v>
      </c>
      <c r="AE76" s="161">
        <v>46412</v>
      </c>
      <c r="AF76" s="36" t="s">
        <v>225</v>
      </c>
      <c r="AG76" s="154" t="s">
        <v>226</v>
      </c>
      <c r="AH76" s="45"/>
      <c r="AI76" s="46"/>
      <c r="AJ76" s="46"/>
      <c r="AK76" s="164">
        <v>2390</v>
      </c>
      <c r="AL76" s="56"/>
      <c r="AM76" s="60"/>
      <c r="AN76" s="61"/>
      <c r="AO76" s="62"/>
      <c r="AP76" s="60"/>
      <c r="AQ76" s="61"/>
      <c r="AR76" s="61"/>
      <c r="AS76" s="63"/>
      <c r="AT76" s="64"/>
      <c r="AU76" s="63"/>
      <c r="AV76" s="64"/>
      <c r="AW76" s="65"/>
      <c r="AX76" s="65"/>
      <c r="AY76" s="65"/>
      <c r="AZ76" s="66"/>
      <c r="BA76" s="67"/>
      <c r="BB76" s="67"/>
      <c r="BC76" s="60"/>
      <c r="BD76" s="68"/>
      <c r="BE76" s="67"/>
      <c r="BF76" s="67"/>
      <c r="BG76" s="60"/>
      <c r="BH76" s="67"/>
      <c r="BI76" s="42">
        <f>AK76</f>
        <v>2390</v>
      </c>
      <c r="BJ76" s="35"/>
      <c r="BK76" s="51">
        <f>6263.4+31557.9+32236.8</f>
        <v>70058.100000000006</v>
      </c>
      <c r="BL76" s="51">
        <f>2390</f>
        <v>2390</v>
      </c>
      <c r="BM76" s="51"/>
      <c r="BN76" s="39">
        <f t="shared" si="2"/>
        <v>2390</v>
      </c>
      <c r="BO76" s="69"/>
      <c r="BP76" s="69"/>
      <c r="BQ76" s="69"/>
      <c r="BR76" s="69"/>
      <c r="BS76" s="69"/>
      <c r="BT76" s="69"/>
      <c r="BU76" s="69"/>
      <c r="BV76" s="69"/>
      <c r="BW76" s="70"/>
      <c r="BX76" s="70"/>
      <c r="BY76" s="69"/>
      <c r="BZ76" s="69"/>
      <c r="CA76" s="69"/>
      <c r="CB76" s="154" t="s">
        <v>347</v>
      </c>
      <c r="CC76" s="157">
        <v>14196</v>
      </c>
      <c r="CD76" s="154" t="s">
        <v>251</v>
      </c>
      <c r="CE76" s="157">
        <v>716807</v>
      </c>
      <c r="CF76" s="154" t="s">
        <v>252</v>
      </c>
      <c r="CG76" s="157">
        <v>716641</v>
      </c>
    </row>
    <row r="77" spans="1:85" customFormat="1" ht="60" customHeight="1">
      <c r="A77" s="162"/>
      <c r="B77" s="162"/>
      <c r="C77" s="162"/>
      <c r="D77" s="276"/>
      <c r="E77" s="276"/>
      <c r="F77" s="276"/>
      <c r="G77" s="71"/>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72" t="s">
        <v>232</v>
      </c>
      <c r="AG77" s="162"/>
      <c r="AH77" s="56"/>
      <c r="AI77" s="57"/>
      <c r="AJ77" s="57"/>
      <c r="AK77" s="162"/>
      <c r="AL77" s="56"/>
      <c r="AM77" s="60"/>
      <c r="AN77" s="61"/>
      <c r="AO77" s="62"/>
      <c r="AP77" s="60"/>
      <c r="AQ77" s="61"/>
      <c r="AR77" s="61"/>
      <c r="AS77" s="63"/>
      <c r="AT77" s="64"/>
      <c r="AU77" s="63"/>
      <c r="AV77" s="64"/>
      <c r="AW77" s="65"/>
      <c r="AX77" s="65"/>
      <c r="AY77" s="65"/>
      <c r="AZ77" s="66"/>
      <c r="BA77" s="67"/>
      <c r="BB77" s="67"/>
      <c r="BC77" s="60"/>
      <c r="BD77" s="68"/>
      <c r="BE77" s="67"/>
      <c r="BF77" s="67"/>
      <c r="BG77" s="60"/>
      <c r="BH77" s="67"/>
      <c r="BI77" s="73"/>
      <c r="BJ77" s="67"/>
      <c r="BK77" s="74"/>
      <c r="BL77" s="74"/>
      <c r="BM77" s="74"/>
      <c r="BN77" s="57">
        <f t="shared" si="2"/>
        <v>0</v>
      </c>
      <c r="BO77" s="69"/>
      <c r="BP77" s="69"/>
      <c r="BQ77" s="69"/>
      <c r="BR77" s="69"/>
      <c r="BS77" s="69"/>
      <c r="BT77" s="69"/>
      <c r="BU77" s="69"/>
      <c r="BV77" s="69"/>
      <c r="BW77" s="70"/>
      <c r="BX77" s="70"/>
      <c r="BY77" s="69"/>
      <c r="BZ77" s="69"/>
      <c r="CA77" s="69"/>
      <c r="CB77" s="162"/>
      <c r="CC77" s="162"/>
      <c r="CD77" s="162"/>
      <c r="CE77" s="162"/>
      <c r="CF77" s="162"/>
      <c r="CG77" s="162"/>
    </row>
    <row r="78" spans="1:85" customFormat="1" ht="60" customHeight="1">
      <c r="A78" s="170">
        <v>25</v>
      </c>
      <c r="B78" s="171" t="s">
        <v>216</v>
      </c>
      <c r="C78" s="165" t="s">
        <v>348</v>
      </c>
      <c r="D78" s="273" t="s">
        <v>218</v>
      </c>
      <c r="E78" s="285"/>
      <c r="F78" s="273" t="s">
        <v>270</v>
      </c>
      <c r="G78" s="59"/>
      <c r="H78" s="169">
        <v>14002</v>
      </c>
      <c r="I78" s="163" t="s">
        <v>321</v>
      </c>
      <c r="J78" s="161">
        <v>45889</v>
      </c>
      <c r="K78" s="161">
        <v>46252</v>
      </c>
      <c r="L78" s="157">
        <v>14123</v>
      </c>
      <c r="M78" s="201"/>
      <c r="N78" s="201"/>
      <c r="O78" s="201"/>
      <c r="P78" s="201"/>
      <c r="Q78" s="201"/>
      <c r="R78" s="201"/>
      <c r="S78" s="201"/>
      <c r="T78" s="201"/>
      <c r="U78" s="201"/>
      <c r="V78" s="201"/>
      <c r="W78" s="201"/>
      <c r="X78" s="202"/>
      <c r="Y78" s="163" t="s">
        <v>349</v>
      </c>
      <c r="Z78" s="165" t="s">
        <v>345</v>
      </c>
      <c r="AA78" s="165" t="s">
        <v>346</v>
      </c>
      <c r="AB78" s="161">
        <v>46055</v>
      </c>
      <c r="AC78" s="157">
        <v>14002</v>
      </c>
      <c r="AD78" s="161">
        <v>46055</v>
      </c>
      <c r="AE78" s="161">
        <v>46419</v>
      </c>
      <c r="AF78" s="36" t="s">
        <v>225</v>
      </c>
      <c r="AG78" s="154" t="s">
        <v>226</v>
      </c>
      <c r="AH78" s="45"/>
      <c r="AI78" s="46"/>
      <c r="AJ78" s="46"/>
      <c r="AK78" s="164">
        <v>64080</v>
      </c>
      <c r="AL78" s="56"/>
      <c r="AM78" s="60"/>
      <c r="AN78" s="61"/>
      <c r="AO78" s="62"/>
      <c r="AP78" s="60"/>
      <c r="AQ78" s="61"/>
      <c r="AR78" s="61"/>
      <c r="AS78" s="63"/>
      <c r="AT78" s="64"/>
      <c r="AU78" s="63"/>
      <c r="AV78" s="64"/>
      <c r="AW78" s="65"/>
      <c r="AX78" s="65"/>
      <c r="AY78" s="65"/>
      <c r="AZ78" s="66"/>
      <c r="BA78" s="67"/>
      <c r="BB78" s="67"/>
      <c r="BC78" s="60"/>
      <c r="BD78" s="68"/>
      <c r="BE78" s="67"/>
      <c r="BF78" s="67"/>
      <c r="BG78" s="60"/>
      <c r="BH78" s="67"/>
      <c r="BI78" s="42">
        <f>AK78</f>
        <v>64080</v>
      </c>
      <c r="BJ78" s="35"/>
      <c r="BK78" s="51">
        <f>6263.4+31557.9+32236.8</f>
        <v>70058.100000000006</v>
      </c>
      <c r="BL78" s="51">
        <f>1440+14976+14832+14400</f>
        <v>45648</v>
      </c>
      <c r="BM78" s="51"/>
      <c r="BN78" s="39">
        <f t="shared" si="2"/>
        <v>45648</v>
      </c>
      <c r="BO78" s="69"/>
      <c r="BP78" s="69"/>
      <c r="BQ78" s="69"/>
      <c r="BR78" s="69"/>
      <c r="BS78" s="69"/>
      <c r="BT78" s="69"/>
      <c r="BU78" s="69"/>
      <c r="BV78" s="69"/>
      <c r="BW78" s="70"/>
      <c r="BX78" s="70"/>
      <c r="BY78" s="69"/>
      <c r="BZ78" s="69"/>
      <c r="CA78" s="69"/>
      <c r="CB78" s="154" t="s">
        <v>347</v>
      </c>
      <c r="CC78" s="157">
        <v>14196</v>
      </c>
      <c r="CD78" s="154" t="s">
        <v>251</v>
      </c>
      <c r="CE78" s="157">
        <v>716807</v>
      </c>
      <c r="CF78" s="154" t="s">
        <v>252</v>
      </c>
      <c r="CG78" s="157">
        <v>716641</v>
      </c>
    </row>
    <row r="79" spans="1:85" customFormat="1" ht="60" customHeight="1">
      <c r="A79" s="162"/>
      <c r="B79" s="162"/>
      <c r="C79" s="162"/>
      <c r="D79" s="276"/>
      <c r="E79" s="276"/>
      <c r="F79" s="276"/>
      <c r="G79" s="71"/>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72" t="s">
        <v>232</v>
      </c>
      <c r="AG79" s="162"/>
      <c r="AH79" s="56"/>
      <c r="AI79" s="57"/>
      <c r="AJ79" s="57"/>
      <c r="AK79" s="162"/>
      <c r="AL79" s="56"/>
      <c r="AM79" s="60"/>
      <c r="AN79" s="61"/>
      <c r="AO79" s="62"/>
      <c r="AP79" s="60"/>
      <c r="AQ79" s="61"/>
      <c r="AR79" s="61"/>
      <c r="AS79" s="63"/>
      <c r="AT79" s="64"/>
      <c r="AU79" s="63"/>
      <c r="AV79" s="64"/>
      <c r="AW79" s="65"/>
      <c r="AX79" s="65"/>
      <c r="AY79" s="65"/>
      <c r="AZ79" s="66"/>
      <c r="BA79" s="67"/>
      <c r="BB79" s="67"/>
      <c r="BC79" s="60"/>
      <c r="BD79" s="68"/>
      <c r="BE79" s="67"/>
      <c r="BF79" s="67"/>
      <c r="BG79" s="60"/>
      <c r="BH79" s="67"/>
      <c r="BI79" s="73"/>
      <c r="BJ79" s="35"/>
      <c r="BK79" s="51"/>
      <c r="BL79" s="51"/>
      <c r="BM79" s="51"/>
      <c r="BN79" s="39">
        <f t="shared" si="2"/>
        <v>0</v>
      </c>
      <c r="BO79" s="69"/>
      <c r="BP79" s="69"/>
      <c r="BQ79" s="69"/>
      <c r="BR79" s="69"/>
      <c r="BS79" s="69"/>
      <c r="BT79" s="69"/>
      <c r="BU79" s="69"/>
      <c r="BV79" s="69"/>
      <c r="BW79" s="70"/>
      <c r="BX79" s="70"/>
      <c r="BY79" s="69"/>
      <c r="BZ79" s="69"/>
      <c r="CA79" s="69"/>
      <c r="CB79" s="162"/>
      <c r="CC79" s="162"/>
      <c r="CD79" s="162"/>
      <c r="CE79" s="162"/>
      <c r="CF79" s="162"/>
      <c r="CG79" s="162"/>
    </row>
    <row r="80" spans="1:85" customFormat="1" ht="60" customHeight="1">
      <c r="A80" s="170">
        <v>26</v>
      </c>
      <c r="B80" s="171" t="s">
        <v>341</v>
      </c>
      <c r="C80" s="165" t="s">
        <v>342</v>
      </c>
      <c r="D80" s="273" t="s">
        <v>218</v>
      </c>
      <c r="E80" s="285"/>
      <c r="F80" s="273" t="s">
        <v>278</v>
      </c>
      <c r="G80" s="59"/>
      <c r="H80" s="200"/>
      <c r="I80" s="154" t="s">
        <v>343</v>
      </c>
      <c r="J80" s="161">
        <v>45930</v>
      </c>
      <c r="K80" s="161">
        <v>46294</v>
      </c>
      <c r="L80" s="157">
        <v>14165</v>
      </c>
      <c r="M80" s="201"/>
      <c r="N80" s="201"/>
      <c r="O80" s="201"/>
      <c r="P80" s="201"/>
      <c r="Q80" s="201"/>
      <c r="R80" s="201"/>
      <c r="S80" s="201"/>
      <c r="T80" s="201"/>
      <c r="U80" s="201"/>
      <c r="V80" s="201"/>
      <c r="W80" s="201"/>
      <c r="X80" s="202"/>
      <c r="Y80" s="163" t="s">
        <v>350</v>
      </c>
      <c r="Z80" s="165" t="s">
        <v>345</v>
      </c>
      <c r="AA80" s="165" t="s">
        <v>346</v>
      </c>
      <c r="AB80" s="161">
        <v>46041</v>
      </c>
      <c r="AC80" s="157">
        <v>14208</v>
      </c>
      <c r="AD80" s="161">
        <v>46041</v>
      </c>
      <c r="AE80" s="161">
        <v>46405</v>
      </c>
      <c r="AF80" s="36" t="s">
        <v>225</v>
      </c>
      <c r="AG80" s="154" t="s">
        <v>226</v>
      </c>
      <c r="AH80" s="53"/>
      <c r="AI80" s="58"/>
      <c r="AJ80" s="58"/>
      <c r="AK80" s="164">
        <v>197610</v>
      </c>
      <c r="AL80" s="56"/>
      <c r="AM80" s="60"/>
      <c r="AN80" s="61"/>
      <c r="AO80" s="62"/>
      <c r="AP80" s="60"/>
      <c r="AQ80" s="61"/>
      <c r="AR80" s="61"/>
      <c r="AS80" s="63"/>
      <c r="AT80" s="64"/>
      <c r="AU80" s="63"/>
      <c r="AV80" s="64"/>
      <c r="AW80" s="65"/>
      <c r="AX80" s="65"/>
      <c r="AY80" s="65"/>
      <c r="AZ80" s="66"/>
      <c r="BA80" s="67"/>
      <c r="BB80" s="67"/>
      <c r="BC80" s="60"/>
      <c r="BD80" s="68"/>
      <c r="BE80" s="67"/>
      <c r="BF80" s="67"/>
      <c r="BG80" s="60"/>
      <c r="BH80" s="67"/>
      <c r="BI80" s="42">
        <f>AK80</f>
        <v>197610</v>
      </c>
      <c r="BJ80" s="35"/>
      <c r="BK80" s="51">
        <f>6263.4+31557.9+32236.8</f>
        <v>70058.100000000006</v>
      </c>
      <c r="BL80" s="51">
        <f>6514+15344+15994+16010+14510+3618+23288+26392+13454+21822</f>
        <v>156946</v>
      </c>
      <c r="BM80" s="51"/>
      <c r="BN80" s="39">
        <f t="shared" si="2"/>
        <v>156946</v>
      </c>
      <c r="BO80" s="69"/>
      <c r="BP80" s="69"/>
      <c r="BQ80" s="69"/>
      <c r="BR80" s="69"/>
      <c r="BS80" s="69"/>
      <c r="BT80" s="69"/>
      <c r="BU80" s="69"/>
      <c r="BV80" s="69"/>
      <c r="BW80" s="70"/>
      <c r="BX80" s="70"/>
      <c r="BY80" s="69"/>
      <c r="BZ80" s="69"/>
      <c r="CA80" s="69"/>
      <c r="CB80" s="154" t="s">
        <v>351</v>
      </c>
      <c r="CC80" s="157">
        <v>14200</v>
      </c>
      <c r="CD80" s="154" t="s">
        <v>251</v>
      </c>
      <c r="CE80" s="157">
        <v>716807</v>
      </c>
      <c r="CF80" s="154" t="s">
        <v>252</v>
      </c>
      <c r="CG80" s="157">
        <v>716641</v>
      </c>
    </row>
    <row r="81" spans="1:85" customFormat="1" ht="60" customHeight="1">
      <c r="A81" s="162"/>
      <c r="B81" s="162"/>
      <c r="C81" s="162"/>
      <c r="D81" s="276"/>
      <c r="E81" s="276"/>
      <c r="F81" s="276"/>
      <c r="G81" s="71"/>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72" t="s">
        <v>232</v>
      </c>
      <c r="AG81" s="162"/>
      <c r="AH81" s="47"/>
      <c r="AI81" s="39"/>
      <c r="AJ81" s="39"/>
      <c r="AK81" s="162"/>
      <c r="AL81" s="56"/>
      <c r="AM81" s="60"/>
      <c r="AN81" s="61"/>
      <c r="AO81" s="62"/>
      <c r="AP81" s="60"/>
      <c r="AQ81" s="61"/>
      <c r="AR81" s="61"/>
      <c r="AS81" s="63"/>
      <c r="AT81" s="64"/>
      <c r="AU81" s="63"/>
      <c r="AV81" s="64"/>
      <c r="AW81" s="65"/>
      <c r="AX81" s="65"/>
      <c r="AY81" s="65"/>
      <c r="AZ81" s="66"/>
      <c r="BA81" s="67"/>
      <c r="BB81" s="67"/>
      <c r="BC81" s="60"/>
      <c r="BD81" s="68"/>
      <c r="BE81" s="67"/>
      <c r="BF81" s="67"/>
      <c r="BG81" s="60"/>
      <c r="BH81" s="67"/>
      <c r="BI81" s="73"/>
      <c r="BJ81" s="67"/>
      <c r="BK81" s="74"/>
      <c r="BL81" s="74"/>
      <c r="BM81" s="74"/>
      <c r="BN81" s="57">
        <f t="shared" si="2"/>
        <v>0</v>
      </c>
      <c r="BO81" s="69"/>
      <c r="BP81" s="69"/>
      <c r="BQ81" s="69"/>
      <c r="BR81" s="69"/>
      <c r="BS81" s="69"/>
      <c r="BT81" s="69"/>
      <c r="BU81" s="69"/>
      <c r="BV81" s="69"/>
      <c r="BW81" s="70"/>
      <c r="BX81" s="70"/>
      <c r="BY81" s="69"/>
      <c r="BZ81" s="69"/>
      <c r="CA81" s="69"/>
      <c r="CB81" s="162"/>
      <c r="CC81" s="162"/>
      <c r="CD81" s="162"/>
      <c r="CE81" s="162"/>
      <c r="CF81" s="162"/>
      <c r="CG81" s="162"/>
    </row>
    <row r="82" spans="1:85" customFormat="1" ht="60" customHeight="1">
      <c r="A82" s="170">
        <v>27</v>
      </c>
      <c r="B82" s="171" t="s">
        <v>341</v>
      </c>
      <c r="C82" s="165" t="s">
        <v>342</v>
      </c>
      <c r="D82" s="273" t="s">
        <v>218</v>
      </c>
      <c r="E82" s="285"/>
      <c r="F82" s="273" t="s">
        <v>278</v>
      </c>
      <c r="G82" s="59"/>
      <c r="H82" s="200"/>
      <c r="I82" s="154" t="s">
        <v>343</v>
      </c>
      <c r="J82" s="161">
        <v>45930</v>
      </c>
      <c r="K82" s="161">
        <v>46294</v>
      </c>
      <c r="L82" s="157">
        <v>14165</v>
      </c>
      <c r="M82" s="201"/>
      <c r="N82" s="201"/>
      <c r="O82" s="201"/>
      <c r="P82" s="201"/>
      <c r="Q82" s="201"/>
      <c r="R82" s="201"/>
      <c r="S82" s="201"/>
      <c r="T82" s="201"/>
      <c r="U82" s="201"/>
      <c r="V82" s="201"/>
      <c r="W82" s="201"/>
      <c r="X82" s="202"/>
      <c r="Y82" s="163" t="s">
        <v>352</v>
      </c>
      <c r="Z82" s="165" t="s">
        <v>353</v>
      </c>
      <c r="AA82" s="165" t="s">
        <v>354</v>
      </c>
      <c r="AB82" s="161">
        <v>46041</v>
      </c>
      <c r="AC82" s="157">
        <v>14199</v>
      </c>
      <c r="AD82" s="161">
        <v>46041</v>
      </c>
      <c r="AE82" s="161">
        <v>46405</v>
      </c>
      <c r="AF82" s="36" t="s">
        <v>225</v>
      </c>
      <c r="AG82" s="154" t="s">
        <v>226</v>
      </c>
      <c r="AH82" s="45"/>
      <c r="AI82" s="46"/>
      <c r="AJ82" s="46"/>
      <c r="AK82" s="164">
        <v>275940</v>
      </c>
      <c r="AL82" s="56"/>
      <c r="AM82" s="60"/>
      <c r="AN82" s="61"/>
      <c r="AO82" s="62"/>
      <c r="AP82" s="60"/>
      <c r="AQ82" s="61"/>
      <c r="AR82" s="61"/>
      <c r="AS82" s="63"/>
      <c r="AT82" s="64"/>
      <c r="AU82" s="63"/>
      <c r="AV82" s="64"/>
      <c r="AW82" s="65"/>
      <c r="AX82" s="65"/>
      <c r="AY82" s="65"/>
      <c r="AZ82" s="66"/>
      <c r="BA82" s="67"/>
      <c r="BB82" s="67"/>
      <c r="BC82" s="60"/>
      <c r="BD82" s="68"/>
      <c r="BE82" s="67"/>
      <c r="BF82" s="67"/>
      <c r="BG82" s="60"/>
      <c r="BH82" s="67"/>
      <c r="BI82" s="42">
        <f>AK82</f>
        <v>275940</v>
      </c>
      <c r="BJ82" s="35"/>
      <c r="BK82" s="51">
        <f>6263.4+31557.9+32236.8</f>
        <v>70058.100000000006</v>
      </c>
      <c r="BL82" s="51">
        <f>15789.9+28299.18+28531.32+4927.5+5107.08+2211.9+14471.52+11760.3+7564.26+25885.8+20301.3</f>
        <v>164850.05999999997</v>
      </c>
      <c r="BM82" s="51"/>
      <c r="BN82" s="39">
        <f t="shared" si="2"/>
        <v>164850.05999999997</v>
      </c>
      <c r="BO82" s="69"/>
      <c r="BP82" s="69"/>
      <c r="BQ82" s="69"/>
      <c r="BR82" s="69"/>
      <c r="BS82" s="69"/>
      <c r="BT82" s="69"/>
      <c r="BU82" s="69"/>
      <c r="BV82" s="69"/>
      <c r="BW82" s="70"/>
      <c r="BX82" s="70"/>
      <c r="BY82" s="69"/>
      <c r="BZ82" s="69"/>
      <c r="CA82" s="69"/>
      <c r="CB82" s="154" t="s">
        <v>355</v>
      </c>
      <c r="CC82" s="157">
        <v>14196</v>
      </c>
      <c r="CD82" s="154" t="s">
        <v>251</v>
      </c>
      <c r="CE82" s="157">
        <v>716807</v>
      </c>
      <c r="CF82" s="154" t="s">
        <v>252</v>
      </c>
      <c r="CG82" s="157">
        <v>716641</v>
      </c>
    </row>
    <row r="83" spans="1:85" customFormat="1" ht="60" customHeight="1">
      <c r="A83" s="162"/>
      <c r="B83" s="162"/>
      <c r="C83" s="162"/>
      <c r="D83" s="276"/>
      <c r="E83" s="276"/>
      <c r="F83" s="276"/>
      <c r="G83" s="71"/>
      <c r="H83" s="162"/>
      <c r="I83" s="162"/>
      <c r="J83" s="162"/>
      <c r="K83" s="162"/>
      <c r="L83" s="162"/>
      <c r="M83" s="162"/>
      <c r="N83" s="162"/>
      <c r="O83" s="162"/>
      <c r="P83" s="162"/>
      <c r="Q83" s="162"/>
      <c r="R83" s="162"/>
      <c r="S83" s="162"/>
      <c r="T83" s="162"/>
      <c r="U83" s="162"/>
      <c r="V83" s="162"/>
      <c r="W83" s="162"/>
      <c r="X83" s="162"/>
      <c r="Y83" s="162"/>
      <c r="Z83" s="162"/>
      <c r="AA83" s="162"/>
      <c r="AB83" s="162"/>
      <c r="AC83" s="162"/>
      <c r="AD83" s="162"/>
      <c r="AE83" s="162"/>
      <c r="AF83" s="72" t="s">
        <v>232</v>
      </c>
      <c r="AG83" s="162"/>
      <c r="AH83" s="56"/>
      <c r="AI83" s="57"/>
      <c r="AJ83" s="57"/>
      <c r="AK83" s="162"/>
      <c r="AL83" s="56"/>
      <c r="AM83" s="60"/>
      <c r="AN83" s="61"/>
      <c r="AO83" s="62"/>
      <c r="AP83" s="60"/>
      <c r="AQ83" s="61"/>
      <c r="AR83" s="61"/>
      <c r="AS83" s="63"/>
      <c r="AT83" s="64"/>
      <c r="AU83" s="63"/>
      <c r="AV83" s="64"/>
      <c r="AW83" s="65"/>
      <c r="AX83" s="65"/>
      <c r="AY83" s="65"/>
      <c r="AZ83" s="66"/>
      <c r="BA83" s="67"/>
      <c r="BB83" s="67"/>
      <c r="BC83" s="60"/>
      <c r="BD83" s="68"/>
      <c r="BE83" s="67"/>
      <c r="BF83" s="67"/>
      <c r="BG83" s="60"/>
      <c r="BH83" s="67"/>
      <c r="BI83" s="73"/>
      <c r="BJ83" s="67"/>
      <c r="BK83" s="74"/>
      <c r="BL83" s="74"/>
      <c r="BM83" s="74"/>
      <c r="BN83" s="57">
        <f t="shared" si="2"/>
        <v>0</v>
      </c>
      <c r="BO83" s="69"/>
      <c r="BP83" s="69"/>
      <c r="BQ83" s="69"/>
      <c r="BR83" s="69"/>
      <c r="BS83" s="69"/>
      <c r="BT83" s="69"/>
      <c r="BU83" s="69"/>
      <c r="BV83" s="69"/>
      <c r="BW83" s="70"/>
      <c r="BX83" s="70"/>
      <c r="BY83" s="69"/>
      <c r="BZ83" s="69"/>
      <c r="CA83" s="69"/>
      <c r="CB83" s="162"/>
      <c r="CC83" s="162"/>
      <c r="CD83" s="162"/>
      <c r="CE83" s="162"/>
      <c r="CF83" s="162"/>
      <c r="CG83" s="162"/>
    </row>
    <row r="84" spans="1:85" customFormat="1" ht="79.5" customHeight="1">
      <c r="A84" s="170">
        <v>28</v>
      </c>
      <c r="B84" s="171" t="s">
        <v>356</v>
      </c>
      <c r="C84" s="165" t="s">
        <v>357</v>
      </c>
      <c r="D84" s="273" t="s">
        <v>218</v>
      </c>
      <c r="E84" s="285"/>
      <c r="F84" s="273" t="s">
        <v>358</v>
      </c>
      <c r="G84" s="59"/>
      <c r="H84" s="169">
        <v>14183</v>
      </c>
      <c r="I84" s="163" t="s">
        <v>359</v>
      </c>
      <c r="J84" s="161">
        <v>46056</v>
      </c>
      <c r="K84" s="161">
        <v>46420</v>
      </c>
      <c r="L84" s="157">
        <v>14201</v>
      </c>
      <c r="M84" s="201"/>
      <c r="N84" s="201"/>
      <c r="O84" s="201"/>
      <c r="P84" s="201"/>
      <c r="Q84" s="201"/>
      <c r="R84" s="201"/>
      <c r="S84" s="201"/>
      <c r="T84" s="201"/>
      <c r="U84" s="201"/>
      <c r="V84" s="201"/>
      <c r="W84" s="201"/>
      <c r="X84" s="202"/>
      <c r="Y84" s="163" t="s">
        <v>360</v>
      </c>
      <c r="Z84" s="165" t="s">
        <v>361</v>
      </c>
      <c r="AA84" s="165" t="s">
        <v>362</v>
      </c>
      <c r="AB84" s="161">
        <v>46066</v>
      </c>
      <c r="AC84" s="157">
        <v>14210</v>
      </c>
      <c r="AD84" s="161">
        <v>46072</v>
      </c>
      <c r="AE84" s="161">
        <v>46436</v>
      </c>
      <c r="AF84" s="36">
        <v>2550</v>
      </c>
      <c r="AG84" s="154" t="s">
        <v>226</v>
      </c>
      <c r="AH84" s="45"/>
      <c r="AI84" s="46"/>
      <c r="AJ84" s="46"/>
      <c r="AK84" s="164">
        <v>37025.160000000003</v>
      </c>
      <c r="AL84" s="56"/>
      <c r="AM84" s="60"/>
      <c r="AN84" s="61"/>
      <c r="AO84" s="62"/>
      <c r="AP84" s="60"/>
      <c r="AQ84" s="61"/>
      <c r="AR84" s="61"/>
      <c r="AS84" s="63"/>
      <c r="AT84" s="64"/>
      <c r="AU84" s="63"/>
      <c r="AV84" s="64"/>
      <c r="AW84" s="65"/>
      <c r="AX84" s="65"/>
      <c r="AY84" s="65"/>
      <c r="AZ84" s="66"/>
      <c r="BA84" s="67"/>
      <c r="BB84" s="67"/>
      <c r="BC84" s="60"/>
      <c r="BD84" s="68"/>
      <c r="BE84" s="67"/>
      <c r="BF84" s="67"/>
      <c r="BG84" s="60"/>
      <c r="BH84" s="67"/>
      <c r="BI84" s="42">
        <f>AK84</f>
        <v>37025.160000000003</v>
      </c>
      <c r="BJ84" s="35"/>
      <c r="BK84" s="51">
        <f>6263.4+31557.9+32236.8</f>
        <v>70058.100000000006</v>
      </c>
      <c r="BL84" s="51">
        <v>2834</v>
      </c>
      <c r="BM84" s="51"/>
      <c r="BN84" s="39">
        <f t="shared" si="2"/>
        <v>2834</v>
      </c>
      <c r="BO84" s="69"/>
      <c r="BP84" s="69"/>
      <c r="BQ84" s="69"/>
      <c r="BR84" s="69"/>
      <c r="BS84" s="69"/>
      <c r="BT84" s="69"/>
      <c r="BU84" s="69"/>
      <c r="BV84" s="69"/>
      <c r="BW84" s="70"/>
      <c r="BX84" s="70"/>
      <c r="BY84" s="69"/>
      <c r="BZ84" s="69"/>
      <c r="CA84" s="69"/>
      <c r="CB84" s="154" t="s">
        <v>363</v>
      </c>
      <c r="CC84" s="157">
        <v>14213</v>
      </c>
      <c r="CD84" s="154" t="s">
        <v>364</v>
      </c>
      <c r="CE84" s="157" t="s">
        <v>365</v>
      </c>
      <c r="CF84" s="154" t="s">
        <v>366</v>
      </c>
      <c r="CG84" s="157" t="s">
        <v>367</v>
      </c>
    </row>
    <row r="85" spans="1:85" customFormat="1" ht="60" customHeight="1">
      <c r="A85" s="162"/>
      <c r="B85" s="162"/>
      <c r="C85" s="162"/>
      <c r="D85" s="276"/>
      <c r="E85" s="276"/>
      <c r="F85" s="276"/>
      <c r="G85" s="71"/>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72" t="s">
        <v>368</v>
      </c>
      <c r="AG85" s="162"/>
      <c r="AH85" s="56"/>
      <c r="AI85" s="57"/>
      <c r="AJ85" s="57"/>
      <c r="AK85" s="162"/>
      <c r="AL85" s="56"/>
      <c r="AM85" s="60"/>
      <c r="AN85" s="61"/>
      <c r="AO85" s="62"/>
      <c r="AP85" s="60"/>
      <c r="AQ85" s="61"/>
      <c r="AR85" s="61"/>
      <c r="AS85" s="63"/>
      <c r="AT85" s="64"/>
      <c r="AU85" s="63"/>
      <c r="AV85" s="64"/>
      <c r="AW85" s="65"/>
      <c r="AX85" s="65"/>
      <c r="AY85" s="65"/>
      <c r="AZ85" s="66"/>
      <c r="BA85" s="67"/>
      <c r="BB85" s="67"/>
      <c r="BC85" s="60"/>
      <c r="BD85" s="68"/>
      <c r="BE85" s="67"/>
      <c r="BF85" s="67"/>
      <c r="BG85" s="60"/>
      <c r="BH85" s="67"/>
      <c r="BI85" s="73"/>
      <c r="BJ85" s="67"/>
      <c r="BK85" s="74"/>
      <c r="BL85" s="51">
        <v>8191.16</v>
      </c>
      <c r="BM85" s="74"/>
      <c r="BN85" s="39">
        <f t="shared" si="2"/>
        <v>8191.16</v>
      </c>
      <c r="BO85" s="69"/>
      <c r="BP85" s="69"/>
      <c r="BQ85" s="69"/>
      <c r="BR85" s="69"/>
      <c r="BS85" s="69"/>
      <c r="BT85" s="69"/>
      <c r="BU85" s="69"/>
      <c r="BV85" s="69"/>
      <c r="BW85" s="70"/>
      <c r="BX85" s="70"/>
      <c r="BY85" s="69"/>
      <c r="BZ85" s="69"/>
      <c r="CA85" s="69"/>
      <c r="CB85" s="162"/>
      <c r="CC85" s="162"/>
      <c r="CD85" s="162"/>
      <c r="CE85" s="162"/>
      <c r="CF85" s="162"/>
      <c r="CG85" s="162"/>
    </row>
    <row r="86" spans="1:85" customFormat="1" ht="79.5" customHeight="1">
      <c r="A86" s="170">
        <v>29</v>
      </c>
      <c r="B86" s="165" t="s">
        <v>369</v>
      </c>
      <c r="C86" s="165" t="s">
        <v>357</v>
      </c>
      <c r="D86" s="273" t="s">
        <v>218</v>
      </c>
      <c r="E86" s="285"/>
      <c r="F86" s="273" t="s">
        <v>358</v>
      </c>
      <c r="G86" s="59"/>
      <c r="H86" s="169">
        <v>14199</v>
      </c>
      <c r="I86" s="163" t="s">
        <v>359</v>
      </c>
      <c r="J86" s="161">
        <v>46056</v>
      </c>
      <c r="K86" s="161">
        <v>46420</v>
      </c>
      <c r="L86" s="157">
        <v>14201</v>
      </c>
      <c r="M86" s="201"/>
      <c r="N86" s="201"/>
      <c r="O86" s="201"/>
      <c r="P86" s="201"/>
      <c r="Q86" s="201"/>
      <c r="R86" s="201"/>
      <c r="S86" s="201"/>
      <c r="T86" s="201"/>
      <c r="U86" s="201"/>
      <c r="V86" s="201"/>
      <c r="W86" s="201"/>
      <c r="X86" s="202"/>
      <c r="Y86" s="163" t="s">
        <v>370</v>
      </c>
      <c r="Z86" s="165" t="s">
        <v>272</v>
      </c>
      <c r="AA86" s="165" t="s">
        <v>273</v>
      </c>
      <c r="AB86" s="161">
        <v>46065</v>
      </c>
      <c r="AC86" s="157">
        <v>14210</v>
      </c>
      <c r="AD86" s="161">
        <v>46065</v>
      </c>
      <c r="AE86" s="161">
        <v>46429</v>
      </c>
      <c r="AF86" s="36" t="s">
        <v>225</v>
      </c>
      <c r="AG86" s="154" t="s">
        <v>371</v>
      </c>
      <c r="AH86" s="45"/>
      <c r="AI86" s="46"/>
      <c r="AJ86" s="46"/>
      <c r="AK86" s="164">
        <v>486726.3</v>
      </c>
      <c r="AL86" s="56"/>
      <c r="AM86" s="60"/>
      <c r="AN86" s="61"/>
      <c r="AO86" s="62"/>
      <c r="AP86" s="60"/>
      <c r="AQ86" s="61"/>
      <c r="AR86" s="61"/>
      <c r="AS86" s="63"/>
      <c r="AT86" s="64"/>
      <c r="AU86" s="63"/>
      <c r="AV86" s="64"/>
      <c r="AW86" s="65"/>
      <c r="AX86" s="65"/>
      <c r="AY86" s="65"/>
      <c r="AZ86" s="66"/>
      <c r="BA86" s="67"/>
      <c r="BB86" s="67"/>
      <c r="BC86" s="60"/>
      <c r="BD86" s="68"/>
      <c r="BE86" s="67"/>
      <c r="BF86" s="67"/>
      <c r="BG86" s="60"/>
      <c r="BH86" s="67"/>
      <c r="BI86" s="42">
        <f>AK86</f>
        <v>486726.3</v>
      </c>
      <c r="BJ86" s="35"/>
      <c r="BK86" s="51">
        <f>6263.4+31557.9+32236.8</f>
        <v>70058.100000000006</v>
      </c>
      <c r="BL86" s="51">
        <f>50496.6+57136.1+213427.2+46243.6+63407.6+56015.2</f>
        <v>486726.3</v>
      </c>
      <c r="BM86" s="51"/>
      <c r="BN86" s="39">
        <f t="shared" si="2"/>
        <v>486726.3</v>
      </c>
      <c r="BO86" s="69"/>
      <c r="BP86" s="69"/>
      <c r="BQ86" s="69"/>
      <c r="BR86" s="69"/>
      <c r="BS86" s="69"/>
      <c r="BT86" s="69"/>
      <c r="BU86" s="69"/>
      <c r="BV86" s="69"/>
      <c r="BW86" s="70"/>
      <c r="BX86" s="70"/>
      <c r="BY86" s="69"/>
      <c r="BZ86" s="69"/>
      <c r="CA86" s="69"/>
      <c r="CB86" s="154" t="s">
        <v>363</v>
      </c>
      <c r="CC86" s="157">
        <v>14213</v>
      </c>
      <c r="CD86" s="154" t="s">
        <v>364</v>
      </c>
      <c r="CE86" s="157" t="s">
        <v>365</v>
      </c>
      <c r="CF86" s="154" t="s">
        <v>366</v>
      </c>
      <c r="CG86" s="157" t="s">
        <v>367</v>
      </c>
    </row>
    <row r="87" spans="1:85" customFormat="1" ht="60" customHeight="1">
      <c r="A87" s="162"/>
      <c r="B87" s="162"/>
      <c r="C87" s="162"/>
      <c r="D87" s="276"/>
      <c r="E87" s="276"/>
      <c r="F87" s="276"/>
      <c r="G87" s="71"/>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72" t="s">
        <v>372</v>
      </c>
      <c r="AG87" s="162"/>
      <c r="AH87" s="56"/>
      <c r="AI87" s="57"/>
      <c r="AJ87" s="57"/>
      <c r="AK87" s="162"/>
      <c r="AL87" s="56"/>
      <c r="AM87" s="60"/>
      <c r="AN87" s="61"/>
      <c r="AO87" s="62"/>
      <c r="AP87" s="60"/>
      <c r="AQ87" s="61"/>
      <c r="AR87" s="61"/>
      <c r="AS87" s="63"/>
      <c r="AT87" s="64"/>
      <c r="AU87" s="63"/>
      <c r="AV87" s="64"/>
      <c r="AW87" s="65"/>
      <c r="AX87" s="65"/>
      <c r="AY87" s="65"/>
      <c r="AZ87" s="66"/>
      <c r="BA87" s="67"/>
      <c r="BB87" s="67"/>
      <c r="BC87" s="60"/>
      <c r="BD87" s="68"/>
      <c r="BE87" s="67"/>
      <c r="BF87" s="67"/>
      <c r="BG87" s="60"/>
      <c r="BH87" s="67"/>
      <c r="BI87" s="73"/>
      <c r="BJ87" s="67"/>
      <c r="BK87" s="74"/>
      <c r="BL87" s="51"/>
      <c r="BM87" s="74"/>
      <c r="BN87" s="39">
        <f t="shared" si="2"/>
        <v>0</v>
      </c>
      <c r="BO87" s="69"/>
      <c r="BP87" s="69"/>
      <c r="BQ87" s="69"/>
      <c r="BR87" s="69"/>
      <c r="BS87" s="69"/>
      <c r="BT87" s="69"/>
      <c r="BU87" s="69"/>
      <c r="BV87" s="69"/>
      <c r="BW87" s="70"/>
      <c r="BX87" s="70"/>
      <c r="BY87" s="69"/>
      <c r="BZ87" s="69"/>
      <c r="CA87" s="69"/>
      <c r="CB87" s="162"/>
      <c r="CC87" s="162"/>
      <c r="CD87" s="162"/>
      <c r="CE87" s="162"/>
      <c r="CF87" s="162"/>
      <c r="CG87" s="162"/>
    </row>
    <row r="88" spans="1:85" customFormat="1" ht="79.5" customHeight="1">
      <c r="A88" s="170">
        <v>30</v>
      </c>
      <c r="B88" s="165" t="s">
        <v>373</v>
      </c>
      <c r="C88" s="165" t="s">
        <v>357</v>
      </c>
      <c r="D88" s="273" t="s">
        <v>218</v>
      </c>
      <c r="E88" s="285"/>
      <c r="F88" s="273" t="s">
        <v>358</v>
      </c>
      <c r="G88" s="59"/>
      <c r="H88" s="169">
        <v>14199</v>
      </c>
      <c r="I88" s="163" t="s">
        <v>359</v>
      </c>
      <c r="J88" s="161">
        <v>46056</v>
      </c>
      <c r="K88" s="161">
        <v>46420</v>
      </c>
      <c r="L88" s="157">
        <v>14201</v>
      </c>
      <c r="M88" s="201"/>
      <c r="N88" s="201"/>
      <c r="O88" s="201"/>
      <c r="P88" s="201"/>
      <c r="Q88" s="201"/>
      <c r="R88" s="201"/>
      <c r="S88" s="201"/>
      <c r="T88" s="201"/>
      <c r="U88" s="201"/>
      <c r="V88" s="201"/>
      <c r="W88" s="201"/>
      <c r="X88" s="202"/>
      <c r="Y88" s="163" t="s">
        <v>374</v>
      </c>
      <c r="Z88" s="165" t="s">
        <v>375</v>
      </c>
      <c r="AA88" s="165" t="s">
        <v>376</v>
      </c>
      <c r="AB88" s="161">
        <v>46066</v>
      </c>
      <c r="AC88" s="157">
        <v>14210</v>
      </c>
      <c r="AD88" s="161">
        <v>46066</v>
      </c>
      <c r="AE88" s="161">
        <v>46430</v>
      </c>
      <c r="AF88" s="36" t="s">
        <v>225</v>
      </c>
      <c r="AG88" s="154" t="s">
        <v>371</v>
      </c>
      <c r="AH88" s="45"/>
      <c r="AI88" s="46"/>
      <c r="AJ88" s="46"/>
      <c r="AK88" s="164">
        <v>197643.9</v>
      </c>
      <c r="AL88" s="56"/>
      <c r="AM88" s="60"/>
      <c r="AN88" s="61"/>
      <c r="AO88" s="62"/>
      <c r="AP88" s="60"/>
      <c r="AQ88" s="61"/>
      <c r="AR88" s="61"/>
      <c r="AS88" s="63"/>
      <c r="AT88" s="64"/>
      <c r="AU88" s="63"/>
      <c r="AV88" s="64"/>
      <c r="AW88" s="65"/>
      <c r="AX88" s="65"/>
      <c r="AY88" s="65"/>
      <c r="AZ88" s="66"/>
      <c r="BA88" s="67"/>
      <c r="BB88" s="67"/>
      <c r="BC88" s="60"/>
      <c r="BD88" s="68"/>
      <c r="BE88" s="67"/>
      <c r="BF88" s="67"/>
      <c r="BG88" s="60"/>
      <c r="BH88" s="67"/>
      <c r="BI88" s="42">
        <f>AK88</f>
        <v>197643.9</v>
      </c>
      <c r="BJ88" s="35"/>
      <c r="BK88" s="51">
        <f>6263.4+31557.9+32236.8</f>
        <v>70058.100000000006</v>
      </c>
      <c r="BL88" s="51">
        <f>197643.9</f>
        <v>197643.9</v>
      </c>
      <c r="BM88" s="51"/>
      <c r="BN88" s="39">
        <f t="shared" si="2"/>
        <v>197643.9</v>
      </c>
      <c r="BO88" s="69"/>
      <c r="BP88" s="69"/>
      <c r="BQ88" s="69"/>
      <c r="BR88" s="69"/>
      <c r="BS88" s="69"/>
      <c r="BT88" s="69"/>
      <c r="BU88" s="69"/>
      <c r="BV88" s="69"/>
      <c r="BW88" s="70"/>
      <c r="BX88" s="70"/>
      <c r="BY88" s="69"/>
      <c r="BZ88" s="69"/>
      <c r="CA88" s="69"/>
      <c r="CB88" s="154" t="s">
        <v>363</v>
      </c>
      <c r="CC88" s="157">
        <v>14213</v>
      </c>
      <c r="CD88" s="154" t="s">
        <v>364</v>
      </c>
      <c r="CE88" s="157" t="s">
        <v>365</v>
      </c>
      <c r="CF88" s="154" t="s">
        <v>366</v>
      </c>
      <c r="CG88" s="157" t="s">
        <v>367</v>
      </c>
    </row>
    <row r="89" spans="1:85" customFormat="1" ht="60" customHeight="1">
      <c r="A89" s="162"/>
      <c r="B89" s="162"/>
      <c r="C89" s="162"/>
      <c r="D89" s="276"/>
      <c r="E89" s="276"/>
      <c r="F89" s="276"/>
      <c r="G89" s="71"/>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72" t="s">
        <v>372</v>
      </c>
      <c r="AG89" s="162"/>
      <c r="AH89" s="56"/>
      <c r="AI89" s="57"/>
      <c r="AJ89" s="57"/>
      <c r="AK89" s="162"/>
      <c r="AL89" s="56"/>
      <c r="AM89" s="60"/>
      <c r="AN89" s="61"/>
      <c r="AO89" s="62"/>
      <c r="AP89" s="60"/>
      <c r="AQ89" s="61"/>
      <c r="AR89" s="61"/>
      <c r="AS89" s="63"/>
      <c r="AT89" s="64"/>
      <c r="AU89" s="63"/>
      <c r="AV89" s="64"/>
      <c r="AW89" s="65"/>
      <c r="AX89" s="65"/>
      <c r="AY89" s="65"/>
      <c r="AZ89" s="66"/>
      <c r="BA89" s="67"/>
      <c r="BB89" s="67"/>
      <c r="BC89" s="60"/>
      <c r="BD89" s="68"/>
      <c r="BE89" s="67"/>
      <c r="BF89" s="67"/>
      <c r="BG89" s="60"/>
      <c r="BH89" s="67"/>
      <c r="BI89" s="73"/>
      <c r="BJ89" s="67"/>
      <c r="BK89" s="74"/>
      <c r="BL89" s="51"/>
      <c r="BM89" s="74"/>
      <c r="BN89" s="39">
        <f t="shared" si="2"/>
        <v>0</v>
      </c>
      <c r="BO89" s="69"/>
      <c r="BP89" s="69"/>
      <c r="BQ89" s="69"/>
      <c r="BR89" s="69"/>
      <c r="BS89" s="69"/>
      <c r="BT89" s="69"/>
      <c r="BU89" s="69"/>
      <c r="BV89" s="69"/>
      <c r="BW89" s="70"/>
      <c r="BX89" s="70"/>
      <c r="BY89" s="69"/>
      <c r="BZ89" s="69"/>
      <c r="CA89" s="69"/>
      <c r="CB89" s="162"/>
      <c r="CC89" s="162"/>
      <c r="CD89" s="162"/>
      <c r="CE89" s="162"/>
      <c r="CF89" s="162"/>
      <c r="CG89" s="162"/>
    </row>
    <row r="90" spans="1:85" customFormat="1" ht="60" customHeight="1">
      <c r="A90" s="170">
        <v>31</v>
      </c>
      <c r="B90" s="171" t="s">
        <v>253</v>
      </c>
      <c r="C90" s="165" t="s">
        <v>234</v>
      </c>
      <c r="D90" s="273" t="s">
        <v>377</v>
      </c>
      <c r="E90" s="273"/>
      <c r="F90" s="273" t="s">
        <v>378</v>
      </c>
      <c r="G90" s="43"/>
      <c r="H90" s="169">
        <v>13903</v>
      </c>
      <c r="I90" s="154" t="s">
        <v>236</v>
      </c>
      <c r="J90" s="161">
        <v>45992</v>
      </c>
      <c r="K90" s="161">
        <v>46356</v>
      </c>
      <c r="L90" s="157">
        <v>14166</v>
      </c>
      <c r="M90" s="201"/>
      <c r="N90" s="201"/>
      <c r="O90" s="201"/>
      <c r="P90" s="201"/>
      <c r="Q90" s="201"/>
      <c r="R90" s="201"/>
      <c r="S90" s="201"/>
      <c r="T90" s="201"/>
      <c r="U90" s="201"/>
      <c r="V90" s="201"/>
      <c r="W90" s="201"/>
      <c r="X90" s="202"/>
      <c r="Y90" s="163" t="s">
        <v>379</v>
      </c>
      <c r="Z90" s="165" t="s">
        <v>380</v>
      </c>
      <c r="AA90" s="165" t="s">
        <v>381</v>
      </c>
      <c r="AB90" s="161">
        <v>46051</v>
      </c>
      <c r="AC90" s="157">
        <v>14202</v>
      </c>
      <c r="AD90" s="161">
        <v>46055</v>
      </c>
      <c r="AE90" s="161">
        <v>46420</v>
      </c>
      <c r="AF90" s="36" t="s">
        <v>225</v>
      </c>
      <c r="AG90" s="154" t="s">
        <v>226</v>
      </c>
      <c r="AH90" s="45"/>
      <c r="AI90" s="46"/>
      <c r="AJ90" s="46"/>
      <c r="AK90" s="164">
        <v>1191742.25</v>
      </c>
      <c r="AL90" s="56"/>
      <c r="AM90" s="60"/>
      <c r="AN90" s="61"/>
      <c r="AO90" s="62"/>
      <c r="AP90" s="60"/>
      <c r="AQ90" s="61"/>
      <c r="AR90" s="61"/>
      <c r="AS90" s="63"/>
      <c r="AT90" s="64"/>
      <c r="AU90" s="63"/>
      <c r="AV90" s="64"/>
      <c r="AW90" s="65"/>
      <c r="AX90" s="65"/>
      <c r="AY90" s="65"/>
      <c r="AZ90" s="66"/>
      <c r="BA90" s="67"/>
      <c r="BB90" s="67"/>
      <c r="BC90" s="60"/>
      <c r="BD90" s="68"/>
      <c r="BE90" s="67"/>
      <c r="BF90" s="67"/>
      <c r="BG90" s="60"/>
      <c r="BH90" s="67"/>
      <c r="BI90" s="42"/>
      <c r="BJ90" s="35"/>
      <c r="BK90" s="51">
        <f>121470.9+13482.75+151320.15+168792.85</f>
        <v>455066.65</v>
      </c>
      <c r="BL90" s="51"/>
      <c r="BM90" s="51"/>
      <c r="BN90" s="39">
        <f t="shared" si="2"/>
        <v>0</v>
      </c>
      <c r="BO90" s="69"/>
      <c r="BP90" s="69"/>
      <c r="BQ90" s="69"/>
      <c r="BR90" s="69"/>
      <c r="BS90" s="69"/>
      <c r="BT90" s="69"/>
      <c r="BU90" s="69"/>
      <c r="BV90" s="69"/>
      <c r="BW90" s="70"/>
      <c r="BX90" s="70"/>
      <c r="BY90" s="69"/>
      <c r="BZ90" s="69"/>
      <c r="CA90" s="69"/>
      <c r="CB90" s="154" t="s">
        <v>382</v>
      </c>
      <c r="CC90" s="157">
        <v>14198</v>
      </c>
      <c r="CD90" s="154" t="s">
        <v>251</v>
      </c>
      <c r="CE90" s="157">
        <v>716807</v>
      </c>
      <c r="CF90" s="154" t="s">
        <v>252</v>
      </c>
      <c r="CG90" s="157">
        <v>716641</v>
      </c>
    </row>
    <row r="91" spans="1:85" customFormat="1" ht="60" customHeight="1">
      <c r="A91" s="162"/>
      <c r="B91" s="162"/>
      <c r="C91" s="162"/>
      <c r="D91" s="276"/>
      <c r="E91" s="276"/>
      <c r="F91" s="276"/>
      <c r="G91" s="54"/>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72" t="s">
        <v>232</v>
      </c>
      <c r="AG91" s="162"/>
      <c r="AH91" s="45"/>
      <c r="AI91" s="46"/>
      <c r="AJ91" s="46"/>
      <c r="AK91" s="162"/>
      <c r="AL91" s="56"/>
      <c r="AM91" s="60"/>
      <c r="AN91" s="61"/>
      <c r="AO91" s="62"/>
      <c r="AP91" s="60"/>
      <c r="AQ91" s="61"/>
      <c r="AR91" s="61"/>
      <c r="AS91" s="63"/>
      <c r="AT91" s="64"/>
      <c r="AU91" s="63"/>
      <c r="AV91" s="64"/>
      <c r="AW91" s="65"/>
      <c r="AX91" s="65"/>
      <c r="AY91" s="65"/>
      <c r="AZ91" s="66"/>
      <c r="BA91" s="67"/>
      <c r="BB91" s="67"/>
      <c r="BC91" s="60"/>
      <c r="BD91" s="68"/>
      <c r="BE91" s="67"/>
      <c r="BF91" s="67"/>
      <c r="BG91" s="60"/>
      <c r="BH91" s="67"/>
      <c r="BI91" s="42"/>
      <c r="BJ91" s="35"/>
      <c r="BK91" s="51"/>
      <c r="BL91" s="51"/>
      <c r="BM91" s="51"/>
      <c r="BN91" s="39">
        <f t="shared" si="2"/>
        <v>0</v>
      </c>
      <c r="BO91" s="69"/>
      <c r="BP91" s="69"/>
      <c r="BQ91" s="69"/>
      <c r="BR91" s="69"/>
      <c r="BS91" s="69"/>
      <c r="BT91" s="69"/>
      <c r="BU91" s="69"/>
      <c r="BV91" s="69"/>
      <c r="BW91" s="70"/>
      <c r="BX91" s="70"/>
      <c r="BY91" s="69"/>
      <c r="BZ91" s="69"/>
      <c r="CA91" s="69"/>
      <c r="CB91" s="162"/>
      <c r="CC91" s="162"/>
      <c r="CD91" s="162"/>
      <c r="CE91" s="162"/>
      <c r="CF91" s="162"/>
      <c r="CG91" s="162"/>
    </row>
    <row r="92" spans="1:85" customFormat="1" ht="60" customHeight="1">
      <c r="A92" s="170">
        <v>32</v>
      </c>
      <c r="B92" s="171" t="s">
        <v>253</v>
      </c>
      <c r="C92" s="165" t="s">
        <v>342</v>
      </c>
      <c r="D92" s="273" t="s">
        <v>377</v>
      </c>
      <c r="E92" s="273"/>
      <c r="F92" s="273" t="s">
        <v>383</v>
      </c>
      <c r="G92" s="43"/>
      <c r="H92" s="200"/>
      <c r="I92" s="154" t="s">
        <v>343</v>
      </c>
      <c r="J92" s="161">
        <v>45930</v>
      </c>
      <c r="K92" s="161">
        <v>46294</v>
      </c>
      <c r="L92" s="157">
        <v>14165</v>
      </c>
      <c r="M92" s="154"/>
      <c r="N92" s="154"/>
      <c r="O92" s="154"/>
      <c r="P92" s="154"/>
      <c r="Q92" s="154"/>
      <c r="R92" s="154"/>
      <c r="S92" s="154"/>
      <c r="T92" s="154"/>
      <c r="U92" s="154"/>
      <c r="V92" s="154"/>
      <c r="W92" s="154"/>
      <c r="X92" s="178"/>
      <c r="Y92" s="163" t="s">
        <v>384</v>
      </c>
      <c r="Z92" s="165" t="s">
        <v>380</v>
      </c>
      <c r="AA92" s="165" t="s">
        <v>381</v>
      </c>
      <c r="AB92" s="161">
        <v>46051</v>
      </c>
      <c r="AC92" s="157">
        <v>14199</v>
      </c>
      <c r="AD92" s="161">
        <v>46055</v>
      </c>
      <c r="AE92" s="161">
        <v>46420</v>
      </c>
      <c r="AF92" s="36" t="s">
        <v>225</v>
      </c>
      <c r="AG92" s="154" t="s">
        <v>226</v>
      </c>
      <c r="AH92" s="53"/>
      <c r="AI92" s="58"/>
      <c r="AJ92" s="58"/>
      <c r="AK92" s="164">
        <v>355400</v>
      </c>
      <c r="AL92" s="47"/>
      <c r="AM92" s="36"/>
      <c r="AN92" s="48"/>
      <c r="AO92" s="49"/>
      <c r="AP92" s="36"/>
      <c r="AQ92" s="48"/>
      <c r="AR92" s="48"/>
      <c r="AS92" s="31"/>
      <c r="AT92" s="32"/>
      <c r="AU92" s="31"/>
      <c r="AV92" s="32"/>
      <c r="AW92" s="33"/>
      <c r="AX92" s="33"/>
      <c r="AY92" s="33"/>
      <c r="AZ92" s="34"/>
      <c r="BA92" s="35"/>
      <c r="BB92" s="35"/>
      <c r="BC92" s="36"/>
      <c r="BD92" s="50"/>
      <c r="BE92" s="35"/>
      <c r="BF92" s="35"/>
      <c r="BG92" s="36"/>
      <c r="BH92" s="35"/>
      <c r="BI92" s="42">
        <f>AK92</f>
        <v>355400</v>
      </c>
      <c r="BJ92" s="35"/>
      <c r="BK92" s="51">
        <f>121470.9+13482.75+151320.15+168792.85</f>
        <v>455066.65</v>
      </c>
      <c r="BL92" s="51">
        <f>3982+108020+116712+126686</f>
        <v>355400</v>
      </c>
      <c r="BM92" s="51"/>
      <c r="BN92" s="39">
        <f t="shared" si="2"/>
        <v>355400</v>
      </c>
      <c r="BO92" s="40"/>
      <c r="BP92" s="40"/>
      <c r="BQ92" s="40"/>
      <c r="BR92" s="40"/>
      <c r="BS92" s="40"/>
      <c r="BT92" s="40"/>
      <c r="BU92" s="40"/>
      <c r="BV92" s="40"/>
      <c r="BW92" s="41"/>
      <c r="BX92" s="41"/>
      <c r="BY92" s="40"/>
      <c r="BZ92" s="40"/>
      <c r="CA92" s="40"/>
      <c r="CB92" s="154" t="s">
        <v>385</v>
      </c>
      <c r="CC92" s="157">
        <v>14198</v>
      </c>
      <c r="CD92" s="154" t="s">
        <v>251</v>
      </c>
      <c r="CE92" s="157">
        <v>716807</v>
      </c>
      <c r="CF92" s="154" t="s">
        <v>252</v>
      </c>
      <c r="CG92" s="157">
        <v>716641</v>
      </c>
    </row>
    <row r="93" spans="1:85" customFormat="1" ht="60" customHeight="1">
      <c r="A93" s="162"/>
      <c r="B93" s="162"/>
      <c r="C93" s="162"/>
      <c r="D93" s="276"/>
      <c r="E93" s="276"/>
      <c r="F93" s="276"/>
      <c r="G93" s="54"/>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72" t="s">
        <v>232</v>
      </c>
      <c r="AG93" s="162"/>
      <c r="AH93" s="53"/>
      <c r="AI93" s="58"/>
      <c r="AJ93" s="58"/>
      <c r="AK93" s="162"/>
      <c r="AL93" s="47"/>
      <c r="AM93" s="36"/>
      <c r="AN93" s="48"/>
      <c r="AO93" s="49"/>
      <c r="AP93" s="36"/>
      <c r="AQ93" s="48"/>
      <c r="AR93" s="48"/>
      <c r="AS93" s="31"/>
      <c r="AT93" s="32"/>
      <c r="AU93" s="31"/>
      <c r="AV93" s="32"/>
      <c r="AW93" s="33"/>
      <c r="AX93" s="33"/>
      <c r="AY93" s="33"/>
      <c r="AZ93" s="34"/>
      <c r="BA93" s="35"/>
      <c r="BB93" s="35"/>
      <c r="BC93" s="36"/>
      <c r="BD93" s="50"/>
      <c r="BE93" s="35"/>
      <c r="BF93" s="35"/>
      <c r="BG93" s="36"/>
      <c r="BH93" s="35"/>
      <c r="BI93" s="42"/>
      <c r="BJ93" s="35"/>
      <c r="BK93" s="51"/>
      <c r="BL93" s="51"/>
      <c r="BM93" s="51"/>
      <c r="BN93" s="39">
        <f t="shared" si="2"/>
        <v>0</v>
      </c>
      <c r="BO93" s="40"/>
      <c r="BP93" s="40"/>
      <c r="BQ93" s="40"/>
      <c r="BR93" s="40"/>
      <c r="BS93" s="40"/>
      <c r="BT93" s="40"/>
      <c r="BU93" s="40"/>
      <c r="BV93" s="40"/>
      <c r="BW93" s="41"/>
      <c r="BX93" s="41"/>
      <c r="BY93" s="40"/>
      <c r="BZ93" s="40"/>
      <c r="CA93" s="40"/>
      <c r="CB93" s="162"/>
      <c r="CC93" s="162"/>
      <c r="CD93" s="162"/>
      <c r="CE93" s="162"/>
      <c r="CF93" s="162"/>
      <c r="CG93" s="162"/>
    </row>
    <row r="94" spans="1:85" customFormat="1" ht="60" customHeight="1">
      <c r="A94" s="170">
        <v>33</v>
      </c>
      <c r="B94" s="171" t="s">
        <v>253</v>
      </c>
      <c r="C94" s="165" t="s">
        <v>234</v>
      </c>
      <c r="D94" s="273" t="s">
        <v>377</v>
      </c>
      <c r="E94" s="273"/>
      <c r="F94" s="273" t="s">
        <v>383</v>
      </c>
      <c r="G94" s="43"/>
      <c r="H94" s="169">
        <v>13903</v>
      </c>
      <c r="I94" s="154" t="s">
        <v>236</v>
      </c>
      <c r="J94" s="161">
        <v>45992</v>
      </c>
      <c r="K94" s="161">
        <v>46356</v>
      </c>
      <c r="L94" s="157">
        <v>14166</v>
      </c>
      <c r="M94" s="154"/>
      <c r="N94" s="154"/>
      <c r="O94" s="154"/>
      <c r="P94" s="154"/>
      <c r="Q94" s="154"/>
      <c r="R94" s="154"/>
      <c r="S94" s="154"/>
      <c r="T94" s="154"/>
      <c r="U94" s="154"/>
      <c r="V94" s="154"/>
      <c r="W94" s="154"/>
      <c r="X94" s="178"/>
      <c r="Y94" s="163" t="s">
        <v>386</v>
      </c>
      <c r="Z94" s="165" t="s">
        <v>380</v>
      </c>
      <c r="AA94" s="165" t="s">
        <v>381</v>
      </c>
      <c r="AB94" s="161">
        <v>45986</v>
      </c>
      <c r="AC94" s="157">
        <v>14156</v>
      </c>
      <c r="AD94" s="161">
        <v>45986</v>
      </c>
      <c r="AE94" s="161">
        <v>46350</v>
      </c>
      <c r="AF94" s="36" t="s">
        <v>225</v>
      </c>
      <c r="AG94" s="154" t="s">
        <v>226</v>
      </c>
      <c r="AH94" s="53"/>
      <c r="AI94" s="58"/>
      <c r="AJ94" s="58"/>
      <c r="AK94" s="164">
        <v>947623.9</v>
      </c>
      <c r="AL94" s="47"/>
      <c r="AM94" s="36"/>
      <c r="AN94" s="48"/>
      <c r="AO94" s="49"/>
      <c r="AP94" s="36"/>
      <c r="AQ94" s="48"/>
      <c r="AR94" s="48"/>
      <c r="AS94" s="31"/>
      <c r="AT94" s="32"/>
      <c r="AU94" s="31"/>
      <c r="AV94" s="32"/>
      <c r="AW94" s="33"/>
      <c r="AX94" s="33"/>
      <c r="AY94" s="33"/>
      <c r="AZ94" s="34"/>
      <c r="BA94" s="35"/>
      <c r="BB94" s="35"/>
      <c r="BC94" s="36"/>
      <c r="BD94" s="50"/>
      <c r="BE94" s="35"/>
      <c r="BF94" s="35"/>
      <c r="BG94" s="36"/>
      <c r="BH94" s="35"/>
      <c r="BI94" s="42">
        <f>AK94</f>
        <v>947623.9</v>
      </c>
      <c r="BJ94" s="35"/>
      <c r="BK94" s="51">
        <f>121470.9+13482.75+151320.15+168792.85</f>
        <v>455066.65</v>
      </c>
      <c r="BL94" s="51">
        <f>223240.55+329024.6+364314+31044.75</f>
        <v>947623.89999999991</v>
      </c>
      <c r="BM94" s="51"/>
      <c r="BN94" s="39">
        <f t="shared" si="2"/>
        <v>947623.89999999991</v>
      </c>
      <c r="BO94" s="40"/>
      <c r="BP94" s="40"/>
      <c r="BQ94" s="40"/>
      <c r="BR94" s="40"/>
      <c r="BS94" s="40"/>
      <c r="BT94" s="40"/>
      <c r="BU94" s="40"/>
      <c r="BV94" s="40"/>
      <c r="BW94" s="41"/>
      <c r="BX94" s="41"/>
      <c r="BY94" s="40"/>
      <c r="BZ94" s="40"/>
      <c r="CA94" s="40"/>
      <c r="CB94" s="154" t="s">
        <v>387</v>
      </c>
      <c r="CC94" s="157">
        <v>14160</v>
      </c>
      <c r="CD94" s="154" t="s">
        <v>252</v>
      </c>
      <c r="CE94" s="157">
        <v>716641</v>
      </c>
      <c r="CF94" s="154" t="s">
        <v>388</v>
      </c>
      <c r="CG94" s="157">
        <v>702960</v>
      </c>
    </row>
    <row r="95" spans="1:85" customFormat="1" ht="60" customHeight="1">
      <c r="A95" s="162"/>
      <c r="B95" s="162"/>
      <c r="C95" s="162"/>
      <c r="D95" s="276"/>
      <c r="E95" s="276"/>
      <c r="F95" s="276"/>
      <c r="G95" s="54"/>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72" t="s">
        <v>232</v>
      </c>
      <c r="AG95" s="162"/>
      <c r="AH95" s="53"/>
      <c r="AI95" s="58"/>
      <c r="AJ95" s="58"/>
      <c r="AK95" s="162"/>
      <c r="AL95" s="47"/>
      <c r="AM95" s="36"/>
      <c r="AN95" s="48"/>
      <c r="AO95" s="49"/>
      <c r="AP95" s="36"/>
      <c r="AQ95" s="48"/>
      <c r="AR95" s="48"/>
      <c r="AS95" s="31"/>
      <c r="AT95" s="32"/>
      <c r="AU95" s="31"/>
      <c r="AV95" s="32"/>
      <c r="AW95" s="33"/>
      <c r="AX95" s="33"/>
      <c r="AY95" s="33"/>
      <c r="AZ95" s="34"/>
      <c r="BA95" s="35"/>
      <c r="BB95" s="35"/>
      <c r="BC95" s="36"/>
      <c r="BD95" s="50"/>
      <c r="BE95" s="35"/>
      <c r="BF95" s="35"/>
      <c r="BG95" s="36"/>
      <c r="BH95" s="35"/>
      <c r="BI95" s="42"/>
      <c r="BJ95" s="35"/>
      <c r="BK95" s="51"/>
      <c r="BL95" s="51"/>
      <c r="BM95" s="51"/>
      <c r="BN95" s="39">
        <f t="shared" si="2"/>
        <v>0</v>
      </c>
      <c r="BO95" s="40"/>
      <c r="BP95" s="40"/>
      <c r="BQ95" s="40"/>
      <c r="BR95" s="40"/>
      <c r="BS95" s="40"/>
      <c r="BT95" s="40"/>
      <c r="BU95" s="40"/>
      <c r="BV95" s="40"/>
      <c r="BW95" s="41"/>
      <c r="BX95" s="41"/>
      <c r="BY95" s="40"/>
      <c r="BZ95" s="40"/>
      <c r="CA95" s="40"/>
      <c r="CB95" s="162"/>
      <c r="CC95" s="162"/>
      <c r="CD95" s="162"/>
      <c r="CE95" s="162"/>
      <c r="CF95" s="162"/>
      <c r="CG95" s="162"/>
    </row>
    <row r="96" spans="1:85" customFormat="1" ht="60" customHeight="1">
      <c r="A96" s="170">
        <v>34</v>
      </c>
      <c r="B96" s="165" t="s">
        <v>260</v>
      </c>
      <c r="C96" s="165" t="s">
        <v>276</v>
      </c>
      <c r="D96" s="273" t="s">
        <v>277</v>
      </c>
      <c r="E96" s="285"/>
      <c r="F96" s="273" t="s">
        <v>278</v>
      </c>
      <c r="G96" s="59"/>
      <c r="H96" s="169">
        <v>14158</v>
      </c>
      <c r="I96" s="154" t="s">
        <v>264</v>
      </c>
      <c r="J96" s="154"/>
      <c r="K96" s="154"/>
      <c r="L96" s="154"/>
      <c r="M96" s="154"/>
      <c r="N96" s="154"/>
      <c r="O96" s="154"/>
      <c r="P96" s="154"/>
      <c r="Q96" s="154"/>
      <c r="R96" s="154"/>
      <c r="S96" s="154"/>
      <c r="T96" s="154"/>
      <c r="U96" s="154"/>
      <c r="V96" s="154"/>
      <c r="W96" s="154"/>
      <c r="X96" s="178"/>
      <c r="Y96" s="163" t="s">
        <v>389</v>
      </c>
      <c r="Z96" s="165" t="s">
        <v>390</v>
      </c>
      <c r="AA96" s="165" t="s">
        <v>391</v>
      </c>
      <c r="AB96" s="161">
        <v>46048</v>
      </c>
      <c r="AC96" s="157">
        <v>14197</v>
      </c>
      <c r="AD96" s="161">
        <v>46048</v>
      </c>
      <c r="AE96" s="161">
        <v>46412</v>
      </c>
      <c r="AF96" s="154" t="s">
        <v>225</v>
      </c>
      <c r="AG96" s="154" t="s">
        <v>226</v>
      </c>
      <c r="AH96" s="53"/>
      <c r="AI96" s="58"/>
      <c r="AJ96" s="75"/>
      <c r="AK96" s="164">
        <v>57324.800000000003</v>
      </c>
      <c r="AL96" s="28"/>
      <c r="AM96" s="28"/>
      <c r="AN96" s="29"/>
      <c r="AO96" s="30"/>
      <c r="AP96" s="28"/>
      <c r="AQ96" s="28"/>
      <c r="AR96" s="28"/>
      <c r="AS96" s="31"/>
      <c r="AT96" s="32"/>
      <c r="AU96" s="31"/>
      <c r="AV96" s="32"/>
      <c r="AW96" s="33"/>
      <c r="AX96" s="33"/>
      <c r="AY96" s="33"/>
      <c r="AZ96" s="34"/>
      <c r="BA96" s="35"/>
      <c r="BB96" s="35"/>
      <c r="BC96" s="36"/>
      <c r="BD96" s="36"/>
      <c r="BE96" s="35"/>
      <c r="BF96" s="35"/>
      <c r="BG96" s="36"/>
      <c r="BH96" s="35"/>
      <c r="BI96" s="42">
        <f>AK96</f>
        <v>57324.800000000003</v>
      </c>
      <c r="BJ96" s="76"/>
      <c r="BK96" s="76">
        <f>8629.9+5605+11515.4</f>
        <v>25750.3</v>
      </c>
      <c r="BL96" s="76">
        <f>2650.8+4570.28+4184.88+1900.3+2867+1052.8+3523.12</f>
        <v>20749.179999999997</v>
      </c>
      <c r="BM96" s="76"/>
      <c r="BN96" s="39">
        <f t="shared" si="2"/>
        <v>20749.179999999997</v>
      </c>
      <c r="BO96" s="40"/>
      <c r="BP96" s="40"/>
      <c r="BQ96" s="40"/>
      <c r="BR96" s="40"/>
      <c r="BS96" s="40"/>
      <c r="BT96" s="40"/>
      <c r="BU96" s="40"/>
      <c r="BV96" s="40"/>
      <c r="BW96" s="41"/>
      <c r="BX96" s="41"/>
      <c r="BY96" s="40"/>
      <c r="BZ96" s="40"/>
      <c r="CA96" s="40"/>
      <c r="CB96" s="154" t="s">
        <v>392</v>
      </c>
      <c r="CC96" s="157">
        <v>14196</v>
      </c>
      <c r="CD96" s="154" t="s">
        <v>251</v>
      </c>
      <c r="CE96" s="157">
        <v>716807</v>
      </c>
      <c r="CF96" s="154" t="s">
        <v>252</v>
      </c>
      <c r="CG96" s="157">
        <v>716641</v>
      </c>
    </row>
    <row r="97" spans="1:85" customFormat="1" ht="60" customHeight="1">
      <c r="A97" s="162"/>
      <c r="B97" s="162"/>
      <c r="C97" s="162"/>
      <c r="D97" s="276"/>
      <c r="E97" s="276"/>
      <c r="F97" s="276"/>
      <c r="G97" s="71"/>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47"/>
      <c r="AI97" s="39"/>
      <c r="AJ97" s="39"/>
      <c r="AK97" s="162"/>
      <c r="AL97" s="28"/>
      <c r="AM97" s="28"/>
      <c r="AN97" s="29"/>
      <c r="AO97" s="30"/>
      <c r="AP97" s="28"/>
      <c r="AQ97" s="28"/>
      <c r="AR97" s="28"/>
      <c r="AS97" s="31"/>
      <c r="AT97" s="32"/>
      <c r="AU97" s="31"/>
      <c r="AV97" s="32"/>
      <c r="AW97" s="33"/>
      <c r="AX97" s="33"/>
      <c r="AY97" s="33"/>
      <c r="AZ97" s="34"/>
      <c r="BA97" s="35"/>
      <c r="BB97" s="35"/>
      <c r="BC97" s="36"/>
      <c r="BD97" s="36"/>
      <c r="BE97" s="35"/>
      <c r="BF97" s="35"/>
      <c r="BG97" s="36"/>
      <c r="BH97" s="35"/>
      <c r="BI97" s="35"/>
      <c r="BJ97" s="76"/>
      <c r="BK97" s="76"/>
      <c r="BL97" s="76"/>
      <c r="BM97" s="76"/>
      <c r="BN97" s="39">
        <f t="shared" si="2"/>
        <v>0</v>
      </c>
      <c r="BO97" s="40"/>
      <c r="BP97" s="40"/>
      <c r="BQ97" s="40"/>
      <c r="BR97" s="40"/>
      <c r="BS97" s="40"/>
      <c r="BT97" s="40"/>
      <c r="BU97" s="40"/>
      <c r="BV97" s="40"/>
      <c r="BW97" s="41"/>
      <c r="BX97" s="41"/>
      <c r="BY97" s="40"/>
      <c r="BZ97" s="40"/>
      <c r="CA97" s="40"/>
      <c r="CB97" s="162"/>
      <c r="CC97" s="162"/>
      <c r="CD97" s="162"/>
      <c r="CE97" s="162"/>
      <c r="CF97" s="162"/>
      <c r="CG97" s="162"/>
    </row>
    <row r="98" spans="1:85" customFormat="1" ht="60" customHeight="1">
      <c r="A98" s="170">
        <v>35</v>
      </c>
      <c r="B98" s="165" t="s">
        <v>260</v>
      </c>
      <c r="C98" s="165" t="s">
        <v>276</v>
      </c>
      <c r="D98" s="273" t="s">
        <v>277</v>
      </c>
      <c r="E98" s="285"/>
      <c r="F98" s="273" t="s">
        <v>278</v>
      </c>
      <c r="G98" s="59"/>
      <c r="H98" s="169">
        <v>14158</v>
      </c>
      <c r="I98" s="154" t="s">
        <v>264</v>
      </c>
      <c r="J98" s="154"/>
      <c r="K98" s="154"/>
      <c r="L98" s="154"/>
      <c r="M98" s="154"/>
      <c r="N98" s="154"/>
      <c r="O98" s="154"/>
      <c r="P98" s="154"/>
      <c r="Q98" s="154"/>
      <c r="R98" s="154"/>
      <c r="S98" s="154"/>
      <c r="T98" s="154"/>
      <c r="U98" s="154"/>
      <c r="V98" s="154"/>
      <c r="W98" s="154"/>
      <c r="X98" s="178"/>
      <c r="Y98" s="163" t="s">
        <v>393</v>
      </c>
      <c r="Z98" s="165" t="s">
        <v>394</v>
      </c>
      <c r="AA98" s="165" t="s">
        <v>395</v>
      </c>
      <c r="AB98" s="161">
        <v>46048</v>
      </c>
      <c r="AC98" s="157">
        <v>14197</v>
      </c>
      <c r="AD98" s="161">
        <v>46048</v>
      </c>
      <c r="AE98" s="161">
        <v>46412</v>
      </c>
      <c r="AF98" s="154" t="s">
        <v>225</v>
      </c>
      <c r="AG98" s="154" t="s">
        <v>226</v>
      </c>
      <c r="AH98" s="53"/>
      <c r="AI98" s="58"/>
      <c r="AJ98" s="58"/>
      <c r="AK98" s="164">
        <v>55838.32</v>
      </c>
      <c r="AL98" s="28"/>
      <c r="AM98" s="28"/>
      <c r="AN98" s="29"/>
      <c r="AO98" s="30"/>
      <c r="AP98" s="28"/>
      <c r="AQ98" s="28"/>
      <c r="AR98" s="28"/>
      <c r="AS98" s="31"/>
      <c r="AT98" s="32"/>
      <c r="AU98" s="31"/>
      <c r="AV98" s="32"/>
      <c r="AW98" s="33"/>
      <c r="AX98" s="33"/>
      <c r="AY98" s="33"/>
      <c r="AZ98" s="34"/>
      <c r="BA98" s="35"/>
      <c r="BB98" s="35"/>
      <c r="BC98" s="36"/>
      <c r="BD98" s="36"/>
      <c r="BE98" s="35"/>
      <c r="BF98" s="35"/>
      <c r="BG98" s="36"/>
      <c r="BH98" s="35"/>
      <c r="BI98" s="42">
        <f>AK98</f>
        <v>55838.32</v>
      </c>
      <c r="BJ98" s="76"/>
      <c r="BK98" s="76">
        <f>8629.9+5605+11515.4</f>
        <v>25750.3</v>
      </c>
      <c r="BL98" s="76">
        <f>1416.92+197.4+2316.16+4115.32+3831.23</f>
        <v>11877.029999999999</v>
      </c>
      <c r="BM98" s="76"/>
      <c r="BN98" s="39">
        <f t="shared" si="2"/>
        <v>11877.029999999999</v>
      </c>
      <c r="BO98" s="40"/>
      <c r="BP98" s="40"/>
      <c r="BQ98" s="40"/>
      <c r="BR98" s="40"/>
      <c r="BS98" s="40"/>
      <c r="BT98" s="40"/>
      <c r="BU98" s="40"/>
      <c r="BV98" s="40"/>
      <c r="BW98" s="41"/>
      <c r="BX98" s="41"/>
      <c r="BY98" s="40"/>
      <c r="BZ98" s="40"/>
      <c r="CA98" s="40"/>
      <c r="CB98" s="154" t="s">
        <v>396</v>
      </c>
      <c r="CC98" s="157">
        <v>14196</v>
      </c>
      <c r="CD98" s="154" t="s">
        <v>251</v>
      </c>
      <c r="CE98" s="157">
        <v>716807</v>
      </c>
      <c r="CF98" s="154" t="s">
        <v>252</v>
      </c>
      <c r="CG98" s="157">
        <v>716641</v>
      </c>
    </row>
    <row r="99" spans="1:85" customFormat="1" ht="60" customHeight="1">
      <c r="A99" s="162"/>
      <c r="B99" s="162"/>
      <c r="C99" s="162"/>
      <c r="D99" s="276"/>
      <c r="E99" s="276"/>
      <c r="F99" s="276"/>
      <c r="G99" s="71"/>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47"/>
      <c r="AI99" s="39"/>
      <c r="AJ99" s="39"/>
      <c r="AK99" s="162"/>
      <c r="AL99" s="28"/>
      <c r="AM99" s="28"/>
      <c r="AN99" s="29"/>
      <c r="AO99" s="30"/>
      <c r="AP99" s="28"/>
      <c r="AQ99" s="28"/>
      <c r="AR99" s="28"/>
      <c r="AS99" s="31"/>
      <c r="AT99" s="32"/>
      <c r="AU99" s="31"/>
      <c r="AV99" s="32"/>
      <c r="AW99" s="33"/>
      <c r="AX99" s="33"/>
      <c r="AY99" s="33"/>
      <c r="AZ99" s="34"/>
      <c r="BA99" s="35"/>
      <c r="BB99" s="35"/>
      <c r="BC99" s="36"/>
      <c r="BD99" s="36"/>
      <c r="BE99" s="35"/>
      <c r="BF99" s="35"/>
      <c r="BG99" s="36"/>
      <c r="BH99" s="35"/>
      <c r="BI99" s="35"/>
      <c r="BJ99" s="76"/>
      <c r="BK99" s="76"/>
      <c r="BL99" s="76"/>
      <c r="BM99" s="76"/>
      <c r="BN99" s="39">
        <f t="shared" si="2"/>
        <v>0</v>
      </c>
      <c r="BO99" s="40"/>
      <c r="BP99" s="40"/>
      <c r="BQ99" s="40"/>
      <c r="BR99" s="40"/>
      <c r="BS99" s="40"/>
      <c r="BT99" s="40"/>
      <c r="BU99" s="40"/>
      <c r="BV99" s="40"/>
      <c r="BW99" s="41"/>
      <c r="BX99" s="41"/>
      <c r="BY99" s="40"/>
      <c r="BZ99" s="40"/>
      <c r="CA99" s="40"/>
      <c r="CB99" s="162"/>
      <c r="CC99" s="162"/>
      <c r="CD99" s="162"/>
      <c r="CE99" s="162"/>
      <c r="CF99" s="162"/>
      <c r="CG99" s="162"/>
    </row>
    <row r="100" spans="1:85" customFormat="1" ht="60" customHeight="1">
      <c r="A100" s="170">
        <v>36</v>
      </c>
      <c r="B100" s="165" t="s">
        <v>260</v>
      </c>
      <c r="C100" s="165" t="s">
        <v>276</v>
      </c>
      <c r="D100" s="273" t="s">
        <v>277</v>
      </c>
      <c r="E100" s="285"/>
      <c r="F100" s="273" t="s">
        <v>278</v>
      </c>
      <c r="G100" s="59"/>
      <c r="H100" s="169">
        <v>14158</v>
      </c>
      <c r="I100" s="154" t="s">
        <v>264</v>
      </c>
      <c r="J100" s="36"/>
      <c r="K100" s="36"/>
      <c r="L100" s="36"/>
      <c r="M100" s="36"/>
      <c r="N100" s="36"/>
      <c r="O100" s="36"/>
      <c r="P100" s="36"/>
      <c r="Q100" s="36"/>
      <c r="R100" s="36"/>
      <c r="S100" s="36"/>
      <c r="T100" s="36"/>
      <c r="U100" s="36"/>
      <c r="V100" s="36"/>
      <c r="W100" s="36"/>
      <c r="X100" s="35"/>
      <c r="Y100" s="163" t="s">
        <v>397</v>
      </c>
      <c r="Z100" s="165" t="s">
        <v>398</v>
      </c>
      <c r="AA100" s="165" t="s">
        <v>399</v>
      </c>
      <c r="AB100" s="161">
        <v>46048</v>
      </c>
      <c r="AC100" s="157">
        <v>14197</v>
      </c>
      <c r="AD100" s="161">
        <v>46048</v>
      </c>
      <c r="AE100" s="161">
        <v>46412</v>
      </c>
      <c r="AF100" s="163" t="s">
        <v>225</v>
      </c>
      <c r="AG100" s="154" t="s">
        <v>226</v>
      </c>
      <c r="AH100" s="53"/>
      <c r="AI100" s="58"/>
      <c r="AJ100" s="58"/>
      <c r="AK100" s="164">
        <v>82161.7</v>
      </c>
      <c r="AL100" s="28"/>
      <c r="AM100" s="28"/>
      <c r="AN100" s="29"/>
      <c r="AO100" s="30"/>
      <c r="AP100" s="28"/>
      <c r="AQ100" s="28"/>
      <c r="AR100" s="28"/>
      <c r="AS100" s="31"/>
      <c r="AT100" s="32"/>
      <c r="AU100" s="31"/>
      <c r="AV100" s="32"/>
      <c r="AW100" s="33"/>
      <c r="AX100" s="33"/>
      <c r="AY100" s="33"/>
      <c r="AZ100" s="34"/>
      <c r="BA100" s="35"/>
      <c r="BB100" s="35"/>
      <c r="BC100" s="36"/>
      <c r="BD100" s="36"/>
      <c r="BE100" s="35"/>
      <c r="BF100" s="35"/>
      <c r="BG100" s="36"/>
      <c r="BH100" s="35"/>
      <c r="BI100" s="42">
        <f>AK100</f>
        <v>82161.7</v>
      </c>
      <c r="BJ100" s="76"/>
      <c r="BK100" s="76">
        <f>7008.5+10164.4+8087.1</f>
        <v>25260</v>
      </c>
      <c r="BL100" s="76">
        <f>6225.09+3340.76+1504+12402.67</f>
        <v>23472.52</v>
      </c>
      <c r="BM100" s="76"/>
      <c r="BN100" s="39">
        <f t="shared" si="2"/>
        <v>23472.52</v>
      </c>
      <c r="BO100" s="40"/>
      <c r="BP100" s="40"/>
      <c r="BQ100" s="40"/>
      <c r="BR100" s="40"/>
      <c r="BS100" s="40"/>
      <c r="BT100" s="40"/>
      <c r="BU100" s="40"/>
      <c r="BV100" s="40"/>
      <c r="BW100" s="41"/>
      <c r="BX100" s="41"/>
      <c r="BY100" s="40"/>
      <c r="BZ100" s="40"/>
      <c r="CA100" s="40"/>
      <c r="CB100" s="154" t="s">
        <v>400</v>
      </c>
      <c r="CC100" s="157">
        <v>14196</v>
      </c>
      <c r="CD100" s="154" t="s">
        <v>251</v>
      </c>
      <c r="CE100" s="157">
        <v>716807</v>
      </c>
      <c r="CF100" s="154" t="s">
        <v>252</v>
      </c>
      <c r="CG100" s="157">
        <v>716641</v>
      </c>
    </row>
    <row r="101" spans="1:85" customFormat="1" ht="60" customHeight="1">
      <c r="A101" s="162"/>
      <c r="B101" s="162"/>
      <c r="C101" s="162"/>
      <c r="D101" s="276"/>
      <c r="E101" s="276"/>
      <c r="F101" s="276"/>
      <c r="G101" s="71"/>
      <c r="H101" s="162"/>
      <c r="I101" s="162"/>
      <c r="J101" s="36"/>
      <c r="K101" s="36"/>
      <c r="L101" s="36"/>
      <c r="M101" s="36"/>
      <c r="N101" s="36"/>
      <c r="O101" s="36"/>
      <c r="P101" s="36"/>
      <c r="Q101" s="36"/>
      <c r="R101" s="36"/>
      <c r="S101" s="36"/>
      <c r="T101" s="36"/>
      <c r="U101" s="36"/>
      <c r="V101" s="36"/>
      <c r="W101" s="36"/>
      <c r="X101" s="35"/>
      <c r="Y101" s="162"/>
      <c r="Z101" s="162"/>
      <c r="AA101" s="162"/>
      <c r="AB101" s="162"/>
      <c r="AC101" s="162"/>
      <c r="AD101" s="162"/>
      <c r="AE101" s="162"/>
      <c r="AF101" s="162"/>
      <c r="AG101" s="162"/>
      <c r="AH101" s="53"/>
      <c r="AI101" s="58"/>
      <c r="AJ101" s="58"/>
      <c r="AK101" s="162"/>
      <c r="AL101" s="28"/>
      <c r="AM101" s="28"/>
      <c r="AN101" s="29"/>
      <c r="AO101" s="30"/>
      <c r="AP101" s="28"/>
      <c r="AQ101" s="28"/>
      <c r="AR101" s="28"/>
      <c r="AS101" s="31"/>
      <c r="AT101" s="32"/>
      <c r="AU101" s="31"/>
      <c r="AV101" s="32"/>
      <c r="AW101" s="33"/>
      <c r="AX101" s="33"/>
      <c r="AY101" s="33"/>
      <c r="AZ101" s="34"/>
      <c r="BA101" s="35"/>
      <c r="BB101" s="35"/>
      <c r="BC101" s="36"/>
      <c r="BD101" s="36"/>
      <c r="BE101" s="35"/>
      <c r="BF101" s="35"/>
      <c r="BG101" s="36"/>
      <c r="BH101" s="35"/>
      <c r="BI101" s="35"/>
      <c r="BJ101" s="76"/>
      <c r="BK101" s="76"/>
      <c r="BL101" s="76"/>
      <c r="BM101" s="76"/>
      <c r="BN101" s="39">
        <f t="shared" si="2"/>
        <v>0</v>
      </c>
      <c r="BO101" s="40"/>
      <c r="BP101" s="40"/>
      <c r="BQ101" s="40"/>
      <c r="BR101" s="40"/>
      <c r="BS101" s="40"/>
      <c r="BT101" s="40"/>
      <c r="BU101" s="40"/>
      <c r="BV101" s="40"/>
      <c r="BW101" s="41"/>
      <c r="BX101" s="41"/>
      <c r="BY101" s="40"/>
      <c r="BZ101" s="40"/>
      <c r="CA101" s="40"/>
      <c r="CB101" s="162"/>
      <c r="CC101" s="162"/>
      <c r="CD101" s="162"/>
      <c r="CE101" s="162"/>
      <c r="CF101" s="162"/>
      <c r="CG101" s="162"/>
    </row>
    <row r="102" spans="1:85" customFormat="1" ht="60" customHeight="1">
      <c r="A102" s="170">
        <v>37</v>
      </c>
      <c r="B102" s="165" t="s">
        <v>260</v>
      </c>
      <c r="C102" s="165" t="s">
        <v>276</v>
      </c>
      <c r="D102" s="273" t="s">
        <v>277</v>
      </c>
      <c r="E102" s="285"/>
      <c r="F102" s="273" t="s">
        <v>278</v>
      </c>
      <c r="G102" s="59"/>
      <c r="H102" s="169">
        <v>14158</v>
      </c>
      <c r="I102" s="154" t="s">
        <v>264</v>
      </c>
      <c r="J102" s="36"/>
      <c r="K102" s="36"/>
      <c r="L102" s="36"/>
      <c r="M102" s="44"/>
      <c r="N102" s="44"/>
      <c r="O102" s="77"/>
      <c r="P102" s="77"/>
      <c r="Q102" s="36"/>
      <c r="R102" s="36"/>
      <c r="S102" s="36"/>
      <c r="T102" s="49"/>
      <c r="U102" s="36"/>
      <c r="V102" s="40"/>
      <c r="W102" s="36"/>
      <c r="X102" s="35"/>
      <c r="Y102" s="163" t="s">
        <v>401</v>
      </c>
      <c r="Z102" s="165" t="s">
        <v>402</v>
      </c>
      <c r="AA102" s="165" t="s">
        <v>403</v>
      </c>
      <c r="AB102" s="161">
        <v>46048</v>
      </c>
      <c r="AC102" s="157">
        <v>14197</v>
      </c>
      <c r="AD102" s="161">
        <v>46048</v>
      </c>
      <c r="AE102" s="161">
        <v>46412</v>
      </c>
      <c r="AF102" s="163" t="s">
        <v>225</v>
      </c>
      <c r="AG102" s="154" t="s">
        <v>226</v>
      </c>
      <c r="AH102" s="53"/>
      <c r="AI102" s="58"/>
      <c r="AJ102" s="58"/>
      <c r="AK102" s="164">
        <v>80899.360000000001</v>
      </c>
      <c r="AL102" s="47"/>
      <c r="AM102" s="36"/>
      <c r="AN102" s="48"/>
      <c r="AO102" s="49"/>
      <c r="AP102" s="36"/>
      <c r="AQ102" s="48"/>
      <c r="AR102" s="48"/>
      <c r="AS102" s="31"/>
      <c r="AT102" s="32"/>
      <c r="AU102" s="50"/>
      <c r="AV102" s="36"/>
      <c r="AW102" s="78"/>
      <c r="AX102" s="78"/>
      <c r="AY102" s="33"/>
      <c r="AZ102" s="34"/>
      <c r="BA102" s="35"/>
      <c r="BB102" s="35"/>
      <c r="BC102" s="79"/>
      <c r="BD102" s="80"/>
      <c r="BE102" s="80"/>
      <c r="BF102" s="35"/>
      <c r="BG102" s="36"/>
      <c r="BH102" s="35"/>
      <c r="BI102" s="42">
        <f>AK102</f>
        <v>80899.360000000001</v>
      </c>
      <c r="BJ102" s="51"/>
      <c r="BK102" s="51"/>
      <c r="BL102" s="51">
        <f>9662.67+15977.18+1239.86+971.96+9310.99</f>
        <v>37162.659999999996</v>
      </c>
      <c r="BM102" s="51"/>
      <c r="BN102" s="39">
        <f t="shared" si="2"/>
        <v>37162.659999999996</v>
      </c>
      <c r="BO102" s="36"/>
      <c r="BP102" s="40"/>
      <c r="BQ102" s="40"/>
      <c r="BR102" s="40"/>
      <c r="BS102" s="40"/>
      <c r="BT102" s="40"/>
      <c r="BU102" s="40"/>
      <c r="BV102" s="40"/>
      <c r="BW102" s="40"/>
      <c r="BX102" s="40"/>
      <c r="BY102" s="40"/>
      <c r="BZ102" s="40"/>
      <c r="CA102" s="40"/>
      <c r="CB102" s="154" t="s">
        <v>282</v>
      </c>
      <c r="CC102" s="157">
        <v>14196</v>
      </c>
      <c r="CD102" s="154" t="s">
        <v>251</v>
      </c>
      <c r="CE102" s="157">
        <v>716807</v>
      </c>
      <c r="CF102" s="154" t="s">
        <v>252</v>
      </c>
      <c r="CG102" s="157">
        <v>716641</v>
      </c>
    </row>
    <row r="103" spans="1:85" customFormat="1" ht="60" customHeight="1">
      <c r="A103" s="162"/>
      <c r="B103" s="162"/>
      <c r="C103" s="162"/>
      <c r="D103" s="276"/>
      <c r="E103" s="276"/>
      <c r="F103" s="276"/>
      <c r="G103" s="71"/>
      <c r="H103" s="162"/>
      <c r="I103" s="162"/>
      <c r="J103" s="36"/>
      <c r="K103" s="36"/>
      <c r="L103" s="36"/>
      <c r="M103" s="44"/>
      <c r="N103" s="44"/>
      <c r="O103" s="77"/>
      <c r="P103" s="77"/>
      <c r="Q103" s="36"/>
      <c r="R103" s="36"/>
      <c r="S103" s="36"/>
      <c r="T103" s="49"/>
      <c r="U103" s="36"/>
      <c r="V103" s="40"/>
      <c r="W103" s="36"/>
      <c r="X103" s="35"/>
      <c r="Y103" s="162"/>
      <c r="Z103" s="162"/>
      <c r="AA103" s="162"/>
      <c r="AB103" s="162"/>
      <c r="AC103" s="162"/>
      <c r="AD103" s="162"/>
      <c r="AE103" s="162"/>
      <c r="AF103" s="162"/>
      <c r="AG103" s="162"/>
      <c r="AH103" s="53"/>
      <c r="AI103" s="58"/>
      <c r="AJ103" s="58"/>
      <c r="AK103" s="162"/>
      <c r="AL103" s="47"/>
      <c r="AM103" s="36"/>
      <c r="AN103" s="48"/>
      <c r="AO103" s="49"/>
      <c r="AP103" s="36"/>
      <c r="AQ103" s="48"/>
      <c r="AR103" s="48"/>
      <c r="AS103" s="31"/>
      <c r="AT103" s="32"/>
      <c r="AU103" s="50"/>
      <c r="AV103" s="36"/>
      <c r="AW103" s="78"/>
      <c r="AX103" s="78"/>
      <c r="AY103" s="33"/>
      <c r="AZ103" s="34"/>
      <c r="BA103" s="35"/>
      <c r="BB103" s="35"/>
      <c r="BC103" s="79"/>
      <c r="BD103" s="80"/>
      <c r="BE103" s="80"/>
      <c r="BF103" s="35"/>
      <c r="BG103" s="36"/>
      <c r="BH103" s="35"/>
      <c r="BI103" s="35"/>
      <c r="BJ103" s="51"/>
      <c r="BK103" s="51"/>
      <c r="BL103" s="51"/>
      <c r="BM103" s="51"/>
      <c r="BN103" s="39">
        <f t="shared" si="2"/>
        <v>0</v>
      </c>
      <c r="BO103" s="36"/>
      <c r="BP103" s="40"/>
      <c r="BQ103" s="40"/>
      <c r="BR103" s="40"/>
      <c r="BS103" s="40"/>
      <c r="BT103" s="40"/>
      <c r="BU103" s="40"/>
      <c r="BV103" s="40"/>
      <c r="BW103" s="40"/>
      <c r="BX103" s="40"/>
      <c r="BY103" s="40"/>
      <c r="BZ103" s="40"/>
      <c r="CA103" s="40"/>
      <c r="CB103" s="162"/>
      <c r="CC103" s="162"/>
      <c r="CD103" s="162"/>
      <c r="CE103" s="162"/>
      <c r="CF103" s="162"/>
      <c r="CG103" s="162"/>
    </row>
    <row r="104" spans="1:85" customFormat="1" ht="60" customHeight="1">
      <c r="A104" s="170">
        <v>38</v>
      </c>
      <c r="B104" s="165" t="s">
        <v>260</v>
      </c>
      <c r="C104" s="165" t="s">
        <v>276</v>
      </c>
      <c r="D104" s="273" t="s">
        <v>277</v>
      </c>
      <c r="E104" s="285"/>
      <c r="F104" s="273" t="s">
        <v>278</v>
      </c>
      <c r="G104" s="59"/>
      <c r="H104" s="169">
        <v>14158</v>
      </c>
      <c r="I104" s="154" t="s">
        <v>264</v>
      </c>
      <c r="J104" s="36"/>
      <c r="K104" s="36"/>
      <c r="L104" s="36"/>
      <c r="M104" s="44"/>
      <c r="N104" s="44"/>
      <c r="O104" s="77"/>
      <c r="P104" s="77"/>
      <c r="Q104" s="36"/>
      <c r="R104" s="36"/>
      <c r="S104" s="36"/>
      <c r="T104" s="49"/>
      <c r="U104" s="36"/>
      <c r="V104" s="40"/>
      <c r="W104" s="36"/>
      <c r="X104" s="35"/>
      <c r="Y104" s="163" t="s">
        <v>404</v>
      </c>
      <c r="Z104" s="165" t="s">
        <v>405</v>
      </c>
      <c r="AA104" s="165" t="s">
        <v>406</v>
      </c>
      <c r="AB104" s="161">
        <v>46048</v>
      </c>
      <c r="AC104" s="157">
        <v>14197</v>
      </c>
      <c r="AD104" s="161">
        <v>46048</v>
      </c>
      <c r="AE104" s="161">
        <v>46412</v>
      </c>
      <c r="AF104" s="163" t="s">
        <v>225</v>
      </c>
      <c r="AG104" s="154" t="s">
        <v>226</v>
      </c>
      <c r="AH104" s="53"/>
      <c r="AI104" s="58"/>
      <c r="AJ104" s="58"/>
      <c r="AK104" s="164">
        <v>69702.45</v>
      </c>
      <c r="AL104" s="47"/>
      <c r="AM104" s="36"/>
      <c r="AN104" s="48"/>
      <c r="AO104" s="49"/>
      <c r="AP104" s="36"/>
      <c r="AQ104" s="48"/>
      <c r="AR104" s="48"/>
      <c r="AS104" s="31"/>
      <c r="AT104" s="32"/>
      <c r="AU104" s="50"/>
      <c r="AV104" s="36"/>
      <c r="AW104" s="78"/>
      <c r="AX104" s="78"/>
      <c r="AY104" s="33"/>
      <c r="AZ104" s="34"/>
      <c r="BA104" s="35"/>
      <c r="BB104" s="35"/>
      <c r="BC104" s="79"/>
      <c r="BD104" s="80"/>
      <c r="BE104" s="80"/>
      <c r="BF104" s="35"/>
      <c r="BG104" s="36"/>
      <c r="BH104" s="35"/>
      <c r="BI104" s="42">
        <f>AK104</f>
        <v>69702.45</v>
      </c>
      <c r="BJ104" s="76"/>
      <c r="BK104" s="76">
        <f>13509+10089+1663.2</f>
        <v>25261.200000000001</v>
      </c>
      <c r="BL104" s="76">
        <f>900.14+6553.68+6498.22+265.08+2315.22+2013.48+5036.95</f>
        <v>23582.77</v>
      </c>
      <c r="BM104" s="76"/>
      <c r="BN104" s="39">
        <f t="shared" si="2"/>
        <v>23582.77</v>
      </c>
      <c r="BO104" s="36"/>
      <c r="BP104" s="40"/>
      <c r="BQ104" s="40"/>
      <c r="BR104" s="40"/>
      <c r="BS104" s="40"/>
      <c r="BT104" s="40"/>
      <c r="BU104" s="40"/>
      <c r="BV104" s="40"/>
      <c r="BW104" s="40"/>
      <c r="BX104" s="40"/>
      <c r="BY104" s="40"/>
      <c r="BZ104" s="40"/>
      <c r="CA104" s="40"/>
      <c r="CB104" s="170" t="s">
        <v>407</v>
      </c>
      <c r="CC104" s="157">
        <v>14196</v>
      </c>
      <c r="CD104" s="154" t="s">
        <v>251</v>
      </c>
      <c r="CE104" s="157">
        <v>716807</v>
      </c>
      <c r="CF104" s="154" t="s">
        <v>252</v>
      </c>
      <c r="CG104" s="157">
        <v>716641</v>
      </c>
    </row>
    <row r="105" spans="1:85" customFormat="1" ht="60" customHeight="1">
      <c r="A105" s="162"/>
      <c r="B105" s="162"/>
      <c r="C105" s="162"/>
      <c r="D105" s="276"/>
      <c r="E105" s="276"/>
      <c r="F105" s="276"/>
      <c r="G105" s="71"/>
      <c r="H105" s="162"/>
      <c r="I105" s="162"/>
      <c r="J105" s="36"/>
      <c r="K105" s="36"/>
      <c r="L105" s="36"/>
      <c r="M105" s="44"/>
      <c r="N105" s="44"/>
      <c r="O105" s="77"/>
      <c r="P105" s="77"/>
      <c r="Q105" s="36"/>
      <c r="R105" s="36"/>
      <c r="S105" s="36"/>
      <c r="T105" s="49"/>
      <c r="U105" s="36"/>
      <c r="V105" s="40"/>
      <c r="W105" s="36"/>
      <c r="X105" s="35"/>
      <c r="Y105" s="162"/>
      <c r="Z105" s="162"/>
      <c r="AA105" s="162"/>
      <c r="AB105" s="162"/>
      <c r="AC105" s="162"/>
      <c r="AD105" s="162"/>
      <c r="AE105" s="162"/>
      <c r="AF105" s="162"/>
      <c r="AG105" s="162"/>
      <c r="AH105" s="53"/>
      <c r="AI105" s="58"/>
      <c r="AJ105" s="58"/>
      <c r="AK105" s="162"/>
      <c r="AL105" s="47"/>
      <c r="AM105" s="36"/>
      <c r="AN105" s="48"/>
      <c r="AO105" s="49"/>
      <c r="AP105" s="36"/>
      <c r="AQ105" s="48"/>
      <c r="AR105" s="48"/>
      <c r="AS105" s="31"/>
      <c r="AT105" s="32"/>
      <c r="AU105" s="50"/>
      <c r="AV105" s="36"/>
      <c r="AW105" s="78"/>
      <c r="AX105" s="78"/>
      <c r="AY105" s="33"/>
      <c r="AZ105" s="34"/>
      <c r="BA105" s="35"/>
      <c r="BB105" s="35"/>
      <c r="BC105" s="79"/>
      <c r="BD105" s="80"/>
      <c r="BE105" s="80"/>
      <c r="BF105" s="35"/>
      <c r="BG105" s="36"/>
      <c r="BH105" s="35"/>
      <c r="BI105" s="35"/>
      <c r="BJ105" s="76"/>
      <c r="BK105" s="76"/>
      <c r="BL105" s="76"/>
      <c r="BM105" s="76"/>
      <c r="BN105" s="39">
        <f t="shared" si="2"/>
        <v>0</v>
      </c>
      <c r="BO105" s="36"/>
      <c r="BP105" s="40"/>
      <c r="BQ105" s="40"/>
      <c r="BR105" s="40"/>
      <c r="BS105" s="40"/>
      <c r="BT105" s="40"/>
      <c r="BU105" s="40"/>
      <c r="BV105" s="40"/>
      <c r="BW105" s="40"/>
      <c r="BX105" s="40"/>
      <c r="BY105" s="40"/>
      <c r="BZ105" s="40"/>
      <c r="CA105" s="40"/>
      <c r="CB105" s="162"/>
      <c r="CC105" s="162"/>
      <c r="CD105" s="162"/>
      <c r="CE105" s="162"/>
      <c r="CF105" s="162"/>
      <c r="CG105" s="162"/>
    </row>
    <row r="106" spans="1:85" customFormat="1" ht="60" customHeight="1">
      <c r="A106" s="170">
        <v>39</v>
      </c>
      <c r="B106" s="165" t="s">
        <v>408</v>
      </c>
      <c r="C106" s="198" t="s">
        <v>359</v>
      </c>
      <c r="D106" s="273" t="s">
        <v>409</v>
      </c>
      <c r="E106" s="273"/>
      <c r="F106" s="273" t="s">
        <v>410</v>
      </c>
      <c r="G106" s="43"/>
      <c r="H106" s="200"/>
      <c r="I106" s="36"/>
      <c r="J106" s="36"/>
      <c r="K106" s="36"/>
      <c r="L106" s="36"/>
      <c r="M106" s="44" t="s">
        <v>411</v>
      </c>
      <c r="N106" s="44" t="s">
        <v>412</v>
      </c>
      <c r="O106" s="77"/>
      <c r="P106" s="77"/>
      <c r="Q106" s="36"/>
      <c r="R106" s="36"/>
      <c r="S106" s="36"/>
      <c r="T106" s="49"/>
      <c r="U106" s="36"/>
      <c r="V106" s="40"/>
      <c r="W106" s="36"/>
      <c r="X106" s="35"/>
      <c r="Y106" s="163" t="s">
        <v>413</v>
      </c>
      <c r="Z106" s="165" t="s">
        <v>414</v>
      </c>
      <c r="AA106" s="165" t="s">
        <v>415</v>
      </c>
      <c r="AB106" s="161">
        <v>46111</v>
      </c>
      <c r="AC106" s="157">
        <v>14240</v>
      </c>
      <c r="AD106" s="161">
        <v>46111</v>
      </c>
      <c r="AE106" s="161">
        <v>46475</v>
      </c>
      <c r="AF106" s="163" t="s">
        <v>225</v>
      </c>
      <c r="AG106" s="154" t="s">
        <v>185</v>
      </c>
      <c r="AH106" s="53"/>
      <c r="AI106" s="58"/>
      <c r="AJ106" s="58"/>
      <c r="AK106" s="164">
        <v>1004707.5</v>
      </c>
      <c r="AL106" s="47"/>
      <c r="AM106" s="36"/>
      <c r="AN106" s="48"/>
      <c r="AO106" s="49"/>
      <c r="AP106" s="36"/>
      <c r="AQ106" s="48"/>
      <c r="AR106" s="48"/>
      <c r="AS106" s="31"/>
      <c r="AT106" s="32"/>
      <c r="AU106" s="50"/>
      <c r="AV106" s="36"/>
      <c r="AW106" s="78"/>
      <c r="AX106" s="78"/>
      <c r="AY106" s="33"/>
      <c r="AZ106" s="34"/>
      <c r="BA106" s="35"/>
      <c r="BB106" s="35"/>
      <c r="BC106" s="79"/>
      <c r="BD106" s="80"/>
      <c r="BE106" s="80"/>
      <c r="BF106" s="35"/>
      <c r="BG106" s="36"/>
      <c r="BH106" s="35"/>
      <c r="BI106" s="42">
        <f>AK106</f>
        <v>1004707.5</v>
      </c>
      <c r="BJ106" s="76"/>
      <c r="BK106" s="76">
        <f>7473.3+10941.1+11888.4</f>
        <v>30302.800000000003</v>
      </c>
      <c r="BL106" s="76">
        <f>3159.75+700153.59+301394.16</f>
        <v>1004707.5</v>
      </c>
      <c r="BM106" s="76"/>
      <c r="BN106" s="39">
        <f t="shared" si="2"/>
        <v>1004707.5</v>
      </c>
      <c r="BO106" s="36"/>
      <c r="BP106" s="40"/>
      <c r="BQ106" s="40"/>
      <c r="BR106" s="40"/>
      <c r="BS106" s="40"/>
      <c r="BT106" s="40"/>
      <c r="BU106" s="40"/>
      <c r="BV106" s="40"/>
      <c r="BW106" s="40"/>
      <c r="BX106" s="40"/>
      <c r="BY106" s="40"/>
      <c r="BZ106" s="40"/>
      <c r="CA106" s="40"/>
      <c r="CB106" s="170" t="s">
        <v>416</v>
      </c>
      <c r="CC106" s="175">
        <v>14240</v>
      </c>
      <c r="CD106" s="154" t="s">
        <v>417</v>
      </c>
      <c r="CE106" s="157">
        <v>716543</v>
      </c>
      <c r="CF106" s="154" t="s">
        <v>418</v>
      </c>
      <c r="CG106" s="157">
        <v>543768</v>
      </c>
    </row>
    <row r="107" spans="1:85" customFormat="1" ht="60" customHeight="1">
      <c r="A107" s="162"/>
      <c r="B107" s="162"/>
      <c r="C107" s="162"/>
      <c r="D107" s="276"/>
      <c r="E107" s="276"/>
      <c r="F107" s="276"/>
      <c r="G107" s="54"/>
      <c r="H107" s="162"/>
      <c r="I107" s="36"/>
      <c r="J107" s="36"/>
      <c r="K107" s="36"/>
      <c r="L107" s="36"/>
      <c r="M107" s="44"/>
      <c r="N107" s="44"/>
      <c r="O107" s="77"/>
      <c r="P107" s="77"/>
      <c r="Q107" s="36"/>
      <c r="R107" s="36"/>
      <c r="S107" s="36"/>
      <c r="T107" s="49"/>
      <c r="U107" s="36"/>
      <c r="V107" s="40"/>
      <c r="W107" s="36"/>
      <c r="X107" s="35"/>
      <c r="Y107" s="162"/>
      <c r="Z107" s="162"/>
      <c r="AA107" s="162"/>
      <c r="AB107" s="162"/>
      <c r="AC107" s="162"/>
      <c r="AD107" s="162"/>
      <c r="AE107" s="162"/>
      <c r="AF107" s="162"/>
      <c r="AG107" s="162"/>
      <c r="AH107" s="53"/>
      <c r="AI107" s="58"/>
      <c r="AJ107" s="58"/>
      <c r="AK107" s="162"/>
      <c r="AL107" s="47"/>
      <c r="AM107" s="36"/>
      <c r="AN107" s="48"/>
      <c r="AO107" s="49"/>
      <c r="AP107" s="36"/>
      <c r="AQ107" s="48"/>
      <c r="AR107" s="48"/>
      <c r="AS107" s="31"/>
      <c r="AT107" s="32"/>
      <c r="AU107" s="50"/>
      <c r="AV107" s="36"/>
      <c r="AW107" s="78"/>
      <c r="AX107" s="78"/>
      <c r="AY107" s="33"/>
      <c r="AZ107" s="34"/>
      <c r="BA107" s="35"/>
      <c r="BB107" s="35"/>
      <c r="BC107" s="79"/>
      <c r="BD107" s="80"/>
      <c r="BE107" s="80"/>
      <c r="BF107" s="35"/>
      <c r="BG107" s="36"/>
      <c r="BH107" s="35"/>
      <c r="BI107" s="35"/>
      <c r="BJ107" s="76"/>
      <c r="BK107" s="76"/>
      <c r="BL107" s="76"/>
      <c r="BM107" s="76"/>
      <c r="BN107" s="39">
        <f t="shared" si="2"/>
        <v>0</v>
      </c>
      <c r="BO107" s="36"/>
      <c r="BP107" s="40"/>
      <c r="BQ107" s="40"/>
      <c r="BR107" s="40"/>
      <c r="BS107" s="40"/>
      <c r="BT107" s="40"/>
      <c r="BU107" s="40"/>
      <c r="BV107" s="40"/>
      <c r="BW107" s="40"/>
      <c r="BX107" s="40"/>
      <c r="BY107" s="40"/>
      <c r="BZ107" s="40"/>
      <c r="CA107" s="40"/>
      <c r="CB107" s="162"/>
      <c r="CC107" s="162"/>
      <c r="CD107" s="162"/>
      <c r="CE107" s="162"/>
      <c r="CF107" s="162"/>
      <c r="CG107" s="162"/>
    </row>
    <row r="108" spans="1:85" customFormat="1" ht="60" customHeight="1">
      <c r="A108" s="170">
        <v>40</v>
      </c>
      <c r="B108" s="165" t="s">
        <v>419</v>
      </c>
      <c r="C108" s="198" t="s">
        <v>420</v>
      </c>
      <c r="D108" s="273" t="s">
        <v>218</v>
      </c>
      <c r="E108" s="273"/>
      <c r="F108" s="273" t="s">
        <v>421</v>
      </c>
      <c r="G108" s="43"/>
      <c r="H108" s="169">
        <v>13836</v>
      </c>
      <c r="I108" s="154" t="s">
        <v>422</v>
      </c>
      <c r="J108" s="161">
        <v>45966</v>
      </c>
      <c r="K108" s="161">
        <v>46330</v>
      </c>
      <c r="L108" s="157">
        <v>14144</v>
      </c>
      <c r="M108" s="44"/>
      <c r="N108" s="44"/>
      <c r="O108" s="77"/>
      <c r="P108" s="77"/>
      <c r="Q108" s="36"/>
      <c r="R108" s="36"/>
      <c r="S108" s="36"/>
      <c r="T108" s="49"/>
      <c r="U108" s="36"/>
      <c r="V108" s="40"/>
      <c r="W108" s="36"/>
      <c r="X108" s="35"/>
      <c r="Y108" s="163" t="s">
        <v>423</v>
      </c>
      <c r="Z108" s="165" t="s">
        <v>424</v>
      </c>
      <c r="AA108" s="165" t="s">
        <v>425</v>
      </c>
      <c r="AB108" s="161">
        <v>45975</v>
      </c>
      <c r="AC108" s="157">
        <v>14154</v>
      </c>
      <c r="AD108" s="161">
        <v>45975</v>
      </c>
      <c r="AE108" s="161">
        <v>46339</v>
      </c>
      <c r="AF108" s="72" t="s">
        <v>225</v>
      </c>
      <c r="AG108" s="154" t="s">
        <v>226</v>
      </c>
      <c r="AH108" s="53"/>
      <c r="AI108" s="58"/>
      <c r="AJ108" s="58"/>
      <c r="AK108" s="164">
        <v>1161985</v>
      </c>
      <c r="AL108" s="47"/>
      <c r="AM108" s="36"/>
      <c r="AN108" s="48"/>
      <c r="AO108" s="49"/>
      <c r="AP108" s="36"/>
      <c r="AQ108" s="48"/>
      <c r="AR108" s="48"/>
      <c r="AS108" s="31"/>
      <c r="AT108" s="32"/>
      <c r="AU108" s="50"/>
      <c r="AV108" s="36"/>
      <c r="AW108" s="78"/>
      <c r="AX108" s="78"/>
      <c r="AY108" s="33"/>
      <c r="AZ108" s="34"/>
      <c r="BA108" s="35"/>
      <c r="BB108" s="35"/>
      <c r="BC108" s="79"/>
      <c r="BD108" s="80"/>
      <c r="BE108" s="80"/>
      <c r="BF108" s="35"/>
      <c r="BG108" s="36"/>
      <c r="BH108" s="35"/>
      <c r="BI108" s="42">
        <f>AK108</f>
        <v>1161985</v>
      </c>
      <c r="BJ108" s="76"/>
      <c r="BK108" s="76">
        <f>7473.3+10941.1+11888.4</f>
        <v>30302.800000000003</v>
      </c>
      <c r="BL108" s="76">
        <f>10532.5+28490+44440+430870+296010</f>
        <v>810342.5</v>
      </c>
      <c r="BM108" s="76"/>
      <c r="BN108" s="39">
        <f t="shared" si="2"/>
        <v>810342.5</v>
      </c>
      <c r="BO108" s="36"/>
      <c r="BP108" s="40"/>
      <c r="BQ108" s="40"/>
      <c r="BR108" s="40"/>
      <c r="BS108" s="40"/>
      <c r="BT108" s="40"/>
      <c r="BU108" s="40"/>
      <c r="BV108" s="40"/>
      <c r="BW108" s="40"/>
      <c r="BX108" s="40"/>
      <c r="BY108" s="40"/>
      <c r="BZ108" s="40"/>
      <c r="CA108" s="40"/>
      <c r="CB108" s="170" t="s">
        <v>426</v>
      </c>
      <c r="CC108" s="175">
        <v>14259</v>
      </c>
      <c r="CD108" s="154" t="s">
        <v>252</v>
      </c>
      <c r="CE108" s="157">
        <v>716641</v>
      </c>
      <c r="CF108" s="154" t="s">
        <v>427</v>
      </c>
      <c r="CG108" s="157">
        <v>231711</v>
      </c>
    </row>
    <row r="109" spans="1:85" customFormat="1" ht="60" customHeight="1">
      <c r="A109" s="162"/>
      <c r="B109" s="162"/>
      <c r="C109" s="162"/>
      <c r="D109" s="276"/>
      <c r="E109" s="276"/>
      <c r="F109" s="276"/>
      <c r="G109" s="54"/>
      <c r="H109" s="162"/>
      <c r="I109" s="162"/>
      <c r="J109" s="162"/>
      <c r="K109" s="162"/>
      <c r="L109" s="162"/>
      <c r="M109" s="44"/>
      <c r="N109" s="44"/>
      <c r="O109" s="77"/>
      <c r="P109" s="77"/>
      <c r="Q109" s="36"/>
      <c r="R109" s="36"/>
      <c r="S109" s="36"/>
      <c r="T109" s="49"/>
      <c r="U109" s="36"/>
      <c r="V109" s="40"/>
      <c r="W109" s="36"/>
      <c r="X109" s="35"/>
      <c r="Y109" s="162"/>
      <c r="Z109" s="162"/>
      <c r="AA109" s="162"/>
      <c r="AB109" s="162"/>
      <c r="AC109" s="162"/>
      <c r="AD109" s="162"/>
      <c r="AE109" s="162"/>
      <c r="AF109" s="72" t="s">
        <v>232</v>
      </c>
      <c r="AG109" s="162"/>
      <c r="AH109" s="53"/>
      <c r="AI109" s="58"/>
      <c r="AJ109" s="58"/>
      <c r="AK109" s="162"/>
      <c r="AL109" s="47"/>
      <c r="AM109" s="36"/>
      <c r="AN109" s="48"/>
      <c r="AO109" s="49"/>
      <c r="AP109" s="36"/>
      <c r="AQ109" s="48"/>
      <c r="AR109" s="48"/>
      <c r="AS109" s="31"/>
      <c r="AT109" s="32"/>
      <c r="AU109" s="50"/>
      <c r="AV109" s="36"/>
      <c r="AW109" s="78"/>
      <c r="AX109" s="78"/>
      <c r="AY109" s="33"/>
      <c r="AZ109" s="34"/>
      <c r="BA109" s="35"/>
      <c r="BB109" s="35"/>
      <c r="BC109" s="79"/>
      <c r="BD109" s="80"/>
      <c r="BE109" s="80"/>
      <c r="BF109" s="35"/>
      <c r="BG109" s="36"/>
      <c r="BH109" s="35"/>
      <c r="BI109" s="35"/>
      <c r="BJ109" s="76"/>
      <c r="BK109" s="76"/>
      <c r="BL109" s="76"/>
      <c r="BM109" s="76"/>
      <c r="BN109" s="39">
        <f t="shared" si="2"/>
        <v>0</v>
      </c>
      <c r="BO109" s="36"/>
      <c r="BP109" s="40"/>
      <c r="BQ109" s="40"/>
      <c r="BR109" s="40"/>
      <c r="BS109" s="40"/>
      <c r="BT109" s="40"/>
      <c r="BU109" s="40"/>
      <c r="BV109" s="40"/>
      <c r="BW109" s="40"/>
      <c r="BX109" s="40"/>
      <c r="BY109" s="40"/>
      <c r="BZ109" s="40"/>
      <c r="CA109" s="40"/>
      <c r="CB109" s="162"/>
      <c r="CC109" s="162"/>
      <c r="CD109" s="162"/>
      <c r="CE109" s="162"/>
      <c r="CF109" s="162"/>
      <c r="CG109" s="162"/>
    </row>
    <row r="110" spans="1:85" customFormat="1" ht="60" customHeight="1">
      <c r="A110" s="170">
        <v>41</v>
      </c>
      <c r="B110" s="165" t="s">
        <v>260</v>
      </c>
      <c r="C110" s="165" t="s">
        <v>276</v>
      </c>
      <c r="D110" s="273" t="s">
        <v>277</v>
      </c>
      <c r="E110" s="285"/>
      <c r="F110" s="273" t="s">
        <v>278</v>
      </c>
      <c r="G110" s="59"/>
      <c r="H110" s="169">
        <v>14158</v>
      </c>
      <c r="I110" s="154" t="s">
        <v>264</v>
      </c>
      <c r="J110" s="36"/>
      <c r="K110" s="36"/>
      <c r="L110" s="36"/>
      <c r="M110" s="44"/>
      <c r="N110" s="44"/>
      <c r="O110" s="77"/>
      <c r="P110" s="77"/>
      <c r="Q110" s="36"/>
      <c r="R110" s="36"/>
      <c r="S110" s="36"/>
      <c r="T110" s="49"/>
      <c r="U110" s="36"/>
      <c r="V110" s="40"/>
      <c r="W110" s="36"/>
      <c r="X110" s="35"/>
      <c r="Y110" s="163" t="s">
        <v>428</v>
      </c>
      <c r="Z110" s="165" t="s">
        <v>429</v>
      </c>
      <c r="AA110" s="165" t="s">
        <v>430</v>
      </c>
      <c r="AB110" s="161">
        <v>46048</v>
      </c>
      <c r="AC110" s="157">
        <v>14197</v>
      </c>
      <c r="AD110" s="161">
        <v>46048</v>
      </c>
      <c r="AE110" s="161">
        <v>46412</v>
      </c>
      <c r="AF110" s="163" t="s">
        <v>225</v>
      </c>
      <c r="AG110" s="154" t="s">
        <v>226</v>
      </c>
      <c r="AH110" s="53"/>
      <c r="AI110" s="58"/>
      <c r="AJ110" s="58"/>
      <c r="AK110" s="164">
        <v>73256.899999999994</v>
      </c>
      <c r="AL110" s="47"/>
      <c r="AM110" s="36"/>
      <c r="AN110" s="48"/>
      <c r="AO110" s="49"/>
      <c r="AP110" s="36"/>
      <c r="AQ110" s="48"/>
      <c r="AR110" s="48"/>
      <c r="AS110" s="31"/>
      <c r="AT110" s="32"/>
      <c r="AU110" s="50"/>
      <c r="AV110" s="36"/>
      <c r="AW110" s="78"/>
      <c r="AX110" s="78"/>
      <c r="AY110" s="33"/>
      <c r="AZ110" s="34"/>
      <c r="BA110" s="35"/>
      <c r="BB110" s="35"/>
      <c r="BC110" s="79"/>
      <c r="BD110" s="80"/>
      <c r="BE110" s="80"/>
      <c r="BF110" s="35"/>
      <c r="BG110" s="36"/>
      <c r="BH110" s="35"/>
      <c r="BI110" s="42">
        <f>AK110</f>
        <v>73256.899999999994</v>
      </c>
      <c r="BJ110" s="76"/>
      <c r="BK110" s="76">
        <f>7473.3+10941.1+11888.4</f>
        <v>30302.800000000003</v>
      </c>
      <c r="BL110" s="76">
        <f>7022.77+3318.2+5805.44+1495.54+2298.3+863.86+5081.37</f>
        <v>25885.48</v>
      </c>
      <c r="BM110" s="76"/>
      <c r="BN110" s="39">
        <f t="shared" si="2"/>
        <v>25885.48</v>
      </c>
      <c r="BO110" s="36"/>
      <c r="BP110" s="40"/>
      <c r="BQ110" s="40"/>
      <c r="BR110" s="40"/>
      <c r="BS110" s="40"/>
      <c r="BT110" s="40"/>
      <c r="BU110" s="40"/>
      <c r="BV110" s="40"/>
      <c r="BW110" s="40"/>
      <c r="BX110" s="40"/>
      <c r="BY110" s="40"/>
      <c r="BZ110" s="40"/>
      <c r="CA110" s="40"/>
      <c r="CB110" s="170" t="s">
        <v>431</v>
      </c>
      <c r="CC110" s="157">
        <v>14196</v>
      </c>
      <c r="CD110" s="154" t="s">
        <v>251</v>
      </c>
      <c r="CE110" s="157">
        <v>716807</v>
      </c>
      <c r="CF110" s="154" t="s">
        <v>252</v>
      </c>
      <c r="CG110" s="157">
        <v>716641</v>
      </c>
    </row>
    <row r="111" spans="1:85" customFormat="1" ht="60" customHeight="1">
      <c r="A111" s="162"/>
      <c r="B111" s="162"/>
      <c r="C111" s="162"/>
      <c r="D111" s="276"/>
      <c r="E111" s="276"/>
      <c r="F111" s="276"/>
      <c r="G111" s="71"/>
      <c r="H111" s="162"/>
      <c r="I111" s="162"/>
      <c r="J111" s="36"/>
      <c r="K111" s="36"/>
      <c r="L111" s="36"/>
      <c r="M111" s="44"/>
      <c r="N111" s="44"/>
      <c r="O111" s="77"/>
      <c r="P111" s="77"/>
      <c r="Q111" s="36"/>
      <c r="R111" s="36"/>
      <c r="S111" s="36"/>
      <c r="T111" s="49"/>
      <c r="U111" s="36"/>
      <c r="V111" s="40"/>
      <c r="W111" s="36"/>
      <c r="X111" s="35"/>
      <c r="Y111" s="162"/>
      <c r="Z111" s="162"/>
      <c r="AA111" s="162"/>
      <c r="AB111" s="162"/>
      <c r="AC111" s="162"/>
      <c r="AD111" s="162"/>
      <c r="AE111" s="162"/>
      <c r="AF111" s="162"/>
      <c r="AG111" s="162"/>
      <c r="AH111" s="53"/>
      <c r="AI111" s="58"/>
      <c r="AJ111" s="58"/>
      <c r="AK111" s="162"/>
      <c r="AL111" s="47"/>
      <c r="AM111" s="36"/>
      <c r="AN111" s="48"/>
      <c r="AO111" s="49"/>
      <c r="AP111" s="36"/>
      <c r="AQ111" s="48"/>
      <c r="AR111" s="48"/>
      <c r="AS111" s="31"/>
      <c r="AT111" s="32"/>
      <c r="AU111" s="50"/>
      <c r="AV111" s="36"/>
      <c r="AW111" s="78"/>
      <c r="AX111" s="78"/>
      <c r="AY111" s="33"/>
      <c r="AZ111" s="34"/>
      <c r="BA111" s="35"/>
      <c r="BB111" s="35"/>
      <c r="BC111" s="79"/>
      <c r="BD111" s="80"/>
      <c r="BE111" s="80"/>
      <c r="BF111" s="35"/>
      <c r="BG111" s="36"/>
      <c r="BH111" s="35"/>
      <c r="BI111" s="35"/>
      <c r="BJ111" s="76"/>
      <c r="BK111" s="76"/>
      <c r="BL111" s="76"/>
      <c r="BM111" s="76"/>
      <c r="BN111" s="39">
        <f t="shared" si="2"/>
        <v>0</v>
      </c>
      <c r="BO111" s="36"/>
      <c r="BP111" s="40"/>
      <c r="BQ111" s="40"/>
      <c r="BR111" s="40"/>
      <c r="BS111" s="40"/>
      <c r="BT111" s="40"/>
      <c r="BU111" s="40"/>
      <c r="BV111" s="40"/>
      <c r="BW111" s="40"/>
      <c r="BX111" s="40"/>
      <c r="BY111" s="40"/>
      <c r="BZ111" s="40"/>
      <c r="CA111" s="40"/>
      <c r="CB111" s="162"/>
      <c r="CC111" s="162"/>
      <c r="CD111" s="162"/>
      <c r="CE111" s="162"/>
      <c r="CF111" s="162"/>
      <c r="CG111" s="162"/>
    </row>
    <row r="112" spans="1:85" customFormat="1" ht="60" customHeight="1">
      <c r="A112" s="170">
        <v>42</v>
      </c>
      <c r="B112" s="165" t="s">
        <v>432</v>
      </c>
      <c r="C112" s="165" t="s">
        <v>433</v>
      </c>
      <c r="D112" s="273" t="s">
        <v>434</v>
      </c>
      <c r="E112" s="273" t="s">
        <v>180</v>
      </c>
      <c r="F112" s="273" t="s">
        <v>435</v>
      </c>
      <c r="G112" s="59"/>
      <c r="H112" s="169">
        <v>14124</v>
      </c>
      <c r="I112" s="163" t="s">
        <v>436</v>
      </c>
      <c r="J112" s="161">
        <v>45950</v>
      </c>
      <c r="K112" s="161">
        <v>46314</v>
      </c>
      <c r="L112" s="157">
        <v>14158</v>
      </c>
      <c r="M112" s="44"/>
      <c r="N112" s="44"/>
      <c r="O112" s="77"/>
      <c r="P112" s="77"/>
      <c r="Q112" s="36"/>
      <c r="R112" s="36"/>
      <c r="S112" s="36"/>
      <c r="T112" s="49"/>
      <c r="U112" s="36"/>
      <c r="V112" s="40"/>
      <c r="W112" s="36"/>
      <c r="X112" s="35"/>
      <c r="Y112" s="163" t="s">
        <v>437</v>
      </c>
      <c r="Z112" s="165" t="s">
        <v>438</v>
      </c>
      <c r="AA112" s="165" t="s">
        <v>439</v>
      </c>
      <c r="AB112" s="161">
        <v>46078</v>
      </c>
      <c r="AC112" s="157">
        <v>14216</v>
      </c>
      <c r="AD112" s="161">
        <v>46078</v>
      </c>
      <c r="AE112" s="161">
        <v>46442</v>
      </c>
      <c r="AF112" s="163" t="s">
        <v>440</v>
      </c>
      <c r="AG112" s="154" t="s">
        <v>441</v>
      </c>
      <c r="AH112" s="154"/>
      <c r="AI112" s="178"/>
      <c r="AJ112" s="178"/>
      <c r="AK112" s="164">
        <v>2089.92</v>
      </c>
      <c r="AL112" s="47"/>
      <c r="AM112" s="36"/>
      <c r="AN112" s="48"/>
      <c r="AO112" s="49"/>
      <c r="AP112" s="36"/>
      <c r="AQ112" s="48"/>
      <c r="AR112" s="48"/>
      <c r="AS112" s="31"/>
      <c r="AT112" s="32"/>
      <c r="AU112" s="50"/>
      <c r="AV112" s="36"/>
      <c r="AW112" s="78"/>
      <c r="AX112" s="78"/>
      <c r="AY112" s="33"/>
      <c r="AZ112" s="34"/>
      <c r="BA112" s="35"/>
      <c r="BB112" s="35"/>
      <c r="BC112" s="79"/>
      <c r="BD112" s="80"/>
      <c r="BE112" s="80"/>
      <c r="BF112" s="35"/>
      <c r="BG112" s="36"/>
      <c r="BH112" s="35"/>
      <c r="BI112" s="42">
        <f>AK112</f>
        <v>2089.92</v>
      </c>
      <c r="BJ112" s="76"/>
      <c r="BK112" s="76">
        <f>2399999.99</f>
        <v>2399999.9900000002</v>
      </c>
      <c r="BL112" s="76">
        <f>2089.92</f>
        <v>2089.92</v>
      </c>
      <c r="BM112" s="76"/>
      <c r="BN112" s="39">
        <f t="shared" si="2"/>
        <v>2089.92</v>
      </c>
      <c r="BO112" s="36"/>
      <c r="BP112" s="40"/>
      <c r="BQ112" s="40"/>
      <c r="BR112" s="40"/>
      <c r="BS112" s="40"/>
      <c r="BT112" s="40"/>
      <c r="BU112" s="40"/>
      <c r="BV112" s="40"/>
      <c r="BW112" s="40"/>
      <c r="BX112" s="40"/>
      <c r="BY112" s="40"/>
      <c r="BZ112" s="40"/>
      <c r="CA112" s="40"/>
      <c r="CB112" s="170" t="s">
        <v>442</v>
      </c>
      <c r="CC112" s="170">
        <v>13961</v>
      </c>
      <c r="CD112" s="154" t="s">
        <v>443</v>
      </c>
      <c r="CE112" s="157">
        <v>545557</v>
      </c>
      <c r="CF112" s="154" t="s">
        <v>444</v>
      </c>
      <c r="CG112" s="157">
        <v>710559</v>
      </c>
    </row>
    <row r="113" spans="1:85" customFormat="1" ht="60" customHeight="1">
      <c r="A113" s="162"/>
      <c r="B113" s="162"/>
      <c r="C113" s="162"/>
      <c r="D113" s="276"/>
      <c r="E113" s="276"/>
      <c r="F113" s="276"/>
      <c r="G113" s="71"/>
      <c r="H113" s="162"/>
      <c r="I113" s="162"/>
      <c r="J113" s="162"/>
      <c r="K113" s="162"/>
      <c r="L113" s="162"/>
      <c r="M113" s="44"/>
      <c r="N113" s="44"/>
      <c r="O113" s="77"/>
      <c r="P113" s="77"/>
      <c r="Q113" s="36"/>
      <c r="R113" s="36"/>
      <c r="S113" s="36"/>
      <c r="T113" s="49"/>
      <c r="U113" s="36"/>
      <c r="V113" s="40"/>
      <c r="W113" s="36"/>
      <c r="X113" s="35"/>
      <c r="Y113" s="162"/>
      <c r="Z113" s="162"/>
      <c r="AA113" s="162"/>
      <c r="AB113" s="162"/>
      <c r="AC113" s="162"/>
      <c r="AD113" s="162"/>
      <c r="AE113" s="162"/>
      <c r="AF113" s="162"/>
      <c r="AG113" s="162"/>
      <c r="AH113" s="162"/>
      <c r="AI113" s="162"/>
      <c r="AJ113" s="162"/>
      <c r="AK113" s="162"/>
      <c r="AL113" s="47"/>
      <c r="AM113" s="36"/>
      <c r="AN113" s="48"/>
      <c r="AO113" s="49"/>
      <c r="AP113" s="36"/>
      <c r="AQ113" s="48"/>
      <c r="AR113" s="48"/>
      <c r="AS113" s="31"/>
      <c r="AT113" s="32"/>
      <c r="AU113" s="50"/>
      <c r="AV113" s="36"/>
      <c r="AW113" s="78"/>
      <c r="AX113" s="78"/>
      <c r="AY113" s="33"/>
      <c r="AZ113" s="34"/>
      <c r="BA113" s="35"/>
      <c r="BB113" s="35"/>
      <c r="BC113" s="79"/>
      <c r="BD113" s="80"/>
      <c r="BE113" s="80"/>
      <c r="BF113" s="35"/>
      <c r="BG113" s="36"/>
      <c r="BH113" s="35"/>
      <c r="BI113" s="35"/>
      <c r="BJ113" s="76"/>
      <c r="BK113" s="76"/>
      <c r="BL113" s="76"/>
      <c r="BM113" s="76"/>
      <c r="BN113" s="39">
        <f t="shared" si="2"/>
        <v>0</v>
      </c>
      <c r="BO113" s="36"/>
      <c r="BP113" s="40"/>
      <c r="BQ113" s="40"/>
      <c r="BR113" s="40"/>
      <c r="BS113" s="40"/>
      <c r="BT113" s="40"/>
      <c r="BU113" s="40"/>
      <c r="BV113" s="40"/>
      <c r="BW113" s="40"/>
      <c r="BX113" s="40"/>
      <c r="BY113" s="40"/>
      <c r="BZ113" s="40"/>
      <c r="CA113" s="40"/>
      <c r="CB113" s="162"/>
      <c r="CC113" s="162"/>
      <c r="CD113" s="162"/>
      <c r="CE113" s="162"/>
      <c r="CF113" s="162"/>
      <c r="CG113" s="162"/>
    </row>
    <row r="114" spans="1:85" customFormat="1" ht="60" customHeight="1">
      <c r="A114" s="170">
        <v>43</v>
      </c>
      <c r="B114" s="165" t="s">
        <v>432</v>
      </c>
      <c r="C114" s="165" t="s">
        <v>433</v>
      </c>
      <c r="D114" s="273" t="s">
        <v>434</v>
      </c>
      <c r="E114" s="273" t="s">
        <v>180</v>
      </c>
      <c r="F114" s="273" t="s">
        <v>435</v>
      </c>
      <c r="G114" s="59"/>
      <c r="H114" s="169">
        <v>14124</v>
      </c>
      <c r="I114" s="36"/>
      <c r="J114" s="36"/>
      <c r="K114" s="36"/>
      <c r="L114" s="36"/>
      <c r="M114" s="44"/>
      <c r="N114" s="44"/>
      <c r="O114" s="77"/>
      <c r="P114" s="77"/>
      <c r="Q114" s="36"/>
      <c r="R114" s="36"/>
      <c r="S114" s="36"/>
      <c r="T114" s="49"/>
      <c r="U114" s="36"/>
      <c r="V114" s="40"/>
      <c r="W114" s="36"/>
      <c r="X114" s="35"/>
      <c r="Y114" s="163" t="s">
        <v>445</v>
      </c>
      <c r="Z114" s="165" t="s">
        <v>446</v>
      </c>
      <c r="AA114" s="165" t="s">
        <v>447</v>
      </c>
      <c r="AB114" s="161">
        <v>46077</v>
      </c>
      <c r="AC114" s="157">
        <v>14215</v>
      </c>
      <c r="AD114" s="161">
        <v>46077</v>
      </c>
      <c r="AE114" s="161">
        <v>46441</v>
      </c>
      <c r="AF114" s="163" t="s">
        <v>440</v>
      </c>
      <c r="AG114" s="154" t="s">
        <v>441</v>
      </c>
      <c r="AH114" s="154"/>
      <c r="AI114" s="178"/>
      <c r="AJ114" s="178"/>
      <c r="AK114" s="164"/>
      <c r="AL114" s="47"/>
      <c r="AM114" s="36"/>
      <c r="AN114" s="48"/>
      <c r="AO114" s="49"/>
      <c r="AP114" s="36"/>
      <c r="AQ114" s="48"/>
      <c r="AR114" s="48"/>
      <c r="AS114" s="31"/>
      <c r="AT114" s="32"/>
      <c r="AU114" s="50"/>
      <c r="AV114" s="36"/>
      <c r="AW114" s="78"/>
      <c r="AX114" s="78"/>
      <c r="AY114" s="33"/>
      <c r="AZ114" s="34"/>
      <c r="BA114" s="35"/>
      <c r="BB114" s="35"/>
      <c r="BC114" s="79"/>
      <c r="BD114" s="80"/>
      <c r="BE114" s="80"/>
      <c r="BF114" s="35"/>
      <c r="BG114" s="36"/>
      <c r="BH114" s="35"/>
      <c r="BI114" s="42">
        <v>49975.9</v>
      </c>
      <c r="BJ114" s="76"/>
      <c r="BK114" s="76">
        <f>2399999.99</f>
        <v>2399999.9900000002</v>
      </c>
      <c r="BL114" s="76">
        <v>49975.9</v>
      </c>
      <c r="BM114" s="76"/>
      <c r="BN114" s="39">
        <f t="shared" si="2"/>
        <v>49975.9</v>
      </c>
      <c r="BO114" s="36"/>
      <c r="BP114" s="40"/>
      <c r="BQ114" s="40"/>
      <c r="BR114" s="40"/>
      <c r="BS114" s="40"/>
      <c r="BT114" s="40"/>
      <c r="BU114" s="40"/>
      <c r="BV114" s="40"/>
      <c r="BW114" s="40"/>
      <c r="BX114" s="40"/>
      <c r="BY114" s="40"/>
      <c r="BZ114" s="40"/>
      <c r="CA114" s="40"/>
      <c r="CB114" s="170" t="s">
        <v>442</v>
      </c>
      <c r="CC114" s="170">
        <v>13961</v>
      </c>
      <c r="CD114" s="154" t="s">
        <v>443</v>
      </c>
      <c r="CE114" s="157">
        <v>545557</v>
      </c>
      <c r="CF114" s="154" t="s">
        <v>444</v>
      </c>
      <c r="CG114" s="157">
        <v>710559</v>
      </c>
    </row>
    <row r="115" spans="1:85" customFormat="1" ht="60" customHeight="1">
      <c r="A115" s="162"/>
      <c r="B115" s="162"/>
      <c r="C115" s="162"/>
      <c r="D115" s="276"/>
      <c r="E115" s="276"/>
      <c r="F115" s="276"/>
      <c r="G115" s="71"/>
      <c r="H115" s="162"/>
      <c r="I115" s="36"/>
      <c r="J115" s="36"/>
      <c r="K115" s="36"/>
      <c r="L115" s="36"/>
      <c r="M115" s="44"/>
      <c r="N115" s="44"/>
      <c r="O115" s="77"/>
      <c r="P115" s="77"/>
      <c r="Q115" s="36"/>
      <c r="R115" s="36"/>
      <c r="S115" s="36"/>
      <c r="T115" s="49"/>
      <c r="U115" s="36"/>
      <c r="V115" s="40"/>
      <c r="W115" s="36"/>
      <c r="X115" s="35"/>
      <c r="Y115" s="162"/>
      <c r="Z115" s="162"/>
      <c r="AA115" s="162"/>
      <c r="AB115" s="162"/>
      <c r="AC115" s="162"/>
      <c r="AD115" s="162"/>
      <c r="AE115" s="162"/>
      <c r="AF115" s="162"/>
      <c r="AG115" s="162"/>
      <c r="AH115" s="162"/>
      <c r="AI115" s="162"/>
      <c r="AJ115" s="162"/>
      <c r="AK115" s="162"/>
      <c r="AL115" s="47"/>
      <c r="AM115" s="36"/>
      <c r="AN115" s="48"/>
      <c r="AO115" s="49"/>
      <c r="AP115" s="36"/>
      <c r="AQ115" s="48"/>
      <c r="AR115" s="48"/>
      <c r="AS115" s="31"/>
      <c r="AT115" s="32"/>
      <c r="AU115" s="50"/>
      <c r="AV115" s="36"/>
      <c r="AW115" s="78"/>
      <c r="AX115" s="78"/>
      <c r="AY115" s="33"/>
      <c r="AZ115" s="34"/>
      <c r="BA115" s="35"/>
      <c r="BB115" s="35"/>
      <c r="BC115" s="79"/>
      <c r="BD115" s="80"/>
      <c r="BE115" s="80"/>
      <c r="BF115" s="35"/>
      <c r="BG115" s="36"/>
      <c r="BH115" s="35"/>
      <c r="BI115" s="35"/>
      <c r="BJ115" s="76"/>
      <c r="BK115" s="76"/>
      <c r="BL115" s="76"/>
      <c r="BM115" s="76"/>
      <c r="BN115" s="39">
        <f t="shared" si="2"/>
        <v>0</v>
      </c>
      <c r="BO115" s="36"/>
      <c r="BP115" s="40"/>
      <c r="BQ115" s="40"/>
      <c r="BR115" s="40"/>
      <c r="BS115" s="40"/>
      <c r="BT115" s="40"/>
      <c r="BU115" s="40"/>
      <c r="BV115" s="40"/>
      <c r="BW115" s="40"/>
      <c r="BX115" s="40"/>
      <c r="BY115" s="40"/>
      <c r="BZ115" s="40"/>
      <c r="CA115" s="40"/>
      <c r="CB115" s="162"/>
      <c r="CC115" s="162"/>
      <c r="CD115" s="162"/>
      <c r="CE115" s="162"/>
      <c r="CF115" s="162"/>
      <c r="CG115" s="162"/>
    </row>
    <row r="116" spans="1:85" customFormat="1" ht="65.099999999999994" customHeight="1">
      <c r="A116" s="170">
        <v>44</v>
      </c>
      <c r="B116" s="171" t="s">
        <v>448</v>
      </c>
      <c r="C116" s="165" t="s">
        <v>449</v>
      </c>
      <c r="D116" s="273" t="s">
        <v>434</v>
      </c>
      <c r="E116" s="273" t="s">
        <v>180</v>
      </c>
      <c r="F116" s="273" t="s">
        <v>1139</v>
      </c>
      <c r="G116" s="43"/>
      <c r="H116" s="169">
        <v>13669</v>
      </c>
      <c r="I116" s="36"/>
      <c r="J116" s="36"/>
      <c r="K116" s="36"/>
      <c r="L116" s="36"/>
      <c r="M116" s="44"/>
      <c r="N116" s="44"/>
      <c r="O116" s="77"/>
      <c r="P116" s="77"/>
      <c r="Q116" s="36"/>
      <c r="R116" s="36"/>
      <c r="S116" s="36"/>
      <c r="T116" s="49"/>
      <c r="U116" s="36"/>
      <c r="V116" s="40"/>
      <c r="W116" s="36"/>
      <c r="X116" s="35"/>
      <c r="Y116" s="163" t="s">
        <v>450</v>
      </c>
      <c r="Z116" s="165" t="s">
        <v>451</v>
      </c>
      <c r="AA116" s="165" t="s">
        <v>452</v>
      </c>
      <c r="AB116" s="161">
        <v>45324</v>
      </c>
      <c r="AC116" s="157">
        <v>13719</v>
      </c>
      <c r="AD116" s="161">
        <v>45324</v>
      </c>
      <c r="AE116" s="161">
        <v>45657</v>
      </c>
      <c r="AF116" s="163" t="s">
        <v>453</v>
      </c>
      <c r="AG116" s="154" t="s">
        <v>185</v>
      </c>
      <c r="AH116" s="154"/>
      <c r="AI116" s="178"/>
      <c r="AJ116" s="178"/>
      <c r="AK116" s="164">
        <v>1860000</v>
      </c>
      <c r="AL116" s="47"/>
      <c r="AM116" s="36"/>
      <c r="AN116" s="48"/>
      <c r="AO116" s="49"/>
      <c r="AP116" s="36"/>
      <c r="AQ116" s="48"/>
      <c r="AR116" s="48"/>
      <c r="AS116" s="31"/>
      <c r="AT116" s="32"/>
      <c r="AU116" s="50"/>
      <c r="AV116" s="36"/>
      <c r="AW116" s="78"/>
      <c r="AX116" s="78"/>
      <c r="AY116" s="33"/>
      <c r="AZ116" s="34"/>
      <c r="BA116" s="35"/>
      <c r="BB116" s="35"/>
      <c r="BC116" s="79"/>
      <c r="BD116" s="80"/>
      <c r="BE116" s="80"/>
      <c r="BF116" s="35"/>
      <c r="BG116" s="36"/>
      <c r="BH116" s="35"/>
      <c r="BI116" s="42"/>
      <c r="BJ116" s="76">
        <f>1858780.3+1810845.16</f>
        <v>3669625.46</v>
      </c>
      <c r="BK116" s="76">
        <f>1810845.16</f>
        <v>1810845.16</v>
      </c>
      <c r="BL116" s="76">
        <f>28595+115606.75+75944.75+5823.04+2120.4+4851.5+16061.72+12860.36+3171.3+1918.9+914.5+8418.36+1370.2+4057.2+8924.9+28415.84+5673+9093.85+21750.85+20597.33+11500.16+36664.63+826+23157.93+27049.98+1039.36+9952.6+18020.3+26342.87+7647.08+7345.45+15570.68+11283.16+9440.48+497+305.2+19619.88+45636.92+23539.54+121642.75+22245.6+21942.67+43373.65+2123.5+17220+30833.33+4880.68+10332+1060.08+1380.4+3168.2+2808.29+9487.55+21851.28+1608.9+8452.15+2062.43+27489.87+12116.66+37409.26+154647.75</f>
        <v>1229745.9700000002</v>
      </c>
      <c r="BM116" s="76"/>
      <c r="BN116" s="39"/>
      <c r="BO116" s="36"/>
      <c r="BP116" s="40"/>
      <c r="BQ116" s="40"/>
      <c r="BR116" s="40"/>
      <c r="BS116" s="40"/>
      <c r="BT116" s="40"/>
      <c r="BU116" s="40"/>
      <c r="BV116" s="40"/>
      <c r="BW116" s="40"/>
      <c r="BX116" s="40"/>
      <c r="BY116" s="40"/>
      <c r="BZ116" s="40"/>
      <c r="CA116" s="40"/>
      <c r="CB116" s="170" t="s">
        <v>454</v>
      </c>
      <c r="CC116" s="175">
        <v>14116</v>
      </c>
      <c r="CD116" s="154" t="s">
        <v>188</v>
      </c>
      <c r="CE116" s="157">
        <v>715268</v>
      </c>
      <c r="CF116" s="154" t="s">
        <v>455</v>
      </c>
      <c r="CG116" s="157" t="s">
        <v>456</v>
      </c>
    </row>
    <row r="117" spans="1:85" customFormat="1" ht="65.099999999999994" customHeight="1">
      <c r="A117" s="155"/>
      <c r="B117" s="155"/>
      <c r="C117" s="155"/>
      <c r="D117" s="274"/>
      <c r="E117" s="274"/>
      <c r="F117" s="290"/>
      <c r="G117" s="52"/>
      <c r="H117" s="155"/>
      <c r="I117" s="36"/>
      <c r="J117" s="36"/>
      <c r="K117" s="36"/>
      <c r="L117" s="36"/>
      <c r="M117" s="44"/>
      <c r="N117" s="44"/>
      <c r="O117" s="77"/>
      <c r="P117" s="77"/>
      <c r="Q117" s="36"/>
      <c r="R117" s="36"/>
      <c r="S117" s="36"/>
      <c r="T117" s="49"/>
      <c r="U117" s="36"/>
      <c r="V117" s="40"/>
      <c r="W117" s="36"/>
      <c r="X117" s="35"/>
      <c r="Y117" s="155"/>
      <c r="Z117" s="155"/>
      <c r="AA117" s="155"/>
      <c r="AB117" s="155"/>
      <c r="AC117" s="155"/>
      <c r="AD117" s="155"/>
      <c r="AE117" s="155"/>
      <c r="AF117" s="155"/>
      <c r="AG117" s="155"/>
      <c r="AH117" s="155"/>
      <c r="AI117" s="155"/>
      <c r="AJ117" s="155"/>
      <c r="AK117" s="155"/>
      <c r="AL117" s="47" t="s">
        <v>457</v>
      </c>
      <c r="AM117" s="36" t="s">
        <v>199</v>
      </c>
      <c r="AN117" s="48">
        <v>45691</v>
      </c>
      <c r="AO117" s="49">
        <v>13970</v>
      </c>
      <c r="AP117" s="36" t="s">
        <v>458</v>
      </c>
      <c r="AQ117" s="48">
        <v>45691</v>
      </c>
      <c r="AR117" s="48">
        <v>46055</v>
      </c>
      <c r="AS117" s="31"/>
      <c r="AT117" s="32"/>
      <c r="AU117" s="50"/>
      <c r="AV117" s="36"/>
      <c r="AW117" s="78"/>
      <c r="AX117" s="78"/>
      <c r="AY117" s="33"/>
      <c r="AZ117" s="34"/>
      <c r="BA117" s="35"/>
      <c r="BB117" s="35"/>
      <c r="BC117" s="79"/>
      <c r="BD117" s="80"/>
      <c r="BE117" s="80"/>
      <c r="BF117" s="35"/>
      <c r="BG117" s="36"/>
      <c r="BH117" s="35"/>
      <c r="BI117" s="42"/>
      <c r="BJ117" s="76"/>
      <c r="BK117" s="76"/>
      <c r="BL117" s="76"/>
      <c r="BM117" s="76"/>
      <c r="BN117" s="39"/>
      <c r="BO117" s="36"/>
      <c r="BP117" s="40"/>
      <c r="BQ117" s="40"/>
      <c r="BR117" s="40"/>
      <c r="BS117" s="40"/>
      <c r="BT117" s="40"/>
      <c r="BU117" s="40"/>
      <c r="BV117" s="40"/>
      <c r="BW117" s="40"/>
      <c r="BX117" s="40"/>
      <c r="BY117" s="40"/>
      <c r="BZ117" s="40"/>
      <c r="CA117" s="40"/>
      <c r="CB117" s="155"/>
      <c r="CC117" s="155"/>
      <c r="CD117" s="155"/>
      <c r="CE117" s="155"/>
      <c r="CF117" s="155"/>
      <c r="CG117" s="155"/>
    </row>
    <row r="118" spans="1:85" customFormat="1" ht="65.099999999999994" customHeight="1">
      <c r="A118" s="162"/>
      <c r="B118" s="162"/>
      <c r="C118" s="162"/>
      <c r="D118" s="276"/>
      <c r="E118" s="276"/>
      <c r="F118" s="291"/>
      <c r="G118" s="54"/>
      <c r="H118" s="162"/>
      <c r="I118" s="36"/>
      <c r="J118" s="36"/>
      <c r="K118" s="36"/>
      <c r="L118" s="36"/>
      <c r="M118" s="44"/>
      <c r="N118" s="44"/>
      <c r="O118" s="77"/>
      <c r="P118" s="77"/>
      <c r="Q118" s="36"/>
      <c r="R118" s="36"/>
      <c r="S118" s="36"/>
      <c r="T118" s="49"/>
      <c r="U118" s="36"/>
      <c r="V118" s="40"/>
      <c r="W118" s="36"/>
      <c r="X118" s="35"/>
      <c r="Y118" s="162"/>
      <c r="Z118" s="162"/>
      <c r="AA118" s="162"/>
      <c r="AB118" s="162"/>
      <c r="AC118" s="162"/>
      <c r="AD118" s="162"/>
      <c r="AE118" s="162"/>
      <c r="AF118" s="162"/>
      <c r="AG118" s="162"/>
      <c r="AH118" s="162"/>
      <c r="AI118" s="162"/>
      <c r="AJ118" s="162"/>
      <c r="AK118" s="162"/>
      <c r="AL118" s="47" t="s">
        <v>457</v>
      </c>
      <c r="AM118" s="36" t="s">
        <v>459</v>
      </c>
      <c r="AN118" s="48">
        <v>46052</v>
      </c>
      <c r="AO118" s="49">
        <v>14199</v>
      </c>
      <c r="AP118" s="36" t="s">
        <v>458</v>
      </c>
      <c r="AQ118" s="48">
        <v>46056</v>
      </c>
      <c r="AR118" s="48">
        <v>46420</v>
      </c>
      <c r="AS118" s="31"/>
      <c r="AT118" s="32"/>
      <c r="AU118" s="50"/>
      <c r="AV118" s="36"/>
      <c r="AW118" s="78"/>
      <c r="AX118" s="78"/>
      <c r="AY118" s="33"/>
      <c r="AZ118" s="34"/>
      <c r="BA118" s="35"/>
      <c r="BB118" s="35"/>
      <c r="BC118" s="79"/>
      <c r="BD118" s="80"/>
      <c r="BE118" s="80"/>
      <c r="BF118" s="35"/>
      <c r="BG118" s="36"/>
      <c r="BH118" s="35"/>
      <c r="BI118" s="35"/>
      <c r="BJ118" s="35"/>
      <c r="BK118" s="35"/>
      <c r="BL118" s="35"/>
      <c r="BM118" s="35"/>
      <c r="BN118" s="39">
        <f t="shared" ref="BN118:BN119" si="3">BJ118+BL118</f>
        <v>0</v>
      </c>
      <c r="BO118" s="36"/>
      <c r="BP118" s="40"/>
      <c r="BQ118" s="40"/>
      <c r="BR118" s="40"/>
      <c r="BS118" s="40"/>
      <c r="BT118" s="40"/>
      <c r="BU118" s="40"/>
      <c r="BV118" s="40"/>
      <c r="BW118" s="40"/>
      <c r="BX118" s="40"/>
      <c r="BY118" s="40"/>
      <c r="BZ118" s="40"/>
      <c r="CA118" s="40"/>
      <c r="CB118" s="162"/>
      <c r="CC118" s="162"/>
      <c r="CD118" s="162"/>
      <c r="CE118" s="162"/>
      <c r="CF118" s="162"/>
      <c r="CG118" s="162"/>
    </row>
    <row r="119" spans="1:85" customFormat="1" ht="39.950000000000003" customHeight="1">
      <c r="A119" s="170">
        <v>45</v>
      </c>
      <c r="B119" s="171" t="s">
        <v>460</v>
      </c>
      <c r="C119" s="165" t="s">
        <v>461</v>
      </c>
      <c r="D119" s="273" t="s">
        <v>434</v>
      </c>
      <c r="E119" s="273" t="s">
        <v>180</v>
      </c>
      <c r="F119" s="273" t="s">
        <v>462</v>
      </c>
      <c r="G119" s="43"/>
      <c r="H119" s="169">
        <v>13642</v>
      </c>
      <c r="I119" s="36"/>
      <c r="J119" s="36"/>
      <c r="K119" s="36"/>
      <c r="L119" s="36"/>
      <c r="M119" s="44"/>
      <c r="N119" s="44"/>
      <c r="O119" s="77"/>
      <c r="P119" s="77"/>
      <c r="Q119" s="36"/>
      <c r="R119" s="36"/>
      <c r="S119" s="36"/>
      <c r="T119" s="49"/>
      <c r="U119" s="36"/>
      <c r="V119" s="40"/>
      <c r="W119" s="36"/>
      <c r="X119" s="35"/>
      <c r="Y119" s="163" t="s">
        <v>463</v>
      </c>
      <c r="Z119" s="165" t="s">
        <v>464</v>
      </c>
      <c r="AA119" s="165" t="s">
        <v>465</v>
      </c>
      <c r="AB119" s="161">
        <v>45342</v>
      </c>
      <c r="AC119" s="157">
        <v>13719</v>
      </c>
      <c r="AD119" s="161">
        <v>45342</v>
      </c>
      <c r="AE119" s="161">
        <v>45657</v>
      </c>
      <c r="AF119" s="163" t="s">
        <v>453</v>
      </c>
      <c r="AG119" s="154" t="s">
        <v>185</v>
      </c>
      <c r="AH119" s="154"/>
      <c r="AI119" s="178"/>
      <c r="AJ119" s="178"/>
      <c r="AK119" s="164">
        <v>335696.12</v>
      </c>
      <c r="AL119" s="47"/>
      <c r="AM119" s="36"/>
      <c r="AN119" s="48"/>
      <c r="AO119" s="49"/>
      <c r="AP119" s="36"/>
      <c r="AQ119" s="48"/>
      <c r="AR119" s="48"/>
      <c r="AS119" s="31"/>
      <c r="AT119" s="32"/>
      <c r="AU119" s="50"/>
      <c r="AV119" s="36"/>
      <c r="AW119" s="78"/>
      <c r="AX119" s="78"/>
      <c r="AY119" s="33"/>
      <c r="AZ119" s="34"/>
      <c r="BA119" s="35"/>
      <c r="BB119" s="35"/>
      <c r="BC119" s="79"/>
      <c r="BD119" s="80"/>
      <c r="BE119" s="80"/>
      <c r="BF119" s="35"/>
      <c r="BG119" s="36"/>
      <c r="BH119" s="35"/>
      <c r="BI119" s="42">
        <f>AK119</f>
        <v>335696.12</v>
      </c>
      <c r="BJ119" s="76">
        <f>223238.19+130282.52</f>
        <v>353520.71</v>
      </c>
      <c r="BK119" s="76">
        <f>130282.52</f>
        <v>130282.52</v>
      </c>
      <c r="BL119" s="76">
        <f>13466.75+25493.85+12936.5</f>
        <v>51897.1</v>
      </c>
      <c r="BM119" s="76"/>
      <c r="BN119" s="39">
        <f t="shared" si="3"/>
        <v>405417.81</v>
      </c>
      <c r="BO119" s="36"/>
      <c r="BP119" s="40"/>
      <c r="BQ119" s="40"/>
      <c r="BR119" s="40"/>
      <c r="BS119" s="40"/>
      <c r="BT119" s="40"/>
      <c r="BU119" s="40"/>
      <c r="BV119" s="40"/>
      <c r="BW119" s="40"/>
      <c r="BX119" s="40"/>
      <c r="BY119" s="40"/>
      <c r="BZ119" s="40"/>
      <c r="CA119" s="40"/>
      <c r="CB119" s="170" t="s">
        <v>466</v>
      </c>
      <c r="CC119" s="175">
        <v>14116</v>
      </c>
      <c r="CD119" s="154" t="s">
        <v>186</v>
      </c>
      <c r="CE119" s="170" t="s">
        <v>187</v>
      </c>
      <c r="CF119" s="154" t="s">
        <v>467</v>
      </c>
      <c r="CG119" s="175">
        <v>715268</v>
      </c>
    </row>
    <row r="120" spans="1:85" customFormat="1" ht="39.950000000000003" customHeight="1">
      <c r="A120" s="155"/>
      <c r="B120" s="155"/>
      <c r="C120" s="155"/>
      <c r="D120" s="274"/>
      <c r="E120" s="274"/>
      <c r="F120" s="274"/>
      <c r="G120" s="52"/>
      <c r="H120" s="155"/>
      <c r="I120" s="36"/>
      <c r="J120" s="36"/>
      <c r="K120" s="36"/>
      <c r="L120" s="36"/>
      <c r="M120" s="44"/>
      <c r="N120" s="44"/>
      <c r="O120" s="77"/>
      <c r="P120" s="77"/>
      <c r="Q120" s="36"/>
      <c r="R120" s="36"/>
      <c r="S120" s="36"/>
      <c r="T120" s="49"/>
      <c r="U120" s="36"/>
      <c r="V120" s="40"/>
      <c r="W120" s="36"/>
      <c r="X120" s="35"/>
      <c r="Y120" s="155"/>
      <c r="Z120" s="155"/>
      <c r="AA120" s="155"/>
      <c r="AB120" s="155"/>
      <c r="AC120" s="155"/>
      <c r="AD120" s="155"/>
      <c r="AE120" s="155"/>
      <c r="AF120" s="155"/>
      <c r="AG120" s="155"/>
      <c r="AH120" s="155"/>
      <c r="AI120" s="155"/>
      <c r="AJ120" s="155"/>
      <c r="AK120" s="155"/>
      <c r="AL120" s="47" t="s">
        <v>198</v>
      </c>
      <c r="AM120" s="36" t="s">
        <v>199</v>
      </c>
      <c r="AN120" s="48">
        <v>45350</v>
      </c>
      <c r="AO120" s="49">
        <v>13726</v>
      </c>
      <c r="AP120" s="36" t="s">
        <v>468</v>
      </c>
      <c r="AQ120" s="48"/>
      <c r="AR120" s="48"/>
      <c r="AS120" s="31"/>
      <c r="AT120" s="32"/>
      <c r="AU120" s="50"/>
      <c r="AV120" s="36"/>
      <c r="AW120" s="78"/>
      <c r="AX120" s="78"/>
      <c r="AY120" s="33"/>
      <c r="AZ120" s="34"/>
      <c r="BA120" s="35"/>
      <c r="BB120" s="35"/>
      <c r="BC120" s="79"/>
      <c r="BD120" s="80"/>
      <c r="BE120" s="80"/>
      <c r="BF120" s="35"/>
      <c r="BG120" s="36"/>
      <c r="BH120" s="35"/>
      <c r="BI120" s="42"/>
      <c r="BJ120" s="76"/>
      <c r="BK120" s="76"/>
      <c r="BL120" s="76"/>
      <c r="BM120" s="76"/>
      <c r="BN120" s="39"/>
      <c r="BO120" s="36"/>
      <c r="BP120" s="40"/>
      <c r="BQ120" s="40"/>
      <c r="BR120" s="40"/>
      <c r="BS120" s="40"/>
      <c r="BT120" s="40"/>
      <c r="BU120" s="40"/>
      <c r="BV120" s="40"/>
      <c r="BW120" s="40"/>
      <c r="BX120" s="40"/>
      <c r="BY120" s="40"/>
      <c r="BZ120" s="40"/>
      <c r="CA120" s="40"/>
      <c r="CB120" s="155"/>
      <c r="CC120" s="155"/>
      <c r="CD120" s="155"/>
      <c r="CE120" s="155"/>
      <c r="CF120" s="155"/>
      <c r="CG120" s="155"/>
    </row>
    <row r="121" spans="1:85" customFormat="1" ht="39.950000000000003" customHeight="1">
      <c r="A121" s="155"/>
      <c r="B121" s="155"/>
      <c r="C121" s="155"/>
      <c r="D121" s="274"/>
      <c r="E121" s="274"/>
      <c r="F121" s="274"/>
      <c r="G121" s="52"/>
      <c r="H121" s="155"/>
      <c r="I121" s="36"/>
      <c r="J121" s="36"/>
      <c r="K121" s="36"/>
      <c r="L121" s="36"/>
      <c r="M121" s="44"/>
      <c r="N121" s="44"/>
      <c r="O121" s="77"/>
      <c r="P121" s="77"/>
      <c r="Q121" s="36"/>
      <c r="R121" s="36"/>
      <c r="S121" s="36"/>
      <c r="T121" s="49"/>
      <c r="U121" s="36"/>
      <c r="V121" s="40"/>
      <c r="W121" s="36"/>
      <c r="X121" s="35"/>
      <c r="Y121" s="155"/>
      <c r="Z121" s="155"/>
      <c r="AA121" s="155"/>
      <c r="AB121" s="155"/>
      <c r="AC121" s="155"/>
      <c r="AD121" s="155"/>
      <c r="AE121" s="155"/>
      <c r="AF121" s="155"/>
      <c r="AG121" s="155"/>
      <c r="AH121" s="155"/>
      <c r="AI121" s="155"/>
      <c r="AJ121" s="155"/>
      <c r="AK121" s="155"/>
      <c r="AL121" s="47" t="s">
        <v>457</v>
      </c>
      <c r="AM121" s="36" t="s">
        <v>199</v>
      </c>
      <c r="AN121" s="48">
        <v>45714</v>
      </c>
      <c r="AO121" s="49">
        <v>13981</v>
      </c>
      <c r="AP121" s="36" t="s">
        <v>469</v>
      </c>
      <c r="AQ121" s="48">
        <v>45709</v>
      </c>
      <c r="AR121" s="48">
        <v>46073</v>
      </c>
      <c r="AS121" s="31"/>
      <c r="AT121" s="32"/>
      <c r="AU121" s="50"/>
      <c r="AV121" s="36"/>
      <c r="AW121" s="78"/>
      <c r="AX121" s="78"/>
      <c r="AY121" s="33"/>
      <c r="AZ121" s="34"/>
      <c r="BA121" s="35"/>
      <c r="BB121" s="35"/>
      <c r="BC121" s="79"/>
      <c r="BD121" s="80"/>
      <c r="BE121" s="80"/>
      <c r="BF121" s="35"/>
      <c r="BG121" s="36"/>
      <c r="BH121" s="35"/>
      <c r="BI121" s="42"/>
      <c r="BJ121" s="76"/>
      <c r="BK121" s="76"/>
      <c r="BL121" s="76"/>
      <c r="BM121" s="76"/>
      <c r="BN121" s="39"/>
      <c r="BO121" s="36"/>
      <c r="BP121" s="40"/>
      <c r="BQ121" s="40"/>
      <c r="BR121" s="40"/>
      <c r="BS121" s="40"/>
      <c r="BT121" s="40"/>
      <c r="BU121" s="40"/>
      <c r="BV121" s="40"/>
      <c r="BW121" s="40"/>
      <c r="BX121" s="40"/>
      <c r="BY121" s="40"/>
      <c r="BZ121" s="40"/>
      <c r="CA121" s="40"/>
      <c r="CB121" s="155"/>
      <c r="CC121" s="155"/>
      <c r="CD121" s="155"/>
      <c r="CE121" s="155"/>
      <c r="CF121" s="155"/>
      <c r="CG121" s="155"/>
    </row>
    <row r="122" spans="1:85" customFormat="1" ht="39.950000000000003" customHeight="1">
      <c r="A122" s="155"/>
      <c r="B122" s="155"/>
      <c r="C122" s="155"/>
      <c r="D122" s="274"/>
      <c r="E122" s="274"/>
      <c r="F122" s="274"/>
      <c r="G122" s="52"/>
      <c r="H122" s="155"/>
      <c r="I122" s="36"/>
      <c r="J122" s="36"/>
      <c r="K122" s="36"/>
      <c r="L122" s="36"/>
      <c r="M122" s="44"/>
      <c r="N122" s="44"/>
      <c r="O122" s="77"/>
      <c r="P122" s="77"/>
      <c r="Q122" s="36"/>
      <c r="R122" s="36"/>
      <c r="S122" s="36"/>
      <c r="T122" s="49"/>
      <c r="U122" s="36"/>
      <c r="V122" s="40"/>
      <c r="W122" s="36"/>
      <c r="X122" s="35"/>
      <c r="Y122" s="155"/>
      <c r="Z122" s="155"/>
      <c r="AA122" s="155"/>
      <c r="AB122" s="155"/>
      <c r="AC122" s="155"/>
      <c r="AD122" s="155"/>
      <c r="AE122" s="155"/>
      <c r="AF122" s="155"/>
      <c r="AG122" s="155"/>
      <c r="AH122" s="155"/>
      <c r="AI122" s="155"/>
      <c r="AJ122" s="155"/>
      <c r="AK122" s="155"/>
      <c r="AL122" s="47" t="s">
        <v>198</v>
      </c>
      <c r="AM122" s="36" t="s">
        <v>199</v>
      </c>
      <c r="AN122" s="48">
        <v>45350</v>
      </c>
      <c r="AO122" s="49">
        <v>13726</v>
      </c>
      <c r="AP122" s="36" t="s">
        <v>470</v>
      </c>
      <c r="AQ122" s="48">
        <v>45709</v>
      </c>
      <c r="AR122" s="48">
        <v>46073</v>
      </c>
      <c r="AS122" s="31"/>
      <c r="AT122" s="32"/>
      <c r="AU122" s="50"/>
      <c r="AV122" s="36"/>
      <c r="AW122" s="78"/>
      <c r="AX122" s="78"/>
      <c r="AY122" s="33"/>
      <c r="AZ122" s="34"/>
      <c r="BA122" s="35"/>
      <c r="BB122" s="35"/>
      <c r="BC122" s="79"/>
      <c r="BD122" s="80"/>
      <c r="BE122" s="80"/>
      <c r="BF122" s="35"/>
      <c r="BG122" s="36"/>
      <c r="BH122" s="35"/>
      <c r="BI122" s="42"/>
      <c r="BJ122" s="76"/>
      <c r="BK122" s="76"/>
      <c r="BL122" s="76"/>
      <c r="BM122" s="76"/>
      <c r="BN122" s="39"/>
      <c r="BO122" s="36"/>
      <c r="BP122" s="40"/>
      <c r="BQ122" s="40"/>
      <c r="BR122" s="40"/>
      <c r="BS122" s="40"/>
      <c r="BT122" s="40"/>
      <c r="BU122" s="40"/>
      <c r="BV122" s="40"/>
      <c r="BW122" s="40"/>
      <c r="BX122" s="40"/>
      <c r="BY122" s="40"/>
      <c r="BZ122" s="40"/>
      <c r="CA122" s="40"/>
      <c r="CB122" s="155"/>
      <c r="CC122" s="155"/>
      <c r="CD122" s="155"/>
      <c r="CE122" s="155"/>
      <c r="CF122" s="155"/>
      <c r="CG122" s="155"/>
    </row>
    <row r="123" spans="1:85" customFormat="1" ht="39.950000000000003" customHeight="1">
      <c r="A123" s="155"/>
      <c r="B123" s="155"/>
      <c r="C123" s="155"/>
      <c r="D123" s="274"/>
      <c r="E123" s="274"/>
      <c r="F123" s="274"/>
      <c r="G123" s="52"/>
      <c r="H123" s="155"/>
      <c r="I123" s="36"/>
      <c r="J123" s="36"/>
      <c r="K123" s="36"/>
      <c r="L123" s="36"/>
      <c r="M123" s="44"/>
      <c r="N123" s="44"/>
      <c r="O123" s="77"/>
      <c r="P123" s="77"/>
      <c r="Q123" s="36"/>
      <c r="R123" s="36"/>
      <c r="S123" s="36"/>
      <c r="T123" s="49"/>
      <c r="U123" s="36"/>
      <c r="V123" s="40"/>
      <c r="W123" s="36"/>
      <c r="X123" s="35"/>
      <c r="Y123" s="155"/>
      <c r="Z123" s="155"/>
      <c r="AA123" s="155"/>
      <c r="AB123" s="155"/>
      <c r="AC123" s="155"/>
      <c r="AD123" s="155"/>
      <c r="AE123" s="155"/>
      <c r="AF123" s="155"/>
      <c r="AG123" s="155"/>
      <c r="AH123" s="155"/>
      <c r="AI123" s="155"/>
      <c r="AJ123" s="155"/>
      <c r="AK123" s="155"/>
      <c r="AL123" s="47" t="s">
        <v>457</v>
      </c>
      <c r="AM123" s="36" t="s">
        <v>459</v>
      </c>
      <c r="AN123" s="48">
        <v>46073</v>
      </c>
      <c r="AO123" s="49">
        <v>14231</v>
      </c>
      <c r="AP123" s="36" t="s">
        <v>471</v>
      </c>
      <c r="AQ123" s="48">
        <v>46074</v>
      </c>
      <c r="AR123" s="48">
        <v>46438</v>
      </c>
      <c r="AS123" s="31"/>
      <c r="AT123" s="32"/>
      <c r="AU123" s="50">
        <f>AW123/BI119</f>
        <v>3.7999992374055443E-2</v>
      </c>
      <c r="AV123" s="36"/>
      <c r="AW123" s="78">
        <v>12756.45</v>
      </c>
      <c r="AX123" s="78"/>
      <c r="AY123" s="33"/>
      <c r="AZ123" s="34"/>
      <c r="BA123" s="35"/>
      <c r="BB123" s="35"/>
      <c r="BC123" s="79"/>
      <c r="BD123" s="80"/>
      <c r="BE123" s="80"/>
      <c r="BF123" s="35"/>
      <c r="BG123" s="36"/>
      <c r="BH123" s="35"/>
      <c r="BI123" s="42">
        <f>BI119+AW123</f>
        <v>348452.57</v>
      </c>
      <c r="BJ123" s="76"/>
      <c r="BK123" s="76"/>
      <c r="BL123" s="76"/>
      <c r="BM123" s="76"/>
      <c r="BN123" s="39"/>
      <c r="BO123" s="36"/>
      <c r="BP123" s="40"/>
      <c r="BQ123" s="40"/>
      <c r="BR123" s="40"/>
      <c r="BS123" s="40"/>
      <c r="BT123" s="40"/>
      <c r="BU123" s="40"/>
      <c r="BV123" s="40"/>
      <c r="BW123" s="40"/>
      <c r="BX123" s="40"/>
      <c r="BY123" s="40"/>
      <c r="BZ123" s="40"/>
      <c r="CA123" s="40"/>
      <c r="CB123" s="155"/>
      <c r="CC123" s="155"/>
      <c r="CD123" s="155"/>
      <c r="CE123" s="155"/>
      <c r="CF123" s="155"/>
      <c r="CG123" s="155"/>
    </row>
    <row r="124" spans="1:85" customFormat="1" ht="39.950000000000003" customHeight="1">
      <c r="A124" s="162"/>
      <c r="B124" s="162"/>
      <c r="C124" s="162"/>
      <c r="D124" s="276"/>
      <c r="E124" s="276"/>
      <c r="F124" s="276"/>
      <c r="G124" s="54"/>
      <c r="H124" s="162"/>
      <c r="I124" s="36"/>
      <c r="J124" s="36"/>
      <c r="K124" s="36"/>
      <c r="L124" s="36"/>
      <c r="M124" s="44"/>
      <c r="N124" s="44"/>
      <c r="O124" s="77"/>
      <c r="P124" s="77"/>
      <c r="Q124" s="36"/>
      <c r="R124" s="36"/>
      <c r="S124" s="36"/>
      <c r="T124" s="49"/>
      <c r="U124" s="36"/>
      <c r="V124" s="40"/>
      <c r="W124" s="36"/>
      <c r="X124" s="35"/>
      <c r="Y124" s="162"/>
      <c r="Z124" s="162"/>
      <c r="AA124" s="162"/>
      <c r="AB124" s="162"/>
      <c r="AC124" s="162"/>
      <c r="AD124" s="162"/>
      <c r="AE124" s="162"/>
      <c r="AF124" s="162"/>
      <c r="AG124" s="162"/>
      <c r="AH124" s="162"/>
      <c r="AI124" s="162"/>
      <c r="AJ124" s="162"/>
      <c r="AK124" s="162"/>
      <c r="AL124" s="47"/>
      <c r="AM124" s="36"/>
      <c r="AN124" s="48"/>
      <c r="AO124" s="49"/>
      <c r="AP124" s="36"/>
      <c r="AQ124" s="48"/>
      <c r="AR124" s="48"/>
      <c r="AS124" s="31"/>
      <c r="AT124" s="32"/>
      <c r="AU124" s="50"/>
      <c r="AV124" s="36"/>
      <c r="AW124" s="78"/>
      <c r="AX124" s="78"/>
      <c r="AY124" s="33"/>
      <c r="AZ124" s="34"/>
      <c r="BA124" s="35"/>
      <c r="BB124" s="35"/>
      <c r="BC124" s="79"/>
      <c r="BD124" s="80"/>
      <c r="BE124" s="80"/>
      <c r="BF124" s="35"/>
      <c r="BG124" s="36"/>
      <c r="BH124" s="35"/>
      <c r="BI124" s="35"/>
      <c r="BJ124" s="35"/>
      <c r="BK124" s="35"/>
      <c r="BL124" s="35"/>
      <c r="BM124" s="35"/>
      <c r="BN124" s="39">
        <f t="shared" ref="BN124:BN133" si="4">BJ124+BL124</f>
        <v>0</v>
      </c>
      <c r="BO124" s="36"/>
      <c r="BP124" s="40"/>
      <c r="BQ124" s="40"/>
      <c r="BR124" s="40"/>
      <c r="BS124" s="40"/>
      <c r="BT124" s="40"/>
      <c r="BU124" s="40"/>
      <c r="BV124" s="40"/>
      <c r="BW124" s="40"/>
      <c r="BX124" s="40"/>
      <c r="BY124" s="40"/>
      <c r="BZ124" s="40"/>
      <c r="CA124" s="40"/>
      <c r="CB124" s="162"/>
      <c r="CC124" s="162"/>
      <c r="CD124" s="162"/>
      <c r="CE124" s="162"/>
      <c r="CF124" s="162"/>
      <c r="CG124" s="162"/>
    </row>
    <row r="125" spans="1:85" customFormat="1" ht="60" customHeight="1">
      <c r="A125" s="170">
        <v>46</v>
      </c>
      <c r="B125" s="165" t="s">
        <v>472</v>
      </c>
      <c r="C125" s="165" t="s">
        <v>357</v>
      </c>
      <c r="D125" s="273" t="s">
        <v>434</v>
      </c>
      <c r="E125" s="273" t="s">
        <v>180</v>
      </c>
      <c r="F125" s="273" t="s">
        <v>358</v>
      </c>
      <c r="G125" s="203"/>
      <c r="H125" s="169">
        <v>14199</v>
      </c>
      <c r="I125" s="163" t="s">
        <v>359</v>
      </c>
      <c r="J125" s="163" t="s">
        <v>473</v>
      </c>
      <c r="K125" s="163" t="s">
        <v>474</v>
      </c>
      <c r="L125" s="163" t="s">
        <v>475</v>
      </c>
      <c r="M125" s="81"/>
      <c r="N125" s="81"/>
      <c r="O125" s="82"/>
      <c r="P125" s="82"/>
      <c r="Q125" s="60"/>
      <c r="R125" s="60"/>
      <c r="S125" s="60"/>
      <c r="T125" s="62"/>
      <c r="U125" s="60"/>
      <c r="V125" s="69"/>
      <c r="W125" s="60"/>
      <c r="X125" s="67"/>
      <c r="Y125" s="163" t="s">
        <v>476</v>
      </c>
      <c r="Z125" s="165" t="s">
        <v>477</v>
      </c>
      <c r="AA125" s="165" t="s">
        <v>478</v>
      </c>
      <c r="AB125" s="161">
        <v>46066</v>
      </c>
      <c r="AC125" s="157">
        <v>14212</v>
      </c>
      <c r="AD125" s="161">
        <v>46066</v>
      </c>
      <c r="AE125" s="161">
        <v>46430</v>
      </c>
      <c r="AF125" s="72" t="s">
        <v>225</v>
      </c>
      <c r="AG125" s="154" t="s">
        <v>371</v>
      </c>
      <c r="AH125" s="45"/>
      <c r="AI125" s="46"/>
      <c r="AJ125" s="46"/>
      <c r="AK125" s="164">
        <v>8789</v>
      </c>
      <c r="AL125" s="56"/>
      <c r="AM125" s="60"/>
      <c r="AN125" s="61"/>
      <c r="AO125" s="62"/>
      <c r="AP125" s="60"/>
      <c r="AQ125" s="61"/>
      <c r="AR125" s="61"/>
      <c r="AS125" s="63"/>
      <c r="AT125" s="64"/>
      <c r="AU125" s="68"/>
      <c r="AV125" s="60"/>
      <c r="AW125" s="83"/>
      <c r="AX125" s="83"/>
      <c r="AY125" s="65"/>
      <c r="AZ125" s="66"/>
      <c r="BA125" s="67"/>
      <c r="BB125" s="67"/>
      <c r="BC125" s="84"/>
      <c r="BD125" s="85"/>
      <c r="BE125" s="85"/>
      <c r="BF125" s="67"/>
      <c r="BG125" s="60"/>
      <c r="BH125" s="67"/>
      <c r="BI125" s="42">
        <f>AK125</f>
        <v>8789</v>
      </c>
      <c r="BJ125" s="51"/>
      <c r="BK125" s="51">
        <f>4680+4680+4580</f>
        <v>13940</v>
      </c>
      <c r="BL125" s="51">
        <f>8789</f>
        <v>8789</v>
      </c>
      <c r="BM125" s="51"/>
      <c r="BN125" s="39">
        <f t="shared" si="4"/>
        <v>8789</v>
      </c>
      <c r="BO125" s="60"/>
      <c r="BP125" s="69"/>
      <c r="BQ125" s="69"/>
      <c r="BR125" s="69"/>
      <c r="BS125" s="69"/>
      <c r="BT125" s="69"/>
      <c r="BU125" s="69"/>
      <c r="BV125" s="69"/>
      <c r="BW125" s="69"/>
      <c r="BX125" s="69"/>
      <c r="BY125" s="69"/>
      <c r="BZ125" s="69"/>
      <c r="CA125" s="69"/>
      <c r="CB125" s="154" t="s">
        <v>479</v>
      </c>
      <c r="CC125" s="154">
        <v>14049</v>
      </c>
      <c r="CD125" s="154" t="s">
        <v>480</v>
      </c>
      <c r="CE125" s="157">
        <v>714543</v>
      </c>
      <c r="CF125" s="154" t="s">
        <v>481</v>
      </c>
      <c r="CG125" s="157">
        <v>715035</v>
      </c>
    </row>
    <row r="126" spans="1:85" customFormat="1" ht="60" customHeight="1">
      <c r="A126" s="155"/>
      <c r="B126" s="155"/>
      <c r="C126" s="155"/>
      <c r="D126" s="274"/>
      <c r="E126" s="274"/>
      <c r="F126" s="274"/>
      <c r="G126" s="155"/>
      <c r="H126" s="155"/>
      <c r="I126" s="155"/>
      <c r="J126" s="155"/>
      <c r="K126" s="155"/>
      <c r="L126" s="155"/>
      <c r="M126" s="81"/>
      <c r="N126" s="81"/>
      <c r="O126" s="82"/>
      <c r="P126" s="82"/>
      <c r="Q126" s="60"/>
      <c r="R126" s="60"/>
      <c r="S126" s="60"/>
      <c r="T126" s="62"/>
      <c r="U126" s="60"/>
      <c r="V126" s="69"/>
      <c r="W126" s="60"/>
      <c r="X126" s="67"/>
      <c r="Y126" s="155"/>
      <c r="Z126" s="155"/>
      <c r="AA126" s="155"/>
      <c r="AB126" s="155"/>
      <c r="AC126" s="155"/>
      <c r="AD126" s="155"/>
      <c r="AE126" s="155"/>
      <c r="AF126" s="72" t="s">
        <v>372</v>
      </c>
      <c r="AG126" s="155"/>
      <c r="AH126" s="45"/>
      <c r="AI126" s="46"/>
      <c r="AJ126" s="46"/>
      <c r="AK126" s="155"/>
      <c r="AL126" s="56"/>
      <c r="AM126" s="60"/>
      <c r="AN126" s="61"/>
      <c r="AO126" s="62"/>
      <c r="AP126" s="60"/>
      <c r="AQ126" s="61"/>
      <c r="AR126" s="61"/>
      <c r="AS126" s="63"/>
      <c r="AT126" s="64"/>
      <c r="AU126" s="68"/>
      <c r="AV126" s="60"/>
      <c r="AW126" s="83"/>
      <c r="AX126" s="83"/>
      <c r="AY126" s="65"/>
      <c r="AZ126" s="66"/>
      <c r="BA126" s="67"/>
      <c r="BB126" s="67"/>
      <c r="BC126" s="84"/>
      <c r="BD126" s="85"/>
      <c r="BE126" s="85"/>
      <c r="BF126" s="67"/>
      <c r="BG126" s="60"/>
      <c r="BH126" s="67"/>
      <c r="BI126" s="35"/>
      <c r="BJ126" s="51"/>
      <c r="BK126" s="51"/>
      <c r="BL126" s="51"/>
      <c r="BM126" s="51"/>
      <c r="BN126" s="39">
        <f t="shared" si="4"/>
        <v>0</v>
      </c>
      <c r="BO126" s="60"/>
      <c r="BP126" s="69"/>
      <c r="BQ126" s="69"/>
      <c r="BR126" s="69"/>
      <c r="BS126" s="69"/>
      <c r="BT126" s="69"/>
      <c r="BU126" s="69"/>
      <c r="BV126" s="69"/>
      <c r="BW126" s="69"/>
      <c r="BX126" s="69"/>
      <c r="BY126" s="69"/>
      <c r="BZ126" s="69"/>
      <c r="CA126" s="69"/>
      <c r="CB126" s="155"/>
      <c r="CC126" s="155"/>
      <c r="CD126" s="155"/>
      <c r="CE126" s="155"/>
      <c r="CF126" s="155"/>
      <c r="CG126" s="155"/>
    </row>
    <row r="127" spans="1:85" customFormat="1" ht="60" customHeight="1">
      <c r="A127" s="162"/>
      <c r="B127" s="162"/>
      <c r="C127" s="162"/>
      <c r="D127" s="276"/>
      <c r="E127" s="276"/>
      <c r="F127" s="276"/>
      <c r="G127" s="162"/>
      <c r="H127" s="162"/>
      <c r="I127" s="162"/>
      <c r="J127" s="162"/>
      <c r="K127" s="162"/>
      <c r="L127" s="162"/>
      <c r="M127" s="81"/>
      <c r="N127" s="81"/>
      <c r="O127" s="82"/>
      <c r="P127" s="82"/>
      <c r="Q127" s="60"/>
      <c r="R127" s="60"/>
      <c r="S127" s="60"/>
      <c r="T127" s="62"/>
      <c r="U127" s="60"/>
      <c r="V127" s="69"/>
      <c r="W127" s="60"/>
      <c r="X127" s="67"/>
      <c r="Y127" s="162"/>
      <c r="Z127" s="162"/>
      <c r="AA127" s="162"/>
      <c r="AB127" s="162"/>
      <c r="AC127" s="162"/>
      <c r="AD127" s="162"/>
      <c r="AE127" s="162"/>
      <c r="AF127" s="72"/>
      <c r="AG127" s="162"/>
      <c r="AH127" s="45"/>
      <c r="AI127" s="46"/>
      <c r="AJ127" s="46"/>
      <c r="AK127" s="162"/>
      <c r="AL127" s="56"/>
      <c r="AM127" s="60"/>
      <c r="AN127" s="61"/>
      <c r="AO127" s="62"/>
      <c r="AP127" s="60"/>
      <c r="AQ127" s="61"/>
      <c r="AR127" s="61"/>
      <c r="AS127" s="63"/>
      <c r="AT127" s="64"/>
      <c r="AU127" s="68"/>
      <c r="AV127" s="60"/>
      <c r="AW127" s="83"/>
      <c r="AX127" s="83"/>
      <c r="AY127" s="65"/>
      <c r="AZ127" s="66"/>
      <c r="BA127" s="67"/>
      <c r="BB127" s="67"/>
      <c r="BC127" s="84"/>
      <c r="BD127" s="85"/>
      <c r="BE127" s="85"/>
      <c r="BF127" s="67"/>
      <c r="BG127" s="60"/>
      <c r="BH127" s="67"/>
      <c r="BI127" s="35"/>
      <c r="BJ127" s="51"/>
      <c r="BK127" s="51"/>
      <c r="BL127" s="51"/>
      <c r="BM127" s="51"/>
      <c r="BN127" s="39">
        <f t="shared" si="4"/>
        <v>0</v>
      </c>
      <c r="BO127" s="60"/>
      <c r="BP127" s="69"/>
      <c r="BQ127" s="69"/>
      <c r="BR127" s="69"/>
      <c r="BS127" s="69"/>
      <c r="BT127" s="69"/>
      <c r="BU127" s="69"/>
      <c r="BV127" s="69"/>
      <c r="BW127" s="69"/>
      <c r="BX127" s="69"/>
      <c r="BY127" s="69"/>
      <c r="BZ127" s="69"/>
      <c r="CA127" s="69"/>
      <c r="CB127" s="162"/>
      <c r="CC127" s="162"/>
      <c r="CD127" s="162"/>
      <c r="CE127" s="162"/>
      <c r="CF127" s="162"/>
      <c r="CG127" s="162"/>
    </row>
    <row r="128" spans="1:85" customFormat="1" ht="60" customHeight="1">
      <c r="A128" s="170">
        <v>47</v>
      </c>
      <c r="B128" s="171" t="s">
        <v>341</v>
      </c>
      <c r="C128" s="165" t="s">
        <v>482</v>
      </c>
      <c r="D128" s="273" t="s">
        <v>434</v>
      </c>
      <c r="E128" s="273" t="s">
        <v>180</v>
      </c>
      <c r="F128" s="273" t="s">
        <v>483</v>
      </c>
      <c r="G128" s="43"/>
      <c r="H128" s="169"/>
      <c r="I128" s="163" t="s">
        <v>343</v>
      </c>
      <c r="J128" s="163" t="s">
        <v>484</v>
      </c>
      <c r="K128" s="163" t="s">
        <v>485</v>
      </c>
      <c r="L128" s="163" t="s">
        <v>486</v>
      </c>
      <c r="M128" s="44"/>
      <c r="N128" s="44"/>
      <c r="O128" s="77"/>
      <c r="P128" s="77"/>
      <c r="Q128" s="36"/>
      <c r="R128" s="36"/>
      <c r="S128" s="36"/>
      <c r="T128" s="49"/>
      <c r="U128" s="36"/>
      <c r="V128" s="40"/>
      <c r="W128" s="36"/>
      <c r="X128" s="35"/>
      <c r="Y128" s="163" t="s">
        <v>487</v>
      </c>
      <c r="Z128" s="165" t="s">
        <v>488</v>
      </c>
      <c r="AA128" s="165" t="s">
        <v>489</v>
      </c>
      <c r="AB128" s="161">
        <v>46055</v>
      </c>
      <c r="AC128" s="157">
        <v>14208</v>
      </c>
      <c r="AD128" s="161">
        <v>46055</v>
      </c>
      <c r="AE128" s="161">
        <v>46419</v>
      </c>
      <c r="AF128" s="72" t="s">
        <v>225</v>
      </c>
      <c r="AG128" s="154" t="s">
        <v>226</v>
      </c>
      <c r="AH128" s="201"/>
      <c r="AI128" s="202"/>
      <c r="AJ128" s="202"/>
      <c r="AK128" s="164">
        <v>510840</v>
      </c>
      <c r="AL128" s="47"/>
      <c r="AM128" s="36"/>
      <c r="AN128" s="48"/>
      <c r="AO128" s="49"/>
      <c r="AP128" s="36"/>
      <c r="AQ128" s="48"/>
      <c r="AR128" s="48"/>
      <c r="AS128" s="31"/>
      <c r="AT128" s="32"/>
      <c r="AU128" s="50"/>
      <c r="AV128" s="36"/>
      <c r="AW128" s="78"/>
      <c r="AX128" s="78"/>
      <c r="AY128" s="33"/>
      <c r="AZ128" s="34"/>
      <c r="BA128" s="35"/>
      <c r="BB128" s="35"/>
      <c r="BC128" s="79"/>
      <c r="BD128" s="80"/>
      <c r="BE128" s="80"/>
      <c r="BF128" s="35"/>
      <c r="BG128" s="36"/>
      <c r="BH128" s="35"/>
      <c r="BI128" s="42">
        <f>AK128</f>
        <v>510840</v>
      </c>
      <c r="BJ128" s="51"/>
      <c r="BK128" s="51">
        <f>61017+67402.5+11352</f>
        <v>139771.5</v>
      </c>
      <c r="BL128" s="51">
        <f>26630.13+69502.32</f>
        <v>96132.450000000012</v>
      </c>
      <c r="BM128" s="51"/>
      <c r="BN128" s="39">
        <f t="shared" si="4"/>
        <v>96132.450000000012</v>
      </c>
      <c r="BO128" s="36"/>
      <c r="BP128" s="40"/>
      <c r="BQ128" s="40"/>
      <c r="BR128" s="40"/>
      <c r="BS128" s="40"/>
      <c r="BT128" s="40"/>
      <c r="BU128" s="40"/>
      <c r="BV128" s="40"/>
      <c r="BW128" s="40"/>
      <c r="BX128" s="40"/>
      <c r="BY128" s="40"/>
      <c r="BZ128" s="40"/>
      <c r="CA128" s="40"/>
      <c r="CB128" s="154" t="s">
        <v>490</v>
      </c>
      <c r="CC128" s="154">
        <v>13892</v>
      </c>
      <c r="CD128" s="154" t="s">
        <v>491</v>
      </c>
      <c r="CE128" s="157">
        <v>713080</v>
      </c>
      <c r="CF128" s="154" t="s">
        <v>492</v>
      </c>
      <c r="CG128" s="175">
        <v>702751</v>
      </c>
    </row>
    <row r="129" spans="1:85" customFormat="1" ht="60" customHeight="1">
      <c r="A129" s="162"/>
      <c r="B129" s="162"/>
      <c r="C129" s="162"/>
      <c r="D129" s="276"/>
      <c r="E129" s="276"/>
      <c r="F129" s="276"/>
      <c r="G129" s="54"/>
      <c r="H129" s="162"/>
      <c r="I129" s="162"/>
      <c r="J129" s="162"/>
      <c r="K129" s="162"/>
      <c r="L129" s="162"/>
      <c r="M129" s="44"/>
      <c r="N129" s="44"/>
      <c r="O129" s="77"/>
      <c r="P129" s="77"/>
      <c r="Q129" s="36"/>
      <c r="R129" s="36"/>
      <c r="S129" s="36"/>
      <c r="T129" s="49"/>
      <c r="U129" s="36"/>
      <c r="V129" s="40"/>
      <c r="W129" s="36"/>
      <c r="X129" s="35"/>
      <c r="Y129" s="162"/>
      <c r="Z129" s="162"/>
      <c r="AA129" s="162"/>
      <c r="AB129" s="162"/>
      <c r="AC129" s="162"/>
      <c r="AD129" s="162"/>
      <c r="AE129" s="162"/>
      <c r="AF129" s="72" t="s">
        <v>232</v>
      </c>
      <c r="AG129" s="162"/>
      <c r="AH129" s="162"/>
      <c r="AI129" s="162"/>
      <c r="AJ129" s="162"/>
      <c r="AK129" s="162"/>
      <c r="AL129" s="47"/>
      <c r="AM129" s="36"/>
      <c r="AN129" s="48"/>
      <c r="AO129" s="49"/>
      <c r="AP129" s="36"/>
      <c r="AQ129" s="48"/>
      <c r="AR129" s="48"/>
      <c r="AS129" s="31"/>
      <c r="AT129" s="32"/>
      <c r="AU129" s="50"/>
      <c r="AV129" s="36"/>
      <c r="AW129" s="78"/>
      <c r="AX129" s="78"/>
      <c r="AY129" s="33"/>
      <c r="AZ129" s="34"/>
      <c r="BA129" s="35"/>
      <c r="BB129" s="35"/>
      <c r="BC129" s="79"/>
      <c r="BD129" s="80"/>
      <c r="BE129" s="80"/>
      <c r="BF129" s="35"/>
      <c r="BG129" s="36"/>
      <c r="BH129" s="35"/>
      <c r="BI129" s="35"/>
      <c r="BJ129" s="51"/>
      <c r="BK129" s="51"/>
      <c r="BL129" s="51"/>
      <c r="BM129" s="51"/>
      <c r="BN129" s="39">
        <f t="shared" si="4"/>
        <v>0</v>
      </c>
      <c r="BO129" s="36"/>
      <c r="BP129" s="40"/>
      <c r="BQ129" s="40"/>
      <c r="BR129" s="40"/>
      <c r="BS129" s="40"/>
      <c r="BT129" s="40"/>
      <c r="BU129" s="40"/>
      <c r="BV129" s="40"/>
      <c r="BW129" s="40"/>
      <c r="BX129" s="40"/>
      <c r="BY129" s="40"/>
      <c r="BZ129" s="40"/>
      <c r="CA129" s="40"/>
      <c r="CB129" s="162"/>
      <c r="CC129" s="162"/>
      <c r="CD129" s="162"/>
      <c r="CE129" s="162"/>
      <c r="CF129" s="162"/>
      <c r="CG129" s="162"/>
    </row>
    <row r="130" spans="1:85" customFormat="1" ht="60" customHeight="1">
      <c r="A130" s="170">
        <v>48</v>
      </c>
      <c r="B130" s="171" t="s">
        <v>493</v>
      </c>
      <c r="C130" s="165" t="s">
        <v>494</v>
      </c>
      <c r="D130" s="273" t="s">
        <v>434</v>
      </c>
      <c r="E130" s="273" t="s">
        <v>180</v>
      </c>
      <c r="F130" s="273" t="s">
        <v>495</v>
      </c>
      <c r="G130" s="43"/>
      <c r="H130" s="169">
        <v>13639</v>
      </c>
      <c r="I130" s="36"/>
      <c r="J130" s="36"/>
      <c r="K130" s="36"/>
      <c r="L130" s="36"/>
      <c r="M130" s="44"/>
      <c r="N130" s="44"/>
      <c r="O130" s="77"/>
      <c r="P130" s="77"/>
      <c r="Q130" s="36"/>
      <c r="R130" s="36"/>
      <c r="S130" s="36"/>
      <c r="T130" s="49"/>
      <c r="U130" s="36"/>
      <c r="V130" s="40"/>
      <c r="W130" s="36"/>
      <c r="X130" s="35"/>
      <c r="Y130" s="163" t="s">
        <v>496</v>
      </c>
      <c r="Z130" s="165" t="s">
        <v>497</v>
      </c>
      <c r="AA130" s="165" t="s">
        <v>498</v>
      </c>
      <c r="AB130" s="161">
        <v>45579</v>
      </c>
      <c r="AC130" s="157">
        <v>13901</v>
      </c>
      <c r="AD130" s="161">
        <v>45579</v>
      </c>
      <c r="AE130" s="161">
        <v>45944</v>
      </c>
      <c r="AF130" s="72" t="s">
        <v>453</v>
      </c>
      <c r="AG130" s="154" t="s">
        <v>185</v>
      </c>
      <c r="AH130" s="47"/>
      <c r="AI130" s="39"/>
      <c r="AJ130" s="39"/>
      <c r="AK130" s="164">
        <v>333600</v>
      </c>
      <c r="AL130" s="47"/>
      <c r="AM130" s="36"/>
      <c r="AN130" s="48"/>
      <c r="AO130" s="49"/>
      <c r="AP130" s="36"/>
      <c r="AQ130" s="48"/>
      <c r="AR130" s="48"/>
      <c r="AS130" s="31"/>
      <c r="AT130" s="32"/>
      <c r="AU130" s="50"/>
      <c r="AV130" s="36"/>
      <c r="AW130" s="78"/>
      <c r="AX130" s="78"/>
      <c r="AY130" s="33"/>
      <c r="AZ130" s="34"/>
      <c r="BA130" s="35"/>
      <c r="BB130" s="35"/>
      <c r="BC130" s="79"/>
      <c r="BD130" s="80"/>
      <c r="BE130" s="80"/>
      <c r="BF130" s="35"/>
      <c r="BG130" s="36"/>
      <c r="BH130" s="35"/>
      <c r="BI130" s="35">
        <v>333600</v>
      </c>
      <c r="BJ130" s="76">
        <f>170133.05</f>
        <v>170133.05</v>
      </c>
      <c r="BK130" s="76">
        <f>96373.33+73759.72</f>
        <v>170133.05</v>
      </c>
      <c r="BL130" s="76">
        <f>65500.28+36394.6+36394.6+36394.6</f>
        <v>174684.08000000002</v>
      </c>
      <c r="BM130" s="76"/>
      <c r="BN130" s="39">
        <f t="shared" si="4"/>
        <v>344817.13</v>
      </c>
      <c r="BO130" s="36"/>
      <c r="BP130" s="40"/>
      <c r="BQ130" s="40"/>
      <c r="BR130" s="40"/>
      <c r="BS130" s="40"/>
      <c r="BT130" s="40"/>
      <c r="BU130" s="40"/>
      <c r="BV130" s="40"/>
      <c r="BW130" s="40"/>
      <c r="BX130" s="40"/>
      <c r="BY130" s="40"/>
      <c r="BZ130" s="40"/>
      <c r="CA130" s="40"/>
      <c r="CB130" s="170" t="s">
        <v>499</v>
      </c>
      <c r="CC130" s="175">
        <v>14116</v>
      </c>
      <c r="CD130" s="154" t="s">
        <v>500</v>
      </c>
      <c r="CE130" s="175">
        <v>715481</v>
      </c>
      <c r="CF130" s="154" t="s">
        <v>501</v>
      </c>
      <c r="CG130" s="170">
        <v>546038</v>
      </c>
    </row>
    <row r="131" spans="1:85" customFormat="1" ht="60" customHeight="1">
      <c r="A131" s="162"/>
      <c r="B131" s="162"/>
      <c r="C131" s="162"/>
      <c r="D131" s="276"/>
      <c r="E131" s="276"/>
      <c r="F131" s="276"/>
      <c r="G131" s="54"/>
      <c r="H131" s="162"/>
      <c r="I131" s="36"/>
      <c r="J131" s="36"/>
      <c r="K131" s="36"/>
      <c r="L131" s="36"/>
      <c r="M131" s="44"/>
      <c r="N131" s="44"/>
      <c r="O131" s="77"/>
      <c r="P131" s="77"/>
      <c r="Q131" s="36"/>
      <c r="R131" s="36"/>
      <c r="S131" s="36"/>
      <c r="T131" s="49"/>
      <c r="U131" s="36"/>
      <c r="V131" s="40"/>
      <c r="W131" s="36"/>
      <c r="X131" s="35"/>
      <c r="Y131" s="162"/>
      <c r="Z131" s="162"/>
      <c r="AA131" s="162"/>
      <c r="AB131" s="162"/>
      <c r="AC131" s="162"/>
      <c r="AD131" s="162"/>
      <c r="AE131" s="162"/>
      <c r="AF131" s="72"/>
      <c r="AG131" s="162"/>
      <c r="AH131" s="47"/>
      <c r="AI131" s="39"/>
      <c r="AJ131" s="39"/>
      <c r="AK131" s="162"/>
      <c r="AL131" s="47" t="s">
        <v>457</v>
      </c>
      <c r="AM131" s="36" t="s">
        <v>199</v>
      </c>
      <c r="AN131" s="48"/>
      <c r="AO131" s="49"/>
      <c r="AP131" s="36" t="s">
        <v>502</v>
      </c>
      <c r="AQ131" s="48">
        <v>45944</v>
      </c>
      <c r="AR131" s="48">
        <v>46308</v>
      </c>
      <c r="AS131" s="31"/>
      <c r="AT131" s="32"/>
      <c r="AU131" s="50"/>
      <c r="AV131" s="36"/>
      <c r="AW131" s="78"/>
      <c r="AX131" s="78"/>
      <c r="AY131" s="33"/>
      <c r="AZ131" s="34"/>
      <c r="BA131" s="35"/>
      <c r="BB131" s="35"/>
      <c r="BC131" s="79"/>
      <c r="BD131" s="86">
        <f>BE131/BI130</f>
        <v>4.7327308153477216E-2</v>
      </c>
      <c r="BE131" s="80">
        <v>15788.39</v>
      </c>
      <c r="BF131" s="35"/>
      <c r="BG131" s="36"/>
      <c r="BH131" s="35"/>
      <c r="BI131" s="42">
        <f>BI130+BE131</f>
        <v>349388.39</v>
      </c>
      <c r="BJ131" s="76"/>
      <c r="BK131" s="76"/>
      <c r="BL131" s="76"/>
      <c r="BM131" s="76"/>
      <c r="BN131" s="39">
        <f t="shared" si="4"/>
        <v>0</v>
      </c>
      <c r="BO131" s="36"/>
      <c r="BP131" s="40"/>
      <c r="BQ131" s="40"/>
      <c r="BR131" s="40"/>
      <c r="BS131" s="40"/>
      <c r="BT131" s="40"/>
      <c r="BU131" s="40"/>
      <c r="BV131" s="40"/>
      <c r="BW131" s="40"/>
      <c r="BX131" s="40"/>
      <c r="BY131" s="40"/>
      <c r="BZ131" s="40"/>
      <c r="CA131" s="40"/>
      <c r="CB131" s="162"/>
      <c r="CC131" s="162"/>
      <c r="CD131" s="162"/>
      <c r="CE131" s="162"/>
      <c r="CF131" s="162"/>
      <c r="CG131" s="162"/>
    </row>
    <row r="132" spans="1:85" customFormat="1" ht="60" customHeight="1">
      <c r="A132" s="170">
        <v>49</v>
      </c>
      <c r="B132" s="171" t="s">
        <v>503</v>
      </c>
      <c r="C132" s="165" t="s">
        <v>504</v>
      </c>
      <c r="D132" s="273" t="s">
        <v>434</v>
      </c>
      <c r="E132" s="273" t="s">
        <v>180</v>
      </c>
      <c r="F132" s="273" t="s">
        <v>505</v>
      </c>
      <c r="G132" s="43"/>
      <c r="H132" s="169">
        <v>13731</v>
      </c>
      <c r="I132" s="36"/>
      <c r="J132" s="36"/>
      <c r="K132" s="36"/>
      <c r="L132" s="36"/>
      <c r="M132" s="44"/>
      <c r="N132" s="44"/>
      <c r="O132" s="77"/>
      <c r="P132" s="77"/>
      <c r="Q132" s="154" t="s">
        <v>506</v>
      </c>
      <c r="R132" s="161">
        <v>45364</v>
      </c>
      <c r="S132" s="161">
        <v>45729</v>
      </c>
      <c r="T132" s="157">
        <v>13903</v>
      </c>
      <c r="U132" s="154" t="s">
        <v>507</v>
      </c>
      <c r="V132" s="175">
        <v>13903</v>
      </c>
      <c r="W132" s="154" t="s">
        <v>508</v>
      </c>
      <c r="X132" s="178">
        <v>763308</v>
      </c>
      <c r="Y132" s="163" t="s">
        <v>509</v>
      </c>
      <c r="Z132" s="165" t="s">
        <v>510</v>
      </c>
      <c r="AA132" s="165" t="s">
        <v>511</v>
      </c>
      <c r="AB132" s="161">
        <v>45600</v>
      </c>
      <c r="AC132" s="157">
        <v>13903</v>
      </c>
      <c r="AD132" s="161">
        <v>45600</v>
      </c>
      <c r="AE132" s="161">
        <v>45781</v>
      </c>
      <c r="AF132" s="72" t="s">
        <v>453</v>
      </c>
      <c r="AG132" s="154" t="s">
        <v>512</v>
      </c>
      <c r="AH132" s="47"/>
      <c r="AI132" s="39"/>
      <c r="AJ132" s="39"/>
      <c r="AK132" s="164">
        <v>763308</v>
      </c>
      <c r="AL132" s="47"/>
      <c r="AM132" s="36"/>
      <c r="AN132" s="48"/>
      <c r="AO132" s="49"/>
      <c r="AP132" s="36"/>
      <c r="AQ132" s="48"/>
      <c r="AR132" s="48"/>
      <c r="AS132" s="31"/>
      <c r="AT132" s="32"/>
      <c r="AU132" s="50"/>
      <c r="AV132" s="36"/>
      <c r="AW132" s="78"/>
      <c r="AX132" s="78"/>
      <c r="AY132" s="33"/>
      <c r="AZ132" s="34"/>
      <c r="BA132" s="35"/>
      <c r="BB132" s="35"/>
      <c r="BC132" s="79"/>
      <c r="BD132" s="80"/>
      <c r="BE132" s="80"/>
      <c r="BF132" s="35"/>
      <c r="BG132" s="36"/>
      <c r="BH132" s="35"/>
      <c r="BI132" s="42">
        <f>AK132</f>
        <v>763308</v>
      </c>
      <c r="BJ132" s="76">
        <v>763308</v>
      </c>
      <c r="BK132" s="76">
        <f>763308</f>
        <v>763308</v>
      </c>
      <c r="BL132" s="76">
        <f>127218+127218+127218+127218</f>
        <v>508872</v>
      </c>
      <c r="BM132" s="76"/>
      <c r="BN132" s="39"/>
      <c r="BO132" s="36"/>
      <c r="BP132" s="40"/>
      <c r="BQ132" s="40"/>
      <c r="BR132" s="40"/>
      <c r="BS132" s="40"/>
      <c r="BT132" s="40"/>
      <c r="BU132" s="40"/>
      <c r="BV132" s="40"/>
      <c r="BW132" s="40"/>
      <c r="BX132" s="40"/>
      <c r="BY132" s="40"/>
      <c r="BZ132" s="40"/>
      <c r="CA132" s="40"/>
      <c r="CB132" s="170" t="s">
        <v>513</v>
      </c>
      <c r="CC132" s="175">
        <v>14046</v>
      </c>
      <c r="CD132" s="154" t="s">
        <v>514</v>
      </c>
      <c r="CE132" s="175">
        <v>709920</v>
      </c>
      <c r="CF132" s="154" t="s">
        <v>515</v>
      </c>
      <c r="CG132" s="175" t="s">
        <v>516</v>
      </c>
    </row>
    <row r="133" spans="1:85" customFormat="1" ht="60" customHeight="1">
      <c r="A133" s="155"/>
      <c r="B133" s="155"/>
      <c r="C133" s="155"/>
      <c r="D133" s="274"/>
      <c r="E133" s="274"/>
      <c r="F133" s="274"/>
      <c r="G133" s="52"/>
      <c r="H133" s="155"/>
      <c r="I133" s="36"/>
      <c r="J133" s="36"/>
      <c r="K133" s="36"/>
      <c r="L133" s="36"/>
      <c r="M133" s="44"/>
      <c r="N133" s="44"/>
      <c r="O133" s="77"/>
      <c r="P133" s="77"/>
      <c r="Q133" s="155"/>
      <c r="R133" s="155"/>
      <c r="S133" s="155"/>
      <c r="T133" s="155"/>
      <c r="U133" s="155"/>
      <c r="V133" s="155"/>
      <c r="W133" s="155"/>
      <c r="X133" s="155"/>
      <c r="Y133" s="155"/>
      <c r="Z133" s="155"/>
      <c r="AA133" s="155"/>
      <c r="AB133" s="155"/>
      <c r="AC133" s="155"/>
      <c r="AD133" s="155"/>
      <c r="AE133" s="155"/>
      <c r="AF133" s="72" t="s">
        <v>517</v>
      </c>
      <c r="AG133" s="155"/>
      <c r="AH133" s="47"/>
      <c r="AI133" s="39"/>
      <c r="AJ133" s="39"/>
      <c r="AK133" s="155"/>
      <c r="AL133" s="47" t="s">
        <v>518</v>
      </c>
      <c r="AM133" s="36" t="s">
        <v>199</v>
      </c>
      <c r="AN133" s="48">
        <v>45782</v>
      </c>
      <c r="AO133" s="49">
        <v>14037</v>
      </c>
      <c r="AP133" s="36" t="s">
        <v>519</v>
      </c>
      <c r="AQ133" s="48">
        <v>45782</v>
      </c>
      <c r="AR133" s="48">
        <v>45965</v>
      </c>
      <c r="AS133" s="31"/>
      <c r="AT133" s="32"/>
      <c r="AU133" s="50"/>
      <c r="AV133" s="36"/>
      <c r="AW133" s="78"/>
      <c r="AX133" s="78"/>
      <c r="AY133" s="33"/>
      <c r="AZ133" s="34"/>
      <c r="BA133" s="35"/>
      <c r="BB133" s="35"/>
      <c r="BC133" s="79"/>
      <c r="BD133" s="80"/>
      <c r="BE133" s="80"/>
      <c r="BF133" s="35"/>
      <c r="BG133" s="36"/>
      <c r="BH133" s="35"/>
      <c r="BI133" s="35"/>
      <c r="BJ133" s="76">
        <v>254436</v>
      </c>
      <c r="BK133" s="76">
        <f>254436</f>
        <v>254436</v>
      </c>
      <c r="BL133" s="76"/>
      <c r="BM133" s="76"/>
      <c r="BN133" s="87">
        <f t="shared" si="4"/>
        <v>254436</v>
      </c>
      <c r="BO133" s="36"/>
      <c r="BP133" s="40"/>
      <c r="BQ133" s="40"/>
      <c r="BR133" s="40"/>
      <c r="BS133" s="40"/>
      <c r="BT133" s="40"/>
      <c r="BU133" s="40"/>
      <c r="BV133" s="40"/>
      <c r="BW133" s="40"/>
      <c r="BX133" s="40"/>
      <c r="BY133" s="40"/>
      <c r="BZ133" s="40"/>
      <c r="CA133" s="40"/>
      <c r="CB133" s="155"/>
      <c r="CC133" s="155"/>
      <c r="CD133" s="155"/>
      <c r="CE133" s="155"/>
      <c r="CF133" s="155"/>
      <c r="CG133" s="155"/>
    </row>
    <row r="134" spans="1:85" customFormat="1" ht="60" customHeight="1">
      <c r="A134" s="155"/>
      <c r="B134" s="155"/>
      <c r="C134" s="155"/>
      <c r="D134" s="274"/>
      <c r="E134" s="274"/>
      <c r="F134" s="274"/>
      <c r="G134" s="52"/>
      <c r="H134" s="155"/>
      <c r="I134" s="36"/>
      <c r="J134" s="36"/>
      <c r="K134" s="36"/>
      <c r="L134" s="36"/>
      <c r="M134" s="44"/>
      <c r="N134" s="44"/>
      <c r="O134" s="77"/>
      <c r="P134" s="77"/>
      <c r="Q134" s="155"/>
      <c r="R134" s="155"/>
      <c r="S134" s="155"/>
      <c r="T134" s="155"/>
      <c r="U134" s="155"/>
      <c r="V134" s="155"/>
      <c r="W134" s="155"/>
      <c r="X134" s="155"/>
      <c r="Y134" s="155"/>
      <c r="Z134" s="155"/>
      <c r="AA134" s="155"/>
      <c r="AB134" s="155"/>
      <c r="AC134" s="155"/>
      <c r="AD134" s="155"/>
      <c r="AE134" s="155"/>
      <c r="AF134" s="72"/>
      <c r="AG134" s="155"/>
      <c r="AH134" s="47"/>
      <c r="AI134" s="39"/>
      <c r="AJ134" s="39"/>
      <c r="AK134" s="155"/>
      <c r="AL134" s="47" t="s">
        <v>518</v>
      </c>
      <c r="AM134" s="36" t="s">
        <v>459</v>
      </c>
      <c r="AN134" s="48">
        <v>45966</v>
      </c>
      <c r="AO134" s="49">
        <v>14172</v>
      </c>
      <c r="AP134" s="36" t="s">
        <v>519</v>
      </c>
      <c r="AQ134" s="48">
        <v>45966</v>
      </c>
      <c r="AR134" s="48">
        <v>46146</v>
      </c>
      <c r="AS134" s="31"/>
      <c r="AT134" s="32"/>
      <c r="AU134" s="50"/>
      <c r="AV134" s="36"/>
      <c r="AW134" s="78"/>
      <c r="AX134" s="78"/>
      <c r="AY134" s="33"/>
      <c r="AZ134" s="34"/>
      <c r="BA134" s="35"/>
      <c r="BB134" s="35"/>
      <c r="BC134" s="79"/>
      <c r="BD134" s="80"/>
      <c r="BE134" s="80"/>
      <c r="BF134" s="35"/>
      <c r="BG134" s="36"/>
      <c r="BH134" s="35"/>
      <c r="BI134" s="35"/>
      <c r="BJ134" s="76"/>
      <c r="BK134" s="76"/>
      <c r="BL134" s="76"/>
      <c r="BM134" s="76"/>
      <c r="BN134" s="39"/>
      <c r="BO134" s="36"/>
      <c r="BP134" s="40"/>
      <c r="BQ134" s="40"/>
      <c r="BR134" s="40"/>
      <c r="BS134" s="40"/>
      <c r="BT134" s="40"/>
      <c r="BU134" s="40"/>
      <c r="BV134" s="40"/>
      <c r="BW134" s="40"/>
      <c r="BX134" s="40"/>
      <c r="BY134" s="40"/>
      <c r="BZ134" s="40"/>
      <c r="CA134" s="40"/>
      <c r="CB134" s="155"/>
      <c r="CC134" s="155"/>
      <c r="CD134" s="155"/>
      <c r="CE134" s="155"/>
      <c r="CF134" s="155"/>
      <c r="CG134" s="155"/>
    </row>
    <row r="135" spans="1:85" customFormat="1" ht="60" customHeight="1">
      <c r="A135" s="162"/>
      <c r="B135" s="162"/>
      <c r="C135" s="162"/>
      <c r="D135" s="276"/>
      <c r="E135" s="276"/>
      <c r="F135" s="276"/>
      <c r="G135" s="54"/>
      <c r="H135" s="162"/>
      <c r="I135" s="36"/>
      <c r="J135" s="36"/>
      <c r="K135" s="36"/>
      <c r="L135" s="36"/>
      <c r="M135" s="44"/>
      <c r="N135" s="44"/>
      <c r="O135" s="77"/>
      <c r="P135" s="77"/>
      <c r="Q135" s="162"/>
      <c r="R135" s="162"/>
      <c r="S135" s="162"/>
      <c r="T135" s="162"/>
      <c r="U135" s="162"/>
      <c r="V135" s="162"/>
      <c r="W135" s="162"/>
      <c r="X135" s="162"/>
      <c r="Y135" s="162"/>
      <c r="Z135" s="162"/>
      <c r="AA135" s="162"/>
      <c r="AB135" s="162"/>
      <c r="AC135" s="162"/>
      <c r="AD135" s="162"/>
      <c r="AE135" s="162"/>
      <c r="AF135" s="72" t="s">
        <v>275</v>
      </c>
      <c r="AG135" s="162"/>
      <c r="AH135" s="47"/>
      <c r="AI135" s="39"/>
      <c r="AJ135" s="39"/>
      <c r="AK135" s="162"/>
      <c r="AL135" s="47" t="s">
        <v>518</v>
      </c>
      <c r="AM135" s="36" t="s">
        <v>520</v>
      </c>
      <c r="AN135" s="48">
        <v>46146</v>
      </c>
      <c r="AO135" s="49">
        <v>14260</v>
      </c>
      <c r="AP135" s="36" t="s">
        <v>519</v>
      </c>
      <c r="AQ135" s="48">
        <v>46147</v>
      </c>
      <c r="AR135" s="48">
        <v>46330</v>
      </c>
      <c r="AS135" s="31"/>
      <c r="AT135" s="32"/>
      <c r="AU135" s="50"/>
      <c r="AV135" s="36"/>
      <c r="AW135" s="78"/>
      <c r="AX135" s="78"/>
      <c r="AY135" s="33"/>
      <c r="AZ135" s="34"/>
      <c r="BA135" s="35"/>
      <c r="BB135" s="35"/>
      <c r="BC135" s="79"/>
      <c r="BD135" s="80"/>
      <c r="BE135" s="80"/>
      <c r="BF135" s="35"/>
      <c r="BG135" s="36"/>
      <c r="BH135" s="35"/>
      <c r="BI135" s="35"/>
      <c r="BJ135" s="76"/>
      <c r="BK135" s="76"/>
      <c r="BL135" s="76"/>
      <c r="BM135" s="76"/>
      <c r="BN135" s="39"/>
      <c r="BO135" s="36"/>
      <c r="BP135" s="40"/>
      <c r="BQ135" s="40"/>
      <c r="BR135" s="40"/>
      <c r="BS135" s="40"/>
      <c r="BT135" s="40"/>
      <c r="BU135" s="40"/>
      <c r="BV135" s="40"/>
      <c r="BW135" s="40"/>
      <c r="BX135" s="40"/>
      <c r="BY135" s="40"/>
      <c r="BZ135" s="40"/>
      <c r="CA135" s="40"/>
      <c r="CB135" s="162"/>
      <c r="CC135" s="162"/>
      <c r="CD135" s="162"/>
      <c r="CE135" s="162"/>
      <c r="CF135" s="162"/>
      <c r="CG135" s="162"/>
    </row>
    <row r="136" spans="1:85" customFormat="1" ht="60" customHeight="1">
      <c r="A136" s="170">
        <v>50</v>
      </c>
      <c r="B136" s="171" t="s">
        <v>521</v>
      </c>
      <c r="C136" s="165" t="s">
        <v>522</v>
      </c>
      <c r="D136" s="273" t="s">
        <v>523</v>
      </c>
      <c r="E136" s="273"/>
      <c r="F136" s="273" t="s">
        <v>524</v>
      </c>
      <c r="G136" s="43"/>
      <c r="H136" s="169">
        <v>13740</v>
      </c>
      <c r="I136" s="163" t="s">
        <v>525</v>
      </c>
      <c r="J136" s="154"/>
      <c r="K136" s="154"/>
      <c r="L136" s="154"/>
      <c r="M136" s="44"/>
      <c r="N136" s="44"/>
      <c r="O136" s="77"/>
      <c r="P136" s="77"/>
      <c r="Q136" s="36"/>
      <c r="R136" s="36"/>
      <c r="S136" s="36"/>
      <c r="T136" s="49"/>
      <c r="U136" s="36"/>
      <c r="V136" s="40"/>
      <c r="W136" s="36"/>
      <c r="X136" s="35"/>
      <c r="Y136" s="163" t="s">
        <v>526</v>
      </c>
      <c r="Z136" s="165" t="s">
        <v>527</v>
      </c>
      <c r="AA136" s="165" t="s">
        <v>528</v>
      </c>
      <c r="AB136" s="161">
        <v>45714</v>
      </c>
      <c r="AC136" s="157">
        <v>13994</v>
      </c>
      <c r="AD136" s="161">
        <v>45714</v>
      </c>
      <c r="AE136" s="161">
        <v>46078</v>
      </c>
      <c r="AF136" s="72" t="s">
        <v>453</v>
      </c>
      <c r="AG136" s="154" t="s">
        <v>226</v>
      </c>
      <c r="AH136" s="47"/>
      <c r="AI136" s="39"/>
      <c r="AJ136" s="39"/>
      <c r="AK136" s="164">
        <v>19828.900000000001</v>
      </c>
      <c r="AL136" s="47"/>
      <c r="AM136" s="36"/>
      <c r="AN136" s="48"/>
      <c r="AO136" s="49"/>
      <c r="AP136" s="36"/>
      <c r="AQ136" s="48"/>
      <c r="AR136" s="48"/>
      <c r="AS136" s="31"/>
      <c r="AT136" s="32"/>
      <c r="AU136" s="50"/>
      <c r="AV136" s="36"/>
      <c r="AW136" s="78"/>
      <c r="AX136" s="78"/>
      <c r="AY136" s="31"/>
      <c r="AZ136" s="34"/>
      <c r="BA136" s="35"/>
      <c r="BB136" s="35"/>
      <c r="BC136" s="79"/>
      <c r="BD136" s="80"/>
      <c r="BE136" s="80"/>
      <c r="BF136" s="35"/>
      <c r="BG136" s="36"/>
      <c r="BH136" s="35"/>
      <c r="BI136" s="35">
        <v>19828.900000000001</v>
      </c>
      <c r="BJ136" s="76"/>
      <c r="BK136" s="76">
        <f>1200+560+5849.7+560+900+6302.4+840+892.5+900</f>
        <v>18004.599999999999</v>
      </c>
      <c r="BL136" s="76">
        <f>2767.45+8432.05+11199.5+1215.5</f>
        <v>23614.5</v>
      </c>
      <c r="BM136" s="76"/>
      <c r="BN136" s="39">
        <f t="shared" ref="BN136:BN165" si="5">BJ136+BL136</f>
        <v>23614.5</v>
      </c>
      <c r="BO136" s="36"/>
      <c r="BP136" s="40"/>
      <c r="BQ136" s="40"/>
      <c r="BR136" s="40"/>
      <c r="BS136" s="40"/>
      <c r="BT136" s="40"/>
      <c r="BU136" s="40"/>
      <c r="BV136" s="40"/>
      <c r="BW136" s="40"/>
      <c r="BX136" s="40"/>
      <c r="BY136" s="40"/>
      <c r="BZ136" s="40"/>
      <c r="CA136" s="40"/>
      <c r="CB136" s="170" t="s">
        <v>529</v>
      </c>
      <c r="CC136" s="175">
        <v>14003</v>
      </c>
      <c r="CD136" s="154" t="s">
        <v>230</v>
      </c>
      <c r="CE136" s="175">
        <v>713115</v>
      </c>
      <c r="CF136" s="154" t="s">
        <v>492</v>
      </c>
      <c r="CG136" s="175">
        <v>702751</v>
      </c>
    </row>
    <row r="137" spans="1:85" customFormat="1" ht="60" customHeight="1">
      <c r="A137" s="155"/>
      <c r="B137" s="155"/>
      <c r="C137" s="155"/>
      <c r="D137" s="274"/>
      <c r="E137" s="274"/>
      <c r="F137" s="274"/>
      <c r="G137" s="52"/>
      <c r="H137" s="155"/>
      <c r="I137" s="155"/>
      <c r="J137" s="155"/>
      <c r="K137" s="155"/>
      <c r="L137" s="155"/>
      <c r="M137" s="44"/>
      <c r="N137" s="44"/>
      <c r="O137" s="77"/>
      <c r="P137" s="77"/>
      <c r="Q137" s="36"/>
      <c r="R137" s="36"/>
      <c r="S137" s="36"/>
      <c r="T137" s="49"/>
      <c r="U137" s="36"/>
      <c r="V137" s="40"/>
      <c r="W137" s="36"/>
      <c r="X137" s="35"/>
      <c r="Y137" s="155"/>
      <c r="Z137" s="155"/>
      <c r="AA137" s="155"/>
      <c r="AB137" s="155"/>
      <c r="AC137" s="155"/>
      <c r="AD137" s="155"/>
      <c r="AE137" s="155"/>
      <c r="AF137" s="163" t="s">
        <v>232</v>
      </c>
      <c r="AG137" s="155"/>
      <c r="AH137" s="47"/>
      <c r="AI137" s="39"/>
      <c r="AJ137" s="39"/>
      <c r="AK137" s="155"/>
      <c r="AL137" s="47" t="s">
        <v>189</v>
      </c>
      <c r="AM137" s="36">
        <v>1</v>
      </c>
      <c r="AN137" s="48">
        <v>46043</v>
      </c>
      <c r="AO137" s="49">
        <v>14191</v>
      </c>
      <c r="AP137" s="36" t="s">
        <v>530</v>
      </c>
      <c r="AQ137" s="48"/>
      <c r="AR137" s="48"/>
      <c r="AS137" s="31"/>
      <c r="AT137" s="32"/>
      <c r="AU137" s="50"/>
      <c r="AV137" s="36"/>
      <c r="AW137" s="78"/>
      <c r="AX137" s="78"/>
      <c r="AY137" s="31">
        <f>BA137/BI136</f>
        <v>0.19088300410007614</v>
      </c>
      <c r="AZ137" s="34"/>
      <c r="BA137" s="35">
        <v>3785</v>
      </c>
      <c r="BB137" s="35"/>
      <c r="BC137" s="79"/>
      <c r="BD137" s="80"/>
      <c r="BE137" s="80"/>
      <c r="BF137" s="35"/>
      <c r="BG137" s="36"/>
      <c r="BH137" s="35"/>
      <c r="BI137" s="42">
        <f>BI136+BA137</f>
        <v>23613.9</v>
      </c>
      <c r="BJ137" s="76"/>
      <c r="BK137" s="76"/>
      <c r="BL137" s="76"/>
      <c r="BM137" s="76"/>
      <c r="BN137" s="39">
        <f t="shared" si="5"/>
        <v>0</v>
      </c>
      <c r="BO137" s="36"/>
      <c r="BP137" s="40"/>
      <c r="BQ137" s="40"/>
      <c r="BR137" s="40"/>
      <c r="BS137" s="40"/>
      <c r="BT137" s="40"/>
      <c r="BU137" s="40"/>
      <c r="BV137" s="40"/>
      <c r="BW137" s="40"/>
      <c r="BX137" s="40"/>
      <c r="BY137" s="40"/>
      <c r="BZ137" s="40"/>
      <c r="CA137" s="40"/>
      <c r="CB137" s="155"/>
      <c r="CC137" s="155"/>
      <c r="CD137" s="155"/>
      <c r="CE137" s="155"/>
      <c r="CF137" s="155"/>
      <c r="CG137" s="155"/>
    </row>
    <row r="138" spans="1:85" customFormat="1" ht="60" customHeight="1">
      <c r="A138" s="162"/>
      <c r="B138" s="162"/>
      <c r="C138" s="162"/>
      <c r="D138" s="276"/>
      <c r="E138" s="276"/>
      <c r="F138" s="276"/>
      <c r="G138" s="54"/>
      <c r="H138" s="162"/>
      <c r="I138" s="162"/>
      <c r="J138" s="162"/>
      <c r="K138" s="162"/>
      <c r="L138" s="162"/>
      <c r="M138" s="44"/>
      <c r="N138" s="44"/>
      <c r="O138" s="77"/>
      <c r="P138" s="77"/>
      <c r="Q138" s="36"/>
      <c r="R138" s="36"/>
      <c r="S138" s="36"/>
      <c r="T138" s="49"/>
      <c r="U138" s="36"/>
      <c r="V138" s="40"/>
      <c r="W138" s="36"/>
      <c r="X138" s="35"/>
      <c r="Y138" s="162"/>
      <c r="Z138" s="162"/>
      <c r="AA138" s="162"/>
      <c r="AB138" s="162"/>
      <c r="AC138" s="162"/>
      <c r="AD138" s="162"/>
      <c r="AE138" s="162"/>
      <c r="AF138" s="162"/>
      <c r="AG138" s="162"/>
      <c r="AH138" s="47"/>
      <c r="AI138" s="39"/>
      <c r="AJ138" s="39"/>
      <c r="AK138" s="156"/>
      <c r="AL138" s="47"/>
      <c r="AM138" s="36"/>
      <c r="AN138" s="48"/>
      <c r="AO138" s="49"/>
      <c r="AP138" s="36"/>
      <c r="AQ138" s="48"/>
      <c r="AR138" s="48"/>
      <c r="AS138" s="31"/>
      <c r="AT138" s="32"/>
      <c r="AU138" s="50"/>
      <c r="AV138" s="36"/>
      <c r="AW138" s="78"/>
      <c r="AX138" s="78"/>
      <c r="AY138" s="33"/>
      <c r="AZ138" s="34"/>
      <c r="BA138" s="35"/>
      <c r="BB138" s="35"/>
      <c r="BC138" s="79"/>
      <c r="BD138" s="80"/>
      <c r="BE138" s="80"/>
      <c r="BF138" s="35"/>
      <c r="BG138" s="36"/>
      <c r="BH138" s="35"/>
      <c r="BI138" s="35"/>
      <c r="BJ138" s="76"/>
      <c r="BK138" s="76"/>
      <c r="BL138" s="76"/>
      <c r="BM138" s="76"/>
      <c r="BN138" s="39">
        <f t="shared" si="5"/>
        <v>0</v>
      </c>
      <c r="BO138" s="36"/>
      <c r="BP138" s="40"/>
      <c r="BQ138" s="40"/>
      <c r="BR138" s="40"/>
      <c r="BS138" s="40"/>
      <c r="BT138" s="40"/>
      <c r="BU138" s="40"/>
      <c r="BV138" s="40"/>
      <c r="BW138" s="40"/>
      <c r="BX138" s="40"/>
      <c r="BY138" s="40"/>
      <c r="BZ138" s="40"/>
      <c r="CA138" s="40"/>
      <c r="CB138" s="162"/>
      <c r="CC138" s="162"/>
      <c r="CD138" s="162"/>
      <c r="CE138" s="162"/>
      <c r="CF138" s="162"/>
      <c r="CG138" s="162"/>
    </row>
    <row r="139" spans="1:85" customFormat="1" ht="80.099999999999994" customHeight="1">
      <c r="A139" s="170">
        <v>51</v>
      </c>
      <c r="B139" s="165" t="s">
        <v>531</v>
      </c>
      <c r="C139" s="165" t="s">
        <v>357</v>
      </c>
      <c r="D139" s="273" t="s">
        <v>434</v>
      </c>
      <c r="E139" s="273" t="s">
        <v>180</v>
      </c>
      <c r="F139" s="273" t="s">
        <v>532</v>
      </c>
      <c r="G139" s="59"/>
      <c r="H139" s="169" t="s">
        <v>533</v>
      </c>
      <c r="I139" s="154" t="s">
        <v>534</v>
      </c>
      <c r="J139" s="161">
        <v>46147</v>
      </c>
      <c r="K139" s="161">
        <v>46512</v>
      </c>
      <c r="L139" s="157">
        <v>14261</v>
      </c>
      <c r="M139" s="81"/>
      <c r="N139" s="81"/>
      <c r="O139" s="82"/>
      <c r="P139" s="82"/>
      <c r="Q139" s="60"/>
      <c r="R139" s="60"/>
      <c r="S139" s="60"/>
      <c r="T139" s="62"/>
      <c r="U139" s="60"/>
      <c r="V139" s="69"/>
      <c r="W139" s="60"/>
      <c r="X139" s="67"/>
      <c r="Y139" s="163" t="s">
        <v>535</v>
      </c>
      <c r="Z139" s="165" t="s">
        <v>536</v>
      </c>
      <c r="AA139" s="165" t="s">
        <v>537</v>
      </c>
      <c r="AB139" s="161">
        <v>46066</v>
      </c>
      <c r="AC139" s="157">
        <v>14210</v>
      </c>
      <c r="AD139" s="161">
        <v>46066</v>
      </c>
      <c r="AE139" s="161">
        <v>46430</v>
      </c>
      <c r="AF139" s="72" t="s">
        <v>538</v>
      </c>
      <c r="AG139" s="154" t="s">
        <v>539</v>
      </c>
      <c r="AH139" s="47"/>
      <c r="AI139" s="57"/>
      <c r="AJ139" s="57"/>
      <c r="AK139" s="164">
        <v>60991.34</v>
      </c>
      <c r="AL139" s="56"/>
      <c r="AM139" s="60"/>
      <c r="AN139" s="61"/>
      <c r="AO139" s="62"/>
      <c r="AP139" s="60"/>
      <c r="AQ139" s="61"/>
      <c r="AR139" s="61"/>
      <c r="AS139" s="63"/>
      <c r="AT139" s="64"/>
      <c r="AU139" s="68"/>
      <c r="AV139" s="60"/>
      <c r="AW139" s="83"/>
      <c r="AX139" s="83"/>
      <c r="AY139" s="65"/>
      <c r="AZ139" s="66"/>
      <c r="BA139" s="67"/>
      <c r="BB139" s="67"/>
      <c r="BC139" s="84"/>
      <c r="BD139" s="85"/>
      <c r="BE139" s="85"/>
      <c r="BF139" s="67"/>
      <c r="BG139" s="60"/>
      <c r="BH139" s="67"/>
      <c r="BI139" s="42">
        <f>AK139</f>
        <v>60991.34</v>
      </c>
      <c r="BJ139" s="76"/>
      <c r="BK139" s="76">
        <f>1350+1800+1125+675</f>
        <v>4950</v>
      </c>
      <c r="BL139" s="76">
        <f>18224.82</f>
        <v>18224.82</v>
      </c>
      <c r="BM139" s="76"/>
      <c r="BN139" s="39">
        <f t="shared" si="5"/>
        <v>18224.82</v>
      </c>
      <c r="BO139" s="60"/>
      <c r="BP139" s="69"/>
      <c r="BQ139" s="69"/>
      <c r="BR139" s="69"/>
      <c r="BS139" s="69"/>
      <c r="BT139" s="69"/>
      <c r="BU139" s="69"/>
      <c r="BV139" s="69"/>
      <c r="BW139" s="69"/>
      <c r="BX139" s="69"/>
      <c r="BY139" s="69"/>
      <c r="BZ139" s="69"/>
      <c r="CA139" s="69"/>
      <c r="CB139" s="170" t="s">
        <v>540</v>
      </c>
      <c r="CC139" s="175">
        <v>14213</v>
      </c>
      <c r="CD139" s="154" t="s">
        <v>541</v>
      </c>
      <c r="CE139" s="175">
        <v>714543</v>
      </c>
      <c r="CF139" s="154" t="s">
        <v>366</v>
      </c>
      <c r="CG139" s="175" t="s">
        <v>542</v>
      </c>
    </row>
    <row r="140" spans="1:85" customFormat="1" ht="80.099999999999994" customHeight="1">
      <c r="A140" s="162"/>
      <c r="B140" s="162"/>
      <c r="C140" s="162"/>
      <c r="D140" s="276"/>
      <c r="E140" s="276"/>
      <c r="F140" s="276"/>
      <c r="G140" s="71"/>
      <c r="H140" s="162"/>
      <c r="I140" s="162"/>
      <c r="J140" s="162"/>
      <c r="K140" s="162"/>
      <c r="L140" s="162"/>
      <c r="M140" s="81"/>
      <c r="N140" s="81"/>
      <c r="O140" s="82"/>
      <c r="P140" s="82"/>
      <c r="Q140" s="60"/>
      <c r="R140" s="60"/>
      <c r="S140" s="60"/>
      <c r="T140" s="62"/>
      <c r="U140" s="60"/>
      <c r="V140" s="69"/>
      <c r="W140" s="60"/>
      <c r="X140" s="67"/>
      <c r="Y140" s="162"/>
      <c r="Z140" s="162"/>
      <c r="AA140" s="162"/>
      <c r="AB140" s="162"/>
      <c r="AC140" s="162"/>
      <c r="AD140" s="162"/>
      <c r="AE140" s="162"/>
      <c r="AF140" s="72" t="s">
        <v>543</v>
      </c>
      <c r="AG140" s="162"/>
      <c r="AH140" s="47"/>
      <c r="AI140" s="57"/>
      <c r="AJ140" s="57"/>
      <c r="AK140" s="162"/>
      <c r="AL140" s="56"/>
      <c r="AM140" s="60"/>
      <c r="AN140" s="61"/>
      <c r="AO140" s="62"/>
      <c r="AP140" s="60"/>
      <c r="AQ140" s="61"/>
      <c r="AR140" s="61"/>
      <c r="AS140" s="63"/>
      <c r="AT140" s="64"/>
      <c r="AU140" s="68"/>
      <c r="AV140" s="60"/>
      <c r="AW140" s="83"/>
      <c r="AX140" s="83"/>
      <c r="AY140" s="65"/>
      <c r="AZ140" s="66"/>
      <c r="BA140" s="67"/>
      <c r="BB140" s="67"/>
      <c r="BC140" s="84"/>
      <c r="BD140" s="85"/>
      <c r="BE140" s="85"/>
      <c r="BF140" s="67"/>
      <c r="BG140" s="60"/>
      <c r="BH140" s="67"/>
      <c r="BI140" s="35"/>
      <c r="BJ140" s="76"/>
      <c r="BK140" s="76"/>
      <c r="BL140" s="76"/>
      <c r="BM140" s="76"/>
      <c r="BN140" s="39">
        <f t="shared" si="5"/>
        <v>0</v>
      </c>
      <c r="BO140" s="60"/>
      <c r="BP140" s="69"/>
      <c r="BQ140" s="69"/>
      <c r="BR140" s="69"/>
      <c r="BS140" s="69"/>
      <c r="BT140" s="69"/>
      <c r="BU140" s="69"/>
      <c r="BV140" s="69"/>
      <c r="BW140" s="69"/>
      <c r="BX140" s="69"/>
      <c r="BY140" s="69"/>
      <c r="BZ140" s="69"/>
      <c r="CA140" s="69"/>
      <c r="CB140" s="162"/>
      <c r="CC140" s="162"/>
      <c r="CD140" s="162"/>
      <c r="CE140" s="162"/>
      <c r="CF140" s="162"/>
      <c r="CG140" s="162"/>
    </row>
    <row r="141" spans="1:85" customFormat="1" ht="60" customHeight="1">
      <c r="A141" s="170">
        <v>52</v>
      </c>
      <c r="B141" s="165" t="s">
        <v>531</v>
      </c>
      <c r="C141" s="165" t="s">
        <v>357</v>
      </c>
      <c r="D141" s="273" t="s">
        <v>434</v>
      </c>
      <c r="E141" s="273" t="s">
        <v>180</v>
      </c>
      <c r="F141" s="273" t="s">
        <v>544</v>
      </c>
      <c r="G141" s="59"/>
      <c r="H141" s="169" t="s">
        <v>533</v>
      </c>
      <c r="I141" s="163" t="s">
        <v>359</v>
      </c>
      <c r="J141" s="161">
        <v>46056</v>
      </c>
      <c r="K141" s="161">
        <v>46421</v>
      </c>
      <c r="L141" s="157">
        <v>14201</v>
      </c>
      <c r="M141" s="81"/>
      <c r="N141" s="81"/>
      <c r="O141" s="82"/>
      <c r="P141" s="82"/>
      <c r="Q141" s="60"/>
      <c r="R141" s="60"/>
      <c r="S141" s="60"/>
      <c r="T141" s="62"/>
      <c r="U141" s="60"/>
      <c r="V141" s="69"/>
      <c r="W141" s="60"/>
      <c r="X141" s="67"/>
      <c r="Y141" s="163" t="s">
        <v>545</v>
      </c>
      <c r="Z141" s="165" t="s">
        <v>546</v>
      </c>
      <c r="AA141" s="165" t="s">
        <v>547</v>
      </c>
      <c r="AB141" s="161">
        <v>46066</v>
      </c>
      <c r="AC141" s="157">
        <v>14210</v>
      </c>
      <c r="AD141" s="161">
        <v>46066</v>
      </c>
      <c r="AE141" s="161">
        <v>46430</v>
      </c>
      <c r="AF141" s="72" t="s">
        <v>538</v>
      </c>
      <c r="AG141" s="154" t="s">
        <v>539</v>
      </c>
      <c r="AH141" s="56"/>
      <c r="AI141" s="57"/>
      <c r="AJ141" s="57"/>
      <c r="AK141" s="164">
        <v>62550</v>
      </c>
      <c r="AL141" s="56"/>
      <c r="AM141" s="60"/>
      <c r="AN141" s="61"/>
      <c r="AO141" s="62"/>
      <c r="AP141" s="60"/>
      <c r="AQ141" s="61"/>
      <c r="AR141" s="61"/>
      <c r="AS141" s="63"/>
      <c r="AT141" s="64"/>
      <c r="AU141" s="68"/>
      <c r="AV141" s="60"/>
      <c r="AW141" s="83"/>
      <c r="AX141" s="83"/>
      <c r="AY141" s="65"/>
      <c r="AZ141" s="66"/>
      <c r="BA141" s="67"/>
      <c r="BB141" s="67"/>
      <c r="BC141" s="84"/>
      <c r="BD141" s="85"/>
      <c r="BE141" s="85"/>
      <c r="BF141" s="67"/>
      <c r="BG141" s="60"/>
      <c r="BH141" s="67"/>
      <c r="BI141" s="42">
        <f>AK141</f>
        <v>62550</v>
      </c>
      <c r="BJ141" s="76"/>
      <c r="BK141" s="76">
        <f>1350+1800+1125+675</f>
        <v>4950</v>
      </c>
      <c r="BL141" s="76">
        <f>62550</f>
        <v>62550</v>
      </c>
      <c r="BM141" s="76"/>
      <c r="BN141" s="39">
        <f t="shared" si="5"/>
        <v>62550</v>
      </c>
      <c r="BO141" s="60"/>
      <c r="BP141" s="69"/>
      <c r="BQ141" s="69"/>
      <c r="BR141" s="69"/>
      <c r="BS141" s="69"/>
      <c r="BT141" s="69"/>
      <c r="BU141" s="69"/>
      <c r="BV141" s="69"/>
      <c r="BW141" s="69"/>
      <c r="BX141" s="69"/>
      <c r="BY141" s="69"/>
      <c r="BZ141" s="69"/>
      <c r="CA141" s="69"/>
      <c r="CB141" s="170" t="s">
        <v>548</v>
      </c>
      <c r="CC141" s="175">
        <v>14213</v>
      </c>
      <c r="CD141" s="154" t="s">
        <v>541</v>
      </c>
      <c r="CE141" s="175">
        <v>714543</v>
      </c>
      <c r="CF141" s="154" t="s">
        <v>366</v>
      </c>
      <c r="CG141" s="175" t="s">
        <v>542</v>
      </c>
    </row>
    <row r="142" spans="1:85" customFormat="1" ht="60" customHeight="1">
      <c r="A142" s="162"/>
      <c r="B142" s="162"/>
      <c r="C142" s="162"/>
      <c r="D142" s="276"/>
      <c r="E142" s="276"/>
      <c r="F142" s="276"/>
      <c r="G142" s="71"/>
      <c r="H142" s="162"/>
      <c r="I142" s="162"/>
      <c r="J142" s="162"/>
      <c r="K142" s="162"/>
      <c r="L142" s="162"/>
      <c r="M142" s="81"/>
      <c r="N142" s="81"/>
      <c r="O142" s="82"/>
      <c r="P142" s="82"/>
      <c r="Q142" s="60"/>
      <c r="R142" s="60"/>
      <c r="S142" s="60"/>
      <c r="T142" s="62"/>
      <c r="U142" s="60"/>
      <c r="V142" s="69"/>
      <c r="W142" s="60"/>
      <c r="X142" s="67"/>
      <c r="Y142" s="162"/>
      <c r="Z142" s="162"/>
      <c r="AA142" s="162"/>
      <c r="AB142" s="162"/>
      <c r="AC142" s="162"/>
      <c r="AD142" s="162"/>
      <c r="AE142" s="162"/>
      <c r="AF142" s="72" t="s">
        <v>543</v>
      </c>
      <c r="AG142" s="162"/>
      <c r="AH142" s="56"/>
      <c r="AI142" s="57"/>
      <c r="AJ142" s="57"/>
      <c r="AK142" s="162"/>
      <c r="AL142" s="56"/>
      <c r="AM142" s="60"/>
      <c r="AN142" s="61"/>
      <c r="AO142" s="62"/>
      <c r="AP142" s="60"/>
      <c r="AQ142" s="61"/>
      <c r="AR142" s="61"/>
      <c r="AS142" s="63"/>
      <c r="AT142" s="64"/>
      <c r="AU142" s="68"/>
      <c r="AV142" s="60"/>
      <c r="AW142" s="83"/>
      <c r="AX142" s="83"/>
      <c r="AY142" s="65"/>
      <c r="AZ142" s="66"/>
      <c r="BA142" s="67"/>
      <c r="BB142" s="67"/>
      <c r="BC142" s="84"/>
      <c r="BD142" s="85"/>
      <c r="BE142" s="85"/>
      <c r="BF142" s="67"/>
      <c r="BG142" s="60"/>
      <c r="BH142" s="67"/>
      <c r="BI142" s="35"/>
      <c r="BJ142" s="76"/>
      <c r="BK142" s="76"/>
      <c r="BL142" s="76"/>
      <c r="BM142" s="76"/>
      <c r="BN142" s="39">
        <f t="shared" si="5"/>
        <v>0</v>
      </c>
      <c r="BO142" s="60"/>
      <c r="BP142" s="69"/>
      <c r="BQ142" s="69"/>
      <c r="BR142" s="69"/>
      <c r="BS142" s="69"/>
      <c r="BT142" s="69"/>
      <c r="BU142" s="69"/>
      <c r="BV142" s="69"/>
      <c r="BW142" s="69"/>
      <c r="BX142" s="69"/>
      <c r="BY142" s="69"/>
      <c r="BZ142" s="69"/>
      <c r="CA142" s="69"/>
      <c r="CB142" s="162"/>
      <c r="CC142" s="162"/>
      <c r="CD142" s="162"/>
      <c r="CE142" s="162"/>
      <c r="CF142" s="162"/>
      <c r="CG142" s="162"/>
    </row>
    <row r="143" spans="1:85" customFormat="1" ht="60" customHeight="1">
      <c r="A143" s="170">
        <v>53</v>
      </c>
      <c r="B143" s="165" t="s">
        <v>531</v>
      </c>
      <c r="C143" s="165" t="s">
        <v>357</v>
      </c>
      <c r="D143" s="273" t="s">
        <v>434</v>
      </c>
      <c r="E143" s="273" t="s">
        <v>180</v>
      </c>
      <c r="F143" s="273" t="s">
        <v>544</v>
      </c>
      <c r="G143" s="59"/>
      <c r="H143" s="169" t="s">
        <v>533</v>
      </c>
      <c r="I143" s="163" t="s">
        <v>359</v>
      </c>
      <c r="J143" s="161">
        <v>46056</v>
      </c>
      <c r="K143" s="161">
        <v>46421</v>
      </c>
      <c r="L143" s="157">
        <v>14201</v>
      </c>
      <c r="M143" s="81"/>
      <c r="N143" s="81"/>
      <c r="O143" s="82"/>
      <c r="P143" s="82"/>
      <c r="Q143" s="60"/>
      <c r="R143" s="60"/>
      <c r="S143" s="60"/>
      <c r="T143" s="62"/>
      <c r="U143" s="60"/>
      <c r="V143" s="69"/>
      <c r="W143" s="60"/>
      <c r="X143" s="67"/>
      <c r="Y143" s="163" t="s">
        <v>549</v>
      </c>
      <c r="Z143" s="165" t="s">
        <v>550</v>
      </c>
      <c r="AA143" s="165" t="s">
        <v>551</v>
      </c>
      <c r="AB143" s="161">
        <v>46066</v>
      </c>
      <c r="AC143" s="157">
        <v>14210</v>
      </c>
      <c r="AD143" s="161">
        <v>46066</v>
      </c>
      <c r="AE143" s="161">
        <v>46430</v>
      </c>
      <c r="AF143" s="72" t="s">
        <v>538</v>
      </c>
      <c r="AG143" s="154" t="s">
        <v>539</v>
      </c>
      <c r="AH143" s="56"/>
      <c r="AI143" s="57"/>
      <c r="AJ143" s="57"/>
      <c r="AK143" s="164">
        <v>196542.56</v>
      </c>
      <c r="AL143" s="56"/>
      <c r="AM143" s="60"/>
      <c r="AN143" s="61"/>
      <c r="AO143" s="62"/>
      <c r="AP143" s="60"/>
      <c r="AQ143" s="61"/>
      <c r="AR143" s="61"/>
      <c r="AS143" s="63"/>
      <c r="AT143" s="64"/>
      <c r="AU143" s="68"/>
      <c r="AV143" s="60"/>
      <c r="AW143" s="83"/>
      <c r="AX143" s="83"/>
      <c r="AY143" s="65"/>
      <c r="AZ143" s="66"/>
      <c r="BA143" s="67"/>
      <c r="BB143" s="67"/>
      <c r="BC143" s="84"/>
      <c r="BD143" s="85"/>
      <c r="BE143" s="85"/>
      <c r="BF143" s="67"/>
      <c r="BG143" s="60"/>
      <c r="BH143" s="67"/>
      <c r="BI143" s="42">
        <f>AK143</f>
        <v>196542.56</v>
      </c>
      <c r="BJ143" s="76"/>
      <c r="BK143" s="76">
        <f>1350+1800+1125+675</f>
        <v>4950</v>
      </c>
      <c r="BL143" s="76">
        <f>196542.56</f>
        <v>196542.56</v>
      </c>
      <c r="BM143" s="76"/>
      <c r="BN143" s="39">
        <f t="shared" si="5"/>
        <v>196542.56</v>
      </c>
      <c r="BO143" s="60"/>
      <c r="BP143" s="69"/>
      <c r="BQ143" s="69"/>
      <c r="BR143" s="69"/>
      <c r="BS143" s="69"/>
      <c r="BT143" s="69"/>
      <c r="BU143" s="69"/>
      <c r="BV143" s="69"/>
      <c r="BW143" s="69"/>
      <c r="BX143" s="69"/>
      <c r="BY143" s="69"/>
      <c r="BZ143" s="69"/>
      <c r="CA143" s="69"/>
      <c r="CB143" s="170" t="s">
        <v>552</v>
      </c>
      <c r="CC143" s="175">
        <v>14213</v>
      </c>
      <c r="CD143" s="154" t="s">
        <v>541</v>
      </c>
      <c r="CE143" s="175">
        <v>714543</v>
      </c>
      <c r="CF143" s="154" t="s">
        <v>366</v>
      </c>
      <c r="CG143" s="175" t="s">
        <v>542</v>
      </c>
    </row>
    <row r="144" spans="1:85" customFormat="1" ht="60" customHeight="1">
      <c r="A144" s="162"/>
      <c r="B144" s="162"/>
      <c r="C144" s="162"/>
      <c r="D144" s="276"/>
      <c r="E144" s="276"/>
      <c r="F144" s="276"/>
      <c r="G144" s="71"/>
      <c r="H144" s="162"/>
      <c r="I144" s="162"/>
      <c r="J144" s="162"/>
      <c r="K144" s="162"/>
      <c r="L144" s="162"/>
      <c r="M144" s="81"/>
      <c r="N144" s="81"/>
      <c r="O144" s="82"/>
      <c r="P144" s="82"/>
      <c r="Q144" s="60"/>
      <c r="R144" s="60"/>
      <c r="S144" s="60"/>
      <c r="T144" s="62"/>
      <c r="U144" s="60"/>
      <c r="V144" s="69"/>
      <c r="W144" s="60"/>
      <c r="X144" s="67"/>
      <c r="Y144" s="162"/>
      <c r="Z144" s="162"/>
      <c r="AA144" s="162"/>
      <c r="AB144" s="162"/>
      <c r="AC144" s="162"/>
      <c r="AD144" s="162"/>
      <c r="AE144" s="162"/>
      <c r="AF144" s="72" t="s">
        <v>543</v>
      </c>
      <c r="AG144" s="162"/>
      <c r="AH144" s="56"/>
      <c r="AI144" s="57"/>
      <c r="AJ144" s="57"/>
      <c r="AK144" s="162"/>
      <c r="AL144" s="56"/>
      <c r="AM144" s="60"/>
      <c r="AN144" s="61"/>
      <c r="AO144" s="62"/>
      <c r="AP144" s="60"/>
      <c r="AQ144" s="61"/>
      <c r="AR144" s="61"/>
      <c r="AS144" s="63"/>
      <c r="AT144" s="64"/>
      <c r="AU144" s="68"/>
      <c r="AV144" s="60"/>
      <c r="AW144" s="83"/>
      <c r="AX144" s="83"/>
      <c r="AY144" s="65"/>
      <c r="AZ144" s="66"/>
      <c r="BA144" s="67"/>
      <c r="BB144" s="67"/>
      <c r="BC144" s="84"/>
      <c r="BD144" s="85"/>
      <c r="BE144" s="85"/>
      <c r="BF144" s="67"/>
      <c r="BG144" s="60"/>
      <c r="BH144" s="67"/>
      <c r="BI144" s="35"/>
      <c r="BJ144" s="76"/>
      <c r="BK144" s="76"/>
      <c r="BL144" s="76"/>
      <c r="BM144" s="76"/>
      <c r="BN144" s="39">
        <f t="shared" si="5"/>
        <v>0</v>
      </c>
      <c r="BO144" s="60"/>
      <c r="BP144" s="69"/>
      <c r="BQ144" s="69"/>
      <c r="BR144" s="69"/>
      <c r="BS144" s="69"/>
      <c r="BT144" s="69"/>
      <c r="BU144" s="69"/>
      <c r="BV144" s="69"/>
      <c r="BW144" s="69"/>
      <c r="BX144" s="69"/>
      <c r="BY144" s="69"/>
      <c r="BZ144" s="69"/>
      <c r="CA144" s="69"/>
      <c r="CB144" s="162"/>
      <c r="CC144" s="162"/>
      <c r="CD144" s="162"/>
      <c r="CE144" s="162"/>
      <c r="CF144" s="162"/>
      <c r="CG144" s="162"/>
    </row>
    <row r="145" spans="1:85" customFormat="1" ht="60" customHeight="1">
      <c r="A145" s="170">
        <v>54</v>
      </c>
      <c r="B145" s="165" t="s">
        <v>553</v>
      </c>
      <c r="C145" s="165" t="s">
        <v>554</v>
      </c>
      <c r="D145" s="273" t="s">
        <v>434</v>
      </c>
      <c r="E145" s="273" t="s">
        <v>555</v>
      </c>
      <c r="F145" s="273" t="s">
        <v>556</v>
      </c>
      <c r="G145" s="59"/>
      <c r="H145" s="200"/>
      <c r="I145" s="154" t="s">
        <v>557</v>
      </c>
      <c r="J145" s="161">
        <v>46082</v>
      </c>
      <c r="K145" s="161">
        <v>46447</v>
      </c>
      <c r="L145" s="154"/>
      <c r="M145" s="81"/>
      <c r="N145" s="81"/>
      <c r="O145" s="82"/>
      <c r="P145" s="82"/>
      <c r="Q145" s="60"/>
      <c r="R145" s="60"/>
      <c r="S145" s="60"/>
      <c r="T145" s="62"/>
      <c r="U145" s="60"/>
      <c r="V145" s="69"/>
      <c r="W145" s="60"/>
      <c r="X145" s="67"/>
      <c r="Y145" s="163" t="s">
        <v>558</v>
      </c>
      <c r="Z145" s="165" t="s">
        <v>559</v>
      </c>
      <c r="AA145" s="165" t="s">
        <v>560</v>
      </c>
      <c r="AB145" s="161">
        <v>46041</v>
      </c>
      <c r="AC145" s="157">
        <v>14202</v>
      </c>
      <c r="AD145" s="161">
        <v>46041</v>
      </c>
      <c r="AE145" s="161">
        <v>46405</v>
      </c>
      <c r="AF145" s="163" t="s">
        <v>225</v>
      </c>
      <c r="AG145" s="154" t="s">
        <v>561</v>
      </c>
      <c r="AH145" s="56"/>
      <c r="AI145" s="57"/>
      <c r="AJ145" s="57"/>
      <c r="AK145" s="164">
        <v>2238647.21</v>
      </c>
      <c r="AL145" s="56"/>
      <c r="AM145" s="60"/>
      <c r="AN145" s="61"/>
      <c r="AO145" s="62"/>
      <c r="AP145" s="60"/>
      <c r="AQ145" s="61"/>
      <c r="AR145" s="61"/>
      <c r="AS145" s="63"/>
      <c r="AT145" s="64"/>
      <c r="AU145" s="68"/>
      <c r="AV145" s="60"/>
      <c r="AW145" s="83"/>
      <c r="AX145" s="83"/>
      <c r="AY145" s="65"/>
      <c r="AZ145" s="66"/>
      <c r="BA145" s="67"/>
      <c r="BB145" s="67"/>
      <c r="BC145" s="84"/>
      <c r="BD145" s="85"/>
      <c r="BE145" s="85"/>
      <c r="BF145" s="67"/>
      <c r="BG145" s="60"/>
      <c r="BH145" s="67"/>
      <c r="BI145" s="42"/>
      <c r="BJ145" s="76"/>
      <c r="BK145" s="76">
        <f>1350+1800+1125+675</f>
        <v>4950</v>
      </c>
      <c r="BL145" s="76">
        <f>1269538.17</f>
        <v>1269538.17</v>
      </c>
      <c r="BM145" s="76"/>
      <c r="BN145" s="39"/>
      <c r="BO145" s="60"/>
      <c r="BP145" s="69"/>
      <c r="BQ145" s="69"/>
      <c r="BR145" s="69"/>
      <c r="BS145" s="69"/>
      <c r="BT145" s="69"/>
      <c r="BU145" s="69"/>
      <c r="BV145" s="69"/>
      <c r="BW145" s="69"/>
      <c r="BX145" s="69"/>
      <c r="BY145" s="69"/>
      <c r="BZ145" s="69"/>
      <c r="CA145" s="69"/>
      <c r="CB145" s="170" t="s">
        <v>562</v>
      </c>
      <c r="CC145" s="175">
        <v>14205</v>
      </c>
      <c r="CD145" s="154" t="s">
        <v>541</v>
      </c>
      <c r="CE145" s="175">
        <v>714543</v>
      </c>
      <c r="CF145" s="154" t="s">
        <v>563</v>
      </c>
      <c r="CG145" s="175">
        <v>713519</v>
      </c>
    </row>
    <row r="146" spans="1:85" customFormat="1" ht="60" customHeight="1">
      <c r="A146" s="162"/>
      <c r="B146" s="162"/>
      <c r="C146" s="162"/>
      <c r="D146" s="276"/>
      <c r="E146" s="276"/>
      <c r="F146" s="276"/>
      <c r="G146" s="71"/>
      <c r="H146" s="162"/>
      <c r="I146" s="162"/>
      <c r="J146" s="162"/>
      <c r="K146" s="162"/>
      <c r="L146" s="162"/>
      <c r="M146" s="81"/>
      <c r="N146" s="81"/>
      <c r="O146" s="82"/>
      <c r="P146" s="82"/>
      <c r="Q146" s="60" t="s">
        <v>276</v>
      </c>
      <c r="R146" s="60"/>
      <c r="S146" s="60"/>
      <c r="T146" s="62"/>
      <c r="U146" s="60"/>
      <c r="V146" s="69"/>
      <c r="W146" s="60"/>
      <c r="X146" s="67"/>
      <c r="Y146" s="162"/>
      <c r="Z146" s="162"/>
      <c r="AA146" s="162"/>
      <c r="AB146" s="162"/>
      <c r="AC146" s="162"/>
      <c r="AD146" s="162"/>
      <c r="AE146" s="162"/>
      <c r="AF146" s="162"/>
      <c r="AG146" s="162"/>
      <c r="AH146" s="56"/>
      <c r="AI146" s="57"/>
      <c r="AJ146" s="57"/>
      <c r="AK146" s="162"/>
      <c r="AL146" s="56"/>
      <c r="AM146" s="60"/>
      <c r="AN146" s="61"/>
      <c r="AO146" s="62"/>
      <c r="AP146" s="60"/>
      <c r="AQ146" s="61"/>
      <c r="AR146" s="61"/>
      <c r="AS146" s="63"/>
      <c r="AT146" s="64"/>
      <c r="AU146" s="68"/>
      <c r="AV146" s="60"/>
      <c r="AW146" s="83"/>
      <c r="AX146" s="83"/>
      <c r="AY146" s="65"/>
      <c r="AZ146" s="66"/>
      <c r="BA146" s="67"/>
      <c r="BB146" s="67"/>
      <c r="BC146" s="84"/>
      <c r="BD146" s="85"/>
      <c r="BE146" s="85"/>
      <c r="BF146" s="67"/>
      <c r="BG146" s="60"/>
      <c r="BH146" s="67"/>
      <c r="BI146" s="35"/>
      <c r="BJ146" s="76"/>
      <c r="BK146" s="76"/>
      <c r="BL146" s="76"/>
      <c r="BM146" s="76"/>
      <c r="BN146" s="39">
        <f t="shared" si="5"/>
        <v>0</v>
      </c>
      <c r="BO146" s="60"/>
      <c r="BP146" s="69"/>
      <c r="BQ146" s="69"/>
      <c r="BR146" s="69"/>
      <c r="BS146" s="69"/>
      <c r="BT146" s="69"/>
      <c r="BU146" s="69"/>
      <c r="BV146" s="69"/>
      <c r="BW146" s="69"/>
      <c r="BX146" s="69"/>
      <c r="BY146" s="69"/>
      <c r="BZ146" s="69"/>
      <c r="CA146" s="69"/>
      <c r="CB146" s="162"/>
      <c r="CC146" s="162"/>
      <c r="CD146" s="162"/>
      <c r="CE146" s="162"/>
      <c r="CF146" s="162"/>
      <c r="CG146" s="162"/>
    </row>
    <row r="147" spans="1:85" customFormat="1" ht="60" customHeight="1">
      <c r="A147" s="170">
        <v>55</v>
      </c>
      <c r="B147" s="171" t="s">
        <v>564</v>
      </c>
      <c r="C147" s="165" t="s">
        <v>565</v>
      </c>
      <c r="D147" s="273" t="s">
        <v>434</v>
      </c>
      <c r="E147" s="273" t="s">
        <v>180</v>
      </c>
      <c r="F147" s="273" t="s">
        <v>566</v>
      </c>
      <c r="G147" s="59"/>
      <c r="H147" s="169">
        <v>14002</v>
      </c>
      <c r="I147" s="163" t="s">
        <v>321</v>
      </c>
      <c r="J147" s="163" t="s">
        <v>567</v>
      </c>
      <c r="K147" s="163" t="s">
        <v>568</v>
      </c>
      <c r="L147" s="163" t="s">
        <v>569</v>
      </c>
      <c r="M147" s="81"/>
      <c r="N147" s="81"/>
      <c r="O147" s="82"/>
      <c r="P147" s="82"/>
      <c r="Q147" s="60"/>
      <c r="R147" s="60"/>
      <c r="S147" s="60"/>
      <c r="T147" s="62"/>
      <c r="U147" s="60"/>
      <c r="V147" s="69"/>
      <c r="W147" s="60"/>
      <c r="X147" s="67"/>
      <c r="Y147" s="163" t="s">
        <v>570</v>
      </c>
      <c r="Z147" s="165" t="s">
        <v>571</v>
      </c>
      <c r="AA147" s="165" t="s">
        <v>572</v>
      </c>
      <c r="AB147" s="161">
        <v>46055</v>
      </c>
      <c r="AC147" s="157">
        <v>14201</v>
      </c>
      <c r="AD147" s="161">
        <v>46055</v>
      </c>
      <c r="AE147" s="161">
        <v>46419</v>
      </c>
      <c r="AF147" s="72" t="s">
        <v>225</v>
      </c>
      <c r="AG147" s="154" t="s">
        <v>226</v>
      </c>
      <c r="AH147" s="47"/>
      <c r="AI147" s="39"/>
      <c r="AJ147" s="39"/>
      <c r="AK147" s="164">
        <v>12375</v>
      </c>
      <c r="AL147" s="56"/>
      <c r="AM147" s="60"/>
      <c r="AN147" s="61"/>
      <c r="AO147" s="62"/>
      <c r="AP147" s="60"/>
      <c r="AQ147" s="61"/>
      <c r="AR147" s="61"/>
      <c r="AS147" s="63"/>
      <c r="AT147" s="64"/>
      <c r="AU147" s="68"/>
      <c r="AV147" s="60"/>
      <c r="AW147" s="83"/>
      <c r="AX147" s="83"/>
      <c r="AY147" s="65"/>
      <c r="AZ147" s="66"/>
      <c r="BA147" s="67"/>
      <c r="BB147" s="67"/>
      <c r="BC147" s="84"/>
      <c r="BD147" s="85"/>
      <c r="BE147" s="85"/>
      <c r="BF147" s="67"/>
      <c r="BG147" s="60"/>
      <c r="BH147" s="67"/>
      <c r="BI147" s="42">
        <f>AK147</f>
        <v>12375</v>
      </c>
      <c r="BJ147" s="76"/>
      <c r="BK147" s="76">
        <f>1350+1800+1125+675</f>
        <v>4950</v>
      </c>
      <c r="BL147" s="76">
        <f>12375</f>
        <v>12375</v>
      </c>
      <c r="BM147" s="76"/>
      <c r="BN147" s="39">
        <f t="shared" si="5"/>
        <v>12375</v>
      </c>
      <c r="BO147" s="60"/>
      <c r="BP147" s="69"/>
      <c r="BQ147" s="69"/>
      <c r="BR147" s="69"/>
      <c r="BS147" s="69"/>
      <c r="BT147" s="69"/>
      <c r="BU147" s="69"/>
      <c r="BV147" s="69"/>
      <c r="BW147" s="69"/>
      <c r="BX147" s="69"/>
      <c r="BY147" s="69"/>
      <c r="BZ147" s="69"/>
      <c r="CA147" s="69"/>
      <c r="CB147" s="170" t="s">
        <v>573</v>
      </c>
      <c r="CC147" s="157">
        <v>14203</v>
      </c>
      <c r="CD147" s="154" t="s">
        <v>251</v>
      </c>
      <c r="CE147" s="157">
        <v>716807</v>
      </c>
      <c r="CF147" s="154" t="s">
        <v>252</v>
      </c>
      <c r="CG147" s="157">
        <v>716641</v>
      </c>
    </row>
    <row r="148" spans="1:85" customFormat="1" ht="60" customHeight="1">
      <c r="A148" s="162"/>
      <c r="B148" s="162"/>
      <c r="C148" s="162"/>
      <c r="D148" s="276"/>
      <c r="E148" s="276"/>
      <c r="F148" s="276"/>
      <c r="G148" s="71"/>
      <c r="H148" s="162"/>
      <c r="I148" s="162"/>
      <c r="J148" s="162"/>
      <c r="K148" s="162"/>
      <c r="L148" s="162"/>
      <c r="M148" s="81"/>
      <c r="N148" s="81"/>
      <c r="O148" s="82"/>
      <c r="P148" s="82"/>
      <c r="Q148" s="60"/>
      <c r="R148" s="60"/>
      <c r="S148" s="60"/>
      <c r="T148" s="62"/>
      <c r="U148" s="60"/>
      <c r="V148" s="69"/>
      <c r="W148" s="60"/>
      <c r="X148" s="67"/>
      <c r="Y148" s="162"/>
      <c r="Z148" s="162"/>
      <c r="AA148" s="162"/>
      <c r="AB148" s="162"/>
      <c r="AC148" s="162"/>
      <c r="AD148" s="162"/>
      <c r="AE148" s="162"/>
      <c r="AF148" s="72" t="s">
        <v>232</v>
      </c>
      <c r="AG148" s="162"/>
      <c r="AH148" s="47"/>
      <c r="AI148" s="39"/>
      <c r="AJ148" s="39"/>
      <c r="AK148" s="162"/>
      <c r="AL148" s="56"/>
      <c r="AM148" s="60"/>
      <c r="AN148" s="61"/>
      <c r="AO148" s="62"/>
      <c r="AP148" s="60"/>
      <c r="AQ148" s="61"/>
      <c r="AR148" s="61"/>
      <c r="AS148" s="63"/>
      <c r="AT148" s="64"/>
      <c r="AU148" s="68"/>
      <c r="AV148" s="60"/>
      <c r="AW148" s="83"/>
      <c r="AX148" s="83"/>
      <c r="AY148" s="65"/>
      <c r="AZ148" s="66"/>
      <c r="BA148" s="67"/>
      <c r="BB148" s="67"/>
      <c r="BC148" s="84"/>
      <c r="BD148" s="85"/>
      <c r="BE148" s="85"/>
      <c r="BF148" s="67"/>
      <c r="BG148" s="60"/>
      <c r="BH148" s="67"/>
      <c r="BI148" s="35"/>
      <c r="BJ148" s="76"/>
      <c r="BK148" s="76"/>
      <c r="BL148" s="76"/>
      <c r="BM148" s="76"/>
      <c r="BN148" s="39">
        <f t="shared" si="5"/>
        <v>0</v>
      </c>
      <c r="BO148" s="60"/>
      <c r="BP148" s="69"/>
      <c r="BQ148" s="69"/>
      <c r="BR148" s="69"/>
      <c r="BS148" s="69"/>
      <c r="BT148" s="69"/>
      <c r="BU148" s="69"/>
      <c r="BV148" s="69"/>
      <c r="BW148" s="69"/>
      <c r="BX148" s="69"/>
      <c r="BY148" s="69"/>
      <c r="BZ148" s="69"/>
      <c r="CA148" s="69"/>
      <c r="CB148" s="162"/>
      <c r="CC148" s="162"/>
      <c r="CD148" s="162"/>
      <c r="CE148" s="162"/>
      <c r="CF148" s="162"/>
      <c r="CG148" s="162"/>
    </row>
    <row r="149" spans="1:85" customFormat="1" ht="60" customHeight="1">
      <c r="A149" s="170">
        <v>56</v>
      </c>
      <c r="B149" s="165" t="s">
        <v>574</v>
      </c>
      <c r="C149" s="165" t="s">
        <v>357</v>
      </c>
      <c r="D149" s="273" t="s">
        <v>434</v>
      </c>
      <c r="E149" s="273"/>
      <c r="F149" s="273" t="s">
        <v>575</v>
      </c>
      <c r="G149" s="196"/>
      <c r="H149" s="169">
        <v>14199</v>
      </c>
      <c r="I149" s="154" t="s">
        <v>576</v>
      </c>
      <c r="J149" s="161">
        <v>46141</v>
      </c>
      <c r="K149" s="161">
        <v>46505</v>
      </c>
      <c r="L149" s="157">
        <v>14261</v>
      </c>
      <c r="M149" s="44"/>
      <c r="N149" s="44"/>
      <c r="O149" s="77"/>
      <c r="P149" s="77"/>
      <c r="Q149" s="53"/>
      <c r="R149" s="53"/>
      <c r="S149" s="53"/>
      <c r="T149" s="88"/>
      <c r="U149" s="53"/>
      <c r="V149" s="89"/>
      <c r="W149" s="53"/>
      <c r="X149" s="58"/>
      <c r="Y149" s="163" t="s">
        <v>577</v>
      </c>
      <c r="Z149" s="165" t="s">
        <v>578</v>
      </c>
      <c r="AA149" s="165" t="s">
        <v>579</v>
      </c>
      <c r="AB149" s="161">
        <v>46066</v>
      </c>
      <c r="AC149" s="157">
        <v>14210</v>
      </c>
      <c r="AD149" s="161">
        <v>46066</v>
      </c>
      <c r="AE149" s="161">
        <v>46430</v>
      </c>
      <c r="AF149" s="72" t="s">
        <v>580</v>
      </c>
      <c r="AG149" s="154" t="s">
        <v>371</v>
      </c>
      <c r="AH149" s="36"/>
      <c r="AI149" s="35"/>
      <c r="AJ149" s="35"/>
      <c r="AK149" s="164">
        <v>115914.6</v>
      </c>
      <c r="AL149" s="47"/>
      <c r="AM149" s="36"/>
      <c r="AN149" s="48"/>
      <c r="AO149" s="49"/>
      <c r="AP149" s="36"/>
      <c r="AQ149" s="48"/>
      <c r="AR149" s="48"/>
      <c r="AS149" s="31"/>
      <c r="AT149" s="32"/>
      <c r="AU149" s="50"/>
      <c r="AV149" s="36"/>
      <c r="AW149" s="78"/>
      <c r="AX149" s="78"/>
      <c r="AY149" s="33"/>
      <c r="AZ149" s="34"/>
      <c r="BA149" s="35"/>
      <c r="BB149" s="35"/>
      <c r="BC149" s="79"/>
      <c r="BD149" s="80"/>
      <c r="BE149" s="80"/>
      <c r="BF149" s="35"/>
      <c r="BG149" s="36"/>
      <c r="BH149" s="35"/>
      <c r="BI149" s="42">
        <f>AK149</f>
        <v>115914.6</v>
      </c>
      <c r="BJ149" s="76"/>
      <c r="BK149" s="76">
        <f>745+745</f>
        <v>1490</v>
      </c>
      <c r="BL149" s="76">
        <f>42169.6+4042.4+32563.5+6414.4+30724.7</f>
        <v>115914.59999999999</v>
      </c>
      <c r="BM149" s="76"/>
      <c r="BN149" s="39">
        <f t="shared" si="5"/>
        <v>115914.59999999999</v>
      </c>
      <c r="BO149" s="36"/>
      <c r="BP149" s="40"/>
      <c r="BQ149" s="40"/>
      <c r="BR149" s="40"/>
      <c r="BS149" s="40"/>
      <c r="BT149" s="40"/>
      <c r="BU149" s="40"/>
      <c r="BV149" s="40"/>
      <c r="BW149" s="40"/>
      <c r="BX149" s="40"/>
      <c r="BY149" s="40"/>
      <c r="BZ149" s="40"/>
      <c r="CA149" s="40"/>
      <c r="CB149" s="154" t="s">
        <v>581</v>
      </c>
      <c r="CC149" s="157">
        <v>14213</v>
      </c>
      <c r="CD149" s="154" t="s">
        <v>541</v>
      </c>
      <c r="CE149" s="157">
        <v>714543</v>
      </c>
      <c r="CF149" s="154" t="s">
        <v>366</v>
      </c>
      <c r="CG149" s="157">
        <v>703082</v>
      </c>
    </row>
    <row r="150" spans="1:85" customFormat="1" ht="60" customHeight="1">
      <c r="A150" s="162"/>
      <c r="B150" s="162"/>
      <c r="C150" s="162"/>
      <c r="D150" s="276"/>
      <c r="E150" s="276"/>
      <c r="F150" s="276"/>
      <c r="G150" s="162"/>
      <c r="H150" s="162"/>
      <c r="I150" s="162"/>
      <c r="J150" s="162"/>
      <c r="K150" s="162"/>
      <c r="L150" s="162"/>
      <c r="M150" s="44"/>
      <c r="N150" s="44"/>
      <c r="O150" s="77"/>
      <c r="P150" s="77"/>
      <c r="Q150" s="53"/>
      <c r="R150" s="53"/>
      <c r="S150" s="53"/>
      <c r="T150" s="88"/>
      <c r="U150" s="53"/>
      <c r="V150" s="89"/>
      <c r="W150" s="53"/>
      <c r="X150" s="58"/>
      <c r="Y150" s="162"/>
      <c r="Z150" s="162"/>
      <c r="AA150" s="162"/>
      <c r="AB150" s="162"/>
      <c r="AC150" s="162"/>
      <c r="AD150" s="162"/>
      <c r="AE150" s="162"/>
      <c r="AF150" s="72" t="s">
        <v>543</v>
      </c>
      <c r="AG150" s="162"/>
      <c r="AH150" s="36"/>
      <c r="AI150" s="35"/>
      <c r="AJ150" s="35"/>
      <c r="AK150" s="162"/>
      <c r="AL150" s="47"/>
      <c r="AM150" s="36"/>
      <c r="AN150" s="48"/>
      <c r="AO150" s="49"/>
      <c r="AP150" s="36"/>
      <c r="AQ150" s="48"/>
      <c r="AR150" s="48"/>
      <c r="AS150" s="31"/>
      <c r="AT150" s="32"/>
      <c r="AU150" s="50"/>
      <c r="AV150" s="36"/>
      <c r="AW150" s="78"/>
      <c r="AX150" s="78"/>
      <c r="AY150" s="33"/>
      <c r="AZ150" s="34"/>
      <c r="BA150" s="35"/>
      <c r="BB150" s="35"/>
      <c r="BC150" s="79"/>
      <c r="BD150" s="80"/>
      <c r="BE150" s="80"/>
      <c r="BF150" s="35"/>
      <c r="BG150" s="36"/>
      <c r="BH150" s="35"/>
      <c r="BI150" s="35"/>
      <c r="BJ150" s="76"/>
      <c r="BK150" s="76"/>
      <c r="BL150" s="76"/>
      <c r="BM150" s="76"/>
      <c r="BN150" s="39">
        <f t="shared" si="5"/>
        <v>0</v>
      </c>
      <c r="BO150" s="36"/>
      <c r="BP150" s="40"/>
      <c r="BQ150" s="40"/>
      <c r="BR150" s="40"/>
      <c r="BS150" s="40"/>
      <c r="BT150" s="40"/>
      <c r="BU150" s="40"/>
      <c r="BV150" s="40"/>
      <c r="BW150" s="40"/>
      <c r="BX150" s="40"/>
      <c r="BY150" s="40"/>
      <c r="BZ150" s="40"/>
      <c r="CA150" s="40"/>
      <c r="CB150" s="162"/>
      <c r="CC150" s="162"/>
      <c r="CD150" s="162"/>
      <c r="CE150" s="162"/>
      <c r="CF150" s="162"/>
      <c r="CG150" s="162"/>
    </row>
    <row r="151" spans="1:85" customFormat="1" ht="60" customHeight="1">
      <c r="A151" s="170">
        <v>57</v>
      </c>
      <c r="B151" s="165" t="s">
        <v>582</v>
      </c>
      <c r="C151" s="165" t="s">
        <v>357</v>
      </c>
      <c r="D151" s="273" t="s">
        <v>434</v>
      </c>
      <c r="E151" s="273"/>
      <c r="F151" s="273" t="s">
        <v>575</v>
      </c>
      <c r="G151" s="196"/>
      <c r="H151" s="169">
        <v>14199</v>
      </c>
      <c r="I151" s="154" t="s">
        <v>576</v>
      </c>
      <c r="J151" s="161">
        <v>46141</v>
      </c>
      <c r="K151" s="161">
        <v>46505</v>
      </c>
      <c r="L151" s="157">
        <v>14261</v>
      </c>
      <c r="M151" s="44"/>
      <c r="N151" s="44"/>
      <c r="O151" s="77"/>
      <c r="P151" s="77"/>
      <c r="Q151" s="53"/>
      <c r="R151" s="53"/>
      <c r="S151" s="53"/>
      <c r="T151" s="88"/>
      <c r="U151" s="53"/>
      <c r="V151" s="89"/>
      <c r="W151" s="53"/>
      <c r="X151" s="58"/>
      <c r="Y151" s="163" t="s">
        <v>583</v>
      </c>
      <c r="Z151" s="165" t="s">
        <v>584</v>
      </c>
      <c r="AA151" s="165" t="s">
        <v>585</v>
      </c>
      <c r="AB151" s="161">
        <v>46065</v>
      </c>
      <c r="AC151" s="157">
        <v>14210</v>
      </c>
      <c r="AD151" s="161">
        <v>46065</v>
      </c>
      <c r="AE151" s="161">
        <v>46429</v>
      </c>
      <c r="AF151" s="72" t="s">
        <v>580</v>
      </c>
      <c r="AG151" s="154" t="s">
        <v>371</v>
      </c>
      <c r="AH151" s="36"/>
      <c r="AI151" s="35"/>
      <c r="AJ151" s="35"/>
      <c r="AK151" s="164">
        <v>670021.36</v>
      </c>
      <c r="AL151" s="47"/>
      <c r="AM151" s="36"/>
      <c r="AN151" s="48"/>
      <c r="AO151" s="49"/>
      <c r="AP151" s="36"/>
      <c r="AQ151" s="48"/>
      <c r="AR151" s="48"/>
      <c r="AS151" s="31"/>
      <c r="AT151" s="32"/>
      <c r="AU151" s="50"/>
      <c r="AV151" s="36"/>
      <c r="AW151" s="78"/>
      <c r="AX151" s="78"/>
      <c r="AY151" s="33"/>
      <c r="AZ151" s="34"/>
      <c r="BA151" s="35"/>
      <c r="BB151" s="35"/>
      <c r="BC151" s="79"/>
      <c r="BD151" s="80"/>
      <c r="BE151" s="80"/>
      <c r="BF151" s="35"/>
      <c r="BG151" s="36"/>
      <c r="BH151" s="35"/>
      <c r="BI151" s="42">
        <f>AK151</f>
        <v>670021.36</v>
      </c>
      <c r="BJ151" s="76"/>
      <c r="BK151" s="76">
        <f>745+745</f>
        <v>1490</v>
      </c>
      <c r="BL151" s="76">
        <f>138779.94+39451.8+35419.2+50220.8+225600.2+47540.35+3900+16670.19+49934.61+22522.4+39981.87</f>
        <v>670021.36</v>
      </c>
      <c r="BM151" s="76"/>
      <c r="BN151" s="39">
        <f t="shared" si="5"/>
        <v>670021.36</v>
      </c>
      <c r="BO151" s="36"/>
      <c r="BP151" s="40"/>
      <c r="BQ151" s="40"/>
      <c r="BR151" s="40"/>
      <c r="BS151" s="40"/>
      <c r="BT151" s="40"/>
      <c r="BU151" s="40"/>
      <c r="BV151" s="40"/>
      <c r="BW151" s="40"/>
      <c r="BX151" s="40"/>
      <c r="BY151" s="40"/>
      <c r="BZ151" s="40"/>
      <c r="CA151" s="40"/>
      <c r="CB151" s="154" t="s">
        <v>586</v>
      </c>
      <c r="CC151" s="157">
        <v>14213</v>
      </c>
      <c r="CD151" s="154" t="s">
        <v>541</v>
      </c>
      <c r="CE151" s="157">
        <v>714543</v>
      </c>
      <c r="CF151" s="154" t="s">
        <v>366</v>
      </c>
      <c r="CG151" s="157">
        <v>703082</v>
      </c>
    </row>
    <row r="152" spans="1:85" customFormat="1" ht="60" customHeight="1">
      <c r="A152" s="162"/>
      <c r="B152" s="162"/>
      <c r="C152" s="162"/>
      <c r="D152" s="276"/>
      <c r="E152" s="276"/>
      <c r="F152" s="276"/>
      <c r="G152" s="162"/>
      <c r="H152" s="162"/>
      <c r="I152" s="162"/>
      <c r="J152" s="162"/>
      <c r="K152" s="162"/>
      <c r="L152" s="162"/>
      <c r="M152" s="44"/>
      <c r="N152" s="44"/>
      <c r="O152" s="77"/>
      <c r="P152" s="77"/>
      <c r="Q152" s="53"/>
      <c r="R152" s="53"/>
      <c r="S152" s="53"/>
      <c r="T152" s="88"/>
      <c r="U152" s="53"/>
      <c r="V152" s="89"/>
      <c r="W152" s="53"/>
      <c r="X152" s="58"/>
      <c r="Y152" s="162"/>
      <c r="Z152" s="162"/>
      <c r="AA152" s="162"/>
      <c r="AB152" s="162"/>
      <c r="AC152" s="162"/>
      <c r="AD152" s="162"/>
      <c r="AE152" s="162"/>
      <c r="AF152" s="72" t="s">
        <v>543</v>
      </c>
      <c r="AG152" s="162"/>
      <c r="AH152" s="36"/>
      <c r="AI152" s="35"/>
      <c r="AJ152" s="35"/>
      <c r="AK152" s="162"/>
      <c r="AL152" s="47"/>
      <c r="AM152" s="36"/>
      <c r="AN152" s="48"/>
      <c r="AO152" s="49"/>
      <c r="AP152" s="36"/>
      <c r="AQ152" s="48"/>
      <c r="AR152" s="48"/>
      <c r="AS152" s="31"/>
      <c r="AT152" s="32"/>
      <c r="AU152" s="50"/>
      <c r="AV152" s="36"/>
      <c r="AW152" s="78"/>
      <c r="AX152" s="78"/>
      <c r="AY152" s="33"/>
      <c r="AZ152" s="34"/>
      <c r="BA152" s="35"/>
      <c r="BB152" s="35"/>
      <c r="BC152" s="79"/>
      <c r="BD152" s="80"/>
      <c r="BE152" s="80"/>
      <c r="BF152" s="35"/>
      <c r="BG152" s="36"/>
      <c r="BH152" s="35"/>
      <c r="BI152" s="35"/>
      <c r="BJ152" s="76"/>
      <c r="BK152" s="76"/>
      <c r="BL152" s="76"/>
      <c r="BM152" s="76"/>
      <c r="BN152" s="39">
        <f t="shared" si="5"/>
        <v>0</v>
      </c>
      <c r="BO152" s="36"/>
      <c r="BP152" s="40"/>
      <c r="BQ152" s="40"/>
      <c r="BR152" s="40"/>
      <c r="BS152" s="40"/>
      <c r="BT152" s="40"/>
      <c r="BU152" s="40"/>
      <c r="BV152" s="40"/>
      <c r="BW152" s="40"/>
      <c r="BX152" s="40"/>
      <c r="BY152" s="40"/>
      <c r="BZ152" s="40"/>
      <c r="CA152" s="40"/>
      <c r="CB152" s="162"/>
      <c r="CC152" s="162"/>
      <c r="CD152" s="162"/>
      <c r="CE152" s="162"/>
      <c r="CF152" s="162"/>
      <c r="CG152" s="162"/>
    </row>
    <row r="153" spans="1:85" customFormat="1" ht="60" customHeight="1">
      <c r="A153" s="170">
        <v>58</v>
      </c>
      <c r="B153" s="165" t="s">
        <v>587</v>
      </c>
      <c r="C153" s="165" t="s">
        <v>357</v>
      </c>
      <c r="D153" s="273" t="s">
        <v>434</v>
      </c>
      <c r="E153" s="273"/>
      <c r="F153" s="273" t="s">
        <v>575</v>
      </c>
      <c r="G153" s="196"/>
      <c r="H153" s="169">
        <v>14199</v>
      </c>
      <c r="I153" s="154" t="s">
        <v>576</v>
      </c>
      <c r="J153" s="161">
        <v>46141</v>
      </c>
      <c r="K153" s="161">
        <v>46505</v>
      </c>
      <c r="L153" s="157">
        <v>14261</v>
      </c>
      <c r="M153" s="44"/>
      <c r="N153" s="44"/>
      <c r="O153" s="77"/>
      <c r="P153" s="77"/>
      <c r="Q153" s="53"/>
      <c r="R153" s="53"/>
      <c r="S153" s="53"/>
      <c r="T153" s="88"/>
      <c r="U153" s="53"/>
      <c r="V153" s="89"/>
      <c r="W153" s="53"/>
      <c r="X153" s="58"/>
      <c r="Y153" s="163" t="s">
        <v>588</v>
      </c>
      <c r="Z153" s="165" t="s">
        <v>589</v>
      </c>
      <c r="AA153" s="165" t="s">
        <v>590</v>
      </c>
      <c r="AB153" s="161">
        <v>46066</v>
      </c>
      <c r="AC153" s="157">
        <v>14210</v>
      </c>
      <c r="AD153" s="161">
        <v>46066</v>
      </c>
      <c r="AE153" s="161">
        <v>46430</v>
      </c>
      <c r="AF153" s="72" t="s">
        <v>580</v>
      </c>
      <c r="AG153" s="154" t="s">
        <v>371</v>
      </c>
      <c r="AH153" s="36"/>
      <c r="AI153" s="35"/>
      <c r="AJ153" s="35"/>
      <c r="AK153" s="164">
        <v>45259.53</v>
      </c>
      <c r="AL153" s="47"/>
      <c r="AM153" s="36"/>
      <c r="AN153" s="48"/>
      <c r="AO153" s="49"/>
      <c r="AP153" s="36"/>
      <c r="AQ153" s="48"/>
      <c r="AR153" s="48"/>
      <c r="AS153" s="31"/>
      <c r="AT153" s="32"/>
      <c r="AU153" s="50"/>
      <c r="AV153" s="36"/>
      <c r="AW153" s="78"/>
      <c r="AX153" s="78"/>
      <c r="AY153" s="33"/>
      <c r="AZ153" s="34"/>
      <c r="BA153" s="35"/>
      <c r="BB153" s="35"/>
      <c r="BC153" s="79"/>
      <c r="BD153" s="80"/>
      <c r="BE153" s="80"/>
      <c r="BF153" s="35"/>
      <c r="BG153" s="36"/>
      <c r="BH153" s="35"/>
      <c r="BI153" s="42">
        <f>AK153</f>
        <v>45259.53</v>
      </c>
      <c r="BJ153" s="76"/>
      <c r="BK153" s="76">
        <f>745+745</f>
        <v>1490</v>
      </c>
      <c r="BL153" s="76">
        <f>6337.47+1371.02+37551.04</f>
        <v>45259.53</v>
      </c>
      <c r="BM153" s="76"/>
      <c r="BN153" s="39">
        <f t="shared" si="5"/>
        <v>45259.53</v>
      </c>
      <c r="BO153" s="36"/>
      <c r="BP153" s="40"/>
      <c r="BQ153" s="40"/>
      <c r="BR153" s="40"/>
      <c r="BS153" s="40"/>
      <c r="BT153" s="40"/>
      <c r="BU153" s="40"/>
      <c r="BV153" s="40"/>
      <c r="BW153" s="40"/>
      <c r="BX153" s="40"/>
      <c r="BY153" s="40"/>
      <c r="BZ153" s="40"/>
      <c r="CA153" s="40"/>
      <c r="CB153" s="154" t="s">
        <v>591</v>
      </c>
      <c r="CC153" s="157">
        <v>14213</v>
      </c>
      <c r="CD153" s="154" t="s">
        <v>541</v>
      </c>
      <c r="CE153" s="157">
        <v>714543</v>
      </c>
      <c r="CF153" s="154" t="s">
        <v>366</v>
      </c>
      <c r="CG153" s="157">
        <v>703082</v>
      </c>
    </row>
    <row r="154" spans="1:85" customFormat="1" ht="60" customHeight="1">
      <c r="A154" s="162"/>
      <c r="B154" s="162"/>
      <c r="C154" s="162"/>
      <c r="D154" s="276"/>
      <c r="E154" s="276"/>
      <c r="F154" s="276"/>
      <c r="G154" s="162"/>
      <c r="H154" s="162"/>
      <c r="I154" s="162"/>
      <c r="J154" s="162"/>
      <c r="K154" s="162"/>
      <c r="L154" s="162"/>
      <c r="M154" s="44"/>
      <c r="N154" s="44"/>
      <c r="O154" s="77"/>
      <c r="P154" s="77"/>
      <c r="Q154" s="53"/>
      <c r="R154" s="53"/>
      <c r="S154" s="53"/>
      <c r="T154" s="88"/>
      <c r="U154" s="53"/>
      <c r="V154" s="89"/>
      <c r="W154" s="53"/>
      <c r="X154" s="58"/>
      <c r="Y154" s="162"/>
      <c r="Z154" s="162"/>
      <c r="AA154" s="162"/>
      <c r="AB154" s="162"/>
      <c r="AC154" s="162"/>
      <c r="AD154" s="162"/>
      <c r="AE154" s="162"/>
      <c r="AF154" s="72" t="s">
        <v>543</v>
      </c>
      <c r="AG154" s="162"/>
      <c r="AH154" s="36"/>
      <c r="AI154" s="35"/>
      <c r="AJ154" s="35"/>
      <c r="AK154" s="162"/>
      <c r="AL154" s="47"/>
      <c r="AM154" s="36"/>
      <c r="AN154" s="48"/>
      <c r="AO154" s="49"/>
      <c r="AP154" s="36"/>
      <c r="AQ154" s="48"/>
      <c r="AR154" s="48"/>
      <c r="AS154" s="31"/>
      <c r="AT154" s="32"/>
      <c r="AU154" s="50"/>
      <c r="AV154" s="36"/>
      <c r="AW154" s="78"/>
      <c r="AX154" s="78"/>
      <c r="AY154" s="33"/>
      <c r="AZ154" s="34"/>
      <c r="BA154" s="35"/>
      <c r="BB154" s="35"/>
      <c r="BC154" s="79"/>
      <c r="BD154" s="80"/>
      <c r="BE154" s="80"/>
      <c r="BF154" s="35"/>
      <c r="BG154" s="36"/>
      <c r="BH154" s="35"/>
      <c r="BI154" s="35"/>
      <c r="BJ154" s="76"/>
      <c r="BK154" s="76"/>
      <c r="BL154" s="76"/>
      <c r="BM154" s="76"/>
      <c r="BN154" s="39">
        <f t="shared" si="5"/>
        <v>0</v>
      </c>
      <c r="BO154" s="36"/>
      <c r="BP154" s="40"/>
      <c r="BQ154" s="40"/>
      <c r="BR154" s="40"/>
      <c r="BS154" s="40"/>
      <c r="BT154" s="40"/>
      <c r="BU154" s="40"/>
      <c r="BV154" s="40"/>
      <c r="BW154" s="40"/>
      <c r="BX154" s="40"/>
      <c r="BY154" s="40"/>
      <c r="BZ154" s="40"/>
      <c r="CA154" s="40"/>
      <c r="CB154" s="162"/>
      <c r="CC154" s="162"/>
      <c r="CD154" s="162"/>
      <c r="CE154" s="162"/>
      <c r="CF154" s="162"/>
      <c r="CG154" s="162"/>
    </row>
    <row r="155" spans="1:85" customFormat="1" ht="60" customHeight="1">
      <c r="A155" s="170">
        <v>59</v>
      </c>
      <c r="B155" s="165" t="s">
        <v>592</v>
      </c>
      <c r="C155" s="165" t="s">
        <v>357</v>
      </c>
      <c r="D155" s="273" t="s">
        <v>434</v>
      </c>
      <c r="E155" s="273"/>
      <c r="F155" s="273" t="s">
        <v>575</v>
      </c>
      <c r="G155" s="196"/>
      <c r="H155" s="169">
        <v>14199</v>
      </c>
      <c r="I155" s="154" t="s">
        <v>576</v>
      </c>
      <c r="J155" s="161">
        <v>46141</v>
      </c>
      <c r="K155" s="161">
        <v>46505</v>
      </c>
      <c r="L155" s="157">
        <v>14261</v>
      </c>
      <c r="M155" s="44"/>
      <c r="N155" s="44"/>
      <c r="O155" s="77"/>
      <c r="P155" s="77"/>
      <c r="Q155" s="53"/>
      <c r="R155" s="53"/>
      <c r="S155" s="53"/>
      <c r="T155" s="88"/>
      <c r="U155" s="53"/>
      <c r="V155" s="89"/>
      <c r="W155" s="53"/>
      <c r="X155" s="58"/>
      <c r="Y155" s="163" t="s">
        <v>593</v>
      </c>
      <c r="Z155" s="165" t="s">
        <v>594</v>
      </c>
      <c r="AA155" s="165" t="s">
        <v>595</v>
      </c>
      <c r="AB155" s="161">
        <v>46065</v>
      </c>
      <c r="AC155" s="157">
        <v>14210</v>
      </c>
      <c r="AD155" s="161">
        <v>46066</v>
      </c>
      <c r="AE155" s="161">
        <v>46430</v>
      </c>
      <c r="AF155" s="72" t="s">
        <v>580</v>
      </c>
      <c r="AG155" s="154" t="s">
        <v>371</v>
      </c>
      <c r="AH155" s="36"/>
      <c r="AI155" s="35"/>
      <c r="AJ155" s="35"/>
      <c r="AK155" s="164">
        <v>101067.96</v>
      </c>
      <c r="AL155" s="47"/>
      <c r="AM155" s="36"/>
      <c r="AN155" s="48"/>
      <c r="AO155" s="49"/>
      <c r="AP155" s="36"/>
      <c r="AQ155" s="48"/>
      <c r="AR155" s="48"/>
      <c r="AS155" s="31"/>
      <c r="AT155" s="32"/>
      <c r="AU155" s="50"/>
      <c r="AV155" s="36"/>
      <c r="AW155" s="78"/>
      <c r="AX155" s="78"/>
      <c r="AY155" s="33"/>
      <c r="AZ155" s="34"/>
      <c r="BA155" s="35"/>
      <c r="BB155" s="35"/>
      <c r="BC155" s="79"/>
      <c r="BD155" s="80"/>
      <c r="BE155" s="80"/>
      <c r="BF155" s="35"/>
      <c r="BG155" s="36"/>
      <c r="BH155" s="35"/>
      <c r="BI155" s="42">
        <f>AK155</f>
        <v>101067.96</v>
      </c>
      <c r="BJ155" s="76"/>
      <c r="BK155" s="76">
        <f>745+745</f>
        <v>1490</v>
      </c>
      <c r="BL155" s="76">
        <f>2235.24+407.7+56016.6+88.2+21690.92+1922+18707.3</f>
        <v>101067.96</v>
      </c>
      <c r="BM155" s="76"/>
      <c r="BN155" s="39">
        <f t="shared" si="5"/>
        <v>101067.96</v>
      </c>
      <c r="BO155" s="36"/>
      <c r="BP155" s="40"/>
      <c r="BQ155" s="40"/>
      <c r="BR155" s="40"/>
      <c r="BS155" s="40"/>
      <c r="BT155" s="40"/>
      <c r="BU155" s="40"/>
      <c r="BV155" s="40"/>
      <c r="BW155" s="40"/>
      <c r="BX155" s="40"/>
      <c r="BY155" s="40"/>
      <c r="BZ155" s="40"/>
      <c r="CA155" s="40"/>
      <c r="CB155" s="154" t="s">
        <v>596</v>
      </c>
      <c r="CC155" s="157">
        <v>14213</v>
      </c>
      <c r="CD155" s="154" t="s">
        <v>541</v>
      </c>
      <c r="CE155" s="157">
        <v>714543</v>
      </c>
      <c r="CF155" s="154" t="s">
        <v>366</v>
      </c>
      <c r="CG155" s="157">
        <v>703082</v>
      </c>
    </row>
    <row r="156" spans="1:85" customFormat="1" ht="60" customHeight="1">
      <c r="A156" s="162"/>
      <c r="B156" s="162"/>
      <c r="C156" s="162"/>
      <c r="D156" s="276"/>
      <c r="E156" s="276"/>
      <c r="F156" s="276"/>
      <c r="G156" s="162"/>
      <c r="H156" s="162"/>
      <c r="I156" s="162"/>
      <c r="J156" s="162"/>
      <c r="K156" s="162"/>
      <c r="L156" s="162"/>
      <c r="M156" s="44"/>
      <c r="N156" s="44"/>
      <c r="O156" s="77"/>
      <c r="P156" s="77"/>
      <c r="Q156" s="53"/>
      <c r="R156" s="53"/>
      <c r="S156" s="53"/>
      <c r="T156" s="88"/>
      <c r="U156" s="53"/>
      <c r="V156" s="89"/>
      <c r="W156" s="53"/>
      <c r="X156" s="58"/>
      <c r="Y156" s="162"/>
      <c r="Z156" s="162"/>
      <c r="AA156" s="162"/>
      <c r="AB156" s="162"/>
      <c r="AC156" s="162"/>
      <c r="AD156" s="162"/>
      <c r="AE156" s="162"/>
      <c r="AF156" s="72" t="s">
        <v>543</v>
      </c>
      <c r="AG156" s="162"/>
      <c r="AH156" s="36"/>
      <c r="AI156" s="35"/>
      <c r="AJ156" s="35"/>
      <c r="AK156" s="162"/>
      <c r="AL156" s="47"/>
      <c r="AM156" s="36"/>
      <c r="AN156" s="48"/>
      <c r="AO156" s="49"/>
      <c r="AP156" s="36"/>
      <c r="AQ156" s="48"/>
      <c r="AR156" s="48"/>
      <c r="AS156" s="31"/>
      <c r="AT156" s="32"/>
      <c r="AU156" s="50"/>
      <c r="AV156" s="36"/>
      <c r="AW156" s="78"/>
      <c r="AX156" s="78"/>
      <c r="AY156" s="33"/>
      <c r="AZ156" s="34"/>
      <c r="BA156" s="35"/>
      <c r="BB156" s="35"/>
      <c r="BC156" s="79"/>
      <c r="BD156" s="80"/>
      <c r="BE156" s="80"/>
      <c r="BF156" s="35"/>
      <c r="BG156" s="36"/>
      <c r="BH156" s="35"/>
      <c r="BI156" s="35"/>
      <c r="BJ156" s="76"/>
      <c r="BK156" s="76"/>
      <c r="BL156" s="76"/>
      <c r="BM156" s="76"/>
      <c r="BN156" s="39">
        <f t="shared" si="5"/>
        <v>0</v>
      </c>
      <c r="BO156" s="36"/>
      <c r="BP156" s="40"/>
      <c r="BQ156" s="40"/>
      <c r="BR156" s="40"/>
      <c r="BS156" s="40"/>
      <c r="BT156" s="40"/>
      <c r="BU156" s="40"/>
      <c r="BV156" s="40"/>
      <c r="BW156" s="40"/>
      <c r="BX156" s="40"/>
      <c r="BY156" s="40"/>
      <c r="BZ156" s="40"/>
      <c r="CA156" s="40"/>
      <c r="CB156" s="162"/>
      <c r="CC156" s="162"/>
      <c r="CD156" s="162"/>
      <c r="CE156" s="162"/>
      <c r="CF156" s="162"/>
      <c r="CG156" s="162"/>
    </row>
    <row r="157" spans="1:85" customFormat="1" ht="60" customHeight="1">
      <c r="A157" s="170">
        <v>60</v>
      </c>
      <c r="B157" s="171" t="s">
        <v>564</v>
      </c>
      <c r="C157" s="165" t="s">
        <v>565</v>
      </c>
      <c r="D157" s="273" t="s">
        <v>434</v>
      </c>
      <c r="E157" s="273" t="s">
        <v>180</v>
      </c>
      <c r="F157" s="273" t="s">
        <v>566</v>
      </c>
      <c r="G157" s="59"/>
      <c r="H157" s="169">
        <v>14002</v>
      </c>
      <c r="I157" s="163" t="s">
        <v>321</v>
      </c>
      <c r="J157" s="163" t="s">
        <v>567</v>
      </c>
      <c r="K157" s="163" t="s">
        <v>568</v>
      </c>
      <c r="L157" s="163" t="s">
        <v>569</v>
      </c>
      <c r="M157" s="81"/>
      <c r="N157" s="81"/>
      <c r="O157" s="82"/>
      <c r="P157" s="82"/>
      <c r="Q157" s="199"/>
      <c r="R157" s="199"/>
      <c r="S157" s="199"/>
      <c r="T157" s="199"/>
      <c r="U157" s="45"/>
      <c r="V157" s="90"/>
      <c r="W157" s="45"/>
      <c r="X157" s="46"/>
      <c r="Y157" s="163" t="s">
        <v>597</v>
      </c>
      <c r="Z157" s="165" t="s">
        <v>272</v>
      </c>
      <c r="AA157" s="165" t="s">
        <v>273</v>
      </c>
      <c r="AB157" s="161">
        <v>46163</v>
      </c>
      <c r="AC157" s="157">
        <v>14274</v>
      </c>
      <c r="AD157" s="161">
        <v>46163</v>
      </c>
      <c r="AE157" s="161">
        <v>46527</v>
      </c>
      <c r="AF157" s="91" t="s">
        <v>225</v>
      </c>
      <c r="AG157" s="154" t="s">
        <v>226</v>
      </c>
      <c r="AH157" s="60"/>
      <c r="AI157" s="67"/>
      <c r="AJ157" s="67"/>
      <c r="AK157" s="164">
        <v>22437</v>
      </c>
      <c r="AL157" s="56"/>
      <c r="AM157" s="60"/>
      <c r="AN157" s="61"/>
      <c r="AO157" s="62"/>
      <c r="AP157" s="60"/>
      <c r="AQ157" s="61"/>
      <c r="AR157" s="61"/>
      <c r="AS157" s="63"/>
      <c r="AT157" s="64"/>
      <c r="AU157" s="68"/>
      <c r="AV157" s="60"/>
      <c r="AW157" s="83"/>
      <c r="AX157" s="83"/>
      <c r="AY157" s="65"/>
      <c r="AZ157" s="66"/>
      <c r="BA157" s="67"/>
      <c r="BB157" s="67"/>
      <c r="BC157" s="84"/>
      <c r="BD157" s="85"/>
      <c r="BE157" s="85"/>
      <c r="BF157" s="67"/>
      <c r="BG157" s="60"/>
      <c r="BH157" s="67"/>
      <c r="BI157" s="42">
        <f>AK157</f>
        <v>22437</v>
      </c>
      <c r="BJ157" s="76"/>
      <c r="BK157" s="76">
        <f>11868.6+110227.25+114860.95+106750.4</f>
        <v>343707.19999999995</v>
      </c>
      <c r="BL157" s="76">
        <f>22437</f>
        <v>22437</v>
      </c>
      <c r="BM157" s="76"/>
      <c r="BN157" s="39">
        <f t="shared" si="5"/>
        <v>22437</v>
      </c>
      <c r="BO157" s="60"/>
      <c r="BP157" s="69"/>
      <c r="BQ157" s="69"/>
      <c r="BR157" s="69"/>
      <c r="BS157" s="69"/>
      <c r="BT157" s="69"/>
      <c r="BU157" s="69"/>
      <c r="BV157" s="69"/>
      <c r="BW157" s="69"/>
      <c r="BX157" s="69"/>
      <c r="BY157" s="69"/>
      <c r="BZ157" s="69"/>
      <c r="CA157" s="69"/>
      <c r="CB157" s="170" t="s">
        <v>598</v>
      </c>
      <c r="CC157" s="157">
        <v>14271</v>
      </c>
      <c r="CD157" s="154" t="s">
        <v>251</v>
      </c>
      <c r="CE157" s="157">
        <v>716807</v>
      </c>
      <c r="CF157" s="154" t="s">
        <v>252</v>
      </c>
      <c r="CG157" s="157">
        <v>716641</v>
      </c>
    </row>
    <row r="158" spans="1:85" customFormat="1" ht="60" customHeight="1">
      <c r="A158" s="162"/>
      <c r="B158" s="162"/>
      <c r="C158" s="162"/>
      <c r="D158" s="276"/>
      <c r="E158" s="276"/>
      <c r="F158" s="276"/>
      <c r="G158" s="71"/>
      <c r="H158" s="162"/>
      <c r="I158" s="162"/>
      <c r="J158" s="162"/>
      <c r="K158" s="162"/>
      <c r="L158" s="162"/>
      <c r="M158" s="81"/>
      <c r="N158" s="81"/>
      <c r="O158" s="82"/>
      <c r="P158" s="82"/>
      <c r="Q158" s="156"/>
      <c r="R158" s="156"/>
      <c r="S158" s="156"/>
      <c r="T158" s="156"/>
      <c r="U158" s="45"/>
      <c r="V158" s="90"/>
      <c r="W158" s="45"/>
      <c r="X158" s="46"/>
      <c r="Y158" s="162"/>
      <c r="Z158" s="162"/>
      <c r="AA158" s="162"/>
      <c r="AB158" s="162"/>
      <c r="AC158" s="162"/>
      <c r="AD158" s="162"/>
      <c r="AE158" s="162"/>
      <c r="AF158" s="92" t="s">
        <v>232</v>
      </c>
      <c r="AG158" s="162"/>
      <c r="AH158" s="60"/>
      <c r="AI158" s="67"/>
      <c r="AJ158" s="67"/>
      <c r="AK158" s="162"/>
      <c r="AL158" s="56"/>
      <c r="AM158" s="60"/>
      <c r="AN158" s="61"/>
      <c r="AO158" s="62"/>
      <c r="AP158" s="60"/>
      <c r="AQ158" s="61"/>
      <c r="AR158" s="61"/>
      <c r="AS158" s="63"/>
      <c r="AT158" s="64"/>
      <c r="AU158" s="68"/>
      <c r="AV158" s="60"/>
      <c r="AW158" s="83"/>
      <c r="AX158" s="83"/>
      <c r="AY158" s="65"/>
      <c r="AZ158" s="66"/>
      <c r="BA158" s="67"/>
      <c r="BB158" s="67"/>
      <c r="BC158" s="84"/>
      <c r="BD158" s="85"/>
      <c r="BE158" s="85"/>
      <c r="BF158" s="67"/>
      <c r="BG158" s="60"/>
      <c r="BH158" s="67"/>
      <c r="BI158" s="35"/>
      <c r="BJ158" s="76"/>
      <c r="BK158" s="76"/>
      <c r="BL158" s="76"/>
      <c r="BM158" s="76"/>
      <c r="BN158" s="39">
        <f t="shared" si="5"/>
        <v>0</v>
      </c>
      <c r="BO158" s="60"/>
      <c r="BP158" s="69"/>
      <c r="BQ158" s="69"/>
      <c r="BR158" s="69"/>
      <c r="BS158" s="69"/>
      <c r="BT158" s="69"/>
      <c r="BU158" s="69"/>
      <c r="BV158" s="69"/>
      <c r="BW158" s="69"/>
      <c r="BX158" s="69"/>
      <c r="BY158" s="69"/>
      <c r="BZ158" s="69"/>
      <c r="CA158" s="69"/>
      <c r="CB158" s="162"/>
      <c r="CC158" s="162"/>
      <c r="CD158" s="162"/>
      <c r="CE158" s="162"/>
      <c r="CF158" s="162"/>
      <c r="CG158" s="162"/>
    </row>
    <row r="159" spans="1:85" customFormat="1" ht="60" customHeight="1">
      <c r="A159" s="170">
        <v>61</v>
      </c>
      <c r="B159" s="171" t="s">
        <v>253</v>
      </c>
      <c r="C159" s="198" t="s">
        <v>254</v>
      </c>
      <c r="D159" s="273" t="s">
        <v>218</v>
      </c>
      <c r="E159" s="285"/>
      <c r="F159" s="273" t="s">
        <v>255</v>
      </c>
      <c r="G159" s="59"/>
      <c r="H159" s="169">
        <v>13903</v>
      </c>
      <c r="I159" s="154" t="s">
        <v>236</v>
      </c>
      <c r="J159" s="161">
        <v>45992</v>
      </c>
      <c r="K159" s="161">
        <v>46356</v>
      </c>
      <c r="L159" s="157">
        <v>14166</v>
      </c>
      <c r="M159" s="81"/>
      <c r="N159" s="81"/>
      <c r="O159" s="82"/>
      <c r="P159" s="82"/>
      <c r="Q159" s="45"/>
      <c r="R159" s="45"/>
      <c r="S159" s="45"/>
      <c r="T159" s="93"/>
      <c r="U159" s="45"/>
      <c r="V159" s="90"/>
      <c r="W159" s="45"/>
      <c r="X159" s="46"/>
      <c r="Y159" s="163" t="s">
        <v>599</v>
      </c>
      <c r="Z159" s="165" t="s">
        <v>600</v>
      </c>
      <c r="AA159" s="165" t="s">
        <v>601</v>
      </c>
      <c r="AB159" s="161">
        <v>46059</v>
      </c>
      <c r="AC159" s="157">
        <v>14202</v>
      </c>
      <c r="AD159" s="161">
        <v>46059</v>
      </c>
      <c r="AE159" s="161">
        <v>46423</v>
      </c>
      <c r="AF159" s="163" t="s">
        <v>602</v>
      </c>
      <c r="AG159" s="154" t="s">
        <v>226</v>
      </c>
      <c r="AH159" s="60"/>
      <c r="AI159" s="67"/>
      <c r="AJ159" s="67"/>
      <c r="AK159" s="164">
        <v>756227.21</v>
      </c>
      <c r="AL159" s="56"/>
      <c r="AM159" s="60"/>
      <c r="AN159" s="61"/>
      <c r="AO159" s="62"/>
      <c r="AP159" s="60"/>
      <c r="AQ159" s="61"/>
      <c r="AR159" s="61"/>
      <c r="AS159" s="63"/>
      <c r="AT159" s="64"/>
      <c r="AU159" s="68"/>
      <c r="AV159" s="60"/>
      <c r="AW159" s="83"/>
      <c r="AX159" s="83"/>
      <c r="AY159" s="65"/>
      <c r="AZ159" s="66"/>
      <c r="BA159" s="67"/>
      <c r="BB159" s="67"/>
      <c r="BC159" s="84"/>
      <c r="BD159" s="85"/>
      <c r="BE159" s="85"/>
      <c r="BF159" s="67"/>
      <c r="BG159" s="60"/>
      <c r="BH159" s="67"/>
      <c r="BI159" s="42">
        <f>AK159</f>
        <v>756227.21</v>
      </c>
      <c r="BJ159" s="76"/>
      <c r="BK159" s="76">
        <f>264711.9+297358.16+259358.66+17548.65</f>
        <v>838977.37000000011</v>
      </c>
      <c r="BL159" s="76">
        <f>484504.81+89797.59</f>
        <v>574302.4</v>
      </c>
      <c r="BM159" s="76"/>
      <c r="BN159" s="39">
        <f t="shared" si="5"/>
        <v>574302.4</v>
      </c>
      <c r="BO159" s="60"/>
      <c r="BP159" s="69"/>
      <c r="BQ159" s="69"/>
      <c r="BR159" s="69"/>
      <c r="BS159" s="69"/>
      <c r="BT159" s="69"/>
      <c r="BU159" s="69"/>
      <c r="BV159" s="69"/>
      <c r="BW159" s="69"/>
      <c r="BX159" s="69"/>
      <c r="BY159" s="69"/>
      <c r="BZ159" s="69"/>
      <c r="CA159" s="69"/>
      <c r="CB159" s="154" t="s">
        <v>603</v>
      </c>
      <c r="CC159" s="157">
        <v>14160</v>
      </c>
      <c r="CD159" s="154" t="s">
        <v>604</v>
      </c>
      <c r="CE159" s="157" t="s">
        <v>605</v>
      </c>
      <c r="CF159" s="154" t="s">
        <v>606</v>
      </c>
      <c r="CG159" s="157">
        <v>702960</v>
      </c>
    </row>
    <row r="160" spans="1:85" customFormat="1" ht="60" customHeight="1">
      <c r="A160" s="162"/>
      <c r="B160" s="162"/>
      <c r="C160" s="162"/>
      <c r="D160" s="276"/>
      <c r="E160" s="276"/>
      <c r="F160" s="276"/>
      <c r="G160" s="71"/>
      <c r="H160" s="162"/>
      <c r="I160" s="162"/>
      <c r="J160" s="162"/>
      <c r="K160" s="162"/>
      <c r="L160" s="162"/>
      <c r="M160" s="81"/>
      <c r="N160" s="81"/>
      <c r="O160" s="82"/>
      <c r="P160" s="82"/>
      <c r="Q160" s="45"/>
      <c r="R160" s="45"/>
      <c r="S160" s="45"/>
      <c r="T160" s="93"/>
      <c r="U160" s="45"/>
      <c r="V160" s="90"/>
      <c r="W160" s="45"/>
      <c r="X160" s="46"/>
      <c r="Y160" s="162"/>
      <c r="Z160" s="162"/>
      <c r="AA160" s="162"/>
      <c r="AB160" s="162"/>
      <c r="AC160" s="162"/>
      <c r="AD160" s="162"/>
      <c r="AE160" s="162"/>
      <c r="AF160" s="162"/>
      <c r="AG160" s="162"/>
      <c r="AH160" s="60"/>
      <c r="AI160" s="67"/>
      <c r="AJ160" s="67"/>
      <c r="AK160" s="162"/>
      <c r="AL160" s="56"/>
      <c r="AM160" s="60"/>
      <c r="AN160" s="61"/>
      <c r="AO160" s="62"/>
      <c r="AP160" s="60"/>
      <c r="AQ160" s="61"/>
      <c r="AR160" s="61"/>
      <c r="AS160" s="63"/>
      <c r="AT160" s="64"/>
      <c r="AU160" s="68"/>
      <c r="AV160" s="60"/>
      <c r="AW160" s="83"/>
      <c r="AX160" s="83"/>
      <c r="AY160" s="65"/>
      <c r="AZ160" s="66"/>
      <c r="BA160" s="67"/>
      <c r="BB160" s="67"/>
      <c r="BC160" s="84"/>
      <c r="BD160" s="85"/>
      <c r="BE160" s="85"/>
      <c r="BF160" s="67"/>
      <c r="BG160" s="60"/>
      <c r="BH160" s="67"/>
      <c r="BI160" s="35"/>
      <c r="BJ160" s="76"/>
      <c r="BK160" s="76"/>
      <c r="BL160" s="76"/>
      <c r="BM160" s="76"/>
      <c r="BN160" s="39">
        <f t="shared" si="5"/>
        <v>0</v>
      </c>
      <c r="BO160" s="60"/>
      <c r="BP160" s="69"/>
      <c r="BQ160" s="69"/>
      <c r="BR160" s="69"/>
      <c r="BS160" s="69"/>
      <c r="BT160" s="69"/>
      <c r="BU160" s="69"/>
      <c r="BV160" s="69"/>
      <c r="BW160" s="69"/>
      <c r="BX160" s="69"/>
      <c r="BY160" s="69"/>
      <c r="BZ160" s="69"/>
      <c r="CA160" s="69"/>
      <c r="CB160" s="162"/>
      <c r="CC160" s="162"/>
      <c r="CD160" s="162"/>
      <c r="CE160" s="162"/>
      <c r="CF160" s="162"/>
      <c r="CG160" s="162"/>
    </row>
    <row r="161" spans="1:85" customFormat="1" ht="60" customHeight="1">
      <c r="A161" s="170">
        <v>62</v>
      </c>
      <c r="B161" s="171" t="s">
        <v>607</v>
      </c>
      <c r="C161" s="165" t="s">
        <v>608</v>
      </c>
      <c r="D161" s="273" t="s">
        <v>434</v>
      </c>
      <c r="E161" s="273" t="s">
        <v>180</v>
      </c>
      <c r="F161" s="273" t="s">
        <v>609</v>
      </c>
      <c r="G161" s="43"/>
      <c r="H161" s="169">
        <v>13174</v>
      </c>
      <c r="I161" s="36"/>
      <c r="J161" s="36"/>
      <c r="K161" s="36"/>
      <c r="L161" s="36"/>
      <c r="M161" s="44"/>
      <c r="N161" s="44"/>
      <c r="O161" s="77"/>
      <c r="P161" s="77"/>
      <c r="Q161" s="36"/>
      <c r="R161" s="36"/>
      <c r="S161" s="36"/>
      <c r="T161" s="49"/>
      <c r="U161" s="36"/>
      <c r="V161" s="40"/>
      <c r="W161" s="36"/>
      <c r="X161" s="35"/>
      <c r="Y161" s="163" t="s">
        <v>610</v>
      </c>
      <c r="Z161" s="165" t="s">
        <v>611</v>
      </c>
      <c r="AA161" s="165" t="s">
        <v>612</v>
      </c>
      <c r="AB161" s="161">
        <v>44560</v>
      </c>
      <c r="AC161" s="157">
        <v>13199</v>
      </c>
      <c r="AD161" s="161">
        <v>44560</v>
      </c>
      <c r="AE161" s="161">
        <v>44925</v>
      </c>
      <c r="AF161" s="163" t="s">
        <v>453</v>
      </c>
      <c r="AG161" s="154" t="s">
        <v>226</v>
      </c>
      <c r="AH161" s="36"/>
      <c r="AI161" s="35"/>
      <c r="AJ161" s="35"/>
      <c r="AK161" s="164">
        <v>2071428.24</v>
      </c>
      <c r="AL161" s="47"/>
      <c r="AM161" s="36"/>
      <c r="AN161" s="48"/>
      <c r="AO161" s="49"/>
      <c r="AP161" s="36"/>
      <c r="AQ161" s="48"/>
      <c r="AR161" s="48"/>
      <c r="AS161" s="31"/>
      <c r="AT161" s="32"/>
      <c r="AU161" s="50"/>
      <c r="AV161" s="36"/>
      <c r="AW161" s="78"/>
      <c r="AX161" s="78"/>
      <c r="AY161" s="33"/>
      <c r="AZ161" s="34"/>
      <c r="BA161" s="35"/>
      <c r="BB161" s="35"/>
      <c r="BC161" s="79"/>
      <c r="BD161" s="80"/>
      <c r="BE161" s="80"/>
      <c r="BF161" s="35"/>
      <c r="BG161" s="36"/>
      <c r="BH161" s="35"/>
      <c r="BI161" s="35"/>
      <c r="BJ161" s="76"/>
      <c r="BK161" s="76">
        <f>1142922.24+572423.3+285730.56+302799.96</f>
        <v>2303876.06</v>
      </c>
      <c r="BL161" s="76"/>
      <c r="BM161" s="76"/>
      <c r="BN161" s="39">
        <f t="shared" si="5"/>
        <v>0</v>
      </c>
      <c r="BO161" s="36"/>
      <c r="BP161" s="40"/>
      <c r="BQ161" s="40"/>
      <c r="BR161" s="40"/>
      <c r="BS161" s="40"/>
      <c r="BT161" s="40"/>
      <c r="BU161" s="40"/>
      <c r="BV161" s="40"/>
      <c r="BW161" s="40"/>
      <c r="BX161" s="40"/>
      <c r="BY161" s="40"/>
      <c r="BZ161" s="40"/>
      <c r="CA161" s="40"/>
      <c r="CB161" s="154" t="s">
        <v>613</v>
      </c>
      <c r="CC161" s="157">
        <v>13997</v>
      </c>
      <c r="CD161" s="154" t="s">
        <v>614</v>
      </c>
      <c r="CE161" s="157">
        <v>709978</v>
      </c>
      <c r="CF161" s="154" t="s">
        <v>615</v>
      </c>
      <c r="CG161" s="157">
        <v>716635</v>
      </c>
    </row>
    <row r="162" spans="1:85" customFormat="1" ht="60" customHeight="1">
      <c r="A162" s="155"/>
      <c r="B162" s="155"/>
      <c r="C162" s="155"/>
      <c r="D162" s="274"/>
      <c r="E162" s="274"/>
      <c r="F162" s="274"/>
      <c r="G162" s="52"/>
      <c r="H162" s="155"/>
      <c r="I162" s="36"/>
      <c r="J162" s="36"/>
      <c r="K162" s="36"/>
      <c r="L162" s="36"/>
      <c r="M162" s="44"/>
      <c r="N162" s="44"/>
      <c r="O162" s="77"/>
      <c r="P162" s="77"/>
      <c r="Q162" s="36"/>
      <c r="R162" s="36"/>
      <c r="S162" s="36"/>
      <c r="T162" s="49"/>
      <c r="U162" s="36"/>
      <c r="V162" s="40"/>
      <c r="W162" s="36"/>
      <c r="X162" s="35"/>
      <c r="Y162" s="155"/>
      <c r="Z162" s="155"/>
      <c r="AA162" s="155"/>
      <c r="AB162" s="155"/>
      <c r="AC162" s="155"/>
      <c r="AD162" s="155"/>
      <c r="AE162" s="155"/>
      <c r="AF162" s="162"/>
      <c r="AG162" s="155"/>
      <c r="AH162" s="36"/>
      <c r="AI162" s="35"/>
      <c r="AJ162" s="35"/>
      <c r="AK162" s="155"/>
      <c r="AL162" s="47" t="s">
        <v>518</v>
      </c>
      <c r="AM162" s="36" t="s">
        <v>199</v>
      </c>
      <c r="AN162" s="48">
        <v>44788</v>
      </c>
      <c r="AO162" s="49">
        <v>13425</v>
      </c>
      <c r="AP162" s="36" t="s">
        <v>616</v>
      </c>
      <c r="AQ162" s="48">
        <v>44788</v>
      </c>
      <c r="AR162" s="48">
        <v>44926</v>
      </c>
      <c r="AS162" s="31"/>
      <c r="AT162" s="32"/>
      <c r="AU162" s="50" t="e">
        <f t="shared" ref="AU162:AU163" si="6">AW162/BI161</f>
        <v>#DIV/0!</v>
      </c>
      <c r="AV162" s="36"/>
      <c r="AW162" s="78">
        <v>499999.92</v>
      </c>
      <c r="AX162" s="78"/>
      <c r="AY162" s="33"/>
      <c r="AZ162" s="34"/>
      <c r="BA162" s="35"/>
      <c r="BB162" s="35"/>
      <c r="BC162" s="79"/>
      <c r="BD162" s="80"/>
      <c r="BE162" s="80"/>
      <c r="BF162" s="35"/>
      <c r="BG162" s="36"/>
      <c r="BH162" s="35"/>
      <c r="BI162" s="35"/>
      <c r="BJ162" s="76"/>
      <c r="BK162" s="94"/>
      <c r="BL162" s="94"/>
      <c r="BM162" s="94"/>
      <c r="BN162" s="39">
        <f t="shared" si="5"/>
        <v>0</v>
      </c>
      <c r="BO162" s="36"/>
      <c r="BP162" s="40"/>
      <c r="BQ162" s="40"/>
      <c r="BR162" s="40"/>
      <c r="BS162" s="40"/>
      <c r="BT162" s="40"/>
      <c r="BU162" s="40"/>
      <c r="BV162" s="40"/>
      <c r="BW162" s="40"/>
      <c r="BX162" s="40"/>
      <c r="BY162" s="40"/>
      <c r="BZ162" s="40"/>
      <c r="CA162" s="40"/>
      <c r="CB162" s="155"/>
      <c r="CC162" s="155"/>
      <c r="CD162" s="155"/>
      <c r="CE162" s="155"/>
      <c r="CF162" s="155"/>
      <c r="CG162" s="155"/>
    </row>
    <row r="163" spans="1:85" customFormat="1" ht="60" customHeight="1">
      <c r="A163" s="155"/>
      <c r="B163" s="155"/>
      <c r="C163" s="155"/>
      <c r="D163" s="274"/>
      <c r="E163" s="274"/>
      <c r="F163" s="274"/>
      <c r="G163" s="52"/>
      <c r="H163" s="155"/>
      <c r="I163" s="36"/>
      <c r="J163" s="36"/>
      <c r="K163" s="36"/>
      <c r="L163" s="36"/>
      <c r="M163" s="44"/>
      <c r="N163" s="44"/>
      <c r="O163" s="77"/>
      <c r="P163" s="77"/>
      <c r="Q163" s="36"/>
      <c r="R163" s="36"/>
      <c r="S163" s="36"/>
      <c r="T163" s="49"/>
      <c r="U163" s="36"/>
      <c r="V163" s="40"/>
      <c r="W163" s="36"/>
      <c r="X163" s="35"/>
      <c r="Y163" s="155"/>
      <c r="Z163" s="155"/>
      <c r="AA163" s="155"/>
      <c r="AB163" s="155"/>
      <c r="AC163" s="155"/>
      <c r="AD163" s="155"/>
      <c r="AE163" s="155"/>
      <c r="AF163" s="163" t="s">
        <v>517</v>
      </c>
      <c r="AG163" s="155"/>
      <c r="AH163" s="36"/>
      <c r="AI163" s="35"/>
      <c r="AJ163" s="35"/>
      <c r="AK163" s="155"/>
      <c r="AL163" s="47" t="s">
        <v>518</v>
      </c>
      <c r="AM163" s="36" t="s">
        <v>459</v>
      </c>
      <c r="AN163" s="48">
        <v>44921</v>
      </c>
      <c r="AO163" s="49">
        <v>13440</v>
      </c>
      <c r="AP163" s="36" t="s">
        <v>617</v>
      </c>
      <c r="AQ163" s="48">
        <v>44927</v>
      </c>
      <c r="AR163" s="48">
        <v>45291</v>
      </c>
      <c r="AS163" s="31"/>
      <c r="AT163" s="32"/>
      <c r="AU163" s="50" t="e">
        <f t="shared" si="6"/>
        <v>#DIV/0!</v>
      </c>
      <c r="AV163" s="36"/>
      <c r="AW163" s="78">
        <v>483075.36</v>
      </c>
      <c r="AX163" s="78"/>
      <c r="AY163" s="33"/>
      <c r="AZ163" s="34"/>
      <c r="BA163" s="35"/>
      <c r="BB163" s="35"/>
      <c r="BC163" s="79"/>
      <c r="BD163" s="86"/>
      <c r="BE163" s="78"/>
      <c r="BF163" s="35"/>
      <c r="BG163" s="36"/>
      <c r="BH163" s="35"/>
      <c r="BI163" s="95">
        <f>AW163+BI162</f>
        <v>483075.36</v>
      </c>
      <c r="BJ163" s="76">
        <f>97869.24+1296546.84</f>
        <v>1394416.08</v>
      </c>
      <c r="BK163" s="76">
        <f>571461.12+605599.92+119485.8</f>
        <v>1296546.8400000001</v>
      </c>
      <c r="BL163" s="76">
        <f>605599.92+302799.96+302799.96+302799.96</f>
        <v>1513999.8</v>
      </c>
      <c r="BM163" s="76"/>
      <c r="BN163" s="39"/>
      <c r="BO163" s="36"/>
      <c r="BP163" s="40"/>
      <c r="BQ163" s="40"/>
      <c r="BR163" s="40"/>
      <c r="BS163" s="40"/>
      <c r="BT163" s="40"/>
      <c r="BU163" s="40"/>
      <c r="BV163" s="40"/>
      <c r="BW163" s="40"/>
      <c r="BX163" s="40"/>
      <c r="BY163" s="40"/>
      <c r="BZ163" s="40"/>
      <c r="CA163" s="40"/>
      <c r="CB163" s="155"/>
      <c r="CC163" s="155"/>
      <c r="CD163" s="155"/>
      <c r="CE163" s="155"/>
      <c r="CF163" s="155"/>
      <c r="CG163" s="155"/>
    </row>
    <row r="164" spans="1:85" customFormat="1" ht="60" customHeight="1">
      <c r="A164" s="155"/>
      <c r="B164" s="155"/>
      <c r="C164" s="155"/>
      <c r="D164" s="274"/>
      <c r="E164" s="274"/>
      <c r="F164" s="274"/>
      <c r="G164" s="52"/>
      <c r="H164" s="155"/>
      <c r="I164" s="36"/>
      <c r="J164" s="36"/>
      <c r="K164" s="36"/>
      <c r="L164" s="36"/>
      <c r="M164" s="44"/>
      <c r="N164" s="44"/>
      <c r="O164" s="77"/>
      <c r="P164" s="77"/>
      <c r="Q164" s="36"/>
      <c r="R164" s="36"/>
      <c r="S164" s="36"/>
      <c r="T164" s="49"/>
      <c r="U164" s="36"/>
      <c r="V164" s="40"/>
      <c r="W164" s="36"/>
      <c r="X164" s="35"/>
      <c r="Y164" s="155"/>
      <c r="Z164" s="155"/>
      <c r="AA164" s="155"/>
      <c r="AB164" s="155"/>
      <c r="AC164" s="155"/>
      <c r="AD164" s="155"/>
      <c r="AE164" s="155"/>
      <c r="AF164" s="155"/>
      <c r="AG164" s="155"/>
      <c r="AH164" s="36"/>
      <c r="AI164" s="35"/>
      <c r="AJ164" s="35"/>
      <c r="AK164" s="155"/>
      <c r="AL164" s="47" t="s">
        <v>618</v>
      </c>
      <c r="AM164" s="36" t="s">
        <v>202</v>
      </c>
      <c r="AN164" s="48">
        <v>45286</v>
      </c>
      <c r="AO164" s="49">
        <v>13689</v>
      </c>
      <c r="AP164" s="36" t="s">
        <v>619</v>
      </c>
      <c r="AQ164" s="48">
        <v>45292</v>
      </c>
      <c r="AR164" s="48">
        <v>45657</v>
      </c>
      <c r="AS164" s="31"/>
      <c r="AT164" s="32"/>
      <c r="AU164" s="50"/>
      <c r="AV164" s="36"/>
      <c r="AW164" s="78"/>
      <c r="AX164" s="78"/>
      <c r="AY164" s="33"/>
      <c r="AZ164" s="34"/>
      <c r="BA164" s="35"/>
      <c r="BB164" s="35"/>
      <c r="BC164" s="79"/>
      <c r="BD164" s="86"/>
      <c r="BE164" s="80"/>
      <c r="BF164" s="35"/>
      <c r="BG164" s="36"/>
      <c r="BH164" s="35"/>
      <c r="BI164" s="35"/>
      <c r="BJ164" s="76"/>
      <c r="BK164" s="94"/>
      <c r="BL164" s="94"/>
      <c r="BM164" s="94"/>
      <c r="BN164" s="39">
        <f t="shared" si="5"/>
        <v>0</v>
      </c>
      <c r="BO164" s="36"/>
      <c r="BP164" s="40"/>
      <c r="BQ164" s="40"/>
      <c r="BR164" s="40"/>
      <c r="BS164" s="40"/>
      <c r="BT164" s="40"/>
      <c r="BU164" s="40"/>
      <c r="BV164" s="40"/>
      <c r="BW164" s="40"/>
      <c r="BX164" s="40"/>
      <c r="BY164" s="40"/>
      <c r="BZ164" s="40"/>
      <c r="CA164" s="40"/>
      <c r="CB164" s="155"/>
      <c r="CC164" s="155"/>
      <c r="CD164" s="155"/>
      <c r="CE164" s="155"/>
      <c r="CF164" s="155"/>
      <c r="CG164" s="155"/>
    </row>
    <row r="165" spans="1:85" customFormat="1" ht="60" customHeight="1">
      <c r="A165" s="155"/>
      <c r="B165" s="155"/>
      <c r="C165" s="155"/>
      <c r="D165" s="274"/>
      <c r="E165" s="274"/>
      <c r="F165" s="274"/>
      <c r="G165" s="52"/>
      <c r="H165" s="155"/>
      <c r="I165" s="36"/>
      <c r="J165" s="36"/>
      <c r="K165" s="36"/>
      <c r="L165" s="36"/>
      <c r="M165" s="44"/>
      <c r="N165" s="44"/>
      <c r="O165" s="77"/>
      <c r="P165" s="77"/>
      <c r="Q165" s="36"/>
      <c r="R165" s="36"/>
      <c r="S165" s="36"/>
      <c r="T165" s="49"/>
      <c r="U165" s="36"/>
      <c r="V165" s="40"/>
      <c r="W165" s="36"/>
      <c r="X165" s="35"/>
      <c r="Y165" s="155"/>
      <c r="Z165" s="155"/>
      <c r="AA165" s="155"/>
      <c r="AB165" s="155"/>
      <c r="AC165" s="155"/>
      <c r="AD165" s="155"/>
      <c r="AE165" s="155"/>
      <c r="AF165" s="155"/>
      <c r="AG165" s="155"/>
      <c r="AH165" s="36"/>
      <c r="AI165" s="35"/>
      <c r="AJ165" s="35"/>
      <c r="AK165" s="155"/>
      <c r="AL165" s="47" t="s">
        <v>198</v>
      </c>
      <c r="AM165" s="36" t="s">
        <v>199</v>
      </c>
      <c r="AN165" s="48">
        <v>45559</v>
      </c>
      <c r="AO165" s="49">
        <v>13875</v>
      </c>
      <c r="AP165" s="36" t="s">
        <v>620</v>
      </c>
      <c r="AQ165" s="48">
        <v>45559</v>
      </c>
      <c r="AR165" s="48">
        <v>45657</v>
      </c>
      <c r="AS165" s="31"/>
      <c r="AT165" s="32"/>
      <c r="AU165" s="50"/>
      <c r="AV165" s="36"/>
      <c r="AW165" s="78"/>
      <c r="AX165" s="78"/>
      <c r="AY165" s="33"/>
      <c r="AZ165" s="34"/>
      <c r="BA165" s="35"/>
      <c r="BB165" s="35"/>
      <c r="BC165" s="79">
        <v>45559</v>
      </c>
      <c r="BD165" s="86" t="e">
        <f t="shared" ref="BD165:BD166" si="7">BE165/BI164</f>
        <v>#DIV/0!</v>
      </c>
      <c r="BE165" s="80">
        <v>167775.84</v>
      </c>
      <c r="BF165" s="48"/>
      <c r="BG165" s="36"/>
      <c r="BH165" s="35"/>
      <c r="BI165" s="95">
        <f t="shared" ref="BI165:BI166" si="8">BI164+BE165</f>
        <v>167775.84</v>
      </c>
      <c r="BJ165" s="76"/>
      <c r="BK165" s="94"/>
      <c r="BL165" s="94"/>
      <c r="BM165" s="94"/>
      <c r="BN165" s="39">
        <f t="shared" si="5"/>
        <v>0</v>
      </c>
      <c r="BO165" s="36"/>
      <c r="BP165" s="40"/>
      <c r="BQ165" s="40"/>
      <c r="BR165" s="40"/>
      <c r="BS165" s="40"/>
      <c r="BT165" s="40"/>
      <c r="BU165" s="40"/>
      <c r="BV165" s="40"/>
      <c r="BW165" s="40"/>
      <c r="BX165" s="40"/>
      <c r="BY165" s="40"/>
      <c r="BZ165" s="40"/>
      <c r="CA165" s="40"/>
      <c r="CB165" s="155"/>
      <c r="CC165" s="155"/>
      <c r="CD165" s="155"/>
      <c r="CE165" s="155"/>
      <c r="CF165" s="155"/>
      <c r="CG165" s="155"/>
    </row>
    <row r="166" spans="1:85" customFormat="1" ht="60" customHeight="1">
      <c r="A166" s="155"/>
      <c r="B166" s="155"/>
      <c r="C166" s="155"/>
      <c r="D166" s="274"/>
      <c r="E166" s="274"/>
      <c r="F166" s="274"/>
      <c r="G166" s="52"/>
      <c r="H166" s="155"/>
      <c r="I166" s="36"/>
      <c r="J166" s="36"/>
      <c r="K166" s="36"/>
      <c r="L166" s="36"/>
      <c r="M166" s="44"/>
      <c r="N166" s="44"/>
      <c r="O166" s="77"/>
      <c r="P166" s="77"/>
      <c r="Q166" s="36"/>
      <c r="R166" s="36"/>
      <c r="S166" s="36"/>
      <c r="T166" s="49"/>
      <c r="U166" s="36"/>
      <c r="V166" s="40"/>
      <c r="W166" s="36"/>
      <c r="X166" s="35"/>
      <c r="Y166" s="155"/>
      <c r="Z166" s="155"/>
      <c r="AA166" s="155"/>
      <c r="AB166" s="155"/>
      <c r="AC166" s="155"/>
      <c r="AD166" s="155"/>
      <c r="AE166" s="155"/>
      <c r="AF166" s="155"/>
      <c r="AG166" s="155"/>
      <c r="AH166" s="36"/>
      <c r="AI166" s="35"/>
      <c r="AJ166" s="35"/>
      <c r="AK166" s="155"/>
      <c r="AL166" s="47" t="s">
        <v>618</v>
      </c>
      <c r="AM166" s="36" t="s">
        <v>205</v>
      </c>
      <c r="AN166" s="48">
        <v>45643</v>
      </c>
      <c r="AO166" s="49">
        <v>13931</v>
      </c>
      <c r="AP166" s="36" t="s">
        <v>621</v>
      </c>
      <c r="AQ166" s="48">
        <v>45658</v>
      </c>
      <c r="AR166" s="48">
        <v>46022</v>
      </c>
      <c r="AS166" s="31"/>
      <c r="AT166" s="32"/>
      <c r="AU166" s="50"/>
      <c r="AV166" s="36"/>
      <c r="AW166" s="78"/>
      <c r="AX166" s="78"/>
      <c r="AY166" s="33"/>
      <c r="AZ166" s="34"/>
      <c r="BA166" s="35"/>
      <c r="BB166" s="35"/>
      <c r="BC166" s="79">
        <v>45940</v>
      </c>
      <c r="BD166" s="86">
        <f t="shared" si="7"/>
        <v>1.2208694648764684</v>
      </c>
      <c r="BE166" s="80">
        <v>204832.4</v>
      </c>
      <c r="BF166" s="48"/>
      <c r="BG166" s="36"/>
      <c r="BH166" s="35"/>
      <c r="BI166" s="96">
        <f t="shared" si="8"/>
        <v>372608.24</v>
      </c>
      <c r="BJ166" s="76"/>
      <c r="BK166" s="94"/>
      <c r="BL166" s="94"/>
      <c r="BM166" s="94"/>
      <c r="BN166" s="39"/>
      <c r="BO166" s="36"/>
      <c r="BP166" s="40"/>
      <c r="BQ166" s="40"/>
      <c r="BR166" s="40"/>
      <c r="BS166" s="40"/>
      <c r="BT166" s="40"/>
      <c r="BU166" s="40"/>
      <c r="BV166" s="40"/>
      <c r="BW166" s="40"/>
      <c r="BX166" s="40"/>
      <c r="BY166" s="40"/>
      <c r="BZ166" s="40"/>
      <c r="CA166" s="40"/>
      <c r="CB166" s="155"/>
      <c r="CC166" s="155"/>
      <c r="CD166" s="155"/>
      <c r="CE166" s="155"/>
      <c r="CF166" s="155"/>
      <c r="CG166" s="155"/>
    </row>
    <row r="167" spans="1:85" customFormat="1" ht="60" customHeight="1">
      <c r="A167" s="155"/>
      <c r="B167" s="155"/>
      <c r="C167" s="155"/>
      <c r="D167" s="274"/>
      <c r="E167" s="274"/>
      <c r="F167" s="274"/>
      <c r="G167" s="52"/>
      <c r="H167" s="155"/>
      <c r="I167" s="36"/>
      <c r="J167" s="36"/>
      <c r="K167" s="36"/>
      <c r="L167" s="36"/>
      <c r="M167" s="44"/>
      <c r="N167" s="44"/>
      <c r="O167" s="77"/>
      <c r="P167" s="77"/>
      <c r="Q167" s="36"/>
      <c r="R167" s="36"/>
      <c r="S167" s="36"/>
      <c r="T167" s="49"/>
      <c r="U167" s="36"/>
      <c r="V167" s="40"/>
      <c r="W167" s="36"/>
      <c r="X167" s="35"/>
      <c r="Y167" s="155"/>
      <c r="Z167" s="155"/>
      <c r="AA167" s="155"/>
      <c r="AB167" s="155"/>
      <c r="AC167" s="155"/>
      <c r="AD167" s="155"/>
      <c r="AE167" s="155"/>
      <c r="AF167" s="155"/>
      <c r="AG167" s="155"/>
      <c r="AH167" s="36"/>
      <c r="AI167" s="35"/>
      <c r="AJ167" s="35"/>
      <c r="AK167" s="155"/>
      <c r="AL167" s="47" t="s">
        <v>518</v>
      </c>
      <c r="AM167" s="36" t="s">
        <v>459</v>
      </c>
      <c r="AN167" s="48">
        <v>45940</v>
      </c>
      <c r="AO167" s="49">
        <v>14132</v>
      </c>
      <c r="AP167" s="36" t="s">
        <v>622</v>
      </c>
      <c r="AQ167" s="48">
        <v>45940</v>
      </c>
      <c r="AR167" s="48">
        <v>46022</v>
      </c>
      <c r="AS167" s="31"/>
      <c r="AT167" s="32"/>
      <c r="AU167" s="50"/>
      <c r="AV167" s="36"/>
      <c r="AW167" s="78"/>
      <c r="AX167" s="78"/>
      <c r="AY167" s="33"/>
      <c r="AZ167" s="34"/>
      <c r="BA167" s="35"/>
      <c r="BB167" s="35"/>
      <c r="BC167" s="79"/>
      <c r="BD167" s="86"/>
      <c r="BE167" s="80"/>
      <c r="BF167" s="48"/>
      <c r="BG167" s="36"/>
      <c r="BH167" s="35"/>
      <c r="BI167" s="96"/>
      <c r="BJ167" s="76"/>
      <c r="BK167" s="94"/>
      <c r="BL167" s="94"/>
      <c r="BM167" s="94"/>
      <c r="BN167" s="39"/>
      <c r="BO167" s="36"/>
      <c r="BP167" s="40"/>
      <c r="BQ167" s="40"/>
      <c r="BR167" s="40"/>
      <c r="BS167" s="40"/>
      <c r="BT167" s="40"/>
      <c r="BU167" s="40"/>
      <c r="BV167" s="40"/>
      <c r="BW167" s="40"/>
      <c r="BX167" s="40"/>
      <c r="BY167" s="40"/>
      <c r="BZ167" s="40"/>
      <c r="CA167" s="40"/>
      <c r="CB167" s="155"/>
      <c r="CC167" s="155"/>
      <c r="CD167" s="155"/>
      <c r="CE167" s="155"/>
      <c r="CF167" s="155"/>
      <c r="CG167" s="155"/>
    </row>
    <row r="168" spans="1:85" customFormat="1" ht="60" customHeight="1">
      <c r="A168" s="162"/>
      <c r="B168" s="162"/>
      <c r="C168" s="162"/>
      <c r="D168" s="276"/>
      <c r="E168" s="276"/>
      <c r="F168" s="276"/>
      <c r="G168" s="54"/>
      <c r="H168" s="162"/>
      <c r="I168" s="36"/>
      <c r="J168" s="36"/>
      <c r="K168" s="36"/>
      <c r="L168" s="36"/>
      <c r="M168" s="44"/>
      <c r="N168" s="44"/>
      <c r="O168" s="77"/>
      <c r="P168" s="77"/>
      <c r="Q168" s="36"/>
      <c r="R168" s="36"/>
      <c r="S168" s="36"/>
      <c r="T168" s="49"/>
      <c r="U168" s="36"/>
      <c r="V168" s="40"/>
      <c r="W168" s="36"/>
      <c r="X168" s="35"/>
      <c r="Y168" s="162"/>
      <c r="Z168" s="162"/>
      <c r="AA168" s="162"/>
      <c r="AB168" s="162"/>
      <c r="AC168" s="162"/>
      <c r="AD168" s="162"/>
      <c r="AE168" s="162"/>
      <c r="AF168" s="162"/>
      <c r="AG168" s="162"/>
      <c r="AH168" s="36"/>
      <c r="AI168" s="35"/>
      <c r="AJ168" s="35"/>
      <c r="AK168" s="162"/>
      <c r="AL168" s="47" t="s">
        <v>618</v>
      </c>
      <c r="AM168" s="36" t="s">
        <v>208</v>
      </c>
      <c r="AN168" s="48">
        <v>46021</v>
      </c>
      <c r="AO168" s="49">
        <v>14181</v>
      </c>
      <c r="AP168" s="36" t="s">
        <v>621</v>
      </c>
      <c r="AQ168" s="48">
        <v>46023</v>
      </c>
      <c r="AR168" s="48">
        <v>46387</v>
      </c>
      <c r="AS168" s="31"/>
      <c r="AT168" s="32"/>
      <c r="AU168" s="50"/>
      <c r="AV168" s="36"/>
      <c r="AW168" s="78"/>
      <c r="AX168" s="78"/>
      <c r="AY168" s="33"/>
      <c r="AZ168" s="34"/>
      <c r="BA168" s="35"/>
      <c r="BB168" s="35"/>
      <c r="BC168" s="79"/>
      <c r="BD168" s="86"/>
      <c r="BE168" s="80"/>
      <c r="BF168" s="35"/>
      <c r="BG168" s="36"/>
      <c r="BH168" s="35"/>
      <c r="BI168" s="42"/>
      <c r="BJ168" s="76"/>
      <c r="BK168" s="94"/>
      <c r="BL168" s="94"/>
      <c r="BM168" s="94"/>
      <c r="BN168" s="39">
        <f t="shared" ref="BN168:BN177" si="9">BJ168+BL168</f>
        <v>0</v>
      </c>
      <c r="BO168" s="36"/>
      <c r="BP168" s="40"/>
      <c r="BQ168" s="40"/>
      <c r="BR168" s="40"/>
      <c r="BS168" s="40"/>
      <c r="BT168" s="40"/>
      <c r="BU168" s="40"/>
      <c r="BV168" s="40"/>
      <c r="BW168" s="40"/>
      <c r="BX168" s="40"/>
      <c r="BY168" s="40"/>
      <c r="BZ168" s="40"/>
      <c r="CA168" s="40"/>
      <c r="CB168" s="162"/>
      <c r="CC168" s="162"/>
      <c r="CD168" s="162"/>
      <c r="CE168" s="162"/>
      <c r="CF168" s="162"/>
      <c r="CG168" s="162"/>
    </row>
    <row r="169" spans="1:85" customFormat="1" ht="45" customHeight="1">
      <c r="A169" s="170">
        <v>63</v>
      </c>
      <c r="B169" s="171" t="s">
        <v>623</v>
      </c>
      <c r="C169" s="165" t="s">
        <v>624</v>
      </c>
      <c r="D169" s="273" t="s">
        <v>625</v>
      </c>
      <c r="E169" s="273" t="s">
        <v>180</v>
      </c>
      <c r="F169" s="273" t="s">
        <v>626</v>
      </c>
      <c r="G169" s="43"/>
      <c r="H169" s="169">
        <v>13146</v>
      </c>
      <c r="I169" s="36"/>
      <c r="J169" s="36"/>
      <c r="K169" s="36"/>
      <c r="L169" s="36"/>
      <c r="M169" s="44"/>
      <c r="N169" s="44"/>
      <c r="O169" s="77"/>
      <c r="P169" s="77"/>
      <c r="Q169" s="154" t="s">
        <v>627</v>
      </c>
      <c r="R169" s="161">
        <v>44482</v>
      </c>
      <c r="S169" s="161">
        <v>44847</v>
      </c>
      <c r="T169" s="157">
        <v>13147</v>
      </c>
      <c r="U169" s="154" t="s">
        <v>628</v>
      </c>
      <c r="V169" s="175">
        <v>13147</v>
      </c>
      <c r="W169" s="154" t="s">
        <v>626</v>
      </c>
      <c r="X169" s="178">
        <v>784875</v>
      </c>
      <c r="Y169" s="163" t="s">
        <v>629</v>
      </c>
      <c r="Z169" s="165" t="s">
        <v>630</v>
      </c>
      <c r="AA169" s="165" t="s">
        <v>631</v>
      </c>
      <c r="AB169" s="161">
        <v>44789</v>
      </c>
      <c r="AC169" s="157">
        <v>13354</v>
      </c>
      <c r="AD169" s="161">
        <v>44789</v>
      </c>
      <c r="AE169" s="161">
        <v>45154</v>
      </c>
      <c r="AF169" s="163" t="s">
        <v>453</v>
      </c>
      <c r="AG169" s="154" t="s">
        <v>185</v>
      </c>
      <c r="AH169" s="36"/>
      <c r="AI169" s="35"/>
      <c r="AJ169" s="35"/>
      <c r="AK169" s="194">
        <v>784875</v>
      </c>
      <c r="AL169" s="47" t="s">
        <v>632</v>
      </c>
      <c r="AM169" s="36" t="s">
        <v>190</v>
      </c>
      <c r="AN169" s="48">
        <v>45287</v>
      </c>
      <c r="AO169" s="49"/>
      <c r="AP169" s="36" t="s">
        <v>620</v>
      </c>
      <c r="AQ169" s="48">
        <v>45155</v>
      </c>
      <c r="AR169" s="48">
        <v>45520</v>
      </c>
      <c r="AS169" s="31"/>
      <c r="AT169" s="32"/>
      <c r="AU169" s="50"/>
      <c r="AV169" s="36"/>
      <c r="AW169" s="78"/>
      <c r="AX169" s="78"/>
      <c r="AY169" s="33"/>
      <c r="AZ169" s="34"/>
      <c r="BA169" s="35"/>
      <c r="BB169" s="35"/>
      <c r="BC169" s="79"/>
      <c r="BD169" s="86">
        <f>BE169/BI169</f>
        <v>0.21481892021022456</v>
      </c>
      <c r="BE169" s="80">
        <v>168606</v>
      </c>
      <c r="BF169" s="35"/>
      <c r="BG169" s="36"/>
      <c r="BH169" s="35"/>
      <c r="BI169" s="78">
        <f>AK169</f>
        <v>784875</v>
      </c>
      <c r="BJ169" s="76">
        <f>80144.45+654639.2+1158606.48+1111162.13</f>
        <v>3004552.26</v>
      </c>
      <c r="BK169" s="76">
        <f>390842.55+140694.39+155645.27+423979.92</f>
        <v>1111162.1299999999</v>
      </c>
      <c r="BL169" s="76">
        <f>273243.91+97961.68+96288.07</f>
        <v>467493.66</v>
      </c>
      <c r="BM169" s="76"/>
      <c r="BN169" s="39"/>
      <c r="BO169" s="36"/>
      <c r="BP169" s="40"/>
      <c r="BQ169" s="40"/>
      <c r="BR169" s="40"/>
      <c r="BS169" s="40"/>
      <c r="BT169" s="40"/>
      <c r="BU169" s="40"/>
      <c r="BV169" s="40"/>
      <c r="BW169" s="40"/>
      <c r="BX169" s="40"/>
      <c r="BY169" s="40"/>
      <c r="BZ169" s="40"/>
      <c r="CA169" s="40"/>
      <c r="CB169" s="154" t="s">
        <v>633</v>
      </c>
      <c r="CC169" s="157">
        <v>13997</v>
      </c>
      <c r="CD169" s="154" t="s">
        <v>614</v>
      </c>
      <c r="CE169" s="154" t="s">
        <v>634</v>
      </c>
      <c r="CF169" s="154" t="s">
        <v>635</v>
      </c>
      <c r="CG169" s="154" t="s">
        <v>636</v>
      </c>
    </row>
    <row r="170" spans="1:85" customFormat="1" ht="45" customHeight="1">
      <c r="A170" s="155"/>
      <c r="B170" s="155"/>
      <c r="C170" s="155"/>
      <c r="D170" s="274"/>
      <c r="E170" s="274"/>
      <c r="F170" s="274"/>
      <c r="G170" s="52"/>
      <c r="H170" s="155"/>
      <c r="I170" s="36"/>
      <c r="J170" s="36"/>
      <c r="K170" s="36"/>
      <c r="L170" s="36"/>
      <c r="M170" s="44"/>
      <c r="N170" s="44"/>
      <c r="O170" s="77"/>
      <c r="P170" s="77"/>
      <c r="Q170" s="155"/>
      <c r="R170" s="155"/>
      <c r="S170" s="155"/>
      <c r="T170" s="155"/>
      <c r="U170" s="155"/>
      <c r="V170" s="155"/>
      <c r="W170" s="155"/>
      <c r="X170" s="155"/>
      <c r="Y170" s="155"/>
      <c r="Z170" s="155"/>
      <c r="AA170" s="155"/>
      <c r="AB170" s="155"/>
      <c r="AC170" s="155"/>
      <c r="AD170" s="155"/>
      <c r="AE170" s="155"/>
      <c r="AF170" s="155"/>
      <c r="AG170" s="155"/>
      <c r="AH170" s="36"/>
      <c r="AI170" s="35"/>
      <c r="AJ170" s="35"/>
      <c r="AK170" s="155"/>
      <c r="AL170" s="47" t="s">
        <v>518</v>
      </c>
      <c r="AM170" s="36" t="s">
        <v>199</v>
      </c>
      <c r="AN170" s="48">
        <v>45155</v>
      </c>
      <c r="AO170" s="49">
        <v>13600</v>
      </c>
      <c r="AP170" s="36" t="s">
        <v>637</v>
      </c>
      <c r="AQ170" s="48">
        <v>45155</v>
      </c>
      <c r="AR170" s="48">
        <v>45520</v>
      </c>
      <c r="AS170" s="31"/>
      <c r="AT170" s="32"/>
      <c r="AU170" s="50"/>
      <c r="AV170" s="36"/>
      <c r="AW170" s="78"/>
      <c r="AX170" s="78"/>
      <c r="AY170" s="33"/>
      <c r="AZ170" s="34"/>
      <c r="BA170" s="35"/>
      <c r="BB170" s="35"/>
      <c r="BC170" s="79"/>
      <c r="BD170" s="86"/>
      <c r="BE170" s="80"/>
      <c r="BF170" s="35"/>
      <c r="BG170" s="36"/>
      <c r="BH170" s="35"/>
      <c r="BI170" s="78">
        <f>BI169+BE169</f>
        <v>953481</v>
      </c>
      <c r="BJ170" s="76"/>
      <c r="BK170" s="76"/>
      <c r="BL170" s="76"/>
      <c r="BM170" s="76"/>
      <c r="BN170" s="39">
        <f t="shared" si="9"/>
        <v>0</v>
      </c>
      <c r="BO170" s="36"/>
      <c r="BP170" s="40"/>
      <c r="BQ170" s="40"/>
      <c r="BR170" s="40"/>
      <c r="BS170" s="40"/>
      <c r="BT170" s="40"/>
      <c r="BU170" s="40"/>
      <c r="BV170" s="40"/>
      <c r="BW170" s="40"/>
      <c r="BX170" s="40"/>
      <c r="BY170" s="40"/>
      <c r="BZ170" s="40"/>
      <c r="CA170" s="40"/>
      <c r="CB170" s="155"/>
      <c r="CC170" s="155"/>
      <c r="CD170" s="155"/>
      <c r="CE170" s="155"/>
      <c r="CF170" s="155"/>
      <c r="CG170" s="155"/>
    </row>
    <row r="171" spans="1:85" customFormat="1" ht="45" customHeight="1">
      <c r="A171" s="155"/>
      <c r="B171" s="155"/>
      <c r="C171" s="155"/>
      <c r="D171" s="274"/>
      <c r="E171" s="274"/>
      <c r="F171" s="274"/>
      <c r="G171" s="52"/>
      <c r="H171" s="155"/>
      <c r="I171" s="36"/>
      <c r="J171" s="36"/>
      <c r="K171" s="36"/>
      <c r="L171" s="36"/>
      <c r="M171" s="44"/>
      <c r="N171" s="44"/>
      <c r="O171" s="77"/>
      <c r="P171" s="77"/>
      <c r="Q171" s="155"/>
      <c r="R171" s="155"/>
      <c r="S171" s="155"/>
      <c r="T171" s="155"/>
      <c r="U171" s="155"/>
      <c r="V171" s="155"/>
      <c r="W171" s="155"/>
      <c r="X171" s="155"/>
      <c r="Y171" s="155"/>
      <c r="Z171" s="155"/>
      <c r="AA171" s="155"/>
      <c r="AB171" s="155"/>
      <c r="AC171" s="155"/>
      <c r="AD171" s="155"/>
      <c r="AE171" s="155"/>
      <c r="AF171" s="155"/>
      <c r="AG171" s="155"/>
      <c r="AH171" s="36"/>
      <c r="AI171" s="35"/>
      <c r="AJ171" s="35"/>
      <c r="AK171" s="155"/>
      <c r="AL171" s="47" t="s">
        <v>518</v>
      </c>
      <c r="AM171" s="36" t="s">
        <v>459</v>
      </c>
      <c r="AN171" s="48">
        <v>45521</v>
      </c>
      <c r="AO171" s="49">
        <v>13847</v>
      </c>
      <c r="AP171" s="36" t="s">
        <v>638</v>
      </c>
      <c r="AQ171" s="48">
        <v>45521</v>
      </c>
      <c r="AR171" s="48">
        <v>45886</v>
      </c>
      <c r="AS171" s="31"/>
      <c r="AT171" s="32"/>
      <c r="AU171" s="50">
        <f>AW171/BI170</f>
        <v>0.23999996853634201</v>
      </c>
      <c r="AV171" s="36"/>
      <c r="AW171" s="78">
        <f>1182316.41-BI170</f>
        <v>228835.40999999992</v>
      </c>
      <c r="AX171" s="78"/>
      <c r="AY171" s="33"/>
      <c r="AZ171" s="34"/>
      <c r="BA171" s="35"/>
      <c r="BB171" s="35"/>
      <c r="BC171" s="79"/>
      <c r="BD171" s="86"/>
      <c r="BE171" s="80"/>
      <c r="BF171" s="35"/>
      <c r="BG171" s="36"/>
      <c r="BH171" s="35"/>
      <c r="BI171" s="97">
        <f>BI170+AW171</f>
        <v>1182316.4099999999</v>
      </c>
      <c r="BJ171" s="76"/>
      <c r="BK171" s="76"/>
      <c r="BL171" s="76"/>
      <c r="BM171" s="76"/>
      <c r="BN171" s="39">
        <f t="shared" si="9"/>
        <v>0</v>
      </c>
      <c r="BO171" s="36"/>
      <c r="BP171" s="40"/>
      <c r="BQ171" s="40"/>
      <c r="BR171" s="40"/>
      <c r="BS171" s="40"/>
      <c r="BT171" s="40"/>
      <c r="BU171" s="40"/>
      <c r="BV171" s="40"/>
      <c r="BW171" s="40"/>
      <c r="BX171" s="40"/>
      <c r="BY171" s="40"/>
      <c r="BZ171" s="40"/>
      <c r="CA171" s="40"/>
      <c r="CB171" s="155"/>
      <c r="CC171" s="155"/>
      <c r="CD171" s="155"/>
      <c r="CE171" s="155"/>
      <c r="CF171" s="155"/>
      <c r="CG171" s="155"/>
    </row>
    <row r="172" spans="1:85" customFormat="1" ht="45" customHeight="1">
      <c r="A172" s="162"/>
      <c r="B172" s="162"/>
      <c r="C172" s="162"/>
      <c r="D172" s="276"/>
      <c r="E172" s="276"/>
      <c r="F172" s="276"/>
      <c r="G172" s="54"/>
      <c r="H172" s="162"/>
      <c r="I172" s="36"/>
      <c r="J172" s="36"/>
      <c r="K172" s="36"/>
      <c r="L172" s="36"/>
      <c r="M172" s="44"/>
      <c r="N172" s="44"/>
      <c r="O172" s="77"/>
      <c r="P172" s="77"/>
      <c r="Q172" s="162"/>
      <c r="R172" s="162"/>
      <c r="S172" s="162"/>
      <c r="T172" s="162"/>
      <c r="U172" s="162"/>
      <c r="V172" s="162"/>
      <c r="W172" s="162"/>
      <c r="X172" s="162"/>
      <c r="Y172" s="162"/>
      <c r="Z172" s="162"/>
      <c r="AA172" s="162"/>
      <c r="AB172" s="162"/>
      <c r="AC172" s="162"/>
      <c r="AD172" s="162"/>
      <c r="AE172" s="162"/>
      <c r="AF172" s="162"/>
      <c r="AG172" s="162"/>
      <c r="AH172" s="36"/>
      <c r="AI172" s="35"/>
      <c r="AJ172" s="35"/>
      <c r="AK172" s="162"/>
      <c r="AL172" s="47" t="s">
        <v>518</v>
      </c>
      <c r="AM172" s="36" t="s">
        <v>520</v>
      </c>
      <c r="AN172" s="48">
        <v>45885</v>
      </c>
      <c r="AO172" s="49">
        <v>13847</v>
      </c>
      <c r="AP172" s="36" t="s">
        <v>637</v>
      </c>
      <c r="AQ172" s="48">
        <v>45886</v>
      </c>
      <c r="AR172" s="48">
        <v>46250</v>
      </c>
      <c r="AS172" s="31"/>
      <c r="AT172" s="32"/>
      <c r="AU172" s="50"/>
      <c r="AV172" s="36"/>
      <c r="AW172" s="78"/>
      <c r="AX172" s="78"/>
      <c r="AY172" s="33"/>
      <c r="AZ172" s="34"/>
      <c r="BA172" s="35"/>
      <c r="BB172" s="35"/>
      <c r="BC172" s="79"/>
      <c r="BD172" s="80"/>
      <c r="BE172" s="80"/>
      <c r="BF172" s="35"/>
      <c r="BG172" s="36"/>
      <c r="BH172" s="35"/>
      <c r="BI172" s="97"/>
      <c r="BJ172" s="76"/>
      <c r="BK172" s="76"/>
      <c r="BL172" s="76"/>
      <c r="BM172" s="76"/>
      <c r="BN172" s="39">
        <f t="shared" si="9"/>
        <v>0</v>
      </c>
      <c r="BO172" s="36"/>
      <c r="BP172" s="40"/>
      <c r="BQ172" s="40"/>
      <c r="BR172" s="40"/>
      <c r="BS172" s="40"/>
      <c r="BT172" s="40"/>
      <c r="BU172" s="40"/>
      <c r="BV172" s="40"/>
      <c r="BW172" s="40"/>
      <c r="BX172" s="40"/>
      <c r="BY172" s="40"/>
      <c r="BZ172" s="40"/>
      <c r="CA172" s="40"/>
      <c r="CB172" s="162"/>
      <c r="CC172" s="162"/>
      <c r="CD172" s="162"/>
      <c r="CE172" s="162"/>
      <c r="CF172" s="162"/>
      <c r="CG172" s="162"/>
    </row>
    <row r="173" spans="1:85" customFormat="1" ht="45" customHeight="1">
      <c r="A173" s="170">
        <v>64</v>
      </c>
      <c r="B173" s="171" t="s">
        <v>639</v>
      </c>
      <c r="C173" s="165" t="s">
        <v>640</v>
      </c>
      <c r="D173" s="273" t="s">
        <v>434</v>
      </c>
      <c r="E173" s="273" t="s">
        <v>180</v>
      </c>
      <c r="F173" s="273" t="s">
        <v>641</v>
      </c>
      <c r="G173" s="43"/>
      <c r="H173" s="169">
        <v>13176</v>
      </c>
      <c r="I173" s="36"/>
      <c r="J173" s="36"/>
      <c r="K173" s="36"/>
      <c r="L173" s="36"/>
      <c r="M173" s="44"/>
      <c r="N173" s="44"/>
      <c r="O173" s="77"/>
      <c r="P173" s="77"/>
      <c r="Q173" s="36"/>
      <c r="R173" s="36"/>
      <c r="S173" s="36"/>
      <c r="T173" s="49"/>
      <c r="U173" s="36"/>
      <c r="V173" s="40"/>
      <c r="W173" s="36"/>
      <c r="X173" s="35"/>
      <c r="Y173" s="163" t="s">
        <v>642</v>
      </c>
      <c r="Z173" s="165" t="s">
        <v>643</v>
      </c>
      <c r="AA173" s="165" t="s">
        <v>644</v>
      </c>
      <c r="AB173" s="161">
        <v>44615</v>
      </c>
      <c r="AC173" s="157">
        <v>13236</v>
      </c>
      <c r="AD173" s="161">
        <v>44615</v>
      </c>
      <c r="AE173" s="161">
        <v>44926</v>
      </c>
      <c r="AF173" s="98" t="s">
        <v>453</v>
      </c>
      <c r="AG173" s="154" t="s">
        <v>185</v>
      </c>
      <c r="AH173" s="36"/>
      <c r="AI173" s="35"/>
      <c r="AJ173" s="35"/>
      <c r="AK173" s="194">
        <f>2041800</f>
        <v>2041800</v>
      </c>
      <c r="AL173" s="47"/>
      <c r="AM173" s="36"/>
      <c r="AN173" s="36"/>
      <c r="AO173" s="49"/>
      <c r="AP173" s="36"/>
      <c r="AQ173" s="36"/>
      <c r="AR173" s="36"/>
      <c r="AS173" s="31"/>
      <c r="AT173" s="32"/>
      <c r="AU173" s="50"/>
      <c r="AV173" s="36"/>
      <c r="AW173" s="78"/>
      <c r="AX173" s="78"/>
      <c r="AY173" s="33"/>
      <c r="AZ173" s="34"/>
      <c r="BA173" s="35"/>
      <c r="BB173" s="35"/>
      <c r="BC173" s="79"/>
      <c r="BD173" s="80"/>
      <c r="BE173" s="80"/>
      <c r="BF173" s="35"/>
      <c r="BG173" s="36"/>
      <c r="BH173" s="35"/>
      <c r="BI173" s="78">
        <f>AK173</f>
        <v>2041800</v>
      </c>
      <c r="BJ173" s="76">
        <f>1182319.46+1031851.63+1344801.82+638802.19</f>
        <v>4197775.0999999996</v>
      </c>
      <c r="BK173" s="76">
        <f>638802.19</f>
        <v>638802.18999999994</v>
      </c>
      <c r="BL173" s="76">
        <f>282785.08</f>
        <v>282785.08</v>
      </c>
      <c r="BM173" s="76"/>
      <c r="BN173" s="39"/>
      <c r="BO173" s="36"/>
      <c r="BP173" s="40"/>
      <c r="BQ173" s="40"/>
      <c r="BR173" s="40"/>
      <c r="BS173" s="40"/>
      <c r="BT173" s="40"/>
      <c r="BU173" s="40"/>
      <c r="BV173" s="40"/>
      <c r="BW173" s="40"/>
      <c r="BX173" s="40"/>
      <c r="BY173" s="40"/>
      <c r="BZ173" s="40"/>
      <c r="CA173" s="40"/>
      <c r="CB173" s="154" t="s">
        <v>645</v>
      </c>
      <c r="CC173" s="157">
        <v>14007</v>
      </c>
      <c r="CD173" s="154" t="s">
        <v>646</v>
      </c>
      <c r="CE173" s="157" t="s">
        <v>647</v>
      </c>
      <c r="CF173" s="154" t="s">
        <v>648</v>
      </c>
      <c r="CG173" s="157">
        <v>713115</v>
      </c>
    </row>
    <row r="174" spans="1:85" customFormat="1" ht="45" customHeight="1">
      <c r="A174" s="155"/>
      <c r="B174" s="155"/>
      <c r="C174" s="155"/>
      <c r="D174" s="274"/>
      <c r="E174" s="274"/>
      <c r="F174" s="274"/>
      <c r="G174" s="52"/>
      <c r="H174" s="155"/>
      <c r="I174" s="36"/>
      <c r="J174" s="36"/>
      <c r="K174" s="36"/>
      <c r="L174" s="36"/>
      <c r="M174" s="44"/>
      <c r="N174" s="44"/>
      <c r="O174" s="77"/>
      <c r="P174" s="77"/>
      <c r="Q174" s="36"/>
      <c r="R174" s="36"/>
      <c r="S174" s="36"/>
      <c r="T174" s="49"/>
      <c r="U174" s="36"/>
      <c r="V174" s="40"/>
      <c r="W174" s="36"/>
      <c r="X174" s="35"/>
      <c r="Y174" s="155"/>
      <c r="Z174" s="155"/>
      <c r="AA174" s="155"/>
      <c r="AB174" s="155"/>
      <c r="AC174" s="155"/>
      <c r="AD174" s="155"/>
      <c r="AE174" s="155"/>
      <c r="AF174" s="99"/>
      <c r="AG174" s="155"/>
      <c r="AH174" s="36"/>
      <c r="AI174" s="35"/>
      <c r="AJ174" s="35"/>
      <c r="AK174" s="155"/>
      <c r="AL174" s="47" t="s">
        <v>198</v>
      </c>
      <c r="AM174" s="36" t="s">
        <v>199</v>
      </c>
      <c r="AN174" s="48">
        <v>44914</v>
      </c>
      <c r="AO174" s="49"/>
      <c r="AP174" s="36" t="s">
        <v>649</v>
      </c>
      <c r="AQ174" s="48">
        <v>44615</v>
      </c>
      <c r="AR174" s="48">
        <v>44980</v>
      </c>
      <c r="AS174" s="31"/>
      <c r="AT174" s="32"/>
      <c r="AU174" s="50"/>
      <c r="AV174" s="36"/>
      <c r="AW174" s="78"/>
      <c r="AX174" s="78"/>
      <c r="AY174" s="33"/>
      <c r="AZ174" s="34"/>
      <c r="BA174" s="35"/>
      <c r="BB174" s="35"/>
      <c r="BC174" s="79"/>
      <c r="BD174" s="80"/>
      <c r="BE174" s="80"/>
      <c r="BF174" s="35"/>
      <c r="BG174" s="36"/>
      <c r="BH174" s="35"/>
      <c r="BI174" s="35"/>
      <c r="BJ174" s="76"/>
      <c r="BK174" s="76"/>
      <c r="BL174" s="76"/>
      <c r="BM174" s="76"/>
      <c r="BN174" s="39">
        <f t="shared" si="9"/>
        <v>0</v>
      </c>
      <c r="BO174" s="36"/>
      <c r="BP174" s="40"/>
      <c r="BQ174" s="40"/>
      <c r="BR174" s="40"/>
      <c r="BS174" s="40"/>
      <c r="BT174" s="40"/>
      <c r="BU174" s="40"/>
      <c r="BV174" s="40"/>
      <c r="BW174" s="40"/>
      <c r="BX174" s="40"/>
      <c r="BY174" s="40"/>
      <c r="BZ174" s="40"/>
      <c r="CA174" s="40"/>
      <c r="CB174" s="155"/>
      <c r="CC174" s="155"/>
      <c r="CD174" s="155"/>
      <c r="CE174" s="155"/>
      <c r="CF174" s="155"/>
      <c r="CG174" s="155"/>
    </row>
    <row r="175" spans="1:85" customFormat="1" ht="45" customHeight="1">
      <c r="A175" s="155"/>
      <c r="B175" s="155"/>
      <c r="C175" s="155"/>
      <c r="D175" s="274"/>
      <c r="E175" s="274"/>
      <c r="F175" s="274"/>
      <c r="G175" s="52"/>
      <c r="H175" s="155"/>
      <c r="I175" s="36"/>
      <c r="J175" s="36"/>
      <c r="K175" s="36"/>
      <c r="L175" s="36"/>
      <c r="M175" s="44"/>
      <c r="N175" s="44"/>
      <c r="O175" s="77"/>
      <c r="P175" s="77"/>
      <c r="Q175" s="36"/>
      <c r="R175" s="36"/>
      <c r="S175" s="36"/>
      <c r="T175" s="49"/>
      <c r="U175" s="36"/>
      <c r="V175" s="40"/>
      <c r="W175" s="36"/>
      <c r="X175" s="35"/>
      <c r="Y175" s="155"/>
      <c r="Z175" s="155"/>
      <c r="AA175" s="155"/>
      <c r="AB175" s="155"/>
      <c r="AC175" s="155"/>
      <c r="AD175" s="155"/>
      <c r="AE175" s="155"/>
      <c r="AF175" s="99"/>
      <c r="AG175" s="155"/>
      <c r="AH175" s="36"/>
      <c r="AI175" s="35"/>
      <c r="AJ175" s="35"/>
      <c r="AK175" s="155"/>
      <c r="AL175" s="47" t="s">
        <v>518</v>
      </c>
      <c r="AM175" s="36" t="s">
        <v>199</v>
      </c>
      <c r="AN175" s="48">
        <v>44980</v>
      </c>
      <c r="AO175" s="49">
        <v>13488</v>
      </c>
      <c r="AP175" s="36" t="s">
        <v>650</v>
      </c>
      <c r="AQ175" s="36"/>
      <c r="AR175" s="36"/>
      <c r="AS175" s="31"/>
      <c r="AT175" s="32"/>
      <c r="AU175" s="50"/>
      <c r="AV175" s="100">
        <f>AX175/BI173</f>
        <v>0.31295915368792243</v>
      </c>
      <c r="AW175" s="78"/>
      <c r="AX175" s="78">
        <f>53250*12</f>
        <v>639000</v>
      </c>
      <c r="AY175" s="33"/>
      <c r="AZ175" s="34"/>
      <c r="BA175" s="35"/>
      <c r="BB175" s="35"/>
      <c r="BC175" s="79"/>
      <c r="BD175" s="80"/>
      <c r="BE175" s="80"/>
      <c r="BF175" s="35"/>
      <c r="BG175" s="36"/>
      <c r="BH175" s="35"/>
      <c r="BI175" s="97">
        <f>BI173-AX175</f>
        <v>1402800</v>
      </c>
      <c r="BJ175" s="76"/>
      <c r="BK175" s="76"/>
      <c r="BL175" s="76"/>
      <c r="BM175" s="76"/>
      <c r="BN175" s="39">
        <f t="shared" si="9"/>
        <v>0</v>
      </c>
      <c r="BO175" s="36"/>
      <c r="BP175" s="40"/>
      <c r="BQ175" s="40"/>
      <c r="BR175" s="40"/>
      <c r="BS175" s="40"/>
      <c r="BT175" s="40"/>
      <c r="BU175" s="40"/>
      <c r="BV175" s="40"/>
      <c r="BW175" s="40"/>
      <c r="BX175" s="40"/>
      <c r="BY175" s="40"/>
      <c r="BZ175" s="40"/>
      <c r="CA175" s="40"/>
      <c r="CB175" s="155"/>
      <c r="CC175" s="155"/>
      <c r="CD175" s="155"/>
      <c r="CE175" s="155"/>
      <c r="CF175" s="155"/>
      <c r="CG175" s="155"/>
    </row>
    <row r="176" spans="1:85" customFormat="1" ht="45" customHeight="1">
      <c r="A176" s="155"/>
      <c r="B176" s="155"/>
      <c r="C176" s="155"/>
      <c r="D176" s="274"/>
      <c r="E176" s="274"/>
      <c r="F176" s="274"/>
      <c r="G176" s="52"/>
      <c r="H176" s="155"/>
      <c r="I176" s="36"/>
      <c r="J176" s="36"/>
      <c r="K176" s="36"/>
      <c r="L176" s="36"/>
      <c r="M176" s="44"/>
      <c r="N176" s="44"/>
      <c r="O176" s="77"/>
      <c r="P176" s="77"/>
      <c r="Q176" s="36"/>
      <c r="R176" s="36"/>
      <c r="S176" s="36"/>
      <c r="T176" s="49"/>
      <c r="U176" s="36"/>
      <c r="V176" s="40"/>
      <c r="W176" s="36"/>
      <c r="X176" s="35"/>
      <c r="Y176" s="155"/>
      <c r="Z176" s="155"/>
      <c r="AA176" s="155"/>
      <c r="AB176" s="155"/>
      <c r="AC176" s="155"/>
      <c r="AD176" s="155"/>
      <c r="AE176" s="155"/>
      <c r="AF176" s="163" t="s">
        <v>517</v>
      </c>
      <c r="AG176" s="155"/>
      <c r="AH176" s="36"/>
      <c r="AI176" s="35"/>
      <c r="AJ176" s="35"/>
      <c r="AK176" s="155"/>
      <c r="AL176" s="47" t="s">
        <v>518</v>
      </c>
      <c r="AM176" s="36" t="s">
        <v>459</v>
      </c>
      <c r="AN176" s="48">
        <v>44980</v>
      </c>
      <c r="AO176" s="49">
        <v>13488</v>
      </c>
      <c r="AP176" s="36" t="s">
        <v>228</v>
      </c>
      <c r="AQ176" s="48">
        <v>44981</v>
      </c>
      <c r="AR176" s="48">
        <v>45345</v>
      </c>
      <c r="AS176" s="31"/>
      <c r="AT176" s="32"/>
      <c r="AU176" s="50"/>
      <c r="AV176" s="100"/>
      <c r="AW176" s="78"/>
      <c r="AX176" s="78"/>
      <c r="AY176" s="33"/>
      <c r="AZ176" s="34"/>
      <c r="BA176" s="35"/>
      <c r="BB176" s="35"/>
      <c r="BC176" s="79"/>
      <c r="BD176" s="80"/>
      <c r="BE176" s="80"/>
      <c r="BF176" s="35"/>
      <c r="BG176" s="36"/>
      <c r="BH176" s="35"/>
      <c r="BI176" s="97"/>
      <c r="BJ176" s="76">
        <f t="shared" ref="BJ176:BK176" si="10">499999.82</f>
        <v>499999.82</v>
      </c>
      <c r="BK176" s="76">
        <f t="shared" si="10"/>
        <v>499999.82</v>
      </c>
      <c r="BL176" s="76"/>
      <c r="BM176" s="76"/>
      <c r="BN176" s="39">
        <f t="shared" si="9"/>
        <v>499999.82</v>
      </c>
      <c r="BO176" s="36"/>
      <c r="BP176" s="40"/>
      <c r="BQ176" s="40"/>
      <c r="BR176" s="40"/>
      <c r="BS176" s="40"/>
      <c r="BT176" s="40"/>
      <c r="BU176" s="40"/>
      <c r="BV176" s="40"/>
      <c r="BW176" s="40"/>
      <c r="BX176" s="40"/>
      <c r="BY176" s="40"/>
      <c r="BZ176" s="40"/>
      <c r="CA176" s="40"/>
      <c r="CB176" s="155"/>
      <c r="CC176" s="155"/>
      <c r="CD176" s="155"/>
      <c r="CE176" s="155"/>
      <c r="CF176" s="155"/>
      <c r="CG176" s="155"/>
    </row>
    <row r="177" spans="1:85" customFormat="1" ht="45" customHeight="1">
      <c r="A177" s="155"/>
      <c r="B177" s="155"/>
      <c r="C177" s="155"/>
      <c r="D177" s="274"/>
      <c r="E177" s="274"/>
      <c r="F177" s="274"/>
      <c r="G177" s="52"/>
      <c r="H177" s="155"/>
      <c r="I177" s="36"/>
      <c r="J177" s="36"/>
      <c r="K177" s="36"/>
      <c r="L177" s="36"/>
      <c r="M177" s="44"/>
      <c r="N177" s="44"/>
      <c r="O177" s="77"/>
      <c r="P177" s="77"/>
      <c r="Q177" s="36"/>
      <c r="R177" s="36"/>
      <c r="S177" s="36"/>
      <c r="T177" s="49"/>
      <c r="U177" s="36"/>
      <c r="V177" s="40"/>
      <c r="W177" s="36"/>
      <c r="X177" s="35"/>
      <c r="Y177" s="155"/>
      <c r="Z177" s="155"/>
      <c r="AA177" s="155"/>
      <c r="AB177" s="155"/>
      <c r="AC177" s="155"/>
      <c r="AD177" s="155"/>
      <c r="AE177" s="155"/>
      <c r="AF177" s="155"/>
      <c r="AG177" s="155"/>
      <c r="AH177" s="36"/>
      <c r="AI177" s="35"/>
      <c r="AJ177" s="35"/>
      <c r="AK177" s="155"/>
      <c r="AL177" s="47" t="s">
        <v>518</v>
      </c>
      <c r="AM177" s="36" t="s">
        <v>520</v>
      </c>
      <c r="AN177" s="48">
        <v>45345</v>
      </c>
      <c r="AO177" s="49">
        <v>13734</v>
      </c>
      <c r="AP177" s="36" t="s">
        <v>228</v>
      </c>
      <c r="AQ177" s="48">
        <v>45346</v>
      </c>
      <c r="AR177" s="48">
        <v>45712</v>
      </c>
      <c r="AS177" s="31"/>
      <c r="AT177" s="32"/>
      <c r="AU177" s="50"/>
      <c r="AV177" s="100"/>
      <c r="AW177" s="78"/>
      <c r="AX177" s="78"/>
      <c r="AY177" s="33"/>
      <c r="AZ177" s="34"/>
      <c r="BA177" s="35"/>
      <c r="BB177" s="35"/>
      <c r="BC177" s="79"/>
      <c r="BD177" s="80"/>
      <c r="BE177" s="80"/>
      <c r="BF177" s="35"/>
      <c r="BG177" s="36"/>
      <c r="BH177" s="35"/>
      <c r="BI177" s="97"/>
      <c r="BJ177" s="76"/>
      <c r="BK177" s="76"/>
      <c r="BL177" s="76"/>
      <c r="BM177" s="76"/>
      <c r="BN177" s="39">
        <f t="shared" si="9"/>
        <v>0</v>
      </c>
      <c r="BO177" s="36"/>
      <c r="BP177" s="40"/>
      <c r="BQ177" s="40"/>
      <c r="BR177" s="40"/>
      <c r="BS177" s="40"/>
      <c r="BT177" s="40"/>
      <c r="BU177" s="40"/>
      <c r="BV177" s="40"/>
      <c r="BW177" s="40"/>
      <c r="BX177" s="40"/>
      <c r="BY177" s="40"/>
      <c r="BZ177" s="40"/>
      <c r="CA177" s="40"/>
      <c r="CB177" s="155"/>
      <c r="CC177" s="155"/>
      <c r="CD177" s="155"/>
      <c r="CE177" s="155"/>
      <c r="CF177" s="155"/>
      <c r="CG177" s="155"/>
    </row>
    <row r="178" spans="1:85" customFormat="1" ht="45" customHeight="1">
      <c r="A178" s="155"/>
      <c r="B178" s="155"/>
      <c r="C178" s="155"/>
      <c r="D178" s="274"/>
      <c r="E178" s="274"/>
      <c r="F178" s="274"/>
      <c r="G178" s="52"/>
      <c r="H178" s="155"/>
      <c r="I178" s="36"/>
      <c r="J178" s="36"/>
      <c r="K178" s="36"/>
      <c r="L178" s="36"/>
      <c r="M178" s="44"/>
      <c r="N178" s="44"/>
      <c r="O178" s="77"/>
      <c r="P178" s="77"/>
      <c r="Q178" s="36"/>
      <c r="R178" s="36"/>
      <c r="S178" s="36"/>
      <c r="T178" s="49"/>
      <c r="U178" s="36"/>
      <c r="V178" s="40"/>
      <c r="W178" s="36"/>
      <c r="X178" s="35"/>
      <c r="Y178" s="155"/>
      <c r="Z178" s="155"/>
      <c r="AA178" s="155"/>
      <c r="AB178" s="155"/>
      <c r="AC178" s="155"/>
      <c r="AD178" s="155"/>
      <c r="AE178" s="155"/>
      <c r="AF178" s="155"/>
      <c r="AG178" s="155"/>
      <c r="AH178" s="36"/>
      <c r="AI178" s="35"/>
      <c r="AJ178" s="35"/>
      <c r="AK178" s="155"/>
      <c r="AL178" s="47" t="s">
        <v>518</v>
      </c>
      <c r="AM178" s="36" t="s">
        <v>651</v>
      </c>
      <c r="AN178" s="48">
        <v>45708</v>
      </c>
      <c r="AO178" s="49">
        <v>13978</v>
      </c>
      <c r="AP178" s="36" t="s">
        <v>652</v>
      </c>
      <c r="AQ178" s="48">
        <v>45713</v>
      </c>
      <c r="AR178" s="48">
        <v>46077</v>
      </c>
      <c r="AS178" s="31"/>
      <c r="AT178" s="32"/>
      <c r="AU178" s="50"/>
      <c r="AV178" s="100"/>
      <c r="AW178" s="78"/>
      <c r="AX178" s="78"/>
      <c r="AY178" s="33"/>
      <c r="AZ178" s="34"/>
      <c r="BA178" s="35"/>
      <c r="BB178" s="35"/>
      <c r="BC178" s="79"/>
      <c r="BD178" s="86">
        <f>BE178/BI175</f>
        <v>5.3359709153122326E-2</v>
      </c>
      <c r="BE178" s="80">
        <v>74853</v>
      </c>
      <c r="BF178" s="35"/>
      <c r="BG178" s="36"/>
      <c r="BH178" s="35"/>
      <c r="BI178" s="97">
        <f>BI175+BE178</f>
        <v>1477653</v>
      </c>
      <c r="BJ178" s="76"/>
      <c r="BK178" s="76"/>
      <c r="BL178" s="76"/>
      <c r="BM178" s="76"/>
      <c r="BN178" s="39"/>
      <c r="BO178" s="36"/>
      <c r="BP178" s="40"/>
      <c r="BQ178" s="40"/>
      <c r="BR178" s="40"/>
      <c r="BS178" s="40"/>
      <c r="BT178" s="40"/>
      <c r="BU178" s="40"/>
      <c r="BV178" s="40"/>
      <c r="BW178" s="40"/>
      <c r="BX178" s="40"/>
      <c r="BY178" s="40"/>
      <c r="BZ178" s="40"/>
      <c r="CA178" s="40"/>
      <c r="CB178" s="155"/>
      <c r="CC178" s="155"/>
      <c r="CD178" s="155"/>
      <c r="CE178" s="155"/>
      <c r="CF178" s="155"/>
      <c r="CG178" s="155"/>
    </row>
    <row r="179" spans="1:85" customFormat="1" ht="45" customHeight="1">
      <c r="A179" s="162"/>
      <c r="B179" s="162"/>
      <c r="C179" s="162"/>
      <c r="D179" s="276"/>
      <c r="E179" s="276"/>
      <c r="F179" s="276"/>
      <c r="G179" s="54"/>
      <c r="H179" s="162"/>
      <c r="I179" s="36"/>
      <c r="J179" s="36"/>
      <c r="K179" s="36"/>
      <c r="L179" s="36"/>
      <c r="M179" s="44"/>
      <c r="N179" s="44"/>
      <c r="O179" s="77"/>
      <c r="P179" s="77"/>
      <c r="Q179" s="36"/>
      <c r="R179" s="36"/>
      <c r="S179" s="36"/>
      <c r="T179" s="49"/>
      <c r="U179" s="36"/>
      <c r="V179" s="40"/>
      <c r="W179" s="36"/>
      <c r="X179" s="35"/>
      <c r="Y179" s="162"/>
      <c r="Z179" s="162"/>
      <c r="AA179" s="162"/>
      <c r="AB179" s="162"/>
      <c r="AC179" s="162"/>
      <c r="AD179" s="162"/>
      <c r="AE179" s="162"/>
      <c r="AF179" s="162"/>
      <c r="AG179" s="162"/>
      <c r="AH179" s="36"/>
      <c r="AI179" s="35"/>
      <c r="AJ179" s="35"/>
      <c r="AK179" s="162"/>
      <c r="AL179" s="47" t="s">
        <v>518</v>
      </c>
      <c r="AM179" s="36" t="s">
        <v>653</v>
      </c>
      <c r="AN179" s="48">
        <v>45712</v>
      </c>
      <c r="AO179" s="49">
        <v>14212</v>
      </c>
      <c r="AP179" s="36" t="s">
        <v>621</v>
      </c>
      <c r="AQ179" s="48">
        <v>46078</v>
      </c>
      <c r="AR179" s="48">
        <v>46442</v>
      </c>
      <c r="AS179" s="31"/>
      <c r="AT179" s="32"/>
      <c r="AU179" s="50"/>
      <c r="AV179" s="100"/>
      <c r="AW179" s="78"/>
      <c r="AX179" s="78"/>
      <c r="AY179" s="33"/>
      <c r="AZ179" s="34"/>
      <c r="BA179" s="35"/>
      <c r="BB179" s="35"/>
      <c r="BC179" s="79"/>
      <c r="BD179" s="86"/>
      <c r="BE179" s="80"/>
      <c r="BF179" s="35"/>
      <c r="BG179" s="36"/>
      <c r="BH179" s="35"/>
      <c r="BI179" s="97"/>
      <c r="BJ179" s="76"/>
      <c r="BK179" s="76"/>
      <c r="BL179" s="76"/>
      <c r="BM179" s="76"/>
      <c r="BN179" s="39">
        <f t="shared" ref="BN179:BN183" si="11">BJ179+BL179</f>
        <v>0</v>
      </c>
      <c r="BO179" s="36"/>
      <c r="BP179" s="40"/>
      <c r="BQ179" s="40"/>
      <c r="BR179" s="40"/>
      <c r="BS179" s="40"/>
      <c r="BT179" s="40"/>
      <c r="BU179" s="40"/>
      <c r="BV179" s="40"/>
      <c r="BW179" s="40"/>
      <c r="BX179" s="40"/>
      <c r="BY179" s="40"/>
      <c r="BZ179" s="40"/>
      <c r="CA179" s="40"/>
      <c r="CB179" s="162"/>
      <c r="CC179" s="162"/>
      <c r="CD179" s="162"/>
      <c r="CE179" s="162"/>
      <c r="CF179" s="162"/>
      <c r="CG179" s="162"/>
    </row>
    <row r="180" spans="1:85" customFormat="1" ht="39.950000000000003" customHeight="1">
      <c r="A180" s="170">
        <v>65</v>
      </c>
      <c r="B180" s="171" t="s">
        <v>654</v>
      </c>
      <c r="C180" s="165" t="s">
        <v>655</v>
      </c>
      <c r="D180" s="273" t="s">
        <v>434</v>
      </c>
      <c r="E180" s="273" t="s">
        <v>180</v>
      </c>
      <c r="F180" s="273" t="s">
        <v>656</v>
      </c>
      <c r="G180" s="43"/>
      <c r="H180" s="169">
        <v>13106</v>
      </c>
      <c r="I180" s="36"/>
      <c r="J180" s="36"/>
      <c r="K180" s="36"/>
      <c r="L180" s="36"/>
      <c r="M180" s="44"/>
      <c r="N180" s="44"/>
      <c r="O180" s="77"/>
      <c r="P180" s="77"/>
      <c r="Q180" s="36"/>
      <c r="R180" s="36"/>
      <c r="S180" s="36"/>
      <c r="T180" s="49"/>
      <c r="U180" s="36"/>
      <c r="V180" s="40"/>
      <c r="W180" s="36"/>
      <c r="X180" s="35"/>
      <c r="Y180" s="163" t="s">
        <v>657</v>
      </c>
      <c r="Z180" s="165" t="s">
        <v>658</v>
      </c>
      <c r="AA180" s="165" t="s">
        <v>659</v>
      </c>
      <c r="AB180" s="161">
        <v>44570</v>
      </c>
      <c r="AC180" s="157">
        <v>13221</v>
      </c>
      <c r="AD180" s="161">
        <v>44570</v>
      </c>
      <c r="AE180" s="161">
        <v>44935</v>
      </c>
      <c r="AF180" s="163" t="s">
        <v>453</v>
      </c>
      <c r="AG180" s="154" t="s">
        <v>226</v>
      </c>
      <c r="AH180" s="36"/>
      <c r="AI180" s="35"/>
      <c r="AJ180" s="35"/>
      <c r="AK180" s="164">
        <v>1774800</v>
      </c>
      <c r="AL180" s="47"/>
      <c r="AM180" s="36"/>
      <c r="AN180" s="36"/>
      <c r="AO180" s="49"/>
      <c r="AP180" s="36"/>
      <c r="AQ180" s="36"/>
      <c r="AR180" s="36"/>
      <c r="AS180" s="31"/>
      <c r="AT180" s="32"/>
      <c r="AU180" s="50"/>
      <c r="AV180" s="100"/>
      <c r="AW180" s="78"/>
      <c r="AX180" s="78"/>
      <c r="AY180" s="33"/>
      <c r="AZ180" s="34"/>
      <c r="BA180" s="35"/>
      <c r="BB180" s="35"/>
      <c r="BC180" s="79"/>
      <c r="BD180" s="80"/>
      <c r="BE180" s="80"/>
      <c r="BF180" s="35"/>
      <c r="BG180" s="36"/>
      <c r="BH180" s="35"/>
      <c r="BI180" s="35"/>
      <c r="BJ180" s="76">
        <f>726983.02+1555297.78+2028537.39+1283981.25</f>
        <v>5594799.4399999995</v>
      </c>
      <c r="BK180" s="76">
        <f>89649.21+79989.3+379796.19+319957.2+414589.35</f>
        <v>1283981.25</v>
      </c>
      <c r="BL180" s="76"/>
      <c r="BM180" s="76"/>
      <c r="BN180" s="39"/>
      <c r="BO180" s="36"/>
      <c r="BP180" s="40"/>
      <c r="BQ180" s="40"/>
      <c r="BR180" s="40"/>
      <c r="BS180" s="40"/>
      <c r="BT180" s="40"/>
      <c r="BU180" s="40"/>
      <c r="BV180" s="40"/>
      <c r="BW180" s="40"/>
      <c r="BX180" s="40"/>
      <c r="BY180" s="40"/>
      <c r="BZ180" s="40"/>
      <c r="CA180" s="40"/>
      <c r="CB180" s="154" t="s">
        <v>660</v>
      </c>
      <c r="CC180" s="157">
        <v>14023</v>
      </c>
      <c r="CD180" s="154" t="s">
        <v>661</v>
      </c>
      <c r="CE180" s="157" t="s">
        <v>662</v>
      </c>
      <c r="CF180" s="154" t="s">
        <v>663</v>
      </c>
      <c r="CG180" s="154" t="s">
        <v>664</v>
      </c>
    </row>
    <row r="181" spans="1:85" customFormat="1" ht="39.950000000000003" customHeight="1">
      <c r="A181" s="155"/>
      <c r="B181" s="155"/>
      <c r="C181" s="155"/>
      <c r="D181" s="274"/>
      <c r="E181" s="274"/>
      <c r="F181" s="274"/>
      <c r="G181" s="52"/>
      <c r="H181" s="155"/>
      <c r="I181" s="36"/>
      <c r="J181" s="36"/>
      <c r="K181" s="36"/>
      <c r="L181" s="36"/>
      <c r="M181" s="44"/>
      <c r="N181" s="44"/>
      <c r="O181" s="77"/>
      <c r="P181" s="77"/>
      <c r="Q181" s="36"/>
      <c r="R181" s="36"/>
      <c r="S181" s="36"/>
      <c r="T181" s="49"/>
      <c r="U181" s="36"/>
      <c r="V181" s="40"/>
      <c r="W181" s="36"/>
      <c r="X181" s="35"/>
      <c r="Y181" s="155"/>
      <c r="Z181" s="155"/>
      <c r="AA181" s="155"/>
      <c r="AB181" s="155"/>
      <c r="AC181" s="155"/>
      <c r="AD181" s="155"/>
      <c r="AE181" s="155"/>
      <c r="AF181" s="155"/>
      <c r="AG181" s="155"/>
      <c r="AH181" s="36"/>
      <c r="AI181" s="35"/>
      <c r="AJ181" s="35"/>
      <c r="AK181" s="155"/>
      <c r="AL181" s="47" t="s">
        <v>518</v>
      </c>
      <c r="AM181" s="36" t="s">
        <v>199</v>
      </c>
      <c r="AN181" s="48">
        <v>44762</v>
      </c>
      <c r="AO181" s="49">
        <v>13333</v>
      </c>
      <c r="AP181" s="36" t="s">
        <v>530</v>
      </c>
      <c r="AQ181" s="36" t="s">
        <v>665</v>
      </c>
      <c r="AR181" s="48">
        <v>45291</v>
      </c>
      <c r="AS181" s="31"/>
      <c r="AT181" s="32"/>
      <c r="AU181" s="50" t="e">
        <f>AW181/BI180</f>
        <v>#DIV/0!</v>
      </c>
      <c r="AV181" s="100"/>
      <c r="AW181" s="78">
        <v>347836.27</v>
      </c>
      <c r="AX181" s="78"/>
      <c r="AY181" s="33"/>
      <c r="AZ181" s="34"/>
      <c r="BA181" s="35"/>
      <c r="BB181" s="35"/>
      <c r="BC181" s="79"/>
      <c r="BD181" s="80"/>
      <c r="BE181" s="78"/>
      <c r="BF181" s="35"/>
      <c r="BG181" s="36"/>
      <c r="BH181" s="35"/>
      <c r="BI181" s="42">
        <f>BI180+AW181</f>
        <v>347836.27</v>
      </c>
      <c r="BJ181" s="76"/>
      <c r="BK181" s="76"/>
      <c r="BL181" s="76"/>
      <c r="BM181" s="76"/>
      <c r="BN181" s="39">
        <f t="shared" si="11"/>
        <v>0</v>
      </c>
      <c r="BO181" s="36"/>
      <c r="BP181" s="40"/>
      <c r="BQ181" s="40"/>
      <c r="BR181" s="40"/>
      <c r="BS181" s="40"/>
      <c r="BT181" s="40"/>
      <c r="BU181" s="40"/>
      <c r="BV181" s="40"/>
      <c r="BW181" s="40"/>
      <c r="BX181" s="40"/>
      <c r="BY181" s="40"/>
      <c r="BZ181" s="40"/>
      <c r="CA181" s="40"/>
      <c r="CB181" s="155"/>
      <c r="CC181" s="155"/>
      <c r="CD181" s="155"/>
      <c r="CE181" s="155"/>
      <c r="CF181" s="155"/>
      <c r="CG181" s="155"/>
    </row>
    <row r="182" spans="1:85" customFormat="1" ht="39.950000000000003" customHeight="1">
      <c r="A182" s="155"/>
      <c r="B182" s="155"/>
      <c r="C182" s="155"/>
      <c r="D182" s="274"/>
      <c r="E182" s="274"/>
      <c r="F182" s="274"/>
      <c r="G182" s="52"/>
      <c r="H182" s="155"/>
      <c r="I182" s="36"/>
      <c r="J182" s="36"/>
      <c r="K182" s="36"/>
      <c r="L182" s="36"/>
      <c r="M182" s="44"/>
      <c r="N182" s="44"/>
      <c r="O182" s="77"/>
      <c r="P182" s="77"/>
      <c r="Q182" s="36"/>
      <c r="R182" s="36"/>
      <c r="S182" s="36"/>
      <c r="T182" s="49"/>
      <c r="U182" s="36"/>
      <c r="V182" s="40"/>
      <c r="W182" s="36"/>
      <c r="X182" s="35"/>
      <c r="Y182" s="155"/>
      <c r="Z182" s="155"/>
      <c r="AA182" s="155"/>
      <c r="AB182" s="155"/>
      <c r="AC182" s="155"/>
      <c r="AD182" s="155"/>
      <c r="AE182" s="155"/>
      <c r="AF182" s="162"/>
      <c r="AG182" s="155"/>
      <c r="AH182" s="36"/>
      <c r="AI182" s="35"/>
      <c r="AJ182" s="35"/>
      <c r="AK182" s="155"/>
      <c r="AL182" s="47" t="s">
        <v>518</v>
      </c>
      <c r="AM182" s="36" t="s">
        <v>459</v>
      </c>
      <c r="AN182" s="48">
        <v>44944</v>
      </c>
      <c r="AO182" s="49">
        <v>13459</v>
      </c>
      <c r="AP182" s="36" t="s">
        <v>228</v>
      </c>
      <c r="AQ182" s="48">
        <v>44946</v>
      </c>
      <c r="AR182" s="48">
        <v>45310</v>
      </c>
      <c r="AS182" s="31"/>
      <c r="AT182" s="32"/>
      <c r="AU182" s="50"/>
      <c r="AV182" s="100"/>
      <c r="AW182" s="78"/>
      <c r="AX182" s="78"/>
      <c r="AY182" s="33"/>
      <c r="AZ182" s="34"/>
      <c r="BA182" s="35"/>
      <c r="BB182" s="35"/>
      <c r="BC182" s="79"/>
      <c r="BD182" s="80"/>
      <c r="BE182" s="80"/>
      <c r="BF182" s="35"/>
      <c r="BG182" s="36"/>
      <c r="BH182" s="35"/>
      <c r="BI182" s="35"/>
      <c r="BJ182" s="76"/>
      <c r="BK182" s="76"/>
      <c r="BL182" s="76"/>
      <c r="BM182" s="76"/>
      <c r="BN182" s="39">
        <f t="shared" si="11"/>
        <v>0</v>
      </c>
      <c r="BO182" s="36"/>
      <c r="BP182" s="40"/>
      <c r="BQ182" s="40"/>
      <c r="BR182" s="40"/>
      <c r="BS182" s="40"/>
      <c r="BT182" s="40"/>
      <c r="BU182" s="40"/>
      <c r="BV182" s="40"/>
      <c r="BW182" s="40"/>
      <c r="BX182" s="40"/>
      <c r="BY182" s="40"/>
      <c r="BZ182" s="40"/>
      <c r="CA182" s="40"/>
      <c r="CB182" s="155"/>
      <c r="CC182" s="155"/>
      <c r="CD182" s="155"/>
      <c r="CE182" s="155"/>
      <c r="CF182" s="155"/>
      <c r="CG182" s="155"/>
    </row>
    <row r="183" spans="1:85" customFormat="1" ht="39.950000000000003" customHeight="1">
      <c r="A183" s="155"/>
      <c r="B183" s="155"/>
      <c r="C183" s="155"/>
      <c r="D183" s="274"/>
      <c r="E183" s="274"/>
      <c r="F183" s="274"/>
      <c r="G183" s="52"/>
      <c r="H183" s="155"/>
      <c r="I183" s="36"/>
      <c r="J183" s="36"/>
      <c r="K183" s="36"/>
      <c r="L183" s="36"/>
      <c r="M183" s="44"/>
      <c r="N183" s="44"/>
      <c r="O183" s="77"/>
      <c r="P183" s="77"/>
      <c r="Q183" s="36"/>
      <c r="R183" s="36"/>
      <c r="S183" s="36"/>
      <c r="T183" s="49"/>
      <c r="U183" s="36"/>
      <c r="V183" s="40"/>
      <c r="W183" s="36"/>
      <c r="X183" s="35"/>
      <c r="Y183" s="155"/>
      <c r="Z183" s="155"/>
      <c r="AA183" s="155"/>
      <c r="AB183" s="155"/>
      <c r="AC183" s="155"/>
      <c r="AD183" s="155"/>
      <c r="AE183" s="155"/>
      <c r="AF183" s="163" t="s">
        <v>666</v>
      </c>
      <c r="AG183" s="155"/>
      <c r="AH183" s="36"/>
      <c r="AI183" s="35"/>
      <c r="AJ183" s="35"/>
      <c r="AK183" s="155"/>
      <c r="AL183" s="47" t="s">
        <v>518</v>
      </c>
      <c r="AM183" s="36" t="s">
        <v>520</v>
      </c>
      <c r="AN183" s="48">
        <v>45250</v>
      </c>
      <c r="AO183" s="49">
        <v>13659</v>
      </c>
      <c r="AP183" s="36" t="s">
        <v>228</v>
      </c>
      <c r="AQ183" s="48">
        <v>45311</v>
      </c>
      <c r="AR183" s="48">
        <v>45677</v>
      </c>
      <c r="AS183" s="31"/>
      <c r="AT183" s="32"/>
      <c r="AU183" s="50"/>
      <c r="AV183" s="100"/>
      <c r="AW183" s="78"/>
      <c r="AX183" s="78"/>
      <c r="AY183" s="33"/>
      <c r="AZ183" s="34"/>
      <c r="BA183" s="35"/>
      <c r="BB183" s="35"/>
      <c r="BC183" s="79"/>
      <c r="BD183" s="80"/>
      <c r="BE183" s="80"/>
      <c r="BF183" s="35"/>
      <c r="BG183" s="36"/>
      <c r="BH183" s="35"/>
      <c r="BI183" s="35"/>
      <c r="BJ183" s="76">
        <v>691667.04</v>
      </c>
      <c r="BK183" s="76">
        <f>300000+320000+95506.35</f>
        <v>715506.35</v>
      </c>
      <c r="BL183" s="76"/>
      <c r="BM183" s="76">
        <f>19381.8+4457.51</f>
        <v>23839.309999999998</v>
      </c>
      <c r="BN183" s="39">
        <f t="shared" si="11"/>
        <v>691667.04</v>
      </c>
      <c r="BO183" s="36"/>
      <c r="BP183" s="40"/>
      <c r="BQ183" s="40"/>
      <c r="BR183" s="40"/>
      <c r="BS183" s="40"/>
      <c r="BT183" s="40"/>
      <c r="BU183" s="40"/>
      <c r="BV183" s="40"/>
      <c r="BW183" s="40"/>
      <c r="BX183" s="40"/>
      <c r="BY183" s="40"/>
      <c r="BZ183" s="40"/>
      <c r="CA183" s="40"/>
      <c r="CB183" s="155"/>
      <c r="CC183" s="155"/>
      <c r="CD183" s="155"/>
      <c r="CE183" s="155"/>
      <c r="CF183" s="155"/>
      <c r="CG183" s="155"/>
    </row>
    <row r="184" spans="1:85" customFormat="1" ht="39.950000000000003" customHeight="1">
      <c r="A184" s="155"/>
      <c r="B184" s="155"/>
      <c r="C184" s="155"/>
      <c r="D184" s="274"/>
      <c r="E184" s="274"/>
      <c r="F184" s="274"/>
      <c r="G184" s="52"/>
      <c r="H184" s="155"/>
      <c r="I184" s="36"/>
      <c r="J184" s="36"/>
      <c r="K184" s="36"/>
      <c r="L184" s="36"/>
      <c r="M184" s="44"/>
      <c r="N184" s="44"/>
      <c r="O184" s="77"/>
      <c r="P184" s="77"/>
      <c r="Q184" s="36"/>
      <c r="R184" s="36"/>
      <c r="S184" s="36"/>
      <c r="T184" s="49"/>
      <c r="U184" s="36"/>
      <c r="V184" s="40"/>
      <c r="W184" s="36"/>
      <c r="X184" s="35"/>
      <c r="Y184" s="155"/>
      <c r="Z184" s="155"/>
      <c r="AA184" s="155"/>
      <c r="AB184" s="155"/>
      <c r="AC184" s="155"/>
      <c r="AD184" s="155"/>
      <c r="AE184" s="155"/>
      <c r="AF184" s="155"/>
      <c r="AG184" s="155"/>
      <c r="AH184" s="36"/>
      <c r="AI184" s="35"/>
      <c r="AJ184" s="35"/>
      <c r="AK184" s="155"/>
      <c r="AL184" s="47" t="s">
        <v>518</v>
      </c>
      <c r="AM184" s="36" t="s">
        <v>651</v>
      </c>
      <c r="AN184" s="48">
        <v>45677</v>
      </c>
      <c r="AO184" s="49">
        <v>13221</v>
      </c>
      <c r="AP184" s="36" t="s">
        <v>228</v>
      </c>
      <c r="AQ184" s="48">
        <v>45678</v>
      </c>
      <c r="AR184" s="48">
        <v>46042</v>
      </c>
      <c r="AS184" s="31"/>
      <c r="AT184" s="32"/>
      <c r="AU184" s="50"/>
      <c r="AV184" s="100"/>
      <c r="AW184" s="78"/>
      <c r="AX184" s="78"/>
      <c r="AY184" s="33"/>
      <c r="AZ184" s="34"/>
      <c r="BA184" s="35"/>
      <c r="BB184" s="35"/>
      <c r="BC184" s="79"/>
      <c r="BD184" s="80"/>
      <c r="BE184" s="80"/>
      <c r="BF184" s="35"/>
      <c r="BG184" s="36"/>
      <c r="BH184" s="35"/>
      <c r="BI184" s="35"/>
      <c r="BJ184" s="76"/>
      <c r="BK184" s="76"/>
      <c r="BL184" s="76"/>
      <c r="BM184" s="76"/>
      <c r="BN184" s="39"/>
      <c r="BO184" s="36"/>
      <c r="BP184" s="40"/>
      <c r="BQ184" s="40"/>
      <c r="BR184" s="40"/>
      <c r="BS184" s="40"/>
      <c r="BT184" s="40"/>
      <c r="BU184" s="40"/>
      <c r="BV184" s="40"/>
      <c r="BW184" s="40"/>
      <c r="BX184" s="40"/>
      <c r="BY184" s="40"/>
      <c r="BZ184" s="40"/>
      <c r="CA184" s="40"/>
      <c r="CB184" s="155"/>
      <c r="CC184" s="155"/>
      <c r="CD184" s="155"/>
      <c r="CE184" s="155"/>
      <c r="CF184" s="155"/>
      <c r="CG184" s="155"/>
    </row>
    <row r="185" spans="1:85" customFormat="1" ht="39.950000000000003" customHeight="1">
      <c r="A185" s="162"/>
      <c r="B185" s="162"/>
      <c r="C185" s="162"/>
      <c r="D185" s="276"/>
      <c r="E185" s="276"/>
      <c r="F185" s="276"/>
      <c r="G185" s="54"/>
      <c r="H185" s="162"/>
      <c r="I185" s="36"/>
      <c r="J185" s="36"/>
      <c r="K185" s="36"/>
      <c r="L185" s="36"/>
      <c r="M185" s="44"/>
      <c r="N185" s="44"/>
      <c r="O185" s="77"/>
      <c r="P185" s="77"/>
      <c r="Q185" s="36"/>
      <c r="R185" s="36"/>
      <c r="S185" s="36"/>
      <c r="T185" s="49"/>
      <c r="U185" s="36"/>
      <c r="V185" s="40"/>
      <c r="W185" s="36"/>
      <c r="X185" s="35"/>
      <c r="Y185" s="162"/>
      <c r="Z185" s="162"/>
      <c r="AA185" s="162"/>
      <c r="AB185" s="162"/>
      <c r="AC185" s="162"/>
      <c r="AD185" s="162"/>
      <c r="AE185" s="162"/>
      <c r="AF185" s="162"/>
      <c r="AG185" s="162"/>
      <c r="AH185" s="36"/>
      <c r="AI185" s="35"/>
      <c r="AJ185" s="35"/>
      <c r="AK185" s="162"/>
      <c r="AL185" s="47" t="s">
        <v>518</v>
      </c>
      <c r="AM185" s="36" t="s">
        <v>653</v>
      </c>
      <c r="AN185" s="48">
        <v>45678</v>
      </c>
      <c r="AO185" s="49">
        <v>14201</v>
      </c>
      <c r="AP185" s="36" t="s">
        <v>228</v>
      </c>
      <c r="AQ185" s="48">
        <v>46043</v>
      </c>
      <c r="AR185" s="48" t="s">
        <v>667</v>
      </c>
      <c r="AS185" s="31"/>
      <c r="AT185" s="32"/>
      <c r="AU185" s="50"/>
      <c r="AV185" s="36"/>
      <c r="AW185" s="78"/>
      <c r="AX185" s="78"/>
      <c r="AY185" s="33"/>
      <c r="AZ185" s="34"/>
      <c r="BA185" s="35"/>
      <c r="BB185" s="35"/>
      <c r="BC185" s="79"/>
      <c r="BD185" s="80"/>
      <c r="BE185" s="80"/>
      <c r="BF185" s="35"/>
      <c r="BG185" s="36"/>
      <c r="BH185" s="35"/>
      <c r="BI185" s="35"/>
      <c r="BJ185" s="76"/>
      <c r="BK185" s="76"/>
      <c r="BL185" s="76">
        <f>34356.06+24346.47+38770.77+15036.24+82830.45+29722.8+20456.28+50922.15+52364.58+48212.13+66176.94+42223.86+203819.73+41437.08+131479.68</f>
        <v>882155.22</v>
      </c>
      <c r="BM185" s="76"/>
      <c r="BN185" s="39">
        <f t="shared" ref="BN185:BN186" si="12">BJ185+BL185</f>
        <v>882155.22</v>
      </c>
      <c r="BO185" s="36"/>
      <c r="BP185" s="40"/>
      <c r="BQ185" s="40"/>
      <c r="BR185" s="40"/>
      <c r="BS185" s="40"/>
      <c r="BT185" s="40"/>
      <c r="BU185" s="40"/>
      <c r="BV185" s="40"/>
      <c r="BW185" s="40"/>
      <c r="BX185" s="40"/>
      <c r="BY185" s="40"/>
      <c r="BZ185" s="40"/>
      <c r="CA185" s="40"/>
      <c r="CB185" s="162"/>
      <c r="CC185" s="162"/>
      <c r="CD185" s="162"/>
      <c r="CE185" s="162"/>
      <c r="CF185" s="162"/>
      <c r="CG185" s="162"/>
    </row>
    <row r="186" spans="1:85" customFormat="1" ht="60" customHeight="1">
      <c r="A186" s="170">
        <v>66</v>
      </c>
      <c r="B186" s="171" t="s">
        <v>668</v>
      </c>
      <c r="C186" s="165" t="s">
        <v>669</v>
      </c>
      <c r="D186" s="273" t="s">
        <v>670</v>
      </c>
      <c r="E186" s="273" t="s">
        <v>180</v>
      </c>
      <c r="F186" s="273" t="s">
        <v>671</v>
      </c>
      <c r="G186" s="44"/>
      <c r="H186" s="169">
        <v>13389</v>
      </c>
      <c r="I186" s="154" t="s">
        <v>672</v>
      </c>
      <c r="J186" s="161">
        <v>45180</v>
      </c>
      <c r="K186" s="161">
        <v>45548</v>
      </c>
      <c r="L186" s="157">
        <v>13616</v>
      </c>
      <c r="M186" s="44"/>
      <c r="N186" s="44"/>
      <c r="O186" s="77"/>
      <c r="P186" s="77"/>
      <c r="Q186" s="101"/>
      <c r="R186" s="102"/>
      <c r="S186" s="102"/>
      <c r="T186" s="103"/>
      <c r="U186" s="101"/>
      <c r="V186" s="103"/>
      <c r="W186" s="101"/>
      <c r="X186" s="104"/>
      <c r="Y186" s="163" t="s">
        <v>673</v>
      </c>
      <c r="Z186" s="165" t="s">
        <v>674</v>
      </c>
      <c r="AA186" s="165" t="s">
        <v>675</v>
      </c>
      <c r="AB186" s="161">
        <v>45204</v>
      </c>
      <c r="AC186" s="157">
        <v>13633</v>
      </c>
      <c r="AD186" s="197">
        <v>45204</v>
      </c>
      <c r="AE186" s="197">
        <v>45570</v>
      </c>
      <c r="AF186" s="72" t="s">
        <v>453</v>
      </c>
      <c r="AG186" s="154" t="s">
        <v>185</v>
      </c>
      <c r="AH186" s="36"/>
      <c r="AI186" s="35"/>
      <c r="AJ186" s="35"/>
      <c r="AK186" s="164">
        <v>97430.75</v>
      </c>
      <c r="AL186" s="47"/>
      <c r="AM186" s="36"/>
      <c r="AN186" s="48"/>
      <c r="AO186" s="49"/>
      <c r="AP186" s="36"/>
      <c r="AQ186" s="48"/>
      <c r="AR186" s="48"/>
      <c r="AS186" s="31"/>
      <c r="AT186" s="32"/>
      <c r="AU186" s="50"/>
      <c r="AV186" s="36"/>
      <c r="AW186" s="78"/>
      <c r="AX186" s="78"/>
      <c r="AY186" s="33"/>
      <c r="AZ186" s="34"/>
      <c r="BA186" s="35"/>
      <c r="BB186" s="35"/>
      <c r="BC186" s="79"/>
      <c r="BD186" s="80"/>
      <c r="BE186" s="80"/>
      <c r="BF186" s="35"/>
      <c r="BG186" s="36"/>
      <c r="BH186" s="35"/>
      <c r="BI186" s="42">
        <f>AK186</f>
        <v>97430.75</v>
      </c>
      <c r="BJ186" s="76">
        <f t="shared" ref="BJ186:BK186" si="13">97430.75</f>
        <v>97430.75</v>
      </c>
      <c r="BK186" s="76">
        <f t="shared" si="13"/>
        <v>97430.75</v>
      </c>
      <c r="BL186" s="76">
        <f>47749+44952.92</f>
        <v>92701.92</v>
      </c>
      <c r="BM186" s="76"/>
      <c r="BN186" s="39">
        <f t="shared" si="12"/>
        <v>190132.66999999998</v>
      </c>
      <c r="BO186" s="36"/>
      <c r="BP186" s="40"/>
      <c r="BQ186" s="40"/>
      <c r="BR186" s="40"/>
      <c r="BS186" s="40"/>
      <c r="BT186" s="40"/>
      <c r="BU186" s="40"/>
      <c r="BV186" s="40"/>
      <c r="BW186" s="40"/>
      <c r="BX186" s="40"/>
      <c r="BY186" s="40"/>
      <c r="BZ186" s="40"/>
      <c r="CA186" s="40"/>
      <c r="CB186" s="154" t="s">
        <v>676</v>
      </c>
      <c r="CC186" s="154">
        <v>13996</v>
      </c>
      <c r="CD186" s="154" t="s">
        <v>563</v>
      </c>
      <c r="CE186" s="157">
        <v>713519</v>
      </c>
      <c r="CF186" s="154" t="s">
        <v>230</v>
      </c>
      <c r="CG186" s="157">
        <v>713115</v>
      </c>
    </row>
    <row r="187" spans="1:85" customFormat="1" ht="60" customHeight="1">
      <c r="A187" s="155"/>
      <c r="B187" s="155"/>
      <c r="C187" s="155"/>
      <c r="D187" s="274"/>
      <c r="E187" s="274"/>
      <c r="F187" s="274"/>
      <c r="G187" s="53"/>
      <c r="H187" s="155"/>
      <c r="I187" s="155"/>
      <c r="J187" s="155"/>
      <c r="K187" s="155"/>
      <c r="L187" s="155"/>
      <c r="M187" s="44"/>
      <c r="N187" s="44"/>
      <c r="O187" s="77"/>
      <c r="P187" s="77"/>
      <c r="Q187" s="101"/>
      <c r="R187" s="102"/>
      <c r="S187" s="102"/>
      <c r="T187" s="103"/>
      <c r="U187" s="101"/>
      <c r="V187" s="103"/>
      <c r="W187" s="101"/>
      <c r="X187" s="104"/>
      <c r="Y187" s="155"/>
      <c r="Z187" s="155"/>
      <c r="AA187" s="155"/>
      <c r="AB187" s="155"/>
      <c r="AC187" s="155"/>
      <c r="AD187" s="155"/>
      <c r="AE187" s="155"/>
      <c r="AF187" s="72"/>
      <c r="AG187" s="155"/>
      <c r="AH187" s="36"/>
      <c r="AI187" s="35"/>
      <c r="AJ187" s="35"/>
      <c r="AK187" s="155"/>
      <c r="AL187" s="47" t="s">
        <v>518</v>
      </c>
      <c r="AM187" s="36" t="s">
        <v>199</v>
      </c>
      <c r="AN187" s="48">
        <v>45570</v>
      </c>
      <c r="AO187" s="49">
        <v>13883</v>
      </c>
      <c r="AP187" s="36" t="s">
        <v>228</v>
      </c>
      <c r="AQ187" s="48">
        <v>45570</v>
      </c>
      <c r="AR187" s="48">
        <v>45935</v>
      </c>
      <c r="AS187" s="31"/>
      <c r="AT187" s="32"/>
      <c r="AU187" s="50"/>
      <c r="AV187" s="36"/>
      <c r="AW187" s="78"/>
      <c r="AX187" s="78"/>
      <c r="AY187" s="33"/>
      <c r="AZ187" s="34"/>
      <c r="BA187" s="35"/>
      <c r="BB187" s="35"/>
      <c r="BC187" s="79"/>
      <c r="BD187" s="80"/>
      <c r="BE187" s="80"/>
      <c r="BF187" s="35"/>
      <c r="BG187" s="36"/>
      <c r="BH187" s="35"/>
      <c r="BI187" s="42"/>
      <c r="BJ187" s="76"/>
      <c r="BK187" s="76"/>
      <c r="BL187" s="76"/>
      <c r="BM187" s="76"/>
      <c r="BN187" s="39"/>
      <c r="BO187" s="36"/>
      <c r="BP187" s="40"/>
      <c r="BQ187" s="40"/>
      <c r="BR187" s="40"/>
      <c r="BS187" s="40"/>
      <c r="BT187" s="40"/>
      <c r="BU187" s="40"/>
      <c r="BV187" s="40"/>
      <c r="BW187" s="40"/>
      <c r="BX187" s="40"/>
      <c r="BY187" s="40"/>
      <c r="BZ187" s="40"/>
      <c r="CA187" s="40"/>
      <c r="CB187" s="155"/>
      <c r="CC187" s="155"/>
      <c r="CD187" s="155"/>
      <c r="CE187" s="155"/>
      <c r="CF187" s="155"/>
      <c r="CG187" s="155"/>
    </row>
    <row r="188" spans="1:85" customFormat="1" ht="60" customHeight="1">
      <c r="A188" s="156"/>
      <c r="B188" s="156"/>
      <c r="C188" s="156"/>
      <c r="D188" s="275"/>
      <c r="E188" s="275"/>
      <c r="F188" s="275"/>
      <c r="G188" s="53"/>
      <c r="H188" s="156"/>
      <c r="I188" s="156"/>
      <c r="J188" s="156"/>
      <c r="K188" s="156"/>
      <c r="L188" s="156"/>
      <c r="M188" s="44"/>
      <c r="N188" s="44"/>
      <c r="O188" s="77"/>
      <c r="P188" s="77"/>
      <c r="Q188" s="101"/>
      <c r="R188" s="102"/>
      <c r="S188" s="102"/>
      <c r="T188" s="103"/>
      <c r="U188" s="101"/>
      <c r="V188" s="103"/>
      <c r="W188" s="101"/>
      <c r="X188" s="104"/>
      <c r="Y188" s="156"/>
      <c r="Z188" s="156"/>
      <c r="AA188" s="156"/>
      <c r="AB188" s="156"/>
      <c r="AC188" s="156"/>
      <c r="AD188" s="156"/>
      <c r="AE188" s="156"/>
      <c r="AF188" s="72"/>
      <c r="AG188" s="156"/>
      <c r="AH188" s="36"/>
      <c r="AI188" s="35"/>
      <c r="AJ188" s="35"/>
      <c r="AK188" s="156"/>
      <c r="AL188" s="47" t="s">
        <v>518</v>
      </c>
      <c r="AM188" s="36" t="s">
        <v>459</v>
      </c>
      <c r="AN188" s="48">
        <v>45936</v>
      </c>
      <c r="AO188" s="49">
        <v>14133</v>
      </c>
      <c r="AP188" s="36" t="s">
        <v>677</v>
      </c>
      <c r="AQ188" s="48">
        <v>45936</v>
      </c>
      <c r="AR188" s="48">
        <v>46300</v>
      </c>
      <c r="AS188" s="31"/>
      <c r="AT188" s="32"/>
      <c r="AU188" s="50">
        <f>AW188/BI186</f>
        <v>0.23369018508017234</v>
      </c>
      <c r="AV188" s="36"/>
      <c r="AW188" s="78">
        <v>22768.61</v>
      </c>
      <c r="AX188" s="78"/>
      <c r="AY188" s="33"/>
      <c r="AZ188" s="34"/>
      <c r="BA188" s="35"/>
      <c r="BB188" s="35"/>
      <c r="BC188" s="79"/>
      <c r="BD188" s="80"/>
      <c r="BE188" s="80"/>
      <c r="BF188" s="35"/>
      <c r="BG188" s="36"/>
      <c r="BH188" s="35"/>
      <c r="BI188" s="96">
        <f>AW188+BI186</f>
        <v>120199.36</v>
      </c>
      <c r="BJ188" s="76"/>
      <c r="BK188" s="76"/>
      <c r="BL188" s="76"/>
      <c r="BM188" s="76"/>
      <c r="BN188" s="39">
        <f t="shared" ref="BN188:BN191" si="14">BJ188+BL188</f>
        <v>0</v>
      </c>
      <c r="BO188" s="36"/>
      <c r="BP188" s="40"/>
      <c r="BQ188" s="40"/>
      <c r="BR188" s="40"/>
      <c r="BS188" s="40"/>
      <c r="BT188" s="40"/>
      <c r="BU188" s="40"/>
      <c r="BV188" s="40"/>
      <c r="BW188" s="40"/>
      <c r="BX188" s="40"/>
      <c r="BY188" s="40"/>
      <c r="BZ188" s="40"/>
      <c r="CA188" s="40"/>
      <c r="CB188" s="156"/>
      <c r="CC188" s="156"/>
      <c r="CD188" s="156"/>
      <c r="CE188" s="156"/>
      <c r="CF188" s="156"/>
      <c r="CG188" s="156"/>
    </row>
    <row r="189" spans="1:85" customFormat="1" ht="39.950000000000003" customHeight="1">
      <c r="A189" s="170">
        <v>67</v>
      </c>
      <c r="B189" s="171" t="s">
        <v>678</v>
      </c>
      <c r="C189" s="165" t="s">
        <v>679</v>
      </c>
      <c r="D189" s="273" t="s">
        <v>680</v>
      </c>
      <c r="E189" s="273" t="s">
        <v>180</v>
      </c>
      <c r="F189" s="273" t="s">
        <v>681</v>
      </c>
      <c r="G189" s="44"/>
      <c r="H189" s="169">
        <v>13411</v>
      </c>
      <c r="I189" s="36"/>
      <c r="J189" s="36"/>
      <c r="K189" s="36"/>
      <c r="L189" s="36"/>
      <c r="M189" s="44"/>
      <c r="N189" s="44"/>
      <c r="O189" s="77"/>
      <c r="P189" s="77"/>
      <c r="Q189" s="154" t="s">
        <v>679</v>
      </c>
      <c r="R189" s="161">
        <v>44881</v>
      </c>
      <c r="S189" s="161">
        <v>45246</v>
      </c>
      <c r="T189" s="157">
        <v>13499</v>
      </c>
      <c r="U189" s="154" t="s">
        <v>682</v>
      </c>
      <c r="V189" s="157">
        <v>13499</v>
      </c>
      <c r="W189" s="273" t="s">
        <v>681</v>
      </c>
      <c r="X189" s="178">
        <v>2117988</v>
      </c>
      <c r="Y189" s="163" t="s">
        <v>683</v>
      </c>
      <c r="Z189" s="165" t="s">
        <v>684</v>
      </c>
      <c r="AA189" s="165" t="s">
        <v>685</v>
      </c>
      <c r="AB189" s="161">
        <v>45000</v>
      </c>
      <c r="AC189" s="157">
        <v>13499</v>
      </c>
      <c r="AD189" s="197">
        <v>45017</v>
      </c>
      <c r="AE189" s="197">
        <v>45382</v>
      </c>
      <c r="AF189" s="163" t="s">
        <v>453</v>
      </c>
      <c r="AG189" s="154" t="s">
        <v>185</v>
      </c>
      <c r="AH189" s="36"/>
      <c r="AI189" s="35"/>
      <c r="AJ189" s="35"/>
      <c r="AK189" s="172">
        <v>2117988</v>
      </c>
      <c r="AL189" s="47"/>
      <c r="AM189" s="36"/>
      <c r="AN189" s="48"/>
      <c r="AO189" s="49"/>
      <c r="AP189" s="36"/>
      <c r="AQ189" s="48"/>
      <c r="AR189" s="48"/>
      <c r="AS189" s="31"/>
      <c r="AT189" s="32"/>
      <c r="AU189" s="50"/>
      <c r="AV189" s="36"/>
      <c r="AW189" s="78"/>
      <c r="AX189" s="78"/>
      <c r="AY189" s="33"/>
      <c r="AZ189" s="34"/>
      <c r="BA189" s="35"/>
      <c r="BB189" s="35"/>
      <c r="BC189" s="79"/>
      <c r="BD189" s="86"/>
      <c r="BE189" s="80"/>
      <c r="BF189" s="35"/>
      <c r="BG189" s="36"/>
      <c r="BH189" s="35"/>
      <c r="BI189" s="78">
        <f>AK189</f>
        <v>2117988</v>
      </c>
      <c r="BJ189" s="38">
        <f>1496709.21+2393456.61+1543202.61</f>
        <v>5433368.4299999997</v>
      </c>
      <c r="BK189" s="38">
        <f>575723.62+579226.64+3268.55+194243.58+190740.22</f>
        <v>1543202.61</v>
      </c>
      <c r="BL189" s="38">
        <f>388517.16+192462.21+194243.58+194243.58</f>
        <v>969466.52999999991</v>
      </c>
      <c r="BM189" s="38"/>
      <c r="BN189" s="39"/>
      <c r="BO189" s="36"/>
      <c r="BP189" s="40"/>
      <c r="BQ189" s="40"/>
      <c r="BR189" s="40"/>
      <c r="BS189" s="40"/>
      <c r="BT189" s="40"/>
      <c r="BU189" s="40"/>
      <c r="BV189" s="40"/>
      <c r="BW189" s="40"/>
      <c r="BX189" s="40"/>
      <c r="BY189" s="40"/>
      <c r="BZ189" s="40"/>
      <c r="CA189" s="40"/>
      <c r="CB189" s="154" t="s">
        <v>686</v>
      </c>
      <c r="CC189" s="157">
        <v>13997</v>
      </c>
      <c r="CD189" s="154" t="s">
        <v>687</v>
      </c>
      <c r="CE189" s="157">
        <v>713115</v>
      </c>
      <c r="CF189" s="154" t="s">
        <v>688</v>
      </c>
      <c r="CG189" s="157">
        <v>710528</v>
      </c>
    </row>
    <row r="190" spans="1:85" customFormat="1" ht="39.950000000000003" customHeight="1">
      <c r="A190" s="155"/>
      <c r="B190" s="155"/>
      <c r="C190" s="155"/>
      <c r="D190" s="274"/>
      <c r="E190" s="274"/>
      <c r="F190" s="274"/>
      <c r="G190" s="53"/>
      <c r="H190" s="155"/>
      <c r="I190" s="36"/>
      <c r="J190" s="36"/>
      <c r="K190" s="36"/>
      <c r="L190" s="36"/>
      <c r="M190" s="44"/>
      <c r="N190" s="44"/>
      <c r="O190" s="77"/>
      <c r="P190" s="77"/>
      <c r="Q190" s="155"/>
      <c r="R190" s="155"/>
      <c r="S190" s="155"/>
      <c r="T190" s="155"/>
      <c r="U190" s="155"/>
      <c r="V190" s="155"/>
      <c r="W190" s="155"/>
      <c r="X190" s="155"/>
      <c r="Y190" s="155"/>
      <c r="Z190" s="155"/>
      <c r="AA190" s="155"/>
      <c r="AB190" s="155"/>
      <c r="AC190" s="155"/>
      <c r="AD190" s="155"/>
      <c r="AE190" s="155"/>
      <c r="AF190" s="162"/>
      <c r="AG190" s="155"/>
      <c r="AH190" s="36"/>
      <c r="AI190" s="35"/>
      <c r="AJ190" s="35"/>
      <c r="AK190" s="155"/>
      <c r="AL190" s="47" t="s">
        <v>632</v>
      </c>
      <c r="AM190" s="36" t="s">
        <v>199</v>
      </c>
      <c r="AN190" s="48">
        <v>45306</v>
      </c>
      <c r="AO190" s="49">
        <v>13697</v>
      </c>
      <c r="AP190" s="36" t="s">
        <v>689</v>
      </c>
      <c r="AQ190" s="48">
        <v>45017</v>
      </c>
      <c r="AR190" s="48">
        <v>45382</v>
      </c>
      <c r="AS190" s="31"/>
      <c r="AT190" s="32"/>
      <c r="AU190" s="50"/>
      <c r="AV190" s="36"/>
      <c r="AW190" s="78"/>
      <c r="AX190" s="78"/>
      <c r="AY190" s="33"/>
      <c r="AZ190" s="34"/>
      <c r="BA190" s="35"/>
      <c r="BB190" s="35"/>
      <c r="BC190" s="79">
        <v>45306</v>
      </c>
      <c r="BD190" s="86">
        <f>BE190/BI189</f>
        <v>4.9330931053433731E-2</v>
      </c>
      <c r="BE190" s="80">
        <v>104482.32</v>
      </c>
      <c r="BF190" s="35"/>
      <c r="BG190" s="36"/>
      <c r="BH190" s="35"/>
      <c r="BI190" s="78">
        <f>BI189+BE190</f>
        <v>2222470.3199999998</v>
      </c>
      <c r="BJ190" s="38"/>
      <c r="BK190" s="38"/>
      <c r="BL190" s="38"/>
      <c r="BM190" s="38"/>
      <c r="BN190" s="39">
        <f t="shared" si="14"/>
        <v>0</v>
      </c>
      <c r="BO190" s="36"/>
      <c r="BP190" s="40"/>
      <c r="BQ190" s="40"/>
      <c r="BR190" s="40"/>
      <c r="BS190" s="40"/>
      <c r="BT190" s="40"/>
      <c r="BU190" s="40"/>
      <c r="BV190" s="40"/>
      <c r="BW190" s="40"/>
      <c r="BX190" s="40"/>
      <c r="BY190" s="40"/>
      <c r="BZ190" s="40"/>
      <c r="CA190" s="40"/>
      <c r="CB190" s="155"/>
      <c r="CC190" s="155"/>
      <c r="CD190" s="155"/>
      <c r="CE190" s="155"/>
      <c r="CF190" s="155"/>
      <c r="CG190" s="155"/>
    </row>
    <row r="191" spans="1:85" customFormat="1" ht="39.950000000000003" customHeight="1">
      <c r="A191" s="155"/>
      <c r="B191" s="155"/>
      <c r="C191" s="155"/>
      <c r="D191" s="274"/>
      <c r="E191" s="274"/>
      <c r="F191" s="274"/>
      <c r="G191" s="53"/>
      <c r="H191" s="155"/>
      <c r="I191" s="36"/>
      <c r="J191" s="36"/>
      <c r="K191" s="36"/>
      <c r="L191" s="36"/>
      <c r="M191" s="44"/>
      <c r="N191" s="44"/>
      <c r="O191" s="77"/>
      <c r="P191" s="77"/>
      <c r="Q191" s="155"/>
      <c r="R191" s="155"/>
      <c r="S191" s="155"/>
      <c r="T191" s="155"/>
      <c r="U191" s="155"/>
      <c r="V191" s="155"/>
      <c r="W191" s="155"/>
      <c r="X191" s="155"/>
      <c r="Y191" s="155"/>
      <c r="Z191" s="155"/>
      <c r="AA191" s="155"/>
      <c r="AB191" s="155"/>
      <c r="AC191" s="155"/>
      <c r="AD191" s="155"/>
      <c r="AE191" s="155"/>
      <c r="AF191" s="163" t="s">
        <v>517</v>
      </c>
      <c r="AG191" s="155"/>
      <c r="AH191" s="36"/>
      <c r="AI191" s="35"/>
      <c r="AJ191" s="35"/>
      <c r="AK191" s="155"/>
      <c r="AL191" s="47" t="s">
        <v>457</v>
      </c>
      <c r="AM191" s="36" t="s">
        <v>199</v>
      </c>
      <c r="AN191" s="48">
        <v>45372</v>
      </c>
      <c r="AO191" s="49">
        <v>13743</v>
      </c>
      <c r="AP191" s="36" t="s">
        <v>228</v>
      </c>
      <c r="AQ191" s="48">
        <v>45383</v>
      </c>
      <c r="AR191" s="48">
        <v>45747</v>
      </c>
      <c r="AS191" s="31"/>
      <c r="AT191" s="32"/>
      <c r="AU191" s="50"/>
      <c r="AV191" s="36"/>
      <c r="AW191" s="78"/>
      <c r="AX191" s="78"/>
      <c r="AY191" s="33"/>
      <c r="AZ191" s="34"/>
      <c r="BA191" s="35"/>
      <c r="BB191" s="35"/>
      <c r="BC191" s="79"/>
      <c r="BD191" s="86"/>
      <c r="BE191" s="80"/>
      <c r="BF191" s="35"/>
      <c r="BG191" s="36"/>
      <c r="BH191" s="35"/>
      <c r="BI191" s="78"/>
      <c r="BJ191" s="38">
        <v>761471.85</v>
      </c>
      <c r="BK191" s="38">
        <f>382129.46+379342.39</f>
        <v>761471.85000000009</v>
      </c>
      <c r="BL191" s="38"/>
      <c r="BM191" s="38"/>
      <c r="BN191" s="39">
        <f t="shared" si="14"/>
        <v>761471.85</v>
      </c>
      <c r="BO191" s="36"/>
      <c r="BP191" s="40"/>
      <c r="BQ191" s="40"/>
      <c r="BR191" s="40"/>
      <c r="BS191" s="40"/>
      <c r="BT191" s="40"/>
      <c r="BU191" s="40"/>
      <c r="BV191" s="40"/>
      <c r="BW191" s="40"/>
      <c r="BX191" s="40"/>
      <c r="BY191" s="40"/>
      <c r="BZ191" s="40"/>
      <c r="CA191" s="40"/>
      <c r="CB191" s="155"/>
      <c r="CC191" s="155"/>
      <c r="CD191" s="155"/>
      <c r="CE191" s="155"/>
      <c r="CF191" s="155"/>
      <c r="CG191" s="155"/>
    </row>
    <row r="192" spans="1:85" customFormat="1" ht="39.950000000000003" customHeight="1">
      <c r="A192" s="155"/>
      <c r="B192" s="155"/>
      <c r="C192" s="155"/>
      <c r="D192" s="274"/>
      <c r="E192" s="274"/>
      <c r="F192" s="274"/>
      <c r="G192" s="53"/>
      <c r="H192" s="155"/>
      <c r="I192" s="36"/>
      <c r="J192" s="36"/>
      <c r="K192" s="36"/>
      <c r="L192" s="36"/>
      <c r="M192" s="44"/>
      <c r="N192" s="44"/>
      <c r="O192" s="77"/>
      <c r="P192" s="77"/>
      <c r="Q192" s="155"/>
      <c r="R192" s="155"/>
      <c r="S192" s="155"/>
      <c r="T192" s="155"/>
      <c r="U192" s="155"/>
      <c r="V192" s="155"/>
      <c r="W192" s="155"/>
      <c r="X192" s="155"/>
      <c r="Y192" s="155"/>
      <c r="Z192" s="155"/>
      <c r="AA192" s="155"/>
      <c r="AB192" s="155"/>
      <c r="AC192" s="155"/>
      <c r="AD192" s="155"/>
      <c r="AE192" s="155"/>
      <c r="AF192" s="155"/>
      <c r="AG192" s="155"/>
      <c r="AH192" s="36"/>
      <c r="AI192" s="35"/>
      <c r="AJ192" s="35"/>
      <c r="AK192" s="155"/>
      <c r="AL192" s="47" t="s">
        <v>198</v>
      </c>
      <c r="AM192" s="36" t="s">
        <v>459</v>
      </c>
      <c r="AN192" s="48">
        <v>45589</v>
      </c>
      <c r="AO192" s="49">
        <v>13895</v>
      </c>
      <c r="AP192" s="36" t="s">
        <v>620</v>
      </c>
      <c r="AQ192" s="48">
        <v>45589</v>
      </c>
      <c r="AR192" s="48">
        <v>46112</v>
      </c>
      <c r="AS192" s="31"/>
      <c r="AT192" s="32"/>
      <c r="AU192" s="50"/>
      <c r="AV192" s="36"/>
      <c r="AW192" s="78"/>
      <c r="AX192" s="78"/>
      <c r="AY192" s="33"/>
      <c r="AZ192" s="34"/>
      <c r="BA192" s="35"/>
      <c r="BB192" s="35"/>
      <c r="BC192" s="79">
        <v>45589</v>
      </c>
      <c r="BD192" s="86">
        <f>BE192/BI190</f>
        <v>4.8798239969296872E-2</v>
      </c>
      <c r="BE192" s="80">
        <v>108452.64</v>
      </c>
      <c r="BF192" s="35"/>
      <c r="BG192" s="36"/>
      <c r="BH192" s="35"/>
      <c r="BI192" s="97">
        <f>BI190+BE192</f>
        <v>2330922.96</v>
      </c>
      <c r="BJ192" s="38"/>
      <c r="BK192" s="38"/>
      <c r="BL192" s="38"/>
      <c r="BM192" s="38"/>
      <c r="BN192" s="39"/>
      <c r="BO192" s="36"/>
      <c r="BP192" s="40"/>
      <c r="BQ192" s="40"/>
      <c r="BR192" s="40"/>
      <c r="BS192" s="40"/>
      <c r="BT192" s="40"/>
      <c r="BU192" s="40"/>
      <c r="BV192" s="40"/>
      <c r="BW192" s="40"/>
      <c r="BX192" s="40"/>
      <c r="BY192" s="40"/>
      <c r="BZ192" s="40"/>
      <c r="CA192" s="40"/>
      <c r="CB192" s="155"/>
      <c r="CC192" s="155"/>
      <c r="CD192" s="155"/>
      <c r="CE192" s="155"/>
      <c r="CF192" s="155"/>
      <c r="CG192" s="155"/>
    </row>
    <row r="193" spans="1:85" customFormat="1" ht="39.950000000000003" customHeight="1">
      <c r="A193" s="155"/>
      <c r="B193" s="155"/>
      <c r="C193" s="155"/>
      <c r="D193" s="274"/>
      <c r="E193" s="274"/>
      <c r="F193" s="274"/>
      <c r="G193" s="53"/>
      <c r="H193" s="155"/>
      <c r="I193" s="36"/>
      <c r="J193" s="36"/>
      <c r="K193" s="36"/>
      <c r="L193" s="36"/>
      <c r="M193" s="44"/>
      <c r="N193" s="44"/>
      <c r="O193" s="77"/>
      <c r="P193" s="77"/>
      <c r="Q193" s="155"/>
      <c r="R193" s="155"/>
      <c r="S193" s="155"/>
      <c r="T193" s="155"/>
      <c r="U193" s="155"/>
      <c r="V193" s="155"/>
      <c r="W193" s="155"/>
      <c r="X193" s="155"/>
      <c r="Y193" s="155"/>
      <c r="Z193" s="155"/>
      <c r="AA193" s="155"/>
      <c r="AB193" s="155"/>
      <c r="AC193" s="155"/>
      <c r="AD193" s="155"/>
      <c r="AE193" s="155"/>
      <c r="AF193" s="155"/>
      <c r="AG193" s="155"/>
      <c r="AH193" s="36"/>
      <c r="AI193" s="35"/>
      <c r="AJ193" s="35"/>
      <c r="AK193" s="155"/>
      <c r="AL193" s="47" t="s">
        <v>457</v>
      </c>
      <c r="AM193" s="36" t="s">
        <v>459</v>
      </c>
      <c r="AN193" s="48">
        <v>45747</v>
      </c>
      <c r="AO193" s="49">
        <v>13996</v>
      </c>
      <c r="AP193" s="36" t="s">
        <v>228</v>
      </c>
      <c r="AQ193" s="48">
        <v>45748</v>
      </c>
      <c r="AR193" s="48">
        <v>46112</v>
      </c>
      <c r="AS193" s="31"/>
      <c r="AT193" s="32"/>
      <c r="AU193" s="50"/>
      <c r="AV193" s="36"/>
      <c r="AW193" s="78"/>
      <c r="AX193" s="78"/>
      <c r="AY193" s="33"/>
      <c r="AZ193" s="34"/>
      <c r="BA193" s="35"/>
      <c r="BB193" s="35"/>
      <c r="BC193" s="79"/>
      <c r="BD193" s="86"/>
      <c r="BE193" s="80"/>
      <c r="BF193" s="35"/>
      <c r="BG193" s="36"/>
      <c r="BH193" s="35"/>
      <c r="BI193" s="97"/>
      <c r="BJ193" s="38"/>
      <c r="BK193" s="38"/>
      <c r="BL193" s="38"/>
      <c r="BM193" s="38"/>
      <c r="BN193" s="39"/>
      <c r="BO193" s="36"/>
      <c r="BP193" s="40"/>
      <c r="BQ193" s="40"/>
      <c r="BR193" s="40"/>
      <c r="BS193" s="40"/>
      <c r="BT193" s="40"/>
      <c r="BU193" s="40"/>
      <c r="BV193" s="40"/>
      <c r="BW193" s="40"/>
      <c r="BX193" s="40"/>
      <c r="BY193" s="40"/>
      <c r="BZ193" s="40"/>
      <c r="CA193" s="40"/>
      <c r="CB193" s="155"/>
      <c r="CC193" s="155"/>
      <c r="CD193" s="155"/>
      <c r="CE193" s="155"/>
      <c r="CF193" s="155"/>
      <c r="CG193" s="155"/>
    </row>
    <row r="194" spans="1:85" customFormat="1" ht="39.950000000000003" customHeight="1">
      <c r="A194" s="155"/>
      <c r="B194" s="155"/>
      <c r="C194" s="155"/>
      <c r="D194" s="274"/>
      <c r="E194" s="274"/>
      <c r="F194" s="274"/>
      <c r="G194" s="53"/>
      <c r="H194" s="155"/>
      <c r="I194" s="36"/>
      <c r="J194" s="36"/>
      <c r="K194" s="36"/>
      <c r="L194" s="36"/>
      <c r="M194" s="44"/>
      <c r="N194" s="44"/>
      <c r="O194" s="77"/>
      <c r="P194" s="77"/>
      <c r="Q194" s="155"/>
      <c r="R194" s="155"/>
      <c r="S194" s="155"/>
      <c r="T194" s="155"/>
      <c r="U194" s="155"/>
      <c r="V194" s="155"/>
      <c r="W194" s="155"/>
      <c r="X194" s="155"/>
      <c r="Y194" s="155"/>
      <c r="Z194" s="155"/>
      <c r="AA194" s="155"/>
      <c r="AB194" s="155"/>
      <c r="AC194" s="155"/>
      <c r="AD194" s="155"/>
      <c r="AE194" s="155"/>
      <c r="AF194" s="155"/>
      <c r="AG194" s="155"/>
      <c r="AH194" s="36"/>
      <c r="AI194" s="35"/>
      <c r="AJ194" s="35"/>
      <c r="AK194" s="155"/>
      <c r="AL194" s="47" t="s">
        <v>457</v>
      </c>
      <c r="AM194" s="36" t="s">
        <v>520</v>
      </c>
      <c r="AN194" s="48">
        <v>46104</v>
      </c>
      <c r="AO194" s="49">
        <v>14235</v>
      </c>
      <c r="AP194" s="36" t="s">
        <v>228</v>
      </c>
      <c r="AQ194" s="48">
        <v>46113</v>
      </c>
      <c r="AR194" s="48">
        <v>46477</v>
      </c>
      <c r="AS194" s="31"/>
      <c r="AT194" s="32"/>
      <c r="AU194" s="50"/>
      <c r="AV194" s="36"/>
      <c r="AW194" s="78"/>
      <c r="AX194" s="78"/>
      <c r="AY194" s="33"/>
      <c r="AZ194" s="34"/>
      <c r="BA194" s="35"/>
      <c r="BB194" s="35"/>
      <c r="BC194" s="79"/>
      <c r="BD194" s="86"/>
      <c r="BE194" s="80"/>
      <c r="BF194" s="35"/>
      <c r="BG194" s="36"/>
      <c r="BH194" s="35"/>
      <c r="BI194" s="97"/>
      <c r="BJ194" s="38"/>
      <c r="BK194" s="38"/>
      <c r="BL194" s="38"/>
      <c r="BM194" s="38"/>
      <c r="BN194" s="39"/>
      <c r="BO194" s="36"/>
      <c r="BP194" s="40"/>
      <c r="BQ194" s="40"/>
      <c r="BR194" s="40"/>
      <c r="BS194" s="40"/>
      <c r="BT194" s="40"/>
      <c r="BU194" s="40"/>
      <c r="BV194" s="40"/>
      <c r="BW194" s="40"/>
      <c r="BX194" s="40"/>
      <c r="BY194" s="40"/>
      <c r="BZ194" s="40"/>
      <c r="CA194" s="40"/>
      <c r="CB194" s="155"/>
      <c r="CC194" s="155"/>
      <c r="CD194" s="155"/>
      <c r="CE194" s="155"/>
      <c r="CF194" s="155"/>
      <c r="CG194" s="155"/>
    </row>
    <row r="195" spans="1:85" customFormat="1" ht="39.950000000000003" customHeight="1">
      <c r="A195" s="162"/>
      <c r="B195" s="156"/>
      <c r="C195" s="156"/>
      <c r="D195" s="275"/>
      <c r="E195" s="275"/>
      <c r="F195" s="275"/>
      <c r="G195" s="53"/>
      <c r="H195" s="162"/>
      <c r="I195" s="36"/>
      <c r="J195" s="36"/>
      <c r="K195" s="36"/>
      <c r="L195" s="36"/>
      <c r="M195" s="44"/>
      <c r="N195" s="44"/>
      <c r="O195" s="77"/>
      <c r="P195" s="77"/>
      <c r="Q195" s="162"/>
      <c r="R195" s="162"/>
      <c r="S195" s="162"/>
      <c r="T195" s="162"/>
      <c r="U195" s="162"/>
      <c r="V195" s="162"/>
      <c r="W195" s="162"/>
      <c r="X195" s="162"/>
      <c r="Y195" s="156"/>
      <c r="Z195" s="156"/>
      <c r="AA195" s="156"/>
      <c r="AB195" s="156"/>
      <c r="AC195" s="156"/>
      <c r="AD195" s="162"/>
      <c r="AE195" s="162"/>
      <c r="AF195" s="162"/>
      <c r="AG195" s="156"/>
      <c r="AH195" s="36"/>
      <c r="AI195" s="35"/>
      <c r="AJ195" s="35"/>
      <c r="AK195" s="156"/>
      <c r="AL195" s="47"/>
      <c r="AM195" s="36"/>
      <c r="AN195" s="48"/>
      <c r="AO195" s="49"/>
      <c r="AP195" s="36"/>
      <c r="AQ195" s="48"/>
      <c r="AR195" s="48"/>
      <c r="AS195" s="31"/>
      <c r="AT195" s="32"/>
      <c r="AU195" s="50"/>
      <c r="AV195" s="36"/>
      <c r="AW195" s="78"/>
      <c r="AX195" s="78"/>
      <c r="AY195" s="33"/>
      <c r="AZ195" s="34"/>
      <c r="BA195" s="35"/>
      <c r="BB195" s="35"/>
      <c r="BC195" s="79"/>
      <c r="BD195" s="80"/>
      <c r="BE195" s="80"/>
      <c r="BF195" s="35"/>
      <c r="BG195" s="36"/>
      <c r="BH195" s="35"/>
      <c r="BI195" s="97"/>
      <c r="BJ195" s="76"/>
      <c r="BK195" s="76"/>
      <c r="BL195" s="76"/>
      <c r="BM195" s="76"/>
      <c r="BN195" s="39">
        <f t="shared" ref="BN195:BN220" si="15">BJ195+BL195</f>
        <v>0</v>
      </c>
      <c r="BO195" s="36"/>
      <c r="BP195" s="40"/>
      <c r="BQ195" s="40"/>
      <c r="BR195" s="40"/>
      <c r="BS195" s="40"/>
      <c r="BT195" s="40"/>
      <c r="BU195" s="40"/>
      <c r="BV195" s="40"/>
      <c r="BW195" s="40"/>
      <c r="BX195" s="40"/>
      <c r="BY195" s="40"/>
      <c r="BZ195" s="40"/>
      <c r="CA195" s="40"/>
      <c r="CB195" s="156"/>
      <c r="CC195" s="156"/>
      <c r="CD195" s="156"/>
      <c r="CE195" s="156"/>
      <c r="CF195" s="156"/>
      <c r="CG195" s="156"/>
    </row>
    <row r="196" spans="1:85" customFormat="1" ht="60" customHeight="1">
      <c r="A196" s="170">
        <v>68</v>
      </c>
      <c r="B196" s="171" t="s">
        <v>690</v>
      </c>
      <c r="C196" s="165" t="s">
        <v>691</v>
      </c>
      <c r="D196" s="273" t="s">
        <v>680</v>
      </c>
      <c r="E196" s="273" t="s">
        <v>180</v>
      </c>
      <c r="F196" s="273" t="s">
        <v>692</v>
      </c>
      <c r="G196" s="44"/>
      <c r="H196" s="169">
        <v>13327</v>
      </c>
      <c r="I196" s="36"/>
      <c r="J196" s="36"/>
      <c r="K196" s="36"/>
      <c r="L196" s="36"/>
      <c r="M196" s="44"/>
      <c r="N196" s="44"/>
      <c r="O196" s="77"/>
      <c r="P196" s="77"/>
      <c r="Q196" s="154" t="s">
        <v>693</v>
      </c>
      <c r="R196" s="161">
        <v>44754</v>
      </c>
      <c r="S196" s="161">
        <v>45119</v>
      </c>
      <c r="T196" s="157">
        <v>13327</v>
      </c>
      <c r="U196" s="154" t="s">
        <v>694</v>
      </c>
      <c r="V196" s="170">
        <v>13327</v>
      </c>
      <c r="W196" s="273" t="s">
        <v>692</v>
      </c>
      <c r="X196" s="172">
        <f>AK196</f>
        <v>1501207.2</v>
      </c>
      <c r="Y196" s="163" t="s">
        <v>695</v>
      </c>
      <c r="Z196" s="165" t="s">
        <v>684</v>
      </c>
      <c r="AA196" s="165" t="s">
        <v>685</v>
      </c>
      <c r="AB196" s="161">
        <v>44823</v>
      </c>
      <c r="AC196" s="157">
        <v>13372</v>
      </c>
      <c r="AD196" s="161">
        <v>44823</v>
      </c>
      <c r="AE196" s="161">
        <v>44926</v>
      </c>
      <c r="AF196" s="163" t="s">
        <v>453</v>
      </c>
      <c r="AG196" s="154" t="s">
        <v>185</v>
      </c>
      <c r="AH196" s="36"/>
      <c r="AI196" s="35"/>
      <c r="AJ196" s="35"/>
      <c r="AK196" s="172">
        <v>1501207.2</v>
      </c>
      <c r="AL196" s="47"/>
      <c r="AM196" s="36"/>
      <c r="AN196" s="36"/>
      <c r="AO196" s="49"/>
      <c r="AP196" s="36"/>
      <c r="AQ196" s="36"/>
      <c r="AR196" s="36"/>
      <c r="AS196" s="31"/>
      <c r="AT196" s="32"/>
      <c r="AU196" s="50"/>
      <c r="AV196" s="36"/>
      <c r="AW196" s="78"/>
      <c r="AX196" s="78"/>
      <c r="AY196" s="33"/>
      <c r="AZ196" s="34"/>
      <c r="BA196" s="35"/>
      <c r="BB196" s="35"/>
      <c r="BC196" s="79"/>
      <c r="BD196" s="80"/>
      <c r="BE196" s="80"/>
      <c r="BF196" s="35"/>
      <c r="BG196" s="36"/>
      <c r="BH196" s="35"/>
      <c r="BI196" s="78">
        <f>AK196</f>
        <v>1501207.2</v>
      </c>
      <c r="BJ196" s="76">
        <f>156375.75+1417946.92+1785568.8+1128023.91</f>
        <v>4487915.38</v>
      </c>
      <c r="BK196" s="76">
        <f>400444.54+25224.86+420939.74+139524.97+141889.8</f>
        <v>1128023.9099999999</v>
      </c>
      <c r="BL196" s="76">
        <f>283779.6+141889.8+141889.8+141889.8</f>
        <v>709449</v>
      </c>
      <c r="BM196" s="76"/>
      <c r="BN196" s="39"/>
      <c r="BO196" s="36"/>
      <c r="BP196" s="40"/>
      <c r="BQ196" s="40"/>
      <c r="BR196" s="40"/>
      <c r="BS196" s="40"/>
      <c r="BT196" s="40"/>
      <c r="BU196" s="40"/>
      <c r="BV196" s="40"/>
      <c r="BW196" s="40"/>
      <c r="BX196" s="40"/>
      <c r="BY196" s="40"/>
      <c r="BZ196" s="40"/>
      <c r="CA196" s="40"/>
      <c r="CB196" s="154" t="s">
        <v>696</v>
      </c>
      <c r="CC196" s="157">
        <v>13997</v>
      </c>
      <c r="CD196" s="154" t="s">
        <v>614</v>
      </c>
      <c r="CE196" s="157">
        <v>709978</v>
      </c>
      <c r="CF196" s="154" t="s">
        <v>635</v>
      </c>
      <c r="CG196" s="157">
        <v>710528</v>
      </c>
    </row>
    <row r="197" spans="1:85" customFormat="1" ht="60" customHeight="1">
      <c r="A197" s="155"/>
      <c r="B197" s="155"/>
      <c r="C197" s="155"/>
      <c r="D197" s="274"/>
      <c r="E197" s="274"/>
      <c r="F197" s="274"/>
      <c r="G197" s="53"/>
      <c r="H197" s="155"/>
      <c r="I197" s="36"/>
      <c r="J197" s="36"/>
      <c r="K197" s="36"/>
      <c r="L197" s="36"/>
      <c r="M197" s="44"/>
      <c r="N197" s="44"/>
      <c r="O197" s="77"/>
      <c r="P197" s="77"/>
      <c r="Q197" s="155"/>
      <c r="R197" s="155"/>
      <c r="S197" s="155"/>
      <c r="T197" s="155"/>
      <c r="U197" s="155"/>
      <c r="V197" s="155"/>
      <c r="W197" s="155"/>
      <c r="X197" s="155"/>
      <c r="Y197" s="155"/>
      <c r="Z197" s="155"/>
      <c r="AA197" s="155"/>
      <c r="AB197" s="155"/>
      <c r="AC197" s="155"/>
      <c r="AD197" s="155"/>
      <c r="AE197" s="155"/>
      <c r="AF197" s="162"/>
      <c r="AG197" s="155"/>
      <c r="AH197" s="36"/>
      <c r="AI197" s="35"/>
      <c r="AJ197" s="35"/>
      <c r="AK197" s="155"/>
      <c r="AL197" s="47" t="s">
        <v>618</v>
      </c>
      <c r="AM197" s="36" t="s">
        <v>199</v>
      </c>
      <c r="AN197" s="48">
        <v>45184</v>
      </c>
      <c r="AO197" s="49">
        <v>13619</v>
      </c>
      <c r="AP197" s="36" t="s">
        <v>697</v>
      </c>
      <c r="AQ197" s="48">
        <v>45184</v>
      </c>
      <c r="AR197" s="48">
        <v>45549</v>
      </c>
      <c r="AS197" s="31"/>
      <c r="AT197" s="32"/>
      <c r="AU197" s="50"/>
      <c r="AV197" s="36"/>
      <c r="AW197" s="78"/>
      <c r="AX197" s="78"/>
      <c r="AY197" s="33"/>
      <c r="AZ197" s="34"/>
      <c r="BA197" s="35"/>
      <c r="BB197" s="35"/>
      <c r="BC197" s="79"/>
      <c r="BD197" s="86">
        <f t="shared" ref="BD197:BD198" si="16">BE197/BI196</f>
        <v>9.4657086643336108E-2</v>
      </c>
      <c r="BE197" s="80">
        <v>142099.9</v>
      </c>
      <c r="BF197" s="35"/>
      <c r="BG197" s="36"/>
      <c r="BH197" s="35"/>
      <c r="BI197" s="78">
        <f t="shared" ref="BI197:BI198" si="17">BI196+BE197</f>
        <v>1643307.0999999999</v>
      </c>
      <c r="BJ197" s="76"/>
      <c r="BK197" s="76"/>
      <c r="BL197" s="76"/>
      <c r="BM197" s="76"/>
      <c r="BN197" s="39">
        <f t="shared" si="15"/>
        <v>0</v>
      </c>
      <c r="BO197" s="36"/>
      <c r="BP197" s="40"/>
      <c r="BQ197" s="40"/>
      <c r="BR197" s="40"/>
      <c r="BS197" s="40"/>
      <c r="BT197" s="40"/>
      <c r="BU197" s="40"/>
      <c r="BV197" s="40"/>
      <c r="BW197" s="40"/>
      <c r="BX197" s="40"/>
      <c r="BY197" s="40"/>
      <c r="BZ197" s="40"/>
      <c r="CA197" s="40"/>
      <c r="CB197" s="155"/>
      <c r="CC197" s="155"/>
      <c r="CD197" s="155"/>
      <c r="CE197" s="155"/>
      <c r="CF197" s="155"/>
      <c r="CG197" s="155"/>
    </row>
    <row r="198" spans="1:85" customFormat="1" ht="60" customHeight="1">
      <c r="A198" s="155"/>
      <c r="B198" s="155"/>
      <c r="C198" s="155"/>
      <c r="D198" s="274"/>
      <c r="E198" s="274"/>
      <c r="F198" s="274"/>
      <c r="G198" s="53"/>
      <c r="H198" s="155"/>
      <c r="I198" s="36"/>
      <c r="J198" s="36"/>
      <c r="K198" s="36"/>
      <c r="L198" s="36"/>
      <c r="M198" s="44"/>
      <c r="N198" s="44"/>
      <c r="O198" s="77"/>
      <c r="P198" s="77"/>
      <c r="Q198" s="155"/>
      <c r="R198" s="155"/>
      <c r="S198" s="155"/>
      <c r="T198" s="155"/>
      <c r="U198" s="155"/>
      <c r="V198" s="155"/>
      <c r="W198" s="155"/>
      <c r="X198" s="155"/>
      <c r="Y198" s="155"/>
      <c r="Z198" s="155"/>
      <c r="AA198" s="155"/>
      <c r="AB198" s="155"/>
      <c r="AC198" s="155"/>
      <c r="AD198" s="155"/>
      <c r="AE198" s="155"/>
      <c r="AF198" s="163" t="s">
        <v>517</v>
      </c>
      <c r="AG198" s="155"/>
      <c r="AH198" s="36"/>
      <c r="AI198" s="35"/>
      <c r="AJ198" s="35"/>
      <c r="AK198" s="155"/>
      <c r="AL198" s="47" t="s">
        <v>618</v>
      </c>
      <c r="AM198" s="36" t="s">
        <v>459</v>
      </c>
      <c r="AN198" s="48">
        <v>45549</v>
      </c>
      <c r="AO198" s="49">
        <v>13876</v>
      </c>
      <c r="AP198" s="36" t="s">
        <v>697</v>
      </c>
      <c r="AQ198" s="48">
        <v>45549</v>
      </c>
      <c r="AR198" s="48">
        <v>45914</v>
      </c>
      <c r="AS198" s="31"/>
      <c r="AT198" s="32"/>
      <c r="AU198" s="50"/>
      <c r="AV198" s="36"/>
      <c r="AW198" s="78"/>
      <c r="AX198" s="78"/>
      <c r="AY198" s="33"/>
      <c r="AZ198" s="34"/>
      <c r="BA198" s="35"/>
      <c r="BB198" s="35"/>
      <c r="BC198" s="79"/>
      <c r="BD198" s="86">
        <f t="shared" si="16"/>
        <v>3.6128670045909257E-2</v>
      </c>
      <c r="BE198" s="80">
        <v>59370.5</v>
      </c>
      <c r="BF198" s="35"/>
      <c r="BG198" s="36"/>
      <c r="BH198" s="35"/>
      <c r="BI198" s="97">
        <f t="shared" si="17"/>
        <v>1702677.5999999999</v>
      </c>
      <c r="BJ198" s="76">
        <v>566297.94999999995</v>
      </c>
      <c r="BK198" s="76">
        <f>141889.8+140628.55+283779.6</f>
        <v>566297.94999999995</v>
      </c>
      <c r="BL198" s="76"/>
      <c r="BM198" s="76"/>
      <c r="BN198" s="39">
        <f t="shared" si="15"/>
        <v>566297.94999999995</v>
      </c>
      <c r="BO198" s="36"/>
      <c r="BP198" s="40"/>
      <c r="BQ198" s="40"/>
      <c r="BR198" s="40"/>
      <c r="BS198" s="40"/>
      <c r="BT198" s="40"/>
      <c r="BU198" s="40"/>
      <c r="BV198" s="40"/>
      <c r="BW198" s="40"/>
      <c r="BX198" s="40"/>
      <c r="BY198" s="40"/>
      <c r="BZ198" s="40"/>
      <c r="CA198" s="40"/>
      <c r="CB198" s="155"/>
      <c r="CC198" s="155"/>
      <c r="CD198" s="155"/>
      <c r="CE198" s="155"/>
      <c r="CF198" s="155"/>
      <c r="CG198" s="155"/>
    </row>
    <row r="199" spans="1:85" customFormat="1" ht="60" customHeight="1">
      <c r="A199" s="156"/>
      <c r="B199" s="156"/>
      <c r="C199" s="156"/>
      <c r="D199" s="275"/>
      <c r="E199" s="275"/>
      <c r="F199" s="275"/>
      <c r="G199" s="53"/>
      <c r="H199" s="162"/>
      <c r="I199" s="36"/>
      <c r="J199" s="36"/>
      <c r="K199" s="36"/>
      <c r="L199" s="36"/>
      <c r="M199" s="44"/>
      <c r="N199" s="44"/>
      <c r="O199" s="77"/>
      <c r="P199" s="77"/>
      <c r="Q199" s="162"/>
      <c r="R199" s="162"/>
      <c r="S199" s="162"/>
      <c r="T199" s="162"/>
      <c r="U199" s="162"/>
      <c r="V199" s="162"/>
      <c r="W199" s="162"/>
      <c r="X199" s="162"/>
      <c r="Y199" s="156"/>
      <c r="Z199" s="156"/>
      <c r="AA199" s="156"/>
      <c r="AB199" s="156"/>
      <c r="AC199" s="156"/>
      <c r="AD199" s="156"/>
      <c r="AE199" s="156"/>
      <c r="AF199" s="162"/>
      <c r="AG199" s="162"/>
      <c r="AH199" s="36"/>
      <c r="AI199" s="35"/>
      <c r="AJ199" s="35"/>
      <c r="AK199" s="156"/>
      <c r="AL199" s="47" t="s">
        <v>618</v>
      </c>
      <c r="AM199" s="36" t="s">
        <v>520</v>
      </c>
      <c r="AN199" s="48">
        <v>45908</v>
      </c>
      <c r="AO199" s="49"/>
      <c r="AP199" s="36" t="s">
        <v>697</v>
      </c>
      <c r="AQ199" s="48">
        <v>45915</v>
      </c>
      <c r="AR199" s="48">
        <v>46279</v>
      </c>
      <c r="AS199" s="31"/>
      <c r="AT199" s="32"/>
      <c r="AU199" s="50"/>
      <c r="AV199" s="36"/>
      <c r="AW199" s="78"/>
      <c r="AX199" s="78"/>
      <c r="AY199" s="33"/>
      <c r="AZ199" s="34"/>
      <c r="BA199" s="35"/>
      <c r="BB199" s="35"/>
      <c r="BC199" s="79"/>
      <c r="BD199" s="86"/>
      <c r="BE199" s="80"/>
      <c r="BF199" s="35"/>
      <c r="BG199" s="36"/>
      <c r="BH199" s="35"/>
      <c r="BI199" s="97"/>
      <c r="BJ199" s="76"/>
      <c r="BK199" s="76"/>
      <c r="BL199" s="76"/>
      <c r="BM199" s="76"/>
      <c r="BN199" s="39">
        <f t="shared" si="15"/>
        <v>0</v>
      </c>
      <c r="BO199" s="36"/>
      <c r="BP199" s="40"/>
      <c r="BQ199" s="40"/>
      <c r="BR199" s="40"/>
      <c r="BS199" s="40"/>
      <c r="BT199" s="40"/>
      <c r="BU199" s="40"/>
      <c r="BV199" s="40"/>
      <c r="BW199" s="40"/>
      <c r="BX199" s="40"/>
      <c r="BY199" s="40"/>
      <c r="BZ199" s="40"/>
      <c r="CA199" s="40"/>
      <c r="CB199" s="162"/>
      <c r="CC199" s="162"/>
      <c r="CD199" s="162"/>
      <c r="CE199" s="162"/>
      <c r="CF199" s="162"/>
      <c r="CG199" s="162"/>
    </row>
    <row r="200" spans="1:85" customFormat="1" ht="60" customHeight="1">
      <c r="A200" s="170">
        <v>69</v>
      </c>
      <c r="B200" s="171" t="s">
        <v>698</v>
      </c>
      <c r="C200" s="165" t="s">
        <v>699</v>
      </c>
      <c r="D200" s="273" t="s">
        <v>700</v>
      </c>
      <c r="E200" s="273" t="s">
        <v>180</v>
      </c>
      <c r="F200" s="273" t="s">
        <v>701</v>
      </c>
      <c r="G200" s="44"/>
      <c r="H200" s="169">
        <v>13258</v>
      </c>
      <c r="I200" s="36"/>
      <c r="J200" s="36"/>
      <c r="K200" s="36"/>
      <c r="L200" s="36"/>
      <c r="M200" s="44"/>
      <c r="N200" s="44"/>
      <c r="O200" s="77"/>
      <c r="P200" s="77"/>
      <c r="Q200" s="47"/>
      <c r="R200" s="47"/>
      <c r="S200" s="47"/>
      <c r="T200" s="105"/>
      <c r="U200" s="47"/>
      <c r="V200" s="106"/>
      <c r="W200" s="36"/>
      <c r="X200" s="35"/>
      <c r="Y200" s="163" t="s">
        <v>702</v>
      </c>
      <c r="Z200" s="165" t="s">
        <v>703</v>
      </c>
      <c r="AA200" s="165" t="s">
        <v>704</v>
      </c>
      <c r="AB200" s="161">
        <v>44819</v>
      </c>
      <c r="AC200" s="157">
        <v>13374</v>
      </c>
      <c r="AD200" s="161">
        <v>44819</v>
      </c>
      <c r="AE200" s="161">
        <v>45184</v>
      </c>
      <c r="AF200" s="163" t="s">
        <v>453</v>
      </c>
      <c r="AG200" s="192" t="s">
        <v>185</v>
      </c>
      <c r="AH200" s="36"/>
      <c r="AI200" s="35"/>
      <c r="AJ200" s="35"/>
      <c r="AK200" s="194">
        <v>3240000</v>
      </c>
      <c r="AL200" s="47"/>
      <c r="AM200" s="36"/>
      <c r="AN200" s="48"/>
      <c r="AO200" s="49"/>
      <c r="AP200" s="36"/>
      <c r="AQ200" s="48"/>
      <c r="AR200" s="48"/>
      <c r="AS200" s="31"/>
      <c r="AT200" s="32"/>
      <c r="AU200" s="50"/>
      <c r="AV200" s="36"/>
      <c r="AW200" s="78"/>
      <c r="AX200" s="78"/>
      <c r="AY200" s="33"/>
      <c r="AZ200" s="34"/>
      <c r="BA200" s="35"/>
      <c r="BB200" s="35"/>
      <c r="BC200" s="79"/>
      <c r="BD200" s="80"/>
      <c r="BE200" s="80"/>
      <c r="BF200" s="35"/>
      <c r="BG200" s="36"/>
      <c r="BH200" s="35"/>
      <c r="BI200" s="97">
        <f>AK200</f>
        <v>3240000</v>
      </c>
      <c r="BJ200" s="76">
        <f>2418.52+26241.78+54374.87+747159.17+1455263.91+1687440.28</f>
        <v>3972898.5300000003</v>
      </c>
      <c r="BK200" s="76">
        <f>1956214.09</f>
        <v>1956214.09</v>
      </c>
      <c r="BL200" s="76">
        <f>6294.86+3658.66+2635.38+5142.06+9793.4+18145.26+129463.29+28915.83+134518.53+18905.57+124518.46+4659.06+174968.9+3870.27+150858.49</f>
        <v>816348.02</v>
      </c>
      <c r="BM200" s="76">
        <v>268773.81</v>
      </c>
      <c r="BN200" s="39"/>
      <c r="BO200" s="36"/>
      <c r="BP200" s="40"/>
      <c r="BQ200" s="40"/>
      <c r="BR200" s="40"/>
      <c r="BS200" s="40"/>
      <c r="BT200" s="40"/>
      <c r="BU200" s="40"/>
      <c r="BV200" s="40"/>
      <c r="BW200" s="106"/>
      <c r="BX200" s="40"/>
      <c r="BY200" s="40"/>
      <c r="BZ200" s="40"/>
      <c r="CA200" s="40"/>
      <c r="CB200" s="154" t="s">
        <v>705</v>
      </c>
      <c r="CC200" s="157">
        <v>14116</v>
      </c>
      <c r="CD200" s="154" t="s">
        <v>706</v>
      </c>
      <c r="CE200" s="157" t="s">
        <v>187</v>
      </c>
      <c r="CF200" s="154" t="s">
        <v>455</v>
      </c>
      <c r="CG200" s="154" t="s">
        <v>456</v>
      </c>
    </row>
    <row r="201" spans="1:85" customFormat="1" ht="60" customHeight="1">
      <c r="A201" s="155"/>
      <c r="B201" s="155"/>
      <c r="C201" s="155"/>
      <c r="D201" s="274"/>
      <c r="E201" s="274"/>
      <c r="F201" s="274"/>
      <c r="G201" s="53"/>
      <c r="H201" s="155"/>
      <c r="I201" s="36"/>
      <c r="J201" s="36"/>
      <c r="K201" s="36"/>
      <c r="L201" s="36"/>
      <c r="M201" s="44"/>
      <c r="N201" s="44"/>
      <c r="O201" s="77"/>
      <c r="P201" s="77"/>
      <c r="Q201" s="47"/>
      <c r="R201" s="47"/>
      <c r="S201" s="47"/>
      <c r="T201" s="105"/>
      <c r="U201" s="47"/>
      <c r="V201" s="106"/>
      <c r="W201" s="36"/>
      <c r="X201" s="35"/>
      <c r="Y201" s="155"/>
      <c r="Z201" s="155"/>
      <c r="AA201" s="155"/>
      <c r="AB201" s="155"/>
      <c r="AC201" s="155"/>
      <c r="AD201" s="155"/>
      <c r="AE201" s="155"/>
      <c r="AF201" s="155"/>
      <c r="AG201" s="155"/>
      <c r="AH201" s="36"/>
      <c r="AI201" s="35"/>
      <c r="AJ201" s="35"/>
      <c r="AK201" s="155"/>
      <c r="AL201" s="47" t="s">
        <v>618</v>
      </c>
      <c r="AM201" s="36" t="s">
        <v>199</v>
      </c>
      <c r="AN201" s="48">
        <v>45183</v>
      </c>
      <c r="AO201" s="49">
        <v>13619</v>
      </c>
      <c r="AP201" s="36" t="s">
        <v>637</v>
      </c>
      <c r="AQ201" s="48">
        <v>45185</v>
      </c>
      <c r="AR201" s="48">
        <v>45550</v>
      </c>
      <c r="AS201" s="31"/>
      <c r="AT201" s="32"/>
      <c r="AU201" s="50"/>
      <c r="AV201" s="36"/>
      <c r="AW201" s="78"/>
      <c r="AX201" s="78"/>
      <c r="AY201" s="33"/>
      <c r="AZ201" s="34"/>
      <c r="BA201" s="35"/>
      <c r="BB201" s="35"/>
      <c r="BC201" s="79"/>
      <c r="BD201" s="80"/>
      <c r="BE201" s="80"/>
      <c r="BF201" s="35"/>
      <c r="BG201" s="36"/>
      <c r="BH201" s="35"/>
      <c r="BI201" s="97"/>
      <c r="BJ201" s="76"/>
      <c r="BK201" s="76"/>
      <c r="BL201" s="76"/>
      <c r="BM201" s="76"/>
      <c r="BN201" s="39">
        <f t="shared" si="15"/>
        <v>0</v>
      </c>
      <c r="BO201" s="36"/>
      <c r="BP201" s="40"/>
      <c r="BQ201" s="40"/>
      <c r="BR201" s="40"/>
      <c r="BS201" s="40"/>
      <c r="BT201" s="40"/>
      <c r="BU201" s="40"/>
      <c r="BV201" s="40"/>
      <c r="BW201" s="106"/>
      <c r="BX201" s="40"/>
      <c r="BY201" s="40"/>
      <c r="BZ201" s="40"/>
      <c r="CA201" s="40"/>
      <c r="CB201" s="155"/>
      <c r="CC201" s="155"/>
      <c r="CD201" s="155"/>
      <c r="CE201" s="155"/>
      <c r="CF201" s="155"/>
      <c r="CG201" s="155"/>
    </row>
    <row r="202" spans="1:85" customFormat="1" ht="60" customHeight="1">
      <c r="A202" s="155"/>
      <c r="B202" s="155"/>
      <c r="C202" s="155"/>
      <c r="D202" s="274"/>
      <c r="E202" s="274"/>
      <c r="F202" s="274"/>
      <c r="G202" s="53"/>
      <c r="H202" s="155"/>
      <c r="I202" s="36"/>
      <c r="J202" s="36"/>
      <c r="K202" s="36"/>
      <c r="L202" s="36"/>
      <c r="M202" s="44"/>
      <c r="N202" s="44"/>
      <c r="O202" s="77"/>
      <c r="P202" s="77"/>
      <c r="Q202" s="47"/>
      <c r="R202" s="47"/>
      <c r="S202" s="47"/>
      <c r="T202" s="105"/>
      <c r="U202" s="47"/>
      <c r="V202" s="106"/>
      <c r="W202" s="36"/>
      <c r="X202" s="35"/>
      <c r="Y202" s="155"/>
      <c r="Z202" s="155"/>
      <c r="AA202" s="155"/>
      <c r="AB202" s="155"/>
      <c r="AC202" s="155"/>
      <c r="AD202" s="155"/>
      <c r="AE202" s="155"/>
      <c r="AF202" s="155"/>
      <c r="AG202" s="155"/>
      <c r="AH202" s="36"/>
      <c r="AI202" s="35"/>
      <c r="AJ202" s="35"/>
      <c r="AK202" s="155"/>
      <c r="AL202" s="47" t="s">
        <v>618</v>
      </c>
      <c r="AM202" s="36" t="s">
        <v>459</v>
      </c>
      <c r="AN202" s="48">
        <v>45551</v>
      </c>
      <c r="AO202" s="49">
        <v>13872</v>
      </c>
      <c r="AP202" s="36" t="s">
        <v>637</v>
      </c>
      <c r="AQ202" s="48">
        <v>45552</v>
      </c>
      <c r="AR202" s="48">
        <v>45916</v>
      </c>
      <c r="AS202" s="31"/>
      <c r="AT202" s="32"/>
      <c r="AU202" s="50"/>
      <c r="AV202" s="36"/>
      <c r="AW202" s="78"/>
      <c r="AX202" s="78"/>
      <c r="AY202" s="33"/>
      <c r="AZ202" s="34"/>
      <c r="BA202" s="35"/>
      <c r="BB202" s="35"/>
      <c r="BC202" s="79"/>
      <c r="BD202" s="80"/>
      <c r="BE202" s="80"/>
      <c r="BF202" s="35"/>
      <c r="BG202" s="36"/>
      <c r="BH202" s="35"/>
      <c r="BI202" s="97"/>
      <c r="BJ202" s="76"/>
      <c r="BK202" s="76"/>
      <c r="BL202" s="76"/>
      <c r="BM202" s="76"/>
      <c r="BN202" s="39">
        <f t="shared" si="15"/>
        <v>0</v>
      </c>
      <c r="BO202" s="36"/>
      <c r="BP202" s="40"/>
      <c r="BQ202" s="40"/>
      <c r="BR202" s="40"/>
      <c r="BS202" s="40"/>
      <c r="BT202" s="40"/>
      <c r="BU202" s="40"/>
      <c r="BV202" s="40"/>
      <c r="BW202" s="106"/>
      <c r="BX202" s="40"/>
      <c r="BY202" s="40"/>
      <c r="BZ202" s="40"/>
      <c r="CA202" s="40"/>
      <c r="CB202" s="155"/>
      <c r="CC202" s="155"/>
      <c r="CD202" s="155"/>
      <c r="CE202" s="155"/>
      <c r="CF202" s="155"/>
      <c r="CG202" s="155"/>
    </row>
    <row r="203" spans="1:85" customFormat="1" ht="60" customHeight="1">
      <c r="A203" s="162"/>
      <c r="B203" s="162"/>
      <c r="C203" s="162"/>
      <c r="D203" s="276"/>
      <c r="E203" s="276"/>
      <c r="F203" s="276"/>
      <c r="G203" s="47"/>
      <c r="H203" s="162"/>
      <c r="I203" s="36"/>
      <c r="J203" s="36"/>
      <c r="K203" s="36"/>
      <c r="L203" s="36"/>
      <c r="M203" s="36"/>
      <c r="N203" s="36"/>
      <c r="O203" s="49"/>
      <c r="P203" s="49"/>
      <c r="Q203" s="36"/>
      <c r="R203" s="36"/>
      <c r="S203" s="36"/>
      <c r="T203" s="49"/>
      <c r="U203" s="36"/>
      <c r="V203" s="40"/>
      <c r="W203" s="36"/>
      <c r="X203" s="35"/>
      <c r="Y203" s="162"/>
      <c r="Z203" s="162"/>
      <c r="AA203" s="162"/>
      <c r="AB203" s="162"/>
      <c r="AC203" s="162"/>
      <c r="AD203" s="162"/>
      <c r="AE203" s="162"/>
      <c r="AF203" s="162"/>
      <c r="AG203" s="162"/>
      <c r="AH203" s="36"/>
      <c r="AI203" s="35"/>
      <c r="AJ203" s="35"/>
      <c r="AK203" s="162"/>
      <c r="AL203" s="47" t="s">
        <v>618</v>
      </c>
      <c r="AM203" s="36" t="s">
        <v>520</v>
      </c>
      <c r="AN203" s="48">
        <v>45917</v>
      </c>
      <c r="AO203" s="49">
        <v>14109</v>
      </c>
      <c r="AP203" s="36" t="s">
        <v>637</v>
      </c>
      <c r="AQ203" s="48">
        <v>45917</v>
      </c>
      <c r="AR203" s="48">
        <v>46281</v>
      </c>
      <c r="AS203" s="31"/>
      <c r="AT203" s="32"/>
      <c r="AU203" s="50"/>
      <c r="AV203" s="36"/>
      <c r="AW203" s="78"/>
      <c r="AX203" s="78"/>
      <c r="AY203" s="33"/>
      <c r="AZ203" s="34"/>
      <c r="BA203" s="35"/>
      <c r="BB203" s="35"/>
      <c r="BC203" s="79"/>
      <c r="BD203" s="80"/>
      <c r="BE203" s="80"/>
      <c r="BF203" s="35"/>
      <c r="BG203" s="36"/>
      <c r="BH203" s="35"/>
      <c r="BI203" s="35"/>
      <c r="BJ203" s="107"/>
      <c r="BK203" s="107"/>
      <c r="BL203" s="107"/>
      <c r="BM203" s="107"/>
      <c r="BN203" s="39">
        <f t="shared" si="15"/>
        <v>0</v>
      </c>
      <c r="BO203" s="36"/>
      <c r="BP203" s="40"/>
      <c r="BQ203" s="40"/>
      <c r="BR203" s="40"/>
      <c r="BS203" s="40"/>
      <c r="BT203" s="40"/>
      <c r="BU203" s="40"/>
      <c r="BV203" s="40"/>
      <c r="BW203" s="106"/>
      <c r="BX203" s="40"/>
      <c r="BY203" s="40"/>
      <c r="BZ203" s="40"/>
      <c r="CA203" s="40"/>
      <c r="CB203" s="162"/>
      <c r="CC203" s="162"/>
      <c r="CD203" s="162"/>
      <c r="CE203" s="162"/>
      <c r="CF203" s="162"/>
      <c r="CG203" s="162"/>
    </row>
    <row r="204" spans="1:85" customFormat="1" ht="86.25" customHeight="1">
      <c r="A204" s="108">
        <v>70</v>
      </c>
      <c r="B204" s="109" t="s">
        <v>432</v>
      </c>
      <c r="C204" s="109" t="s">
        <v>707</v>
      </c>
      <c r="D204" s="281" t="s">
        <v>700</v>
      </c>
      <c r="E204" s="281"/>
      <c r="F204" s="287" t="s">
        <v>708</v>
      </c>
      <c r="G204" s="53"/>
      <c r="H204" s="110">
        <v>14124</v>
      </c>
      <c r="I204" s="55" t="s">
        <v>709</v>
      </c>
      <c r="J204" s="55" t="s">
        <v>710</v>
      </c>
      <c r="K204" s="55" t="s">
        <v>711</v>
      </c>
      <c r="L204" s="55" t="s">
        <v>712</v>
      </c>
      <c r="M204" s="36"/>
      <c r="N204" s="36"/>
      <c r="O204" s="49"/>
      <c r="P204" s="49"/>
      <c r="Q204" s="55"/>
      <c r="R204" s="55"/>
      <c r="S204" s="55"/>
      <c r="T204" s="55"/>
      <c r="U204" s="47"/>
      <c r="V204" s="106"/>
      <c r="W204" s="36"/>
      <c r="X204" s="35"/>
      <c r="Y204" s="98" t="s">
        <v>713</v>
      </c>
      <c r="Z204" s="109" t="s">
        <v>714</v>
      </c>
      <c r="AA204" s="109" t="s">
        <v>715</v>
      </c>
      <c r="AB204" s="111">
        <v>46078</v>
      </c>
      <c r="AC204" s="77">
        <v>14215</v>
      </c>
      <c r="AD204" s="111">
        <v>46078</v>
      </c>
      <c r="AE204" s="111">
        <v>46443</v>
      </c>
      <c r="AF204" s="55" t="s">
        <v>716</v>
      </c>
      <c r="AG204" s="53" t="s">
        <v>717</v>
      </c>
      <c r="AH204" s="36"/>
      <c r="AI204" s="35"/>
      <c r="AJ204" s="35"/>
      <c r="AK204" s="112">
        <v>6180.44</v>
      </c>
      <c r="AL204" s="47"/>
      <c r="AM204" s="36"/>
      <c r="AN204" s="48"/>
      <c r="AO204" s="49"/>
      <c r="AP204" s="36"/>
      <c r="AQ204" s="48"/>
      <c r="AR204" s="48"/>
      <c r="AS204" s="31"/>
      <c r="AT204" s="32"/>
      <c r="AU204" s="50"/>
      <c r="AV204" s="36"/>
      <c r="AW204" s="78"/>
      <c r="AX204" s="78"/>
      <c r="AY204" s="33"/>
      <c r="AZ204" s="34"/>
      <c r="BA204" s="35"/>
      <c r="BB204" s="35"/>
      <c r="BC204" s="79"/>
      <c r="BD204" s="80"/>
      <c r="BE204" s="80"/>
      <c r="BF204" s="35"/>
      <c r="BG204" s="36"/>
      <c r="BH204" s="35"/>
      <c r="BI204" s="78">
        <f>AK204</f>
        <v>6180.44</v>
      </c>
      <c r="BJ204" s="113"/>
      <c r="BK204" s="113"/>
      <c r="BL204" s="114">
        <v>6180.44</v>
      </c>
      <c r="BM204" s="113"/>
      <c r="BN204" s="39">
        <f t="shared" si="15"/>
        <v>6180.44</v>
      </c>
      <c r="BO204" s="36"/>
      <c r="BP204" s="40"/>
      <c r="BQ204" s="40"/>
      <c r="BR204" s="40"/>
      <c r="BS204" s="40"/>
      <c r="BT204" s="40"/>
      <c r="BU204" s="40"/>
      <c r="BV204" s="40"/>
      <c r="BW204" s="89"/>
      <c r="BX204" s="40"/>
      <c r="BY204" s="40"/>
      <c r="BZ204" s="40"/>
      <c r="CA204" s="40"/>
      <c r="CB204" s="53" t="s">
        <v>718</v>
      </c>
      <c r="CC204" s="88">
        <v>14213</v>
      </c>
      <c r="CD204" s="44" t="s">
        <v>719</v>
      </c>
      <c r="CE204" s="44">
        <v>712841</v>
      </c>
      <c r="CF204" s="288" t="s">
        <v>720</v>
      </c>
      <c r="CG204" s="44" t="s">
        <v>721</v>
      </c>
    </row>
    <row r="205" spans="1:85" customFormat="1" ht="134.25" customHeight="1">
      <c r="A205" s="108">
        <v>71</v>
      </c>
      <c r="B205" s="109" t="s">
        <v>722</v>
      </c>
      <c r="C205" s="109" t="s">
        <v>723</v>
      </c>
      <c r="D205" s="281" t="s">
        <v>724</v>
      </c>
      <c r="E205" s="286"/>
      <c r="F205" s="281" t="s">
        <v>1140</v>
      </c>
      <c r="G205" s="44"/>
      <c r="H205" s="115"/>
      <c r="I205" s="36"/>
      <c r="J205" s="36"/>
      <c r="K205" s="36"/>
      <c r="L205" s="36"/>
      <c r="M205" s="36" t="s">
        <v>725</v>
      </c>
      <c r="N205" s="36" t="s">
        <v>726</v>
      </c>
      <c r="O205" s="49"/>
      <c r="P205" s="49"/>
      <c r="Q205" s="47"/>
      <c r="R205" s="47"/>
      <c r="S205" s="47"/>
      <c r="T205" s="105"/>
      <c r="U205" s="47"/>
      <c r="V205" s="106"/>
      <c r="W205" s="36"/>
      <c r="X205" s="35"/>
      <c r="Y205" s="98" t="s">
        <v>727</v>
      </c>
      <c r="Z205" s="109" t="s">
        <v>728</v>
      </c>
      <c r="AA205" s="109" t="s">
        <v>729</v>
      </c>
      <c r="AB205" s="111">
        <v>46021</v>
      </c>
      <c r="AC205" s="77">
        <v>14181</v>
      </c>
      <c r="AD205" s="111">
        <v>46021</v>
      </c>
      <c r="AE205" s="111">
        <v>46203</v>
      </c>
      <c r="AF205" s="72" t="s">
        <v>225</v>
      </c>
      <c r="AG205" s="44" t="s">
        <v>185</v>
      </c>
      <c r="AH205" s="36"/>
      <c r="AI205" s="35"/>
      <c r="AJ205" s="35"/>
      <c r="AK205" s="80"/>
      <c r="AL205" s="47"/>
      <c r="AM205" s="36"/>
      <c r="AN205" s="48"/>
      <c r="AO205" s="49"/>
      <c r="AP205" s="36"/>
      <c r="AQ205" s="48"/>
      <c r="AR205" s="36"/>
      <c r="AS205" s="31"/>
      <c r="AT205" s="32"/>
      <c r="AU205" s="50"/>
      <c r="AV205" s="50"/>
      <c r="AW205" s="78"/>
      <c r="AX205" s="78"/>
      <c r="AY205" s="33"/>
      <c r="AZ205" s="34"/>
      <c r="BA205" s="35"/>
      <c r="BB205" s="35"/>
      <c r="BC205" s="79"/>
      <c r="BD205" s="80"/>
      <c r="BE205" s="80"/>
      <c r="BF205" s="35"/>
      <c r="BG205" s="36"/>
      <c r="BH205" s="35"/>
      <c r="BI205" s="78">
        <v>4766298</v>
      </c>
      <c r="BJ205" s="76"/>
      <c r="BK205" s="76">
        <f>2631834+775572.5+1369785+34464+703630.5+729478.5</f>
        <v>6244764.5</v>
      </c>
      <c r="BL205" s="76">
        <f>713651+705147+724467+740691+735283</f>
        <v>3619239</v>
      </c>
      <c r="BM205" s="76"/>
      <c r="BN205" s="39"/>
      <c r="BO205" s="36"/>
      <c r="BP205" s="40"/>
      <c r="BQ205" s="40"/>
      <c r="BR205" s="40"/>
      <c r="BS205" s="40"/>
      <c r="BT205" s="40"/>
      <c r="BU205" s="40"/>
      <c r="BV205" s="40"/>
      <c r="BW205" s="89"/>
      <c r="BX205" s="40"/>
      <c r="BY205" s="40"/>
      <c r="BZ205" s="40"/>
      <c r="CA205" s="40"/>
      <c r="CB205" s="44" t="s">
        <v>730</v>
      </c>
      <c r="CC205" s="77">
        <v>13997</v>
      </c>
      <c r="CD205" s="44" t="s">
        <v>614</v>
      </c>
      <c r="CE205" s="77">
        <v>709978</v>
      </c>
      <c r="CF205" s="44" t="s">
        <v>731</v>
      </c>
      <c r="CG205" s="77">
        <v>716635</v>
      </c>
    </row>
    <row r="206" spans="1:85" customFormat="1" ht="99" customHeight="1">
      <c r="A206" s="108">
        <v>72</v>
      </c>
      <c r="B206" s="109" t="s">
        <v>722</v>
      </c>
      <c r="C206" s="109" t="s">
        <v>723</v>
      </c>
      <c r="D206" s="281" t="s">
        <v>724</v>
      </c>
      <c r="E206" s="286"/>
      <c r="F206" s="281" t="s">
        <v>1141</v>
      </c>
      <c r="G206" s="81"/>
      <c r="H206" s="115"/>
      <c r="I206" s="36"/>
      <c r="J206" s="36"/>
      <c r="K206" s="36"/>
      <c r="L206" s="36"/>
      <c r="M206" s="36" t="s">
        <v>725</v>
      </c>
      <c r="N206" s="36" t="s">
        <v>732</v>
      </c>
      <c r="O206" s="49"/>
      <c r="P206" s="49"/>
      <c r="Q206" s="47"/>
      <c r="R206" s="47"/>
      <c r="S206" s="47"/>
      <c r="T206" s="105"/>
      <c r="U206" s="47"/>
      <c r="V206" s="106"/>
      <c r="W206" s="36"/>
      <c r="X206" s="35"/>
      <c r="Y206" s="98" t="s">
        <v>733</v>
      </c>
      <c r="Z206" s="109" t="s">
        <v>684</v>
      </c>
      <c r="AA206" s="109" t="s">
        <v>685</v>
      </c>
      <c r="AB206" s="111">
        <v>46021</v>
      </c>
      <c r="AC206" s="77">
        <v>14181</v>
      </c>
      <c r="AD206" s="111">
        <v>46021</v>
      </c>
      <c r="AE206" s="111">
        <v>46203</v>
      </c>
      <c r="AF206" s="98" t="s">
        <v>225</v>
      </c>
      <c r="AG206" s="44" t="s">
        <v>185</v>
      </c>
      <c r="AH206" s="36"/>
      <c r="AI206" s="35"/>
      <c r="AJ206" s="35"/>
      <c r="AK206" s="80"/>
      <c r="AL206" s="47"/>
      <c r="AM206" s="60"/>
      <c r="AN206" s="60"/>
      <c r="AO206" s="62"/>
      <c r="AP206" s="60"/>
      <c r="AQ206" s="60"/>
      <c r="AR206" s="60"/>
      <c r="AS206" s="63"/>
      <c r="AT206" s="64"/>
      <c r="AU206" s="68"/>
      <c r="AV206" s="60"/>
      <c r="AW206" s="83"/>
      <c r="AX206" s="83"/>
      <c r="AY206" s="65"/>
      <c r="AZ206" s="66"/>
      <c r="BA206" s="67"/>
      <c r="BB206" s="67"/>
      <c r="BC206" s="84"/>
      <c r="BD206" s="85"/>
      <c r="BE206" s="85"/>
      <c r="BF206" s="67"/>
      <c r="BG206" s="60"/>
      <c r="BH206" s="67"/>
      <c r="BI206" s="78">
        <v>3710049</v>
      </c>
      <c r="BJ206" s="76"/>
      <c r="BK206" s="76">
        <f>1874409.6+955637+481940.4+496502.4</f>
        <v>3808489.4</v>
      </c>
      <c r="BL206" s="76">
        <f>493688.4+485612.4+585845.4+528335.4+536963.4</f>
        <v>2630445</v>
      </c>
      <c r="BM206" s="76"/>
      <c r="BN206" s="39"/>
      <c r="BO206" s="36"/>
      <c r="BP206" s="40"/>
      <c r="BQ206" s="40"/>
      <c r="BR206" s="40"/>
      <c r="BS206" s="40"/>
      <c r="BT206" s="40"/>
      <c r="BU206" s="40"/>
      <c r="BV206" s="40"/>
      <c r="BW206" s="89"/>
      <c r="BX206" s="40"/>
      <c r="BY206" s="40"/>
      <c r="BZ206" s="40"/>
      <c r="CA206" s="40"/>
      <c r="CB206" s="44" t="s">
        <v>734</v>
      </c>
      <c r="CC206" s="77">
        <v>13997</v>
      </c>
      <c r="CD206" s="44" t="s">
        <v>735</v>
      </c>
      <c r="CE206" s="77">
        <v>709978</v>
      </c>
      <c r="CF206" s="44" t="s">
        <v>688</v>
      </c>
      <c r="CG206" s="77">
        <v>710528</v>
      </c>
    </row>
    <row r="207" spans="1:85" customFormat="1" ht="60" customHeight="1">
      <c r="A207" s="170">
        <v>73</v>
      </c>
      <c r="B207" s="170" t="s">
        <v>736</v>
      </c>
      <c r="C207" s="154" t="s">
        <v>737</v>
      </c>
      <c r="D207" s="273" t="s">
        <v>625</v>
      </c>
      <c r="E207" s="273" t="s">
        <v>180</v>
      </c>
      <c r="F207" s="273" t="s">
        <v>738</v>
      </c>
      <c r="G207" s="44"/>
      <c r="H207" s="175">
        <v>13340</v>
      </c>
      <c r="I207" s="36"/>
      <c r="J207" s="36"/>
      <c r="K207" s="36"/>
      <c r="L207" s="36"/>
      <c r="M207" s="36"/>
      <c r="N207" s="36"/>
      <c r="O207" s="49"/>
      <c r="P207" s="49"/>
      <c r="Q207" s="154" t="s">
        <v>739</v>
      </c>
      <c r="R207" s="161">
        <v>44802</v>
      </c>
      <c r="S207" s="161">
        <v>45167</v>
      </c>
      <c r="T207" s="157">
        <v>13363</v>
      </c>
      <c r="U207" s="154" t="s">
        <v>740</v>
      </c>
      <c r="V207" s="170">
        <v>13363</v>
      </c>
      <c r="W207" s="154" t="s">
        <v>741</v>
      </c>
      <c r="X207" s="178">
        <v>77880</v>
      </c>
      <c r="Y207" s="163" t="s">
        <v>742</v>
      </c>
      <c r="Z207" s="161" t="s">
        <v>743</v>
      </c>
      <c r="AA207" s="176" t="s">
        <v>744</v>
      </c>
      <c r="AB207" s="161">
        <v>44872</v>
      </c>
      <c r="AC207" s="175">
        <v>13409</v>
      </c>
      <c r="AD207" s="176">
        <v>44872</v>
      </c>
      <c r="AE207" s="176">
        <v>45237</v>
      </c>
      <c r="AF207" s="177" t="s">
        <v>453</v>
      </c>
      <c r="AG207" s="154" t="s">
        <v>185</v>
      </c>
      <c r="AH207" s="36"/>
      <c r="AI207" s="35"/>
      <c r="AJ207" s="35"/>
      <c r="AK207" s="174">
        <v>77880</v>
      </c>
      <c r="AL207" s="47"/>
      <c r="AM207" s="36"/>
      <c r="AN207" s="48"/>
      <c r="AO207" s="49"/>
      <c r="AP207" s="36"/>
      <c r="AQ207" s="116"/>
      <c r="AR207" s="116"/>
      <c r="AS207" s="31"/>
      <c r="AT207" s="32"/>
      <c r="AU207" s="50"/>
      <c r="AV207" s="36"/>
      <c r="AW207" s="78"/>
      <c r="AX207" s="78"/>
      <c r="AY207" s="33"/>
      <c r="AZ207" s="34"/>
      <c r="BA207" s="35"/>
      <c r="BB207" s="35"/>
      <c r="BC207" s="79"/>
      <c r="BD207" s="80"/>
      <c r="BE207" s="80"/>
      <c r="BF207" s="35"/>
      <c r="BG207" s="36"/>
      <c r="BH207" s="35"/>
      <c r="BI207" s="78">
        <f>AK207</f>
        <v>77880</v>
      </c>
      <c r="BJ207" s="38">
        <f>64900+77880+81003.12</f>
        <v>223783.12</v>
      </c>
      <c r="BK207" s="38">
        <f>74252.86+6750.26</f>
        <v>81003.12</v>
      </c>
      <c r="BL207" s="38">
        <f>14156.54+7078.27+7078.27+7078.27</f>
        <v>35391.350000000006</v>
      </c>
      <c r="BM207" s="38"/>
      <c r="BN207" s="39">
        <f t="shared" si="15"/>
        <v>259174.47</v>
      </c>
      <c r="BO207" s="36"/>
      <c r="BP207" s="40"/>
      <c r="BQ207" s="40"/>
      <c r="BR207" s="40"/>
      <c r="BS207" s="40"/>
      <c r="BT207" s="40"/>
      <c r="BU207" s="40"/>
      <c r="BV207" s="40"/>
      <c r="BW207" s="40"/>
      <c r="BX207" s="40"/>
      <c r="BY207" s="40"/>
      <c r="BZ207" s="40"/>
      <c r="CA207" s="40"/>
      <c r="CB207" s="154" t="s">
        <v>745</v>
      </c>
      <c r="CC207" s="157">
        <v>14116</v>
      </c>
      <c r="CD207" s="154" t="s">
        <v>186</v>
      </c>
      <c r="CE207" s="157" t="s">
        <v>187</v>
      </c>
      <c r="CF207" s="154" t="s">
        <v>188</v>
      </c>
      <c r="CG207" s="157">
        <v>715268</v>
      </c>
    </row>
    <row r="208" spans="1:85" customFormat="1" ht="60" customHeight="1">
      <c r="A208" s="155"/>
      <c r="B208" s="155"/>
      <c r="C208" s="155"/>
      <c r="D208" s="274"/>
      <c r="E208" s="274"/>
      <c r="F208" s="274"/>
      <c r="G208" s="53"/>
      <c r="H208" s="155"/>
      <c r="I208" s="36"/>
      <c r="J208" s="36"/>
      <c r="K208" s="36"/>
      <c r="L208" s="36"/>
      <c r="M208" s="36"/>
      <c r="N208" s="36"/>
      <c r="O208" s="49"/>
      <c r="P208" s="49"/>
      <c r="Q208" s="155"/>
      <c r="R208" s="155"/>
      <c r="S208" s="155"/>
      <c r="T208" s="155"/>
      <c r="U208" s="155"/>
      <c r="V208" s="155"/>
      <c r="W208" s="155"/>
      <c r="X208" s="155"/>
      <c r="Y208" s="155"/>
      <c r="Z208" s="155"/>
      <c r="AA208" s="155"/>
      <c r="AB208" s="155"/>
      <c r="AC208" s="155"/>
      <c r="AD208" s="155"/>
      <c r="AE208" s="155"/>
      <c r="AF208" s="155"/>
      <c r="AG208" s="155"/>
      <c r="AH208" s="36"/>
      <c r="AI208" s="35"/>
      <c r="AJ208" s="35"/>
      <c r="AK208" s="155"/>
      <c r="AL208" s="47" t="s">
        <v>518</v>
      </c>
      <c r="AM208" s="36" t="s">
        <v>199</v>
      </c>
      <c r="AN208" s="48">
        <v>45238</v>
      </c>
      <c r="AO208" s="49">
        <v>13659</v>
      </c>
      <c r="AP208" s="36" t="s">
        <v>621</v>
      </c>
      <c r="AQ208" s="116">
        <v>45238</v>
      </c>
      <c r="AR208" s="116">
        <v>45604</v>
      </c>
      <c r="AS208" s="31"/>
      <c r="AT208" s="32"/>
      <c r="AU208" s="50"/>
      <c r="AV208" s="36"/>
      <c r="AW208" s="78"/>
      <c r="AX208" s="78"/>
      <c r="AY208" s="33"/>
      <c r="AZ208" s="34"/>
      <c r="BA208" s="35"/>
      <c r="BB208" s="35"/>
      <c r="BC208" s="79"/>
      <c r="BD208" s="80"/>
      <c r="BE208" s="80"/>
      <c r="BF208" s="35"/>
      <c r="BG208" s="36"/>
      <c r="BH208" s="35"/>
      <c r="BI208" s="78"/>
      <c r="BJ208" s="38"/>
      <c r="BK208" s="38"/>
      <c r="BL208" s="38"/>
      <c r="BM208" s="38"/>
      <c r="BN208" s="39">
        <f t="shared" si="15"/>
        <v>0</v>
      </c>
      <c r="BO208" s="36"/>
      <c r="BP208" s="40"/>
      <c r="BQ208" s="40"/>
      <c r="BR208" s="40"/>
      <c r="BS208" s="40"/>
      <c r="BT208" s="40"/>
      <c r="BU208" s="40"/>
      <c r="BV208" s="40"/>
      <c r="BW208" s="40"/>
      <c r="BX208" s="40"/>
      <c r="BY208" s="40"/>
      <c r="BZ208" s="40"/>
      <c r="CA208" s="40"/>
      <c r="CB208" s="155"/>
      <c r="CC208" s="155"/>
      <c r="CD208" s="155"/>
      <c r="CE208" s="155"/>
      <c r="CF208" s="155"/>
      <c r="CG208" s="155"/>
    </row>
    <row r="209" spans="1:85" customFormat="1" ht="60" customHeight="1">
      <c r="A209" s="155"/>
      <c r="B209" s="155"/>
      <c r="C209" s="155"/>
      <c r="D209" s="274"/>
      <c r="E209" s="274"/>
      <c r="F209" s="274"/>
      <c r="G209" s="53"/>
      <c r="H209" s="155"/>
      <c r="I209" s="36"/>
      <c r="J209" s="36"/>
      <c r="K209" s="36"/>
      <c r="L209" s="36"/>
      <c r="M209" s="36"/>
      <c r="N209" s="36"/>
      <c r="O209" s="49"/>
      <c r="P209" s="49"/>
      <c r="Q209" s="155"/>
      <c r="R209" s="155"/>
      <c r="S209" s="155"/>
      <c r="T209" s="155"/>
      <c r="U209" s="155"/>
      <c r="V209" s="155"/>
      <c r="W209" s="155"/>
      <c r="X209" s="155"/>
      <c r="Y209" s="155"/>
      <c r="Z209" s="155"/>
      <c r="AA209" s="155"/>
      <c r="AB209" s="155"/>
      <c r="AC209" s="155"/>
      <c r="AD209" s="155"/>
      <c r="AE209" s="155"/>
      <c r="AF209" s="155"/>
      <c r="AG209" s="155"/>
      <c r="AH209" s="36"/>
      <c r="AI209" s="35"/>
      <c r="AJ209" s="35"/>
      <c r="AK209" s="155"/>
      <c r="AL209" s="47" t="s">
        <v>518</v>
      </c>
      <c r="AM209" s="36" t="s">
        <v>459</v>
      </c>
      <c r="AN209" s="48">
        <v>45605</v>
      </c>
      <c r="AO209" s="49">
        <v>13902</v>
      </c>
      <c r="AP209" s="36" t="s">
        <v>652</v>
      </c>
      <c r="AQ209" s="116">
        <v>45605</v>
      </c>
      <c r="AR209" s="116">
        <v>45969</v>
      </c>
      <c r="AS209" s="31"/>
      <c r="AT209" s="32"/>
      <c r="AU209" s="50">
        <f>AW209/BI207</f>
        <v>4.0101694915254178E-2</v>
      </c>
      <c r="AV209" s="36"/>
      <c r="AW209" s="78">
        <f>81003.12-77880</f>
        <v>3123.1199999999953</v>
      </c>
      <c r="AX209" s="78"/>
      <c r="AY209" s="33"/>
      <c r="AZ209" s="34"/>
      <c r="BA209" s="35"/>
      <c r="BB209" s="35"/>
      <c r="BC209" s="79"/>
      <c r="BD209" s="80"/>
      <c r="BE209" s="80"/>
      <c r="BF209" s="35"/>
      <c r="BG209" s="36"/>
      <c r="BH209" s="35"/>
      <c r="BI209" s="97">
        <f>BI207+AW209</f>
        <v>81003.12</v>
      </c>
      <c r="BJ209" s="38"/>
      <c r="BK209" s="38"/>
      <c r="BL209" s="38"/>
      <c r="BM209" s="38"/>
      <c r="BN209" s="39">
        <f t="shared" si="15"/>
        <v>0</v>
      </c>
      <c r="BO209" s="36"/>
      <c r="BP209" s="40"/>
      <c r="BQ209" s="40"/>
      <c r="BR209" s="40"/>
      <c r="BS209" s="40"/>
      <c r="BT209" s="40"/>
      <c r="BU209" s="40"/>
      <c r="BV209" s="40"/>
      <c r="BW209" s="40"/>
      <c r="BX209" s="40"/>
      <c r="BY209" s="40"/>
      <c r="BZ209" s="40"/>
      <c r="CA209" s="40"/>
      <c r="CB209" s="155"/>
      <c r="CC209" s="155"/>
      <c r="CD209" s="155"/>
      <c r="CE209" s="155"/>
      <c r="CF209" s="155"/>
      <c r="CG209" s="155"/>
    </row>
    <row r="210" spans="1:85" customFormat="1" ht="60" customHeight="1">
      <c r="A210" s="162"/>
      <c r="B210" s="162"/>
      <c r="C210" s="162"/>
      <c r="D210" s="276"/>
      <c r="E210" s="276"/>
      <c r="F210" s="276"/>
      <c r="G210" s="47"/>
      <c r="H210" s="162"/>
      <c r="I210" s="36"/>
      <c r="J210" s="36"/>
      <c r="K210" s="36"/>
      <c r="L210" s="36"/>
      <c r="M210" s="36"/>
      <c r="N210" s="36"/>
      <c r="O210" s="49"/>
      <c r="P210" s="49"/>
      <c r="Q210" s="162"/>
      <c r="R210" s="162"/>
      <c r="S210" s="162"/>
      <c r="T210" s="162"/>
      <c r="U210" s="162"/>
      <c r="V210" s="162"/>
      <c r="W210" s="162"/>
      <c r="X210" s="162"/>
      <c r="Y210" s="162"/>
      <c r="Z210" s="162"/>
      <c r="AA210" s="162"/>
      <c r="AB210" s="162"/>
      <c r="AC210" s="162"/>
      <c r="AD210" s="162"/>
      <c r="AE210" s="162"/>
      <c r="AF210" s="162"/>
      <c r="AG210" s="162"/>
      <c r="AH210" s="36"/>
      <c r="AI210" s="35"/>
      <c r="AJ210" s="35"/>
      <c r="AK210" s="162"/>
      <c r="AL210" s="47" t="s">
        <v>518</v>
      </c>
      <c r="AM210" s="36" t="s">
        <v>520</v>
      </c>
      <c r="AN210" s="48">
        <v>45968</v>
      </c>
      <c r="AO210" s="49">
        <v>14166</v>
      </c>
      <c r="AP210" s="36" t="s">
        <v>621</v>
      </c>
      <c r="AQ210" s="116">
        <v>45970</v>
      </c>
      <c r="AR210" s="116">
        <v>46334</v>
      </c>
      <c r="AS210" s="31"/>
      <c r="AT210" s="32"/>
      <c r="AU210" s="50"/>
      <c r="AV210" s="36"/>
      <c r="AW210" s="78"/>
      <c r="AX210" s="78"/>
      <c r="AY210" s="33"/>
      <c r="AZ210" s="34"/>
      <c r="BA210" s="35"/>
      <c r="BB210" s="35"/>
      <c r="BC210" s="79"/>
      <c r="BD210" s="80"/>
      <c r="BE210" s="80"/>
      <c r="BF210" s="35"/>
      <c r="BG210" s="36"/>
      <c r="BH210" s="35"/>
      <c r="BI210" s="35"/>
      <c r="BJ210" s="38"/>
      <c r="BK210" s="38"/>
      <c r="BL210" s="38"/>
      <c r="BM210" s="38"/>
      <c r="BN210" s="39">
        <f t="shared" si="15"/>
        <v>0</v>
      </c>
      <c r="BO210" s="36"/>
      <c r="BP210" s="40"/>
      <c r="BQ210" s="40"/>
      <c r="BR210" s="40"/>
      <c r="BS210" s="40"/>
      <c r="BT210" s="40"/>
      <c r="BU210" s="40"/>
      <c r="BV210" s="40"/>
      <c r="BW210" s="40"/>
      <c r="BX210" s="40"/>
      <c r="BY210" s="40"/>
      <c r="BZ210" s="40"/>
      <c r="CA210" s="40"/>
      <c r="CB210" s="162"/>
      <c r="CC210" s="162"/>
      <c r="CD210" s="162"/>
      <c r="CE210" s="162"/>
      <c r="CF210" s="162"/>
      <c r="CG210" s="162"/>
    </row>
    <row r="211" spans="1:85" customFormat="1" ht="60" customHeight="1">
      <c r="A211" s="170">
        <v>73</v>
      </c>
      <c r="B211" s="170" t="s">
        <v>746</v>
      </c>
      <c r="C211" s="154" t="s">
        <v>737</v>
      </c>
      <c r="D211" s="273" t="s">
        <v>625</v>
      </c>
      <c r="E211" s="273" t="s">
        <v>180</v>
      </c>
      <c r="F211" s="273" t="s">
        <v>738</v>
      </c>
      <c r="G211" s="44"/>
      <c r="H211" s="175">
        <v>13340</v>
      </c>
      <c r="I211" s="36"/>
      <c r="J211" s="36"/>
      <c r="K211" s="36"/>
      <c r="L211" s="36"/>
      <c r="M211" s="36"/>
      <c r="N211" s="36"/>
      <c r="O211" s="49"/>
      <c r="P211" s="49"/>
      <c r="Q211" s="154" t="s">
        <v>739</v>
      </c>
      <c r="R211" s="161">
        <v>44802</v>
      </c>
      <c r="S211" s="161">
        <v>45167</v>
      </c>
      <c r="T211" s="157">
        <v>13363</v>
      </c>
      <c r="U211" s="154" t="s">
        <v>740</v>
      </c>
      <c r="V211" s="170">
        <v>13363</v>
      </c>
      <c r="W211" s="154" t="s">
        <v>747</v>
      </c>
      <c r="X211" s="178">
        <v>75375.240000000005</v>
      </c>
      <c r="Y211" s="163" t="s">
        <v>748</v>
      </c>
      <c r="Z211" s="161" t="s">
        <v>749</v>
      </c>
      <c r="AA211" s="176" t="s">
        <v>750</v>
      </c>
      <c r="AB211" s="161">
        <v>44872</v>
      </c>
      <c r="AC211" s="175">
        <v>13409</v>
      </c>
      <c r="AD211" s="176">
        <v>44872</v>
      </c>
      <c r="AE211" s="176">
        <v>45237</v>
      </c>
      <c r="AF211" s="177" t="s">
        <v>453</v>
      </c>
      <c r="AG211" s="154" t="s">
        <v>185</v>
      </c>
      <c r="AH211" s="36"/>
      <c r="AI211" s="35"/>
      <c r="AJ211" s="35"/>
      <c r="AK211" s="174">
        <v>75375.240000000005</v>
      </c>
      <c r="AL211" s="47"/>
      <c r="AM211" s="36"/>
      <c r="AN211" s="48"/>
      <c r="AO211" s="49"/>
      <c r="AP211" s="36"/>
      <c r="AQ211" s="116"/>
      <c r="AR211" s="116"/>
      <c r="AS211" s="31"/>
      <c r="AT211" s="32"/>
      <c r="AU211" s="50"/>
      <c r="AV211" s="36"/>
      <c r="AW211" s="78"/>
      <c r="AX211" s="78"/>
      <c r="AY211" s="33"/>
      <c r="AZ211" s="34"/>
      <c r="BA211" s="35"/>
      <c r="BB211" s="35"/>
      <c r="BC211" s="79"/>
      <c r="BD211" s="80"/>
      <c r="BE211" s="80"/>
      <c r="BF211" s="35"/>
      <c r="BG211" s="36"/>
      <c r="BH211" s="35"/>
      <c r="BI211" s="97">
        <f>AK211</f>
        <v>75375.240000000005</v>
      </c>
      <c r="BJ211" s="38">
        <f>62812.7+75375.24+75375.24</f>
        <v>213563.18</v>
      </c>
      <c r="BK211" s="38">
        <f>75375.24</f>
        <v>75375.240000000005</v>
      </c>
      <c r="BL211" s="38">
        <f>6281.27+6281.27+6281.27+6281.27+1674.96</f>
        <v>26800.04</v>
      </c>
      <c r="BM211" s="38"/>
      <c r="BN211" s="39">
        <f t="shared" si="15"/>
        <v>240363.22</v>
      </c>
      <c r="BO211" s="36"/>
      <c r="BP211" s="40"/>
      <c r="BQ211" s="40"/>
      <c r="BR211" s="40"/>
      <c r="BS211" s="40"/>
      <c r="BT211" s="40"/>
      <c r="BU211" s="40"/>
      <c r="BV211" s="40"/>
      <c r="BW211" s="40"/>
      <c r="BX211" s="40"/>
      <c r="BY211" s="40"/>
      <c r="BZ211" s="40"/>
      <c r="CA211" s="40"/>
      <c r="CB211" s="154" t="s">
        <v>751</v>
      </c>
      <c r="CC211" s="157">
        <v>14116</v>
      </c>
      <c r="CD211" s="154" t="s">
        <v>455</v>
      </c>
      <c r="CE211" s="157" t="s">
        <v>456</v>
      </c>
      <c r="CF211" s="154" t="s">
        <v>752</v>
      </c>
      <c r="CG211" s="154" t="s">
        <v>753</v>
      </c>
    </row>
    <row r="212" spans="1:85" customFormat="1" ht="60" customHeight="1">
      <c r="A212" s="155"/>
      <c r="B212" s="155"/>
      <c r="C212" s="155"/>
      <c r="D212" s="274"/>
      <c r="E212" s="274"/>
      <c r="F212" s="274"/>
      <c r="G212" s="53"/>
      <c r="H212" s="155"/>
      <c r="I212" s="36"/>
      <c r="J212" s="36"/>
      <c r="K212" s="36"/>
      <c r="L212" s="36"/>
      <c r="M212" s="36"/>
      <c r="N212" s="36"/>
      <c r="O212" s="49"/>
      <c r="P212" s="49"/>
      <c r="Q212" s="155"/>
      <c r="R212" s="155"/>
      <c r="S212" s="155"/>
      <c r="T212" s="155"/>
      <c r="U212" s="155"/>
      <c r="V212" s="155"/>
      <c r="W212" s="155"/>
      <c r="X212" s="155"/>
      <c r="Y212" s="155"/>
      <c r="Z212" s="155"/>
      <c r="AA212" s="155"/>
      <c r="AB212" s="155"/>
      <c r="AC212" s="155"/>
      <c r="AD212" s="155"/>
      <c r="AE212" s="155"/>
      <c r="AF212" s="155"/>
      <c r="AG212" s="155"/>
      <c r="AH212" s="36"/>
      <c r="AI212" s="35"/>
      <c r="AJ212" s="35"/>
      <c r="AK212" s="155"/>
      <c r="AL212" s="47" t="s">
        <v>518</v>
      </c>
      <c r="AM212" s="36" t="s">
        <v>199</v>
      </c>
      <c r="AN212" s="48">
        <v>45238</v>
      </c>
      <c r="AO212" s="49">
        <v>13659</v>
      </c>
      <c r="AP212" s="36" t="s">
        <v>621</v>
      </c>
      <c r="AQ212" s="116">
        <v>45238</v>
      </c>
      <c r="AR212" s="116">
        <v>45604</v>
      </c>
      <c r="AS212" s="31"/>
      <c r="AT212" s="32"/>
      <c r="AU212" s="50"/>
      <c r="AV212" s="36"/>
      <c r="AW212" s="78"/>
      <c r="AX212" s="78"/>
      <c r="AY212" s="33"/>
      <c r="AZ212" s="34"/>
      <c r="BA212" s="35"/>
      <c r="BB212" s="35"/>
      <c r="BC212" s="79"/>
      <c r="BD212" s="80"/>
      <c r="BE212" s="80"/>
      <c r="BF212" s="35"/>
      <c r="BG212" s="36"/>
      <c r="BH212" s="35"/>
      <c r="BI212" s="78"/>
      <c r="BJ212" s="38"/>
      <c r="BK212" s="38"/>
      <c r="BL212" s="38"/>
      <c r="BM212" s="38"/>
      <c r="BN212" s="39">
        <f t="shared" si="15"/>
        <v>0</v>
      </c>
      <c r="BO212" s="36"/>
      <c r="BP212" s="40"/>
      <c r="BQ212" s="40"/>
      <c r="BR212" s="40"/>
      <c r="BS212" s="40"/>
      <c r="BT212" s="40"/>
      <c r="BU212" s="40"/>
      <c r="BV212" s="40"/>
      <c r="BW212" s="40"/>
      <c r="BX212" s="40"/>
      <c r="BY212" s="40"/>
      <c r="BZ212" s="40"/>
      <c r="CA212" s="40"/>
      <c r="CB212" s="155"/>
      <c r="CC212" s="155"/>
      <c r="CD212" s="155"/>
      <c r="CE212" s="155"/>
      <c r="CF212" s="155"/>
      <c r="CG212" s="155"/>
    </row>
    <row r="213" spans="1:85" customFormat="1" ht="60" customHeight="1">
      <c r="A213" s="155"/>
      <c r="B213" s="155"/>
      <c r="C213" s="155"/>
      <c r="D213" s="274"/>
      <c r="E213" s="274"/>
      <c r="F213" s="274"/>
      <c r="G213" s="53"/>
      <c r="H213" s="155"/>
      <c r="I213" s="36"/>
      <c r="J213" s="36"/>
      <c r="K213" s="36"/>
      <c r="L213" s="36"/>
      <c r="M213" s="36"/>
      <c r="N213" s="36"/>
      <c r="O213" s="49"/>
      <c r="P213" s="49"/>
      <c r="Q213" s="155"/>
      <c r="R213" s="155"/>
      <c r="S213" s="155"/>
      <c r="T213" s="155"/>
      <c r="U213" s="155"/>
      <c r="V213" s="155"/>
      <c r="W213" s="155"/>
      <c r="X213" s="155"/>
      <c r="Y213" s="155"/>
      <c r="Z213" s="155"/>
      <c r="AA213" s="155"/>
      <c r="AB213" s="155"/>
      <c r="AC213" s="155"/>
      <c r="AD213" s="155"/>
      <c r="AE213" s="155"/>
      <c r="AF213" s="155"/>
      <c r="AG213" s="155"/>
      <c r="AH213" s="36"/>
      <c r="AI213" s="35"/>
      <c r="AJ213" s="35"/>
      <c r="AK213" s="155"/>
      <c r="AL213" s="47" t="s">
        <v>518</v>
      </c>
      <c r="AM213" s="36" t="s">
        <v>459</v>
      </c>
      <c r="AN213" s="48">
        <v>45605</v>
      </c>
      <c r="AO213" s="49">
        <v>13902</v>
      </c>
      <c r="AP213" s="36" t="s">
        <v>621</v>
      </c>
      <c r="AQ213" s="116">
        <v>45605</v>
      </c>
      <c r="AR213" s="116">
        <v>45969</v>
      </c>
      <c r="AS213" s="31"/>
      <c r="AT213" s="32"/>
      <c r="AU213" s="50"/>
      <c r="AV213" s="36"/>
      <c r="AW213" s="78"/>
      <c r="AX213" s="78"/>
      <c r="AY213" s="33"/>
      <c r="AZ213" s="34"/>
      <c r="BA213" s="35"/>
      <c r="BB213" s="35"/>
      <c r="BC213" s="79"/>
      <c r="BD213" s="80"/>
      <c r="BE213" s="80"/>
      <c r="BF213" s="35"/>
      <c r="BG213" s="36"/>
      <c r="BH213" s="35"/>
      <c r="BI213" s="78"/>
      <c r="BJ213" s="38"/>
      <c r="BK213" s="38"/>
      <c r="BL213" s="38"/>
      <c r="BM213" s="38"/>
      <c r="BN213" s="39">
        <f t="shared" si="15"/>
        <v>0</v>
      </c>
      <c r="BO213" s="36"/>
      <c r="BP213" s="40"/>
      <c r="BQ213" s="40"/>
      <c r="BR213" s="40"/>
      <c r="BS213" s="40"/>
      <c r="BT213" s="40"/>
      <c r="BU213" s="40"/>
      <c r="BV213" s="40"/>
      <c r="BW213" s="40"/>
      <c r="BX213" s="40"/>
      <c r="BY213" s="40"/>
      <c r="BZ213" s="40"/>
      <c r="CA213" s="40"/>
      <c r="CB213" s="155"/>
      <c r="CC213" s="155"/>
      <c r="CD213" s="155"/>
      <c r="CE213" s="155"/>
      <c r="CF213" s="155"/>
      <c r="CG213" s="155"/>
    </row>
    <row r="214" spans="1:85" customFormat="1" ht="60" customHeight="1">
      <c r="A214" s="162"/>
      <c r="B214" s="162"/>
      <c r="C214" s="162"/>
      <c r="D214" s="276"/>
      <c r="E214" s="276"/>
      <c r="F214" s="276"/>
      <c r="G214" s="47"/>
      <c r="H214" s="162"/>
      <c r="I214" s="36"/>
      <c r="J214" s="36"/>
      <c r="K214" s="36"/>
      <c r="L214" s="36"/>
      <c r="M214" s="36"/>
      <c r="N214" s="36"/>
      <c r="O214" s="49"/>
      <c r="P214" s="49"/>
      <c r="Q214" s="162"/>
      <c r="R214" s="162"/>
      <c r="S214" s="162"/>
      <c r="T214" s="162"/>
      <c r="U214" s="162"/>
      <c r="V214" s="162"/>
      <c r="W214" s="162"/>
      <c r="X214" s="162"/>
      <c r="Y214" s="162"/>
      <c r="Z214" s="162"/>
      <c r="AA214" s="162"/>
      <c r="AB214" s="162"/>
      <c r="AC214" s="162"/>
      <c r="AD214" s="162"/>
      <c r="AE214" s="162"/>
      <c r="AF214" s="162"/>
      <c r="AG214" s="162"/>
      <c r="AH214" s="36"/>
      <c r="AI214" s="35"/>
      <c r="AJ214" s="35"/>
      <c r="AK214" s="162"/>
      <c r="AL214" s="47" t="s">
        <v>518</v>
      </c>
      <c r="AM214" s="36" t="s">
        <v>520</v>
      </c>
      <c r="AN214" s="48">
        <v>45970</v>
      </c>
      <c r="AO214" s="49">
        <v>14199</v>
      </c>
      <c r="AP214" s="36" t="s">
        <v>621</v>
      </c>
      <c r="AQ214" s="116">
        <v>45970</v>
      </c>
      <c r="AR214" s="116">
        <v>46334</v>
      </c>
      <c r="AS214" s="31"/>
      <c r="AT214" s="32"/>
      <c r="AU214" s="50"/>
      <c r="AV214" s="36"/>
      <c r="AW214" s="78"/>
      <c r="AX214" s="78"/>
      <c r="AY214" s="33"/>
      <c r="AZ214" s="34"/>
      <c r="BA214" s="35"/>
      <c r="BB214" s="35"/>
      <c r="BC214" s="79"/>
      <c r="BD214" s="80"/>
      <c r="BE214" s="80"/>
      <c r="BF214" s="35"/>
      <c r="BG214" s="36"/>
      <c r="BH214" s="35"/>
      <c r="BI214" s="35"/>
      <c r="BJ214" s="38"/>
      <c r="BK214" s="38"/>
      <c r="BL214" s="38"/>
      <c r="BM214" s="38"/>
      <c r="BN214" s="39">
        <f t="shared" si="15"/>
        <v>0</v>
      </c>
      <c r="BO214" s="36"/>
      <c r="BP214" s="40"/>
      <c r="BQ214" s="40"/>
      <c r="BR214" s="40"/>
      <c r="BS214" s="40"/>
      <c r="BT214" s="40"/>
      <c r="BU214" s="40"/>
      <c r="BV214" s="40"/>
      <c r="BW214" s="40"/>
      <c r="BX214" s="40"/>
      <c r="BY214" s="40"/>
      <c r="BZ214" s="40"/>
      <c r="CA214" s="40"/>
      <c r="CB214" s="162"/>
      <c r="CC214" s="162"/>
      <c r="CD214" s="162"/>
      <c r="CE214" s="162"/>
      <c r="CF214" s="162"/>
      <c r="CG214" s="162"/>
    </row>
    <row r="215" spans="1:85" customFormat="1" ht="35.1" customHeight="1">
      <c r="A215" s="170">
        <v>74</v>
      </c>
      <c r="B215" s="170" t="s">
        <v>754</v>
      </c>
      <c r="C215" s="154" t="s">
        <v>755</v>
      </c>
      <c r="D215" s="273" t="s">
        <v>700</v>
      </c>
      <c r="E215" s="273" t="s">
        <v>180</v>
      </c>
      <c r="F215" s="273" t="s">
        <v>756</v>
      </c>
      <c r="G215" s="44"/>
      <c r="H215" s="175">
        <v>13194</v>
      </c>
      <c r="I215" s="36"/>
      <c r="J215" s="36"/>
      <c r="K215" s="36"/>
      <c r="L215" s="36"/>
      <c r="M215" s="36"/>
      <c r="N215" s="36"/>
      <c r="O215" s="49"/>
      <c r="P215" s="49"/>
      <c r="Q215" s="47"/>
      <c r="R215" s="47"/>
      <c r="S215" s="47"/>
      <c r="T215" s="105"/>
      <c r="U215" s="47"/>
      <c r="V215" s="106"/>
      <c r="W215" s="36"/>
      <c r="X215" s="35"/>
      <c r="Y215" s="163" t="s">
        <v>757</v>
      </c>
      <c r="Z215" s="161" t="s">
        <v>758</v>
      </c>
      <c r="AA215" s="176" t="s">
        <v>759</v>
      </c>
      <c r="AB215" s="161">
        <v>44564</v>
      </c>
      <c r="AC215" s="175">
        <v>13208</v>
      </c>
      <c r="AD215" s="176">
        <v>44564</v>
      </c>
      <c r="AE215" s="176">
        <v>44928</v>
      </c>
      <c r="AF215" s="177" t="s">
        <v>453</v>
      </c>
      <c r="AG215" s="170" t="s">
        <v>185</v>
      </c>
      <c r="AH215" s="36"/>
      <c r="AI215" s="35"/>
      <c r="AJ215" s="35"/>
      <c r="AK215" s="174">
        <v>6421701.5999999996</v>
      </c>
      <c r="AL215" s="47"/>
      <c r="AM215" s="36"/>
      <c r="AN215" s="48"/>
      <c r="AO215" s="49"/>
      <c r="AP215" s="36"/>
      <c r="AQ215" s="48"/>
      <c r="AR215" s="36"/>
      <c r="AS215" s="31"/>
      <c r="AT215" s="32"/>
      <c r="AU215" s="50"/>
      <c r="AV215" s="36"/>
      <c r="AW215" s="78"/>
      <c r="AX215" s="78"/>
      <c r="AY215" s="33"/>
      <c r="AZ215" s="34"/>
      <c r="BA215" s="35"/>
      <c r="BB215" s="35"/>
      <c r="BC215" s="79"/>
      <c r="BD215" s="80"/>
      <c r="BE215" s="78"/>
      <c r="BF215" s="35"/>
      <c r="BG215" s="36"/>
      <c r="BH215" s="35"/>
      <c r="BI215" s="78">
        <f>AK215</f>
        <v>6421701.5999999996</v>
      </c>
      <c r="BJ215" s="117"/>
      <c r="BK215" s="118">
        <v>5238816.54</v>
      </c>
      <c r="BL215" s="118">
        <f>656223.12+656223.12+656223.12+656223.12+656223.12</f>
        <v>3281115.6</v>
      </c>
      <c r="BM215" s="118"/>
      <c r="BN215" s="39"/>
      <c r="BO215" s="36"/>
      <c r="BP215" s="40"/>
      <c r="BQ215" s="40"/>
      <c r="BR215" s="40"/>
      <c r="BS215" s="40"/>
      <c r="BT215" s="40"/>
      <c r="BU215" s="40"/>
      <c r="BV215" s="40"/>
      <c r="BW215" s="40"/>
      <c r="BX215" s="40"/>
      <c r="BY215" s="40"/>
      <c r="BZ215" s="40"/>
      <c r="CA215" s="40"/>
      <c r="CB215" s="154" t="s">
        <v>760</v>
      </c>
      <c r="CC215" s="154">
        <v>13354</v>
      </c>
      <c r="CD215" s="154" t="s">
        <v>761</v>
      </c>
      <c r="CE215" s="154" t="s">
        <v>762</v>
      </c>
      <c r="CF215" s="154" t="s">
        <v>763</v>
      </c>
      <c r="CG215" s="154" t="s">
        <v>764</v>
      </c>
    </row>
    <row r="216" spans="1:85" customFormat="1" ht="35.1" customHeight="1">
      <c r="A216" s="155"/>
      <c r="B216" s="155"/>
      <c r="C216" s="155"/>
      <c r="D216" s="274"/>
      <c r="E216" s="274"/>
      <c r="F216" s="274"/>
      <c r="G216" s="53"/>
      <c r="H216" s="155"/>
      <c r="I216" s="36"/>
      <c r="J216" s="36"/>
      <c r="K216" s="36"/>
      <c r="L216" s="36"/>
      <c r="M216" s="36"/>
      <c r="N216" s="36"/>
      <c r="O216" s="49"/>
      <c r="P216" s="49"/>
      <c r="Q216" s="47"/>
      <c r="R216" s="47"/>
      <c r="S216" s="47"/>
      <c r="T216" s="105"/>
      <c r="U216" s="47"/>
      <c r="V216" s="106"/>
      <c r="W216" s="36"/>
      <c r="X216" s="35"/>
      <c r="Y216" s="155"/>
      <c r="Z216" s="155"/>
      <c r="AA216" s="155"/>
      <c r="AB216" s="155"/>
      <c r="AC216" s="155"/>
      <c r="AD216" s="155"/>
      <c r="AE216" s="155"/>
      <c r="AF216" s="155"/>
      <c r="AG216" s="155"/>
      <c r="AH216" s="36"/>
      <c r="AI216" s="35"/>
      <c r="AJ216" s="35"/>
      <c r="AK216" s="155"/>
      <c r="AL216" s="47" t="s">
        <v>765</v>
      </c>
      <c r="AM216" s="36" t="s">
        <v>199</v>
      </c>
      <c r="AN216" s="48">
        <v>44915</v>
      </c>
      <c r="AO216" s="49">
        <v>13438</v>
      </c>
      <c r="AP216" s="36" t="s">
        <v>766</v>
      </c>
      <c r="AQ216" s="48">
        <v>44927</v>
      </c>
      <c r="AR216" s="48">
        <v>45291</v>
      </c>
      <c r="AS216" s="31"/>
      <c r="AT216" s="32"/>
      <c r="AU216" s="50"/>
      <c r="AV216" s="36"/>
      <c r="AW216" s="78"/>
      <c r="AX216" s="78"/>
      <c r="AY216" s="33"/>
      <c r="AZ216" s="34"/>
      <c r="BA216" s="35"/>
      <c r="BB216" s="35"/>
      <c r="BC216" s="79"/>
      <c r="BD216" s="86"/>
      <c r="BE216" s="78"/>
      <c r="BF216" s="35"/>
      <c r="BG216" s="36"/>
      <c r="BH216" s="35"/>
      <c r="BI216" s="78"/>
      <c r="BJ216" s="117"/>
      <c r="BK216" s="117"/>
      <c r="BL216" s="117"/>
      <c r="BM216" s="117"/>
      <c r="BN216" s="39">
        <f t="shared" si="15"/>
        <v>0</v>
      </c>
      <c r="BO216" s="36"/>
      <c r="BP216" s="40"/>
      <c r="BQ216" s="40"/>
      <c r="BR216" s="40"/>
      <c r="BS216" s="40"/>
      <c r="BT216" s="40"/>
      <c r="BU216" s="40"/>
      <c r="BV216" s="40"/>
      <c r="BW216" s="40"/>
      <c r="BX216" s="40"/>
      <c r="BY216" s="40"/>
      <c r="BZ216" s="40"/>
      <c r="CA216" s="40"/>
      <c r="CB216" s="155"/>
      <c r="CC216" s="155"/>
      <c r="CD216" s="155"/>
      <c r="CE216" s="155"/>
      <c r="CF216" s="155"/>
      <c r="CG216" s="155"/>
    </row>
    <row r="217" spans="1:85" customFormat="1" ht="35.1" customHeight="1">
      <c r="A217" s="155"/>
      <c r="B217" s="155"/>
      <c r="C217" s="155"/>
      <c r="D217" s="274"/>
      <c r="E217" s="274"/>
      <c r="F217" s="274"/>
      <c r="G217" s="53"/>
      <c r="H217" s="155"/>
      <c r="I217" s="36"/>
      <c r="J217" s="36"/>
      <c r="K217" s="36"/>
      <c r="L217" s="36"/>
      <c r="M217" s="36"/>
      <c r="N217" s="36"/>
      <c r="O217" s="49"/>
      <c r="P217" s="49"/>
      <c r="Q217" s="47"/>
      <c r="R217" s="47"/>
      <c r="S217" s="47"/>
      <c r="T217" s="105"/>
      <c r="U217" s="47"/>
      <c r="V217" s="106"/>
      <c r="W217" s="36"/>
      <c r="X217" s="35"/>
      <c r="Y217" s="155"/>
      <c r="Z217" s="155"/>
      <c r="AA217" s="155"/>
      <c r="AB217" s="155"/>
      <c r="AC217" s="155"/>
      <c r="AD217" s="155"/>
      <c r="AE217" s="155"/>
      <c r="AF217" s="162"/>
      <c r="AG217" s="155"/>
      <c r="AH217" s="36"/>
      <c r="AI217" s="35"/>
      <c r="AJ217" s="35"/>
      <c r="AK217" s="155"/>
      <c r="AL217" s="47" t="s">
        <v>198</v>
      </c>
      <c r="AM217" s="36" t="s">
        <v>199</v>
      </c>
      <c r="AN217" s="48">
        <v>44185</v>
      </c>
      <c r="AO217" s="49">
        <v>13875</v>
      </c>
      <c r="AP217" s="289" t="s">
        <v>767</v>
      </c>
      <c r="AQ217" s="48">
        <v>44927</v>
      </c>
      <c r="AR217" s="48">
        <v>45291</v>
      </c>
      <c r="AS217" s="31"/>
      <c r="AT217" s="32"/>
      <c r="AU217" s="50"/>
      <c r="AV217" s="36"/>
      <c r="AW217" s="78"/>
      <c r="AX217" s="78"/>
      <c r="AY217" s="33"/>
      <c r="AZ217" s="34"/>
      <c r="BA217" s="35"/>
      <c r="BB217" s="35"/>
      <c r="BC217" s="111">
        <v>44572</v>
      </c>
      <c r="BD217" s="86">
        <f>BE217/BI215</f>
        <v>7.8455841049979658E-2</v>
      </c>
      <c r="BE217" s="78">
        <v>503820</v>
      </c>
      <c r="BF217" s="35"/>
      <c r="BG217" s="36"/>
      <c r="BH217" s="35"/>
      <c r="BI217" s="78">
        <f>BI215+BE217</f>
        <v>6925521.5999999996</v>
      </c>
      <c r="BJ217" s="118"/>
      <c r="BK217" s="118"/>
      <c r="BL217" s="118"/>
      <c r="BM217" s="118"/>
      <c r="BN217" s="39">
        <f t="shared" si="15"/>
        <v>0</v>
      </c>
      <c r="BO217" s="36"/>
      <c r="BP217" s="40"/>
      <c r="BQ217" s="40"/>
      <c r="BR217" s="40"/>
      <c r="BS217" s="40"/>
      <c r="BT217" s="40"/>
      <c r="BU217" s="40"/>
      <c r="BV217" s="40"/>
      <c r="BW217" s="40"/>
      <c r="BX217" s="40"/>
      <c r="BY217" s="40"/>
      <c r="BZ217" s="40"/>
      <c r="CA217" s="40"/>
      <c r="CB217" s="155"/>
      <c r="CC217" s="155"/>
      <c r="CD217" s="155"/>
      <c r="CE217" s="155"/>
      <c r="CF217" s="155"/>
      <c r="CG217" s="155"/>
    </row>
    <row r="218" spans="1:85" customFormat="1" ht="35.1" customHeight="1">
      <c r="A218" s="155"/>
      <c r="B218" s="155"/>
      <c r="C218" s="155"/>
      <c r="D218" s="274"/>
      <c r="E218" s="274"/>
      <c r="F218" s="274"/>
      <c r="G218" s="53"/>
      <c r="H218" s="155"/>
      <c r="I218" s="36"/>
      <c r="J218" s="36"/>
      <c r="K218" s="36"/>
      <c r="L218" s="36"/>
      <c r="M218" s="36"/>
      <c r="N218" s="36"/>
      <c r="O218" s="49"/>
      <c r="P218" s="49"/>
      <c r="Q218" s="47"/>
      <c r="R218" s="47"/>
      <c r="S218" s="47"/>
      <c r="T218" s="105"/>
      <c r="U218" s="47"/>
      <c r="V218" s="106"/>
      <c r="W218" s="36"/>
      <c r="X218" s="35"/>
      <c r="Y218" s="155"/>
      <c r="Z218" s="155"/>
      <c r="AA218" s="155"/>
      <c r="AB218" s="155"/>
      <c r="AC218" s="155"/>
      <c r="AD218" s="155"/>
      <c r="AE218" s="155"/>
      <c r="AF218" s="177" t="s">
        <v>517</v>
      </c>
      <c r="AG218" s="155"/>
      <c r="AH218" s="36"/>
      <c r="AI218" s="35"/>
      <c r="AJ218" s="35"/>
      <c r="AK218" s="155"/>
      <c r="AL218" s="47" t="s">
        <v>765</v>
      </c>
      <c r="AM218" s="36" t="s">
        <v>459</v>
      </c>
      <c r="AN218" s="48">
        <v>45280</v>
      </c>
      <c r="AO218" s="49">
        <v>13689</v>
      </c>
      <c r="AP218" s="289" t="s">
        <v>768</v>
      </c>
      <c r="AQ218" s="48">
        <v>45292</v>
      </c>
      <c r="AR218" s="48">
        <v>45657</v>
      </c>
      <c r="AS218" s="31"/>
      <c r="AT218" s="32"/>
      <c r="AU218" s="50"/>
      <c r="AV218" s="36"/>
      <c r="AW218" s="78"/>
      <c r="AX218" s="78"/>
      <c r="AY218" s="33"/>
      <c r="AZ218" s="34"/>
      <c r="BA218" s="35"/>
      <c r="BB218" s="35"/>
      <c r="BC218" s="111">
        <v>44927</v>
      </c>
      <c r="BD218" s="86">
        <f t="shared" ref="BD218:BD219" si="18">BE218/BI217</f>
        <v>7.0240716598154854E-2</v>
      </c>
      <c r="BE218" s="78">
        <v>486453.6</v>
      </c>
      <c r="BF218" s="35"/>
      <c r="BG218" s="36"/>
      <c r="BH218" s="35"/>
      <c r="BI218" s="78">
        <f t="shared" ref="BI218:BI219" si="19">BI217+BE218</f>
        <v>7411975.1999999993</v>
      </c>
      <c r="BJ218" s="118">
        <f>2625389.22</f>
        <v>2625389.2200000002</v>
      </c>
      <c r="BK218" s="118">
        <f>1312680+1312709.22</f>
        <v>2625389.2199999997</v>
      </c>
      <c r="BL218" s="118"/>
      <c r="BM218" s="118"/>
      <c r="BN218" s="39"/>
      <c r="BO218" s="36"/>
      <c r="BP218" s="40"/>
      <c r="BQ218" s="40"/>
      <c r="BR218" s="40"/>
      <c r="BS218" s="40"/>
      <c r="BT218" s="40"/>
      <c r="BU218" s="40"/>
      <c r="BV218" s="40"/>
      <c r="BW218" s="40"/>
      <c r="BX218" s="40"/>
      <c r="BY218" s="40"/>
      <c r="BZ218" s="40"/>
      <c r="CA218" s="40"/>
      <c r="CB218" s="155"/>
      <c r="CC218" s="155"/>
      <c r="CD218" s="155"/>
      <c r="CE218" s="155"/>
      <c r="CF218" s="155"/>
      <c r="CG218" s="155"/>
    </row>
    <row r="219" spans="1:85" customFormat="1" ht="35.1" customHeight="1">
      <c r="A219" s="155"/>
      <c r="B219" s="155"/>
      <c r="C219" s="155"/>
      <c r="D219" s="274"/>
      <c r="E219" s="274"/>
      <c r="F219" s="274"/>
      <c r="G219" s="53"/>
      <c r="H219" s="155"/>
      <c r="I219" s="36"/>
      <c r="J219" s="36"/>
      <c r="K219" s="36"/>
      <c r="L219" s="36"/>
      <c r="M219" s="36"/>
      <c r="N219" s="36"/>
      <c r="O219" s="49"/>
      <c r="P219" s="49"/>
      <c r="Q219" s="47"/>
      <c r="R219" s="47"/>
      <c r="S219" s="47"/>
      <c r="T219" s="105"/>
      <c r="U219" s="47"/>
      <c r="V219" s="106"/>
      <c r="W219" s="36"/>
      <c r="X219" s="35"/>
      <c r="Y219" s="155"/>
      <c r="Z219" s="155"/>
      <c r="AA219" s="155"/>
      <c r="AB219" s="155"/>
      <c r="AC219" s="155"/>
      <c r="AD219" s="155"/>
      <c r="AE219" s="155"/>
      <c r="AF219" s="155"/>
      <c r="AG219" s="155"/>
      <c r="AH219" s="36"/>
      <c r="AI219" s="35"/>
      <c r="AJ219" s="35"/>
      <c r="AK219" s="155"/>
      <c r="AL219" s="47" t="s">
        <v>198</v>
      </c>
      <c r="AM219" s="36" t="s">
        <v>459</v>
      </c>
      <c r="AN219" s="48">
        <v>45558</v>
      </c>
      <c r="AO219" s="49">
        <v>13875</v>
      </c>
      <c r="AP219" s="289" t="s">
        <v>767</v>
      </c>
      <c r="AQ219" s="48">
        <v>45292</v>
      </c>
      <c r="AR219" s="48">
        <v>45657</v>
      </c>
      <c r="AS219" s="31"/>
      <c r="AT219" s="32"/>
      <c r="AU219" s="50"/>
      <c r="AV219" s="36"/>
      <c r="AW219" s="78"/>
      <c r="AX219" s="78"/>
      <c r="AY219" s="33"/>
      <c r="AZ219" s="34"/>
      <c r="BA219" s="35"/>
      <c r="BB219" s="35"/>
      <c r="BC219" s="111">
        <v>45292</v>
      </c>
      <c r="BD219" s="86">
        <f t="shared" si="18"/>
        <v>7.065776474805259E-2</v>
      </c>
      <c r="BE219" s="78">
        <v>523713.6</v>
      </c>
      <c r="BF219" s="35"/>
      <c r="BG219" s="36"/>
      <c r="BH219" s="35"/>
      <c r="BI219" s="97">
        <f t="shared" si="19"/>
        <v>7935688.7999999989</v>
      </c>
      <c r="BJ219" s="118"/>
      <c r="BK219" s="118"/>
      <c r="BL219" s="118"/>
      <c r="BM219" s="118"/>
      <c r="BN219" s="39">
        <f t="shared" si="15"/>
        <v>0</v>
      </c>
      <c r="BO219" s="36"/>
      <c r="BP219" s="40"/>
      <c r="BQ219" s="40"/>
      <c r="BR219" s="40"/>
      <c r="BS219" s="40"/>
      <c r="BT219" s="40"/>
      <c r="BU219" s="40"/>
      <c r="BV219" s="40"/>
      <c r="BW219" s="40"/>
      <c r="BX219" s="40"/>
      <c r="BY219" s="40"/>
      <c r="BZ219" s="40"/>
      <c r="CA219" s="40"/>
      <c r="CB219" s="155"/>
      <c r="CC219" s="155"/>
      <c r="CD219" s="155"/>
      <c r="CE219" s="155"/>
      <c r="CF219" s="155"/>
      <c r="CG219" s="155"/>
    </row>
    <row r="220" spans="1:85" customFormat="1" ht="35.1" customHeight="1">
      <c r="A220" s="155"/>
      <c r="B220" s="155"/>
      <c r="C220" s="155"/>
      <c r="D220" s="274"/>
      <c r="E220" s="274"/>
      <c r="F220" s="274"/>
      <c r="G220" s="53"/>
      <c r="H220" s="155"/>
      <c r="I220" s="36"/>
      <c r="J220" s="36"/>
      <c r="K220" s="36"/>
      <c r="L220" s="36"/>
      <c r="M220" s="36"/>
      <c r="N220" s="36"/>
      <c r="O220" s="49"/>
      <c r="P220" s="49"/>
      <c r="Q220" s="47"/>
      <c r="R220" s="47"/>
      <c r="S220" s="47"/>
      <c r="T220" s="105"/>
      <c r="U220" s="47"/>
      <c r="V220" s="106"/>
      <c r="W220" s="36"/>
      <c r="X220" s="35"/>
      <c r="Y220" s="155"/>
      <c r="Z220" s="155"/>
      <c r="AA220" s="155"/>
      <c r="AB220" s="155"/>
      <c r="AC220" s="155"/>
      <c r="AD220" s="155"/>
      <c r="AE220" s="155"/>
      <c r="AF220" s="155"/>
      <c r="AG220" s="155"/>
      <c r="AH220" s="36"/>
      <c r="AI220" s="35"/>
      <c r="AJ220" s="35"/>
      <c r="AK220" s="155"/>
      <c r="AL220" s="47" t="s">
        <v>765</v>
      </c>
      <c r="AM220" s="36" t="s">
        <v>520</v>
      </c>
      <c r="AN220" s="48">
        <v>45644</v>
      </c>
      <c r="AO220" s="49">
        <v>13931</v>
      </c>
      <c r="AP220" s="36" t="s">
        <v>769</v>
      </c>
      <c r="AQ220" s="48">
        <v>45658</v>
      </c>
      <c r="AR220" s="48">
        <v>46022</v>
      </c>
      <c r="AS220" s="31"/>
      <c r="AT220" s="32"/>
      <c r="AU220" s="50"/>
      <c r="AV220" s="36"/>
      <c r="AW220" s="78"/>
      <c r="AX220" s="78"/>
      <c r="AY220" s="33"/>
      <c r="AZ220" s="34"/>
      <c r="BA220" s="35"/>
      <c r="BB220" s="35"/>
      <c r="BC220" s="79"/>
      <c r="BD220" s="86"/>
      <c r="BE220" s="78"/>
      <c r="BF220" s="35"/>
      <c r="BG220" s="36"/>
      <c r="BH220" s="35"/>
      <c r="BI220" s="78"/>
      <c r="BJ220" s="118"/>
      <c r="BK220" s="118"/>
      <c r="BL220" s="118"/>
      <c r="BM220" s="118"/>
      <c r="BN220" s="39">
        <f t="shared" si="15"/>
        <v>0</v>
      </c>
      <c r="BO220" s="36"/>
      <c r="BP220" s="40"/>
      <c r="BQ220" s="40"/>
      <c r="BR220" s="40"/>
      <c r="BS220" s="40"/>
      <c r="BT220" s="40"/>
      <c r="BU220" s="40"/>
      <c r="BV220" s="40"/>
      <c r="BW220" s="40"/>
      <c r="BX220" s="40"/>
      <c r="BY220" s="40"/>
      <c r="BZ220" s="40"/>
      <c r="CA220" s="40"/>
      <c r="CB220" s="155"/>
      <c r="CC220" s="155"/>
      <c r="CD220" s="155"/>
      <c r="CE220" s="155"/>
      <c r="CF220" s="155"/>
      <c r="CG220" s="155"/>
    </row>
    <row r="221" spans="1:85" customFormat="1" ht="35.1" customHeight="1">
      <c r="A221" s="155"/>
      <c r="B221" s="155"/>
      <c r="C221" s="155"/>
      <c r="D221" s="274"/>
      <c r="E221" s="274"/>
      <c r="F221" s="274"/>
      <c r="G221" s="53"/>
      <c r="H221" s="155"/>
      <c r="I221" s="36"/>
      <c r="J221" s="36"/>
      <c r="K221" s="36"/>
      <c r="L221" s="36"/>
      <c r="M221" s="36"/>
      <c r="N221" s="36"/>
      <c r="O221" s="49"/>
      <c r="P221" s="49"/>
      <c r="Q221" s="47"/>
      <c r="R221" s="47"/>
      <c r="S221" s="47"/>
      <c r="T221" s="105"/>
      <c r="U221" s="47"/>
      <c r="V221" s="106"/>
      <c r="W221" s="36"/>
      <c r="X221" s="35"/>
      <c r="Y221" s="155"/>
      <c r="Z221" s="155"/>
      <c r="AA221" s="155"/>
      <c r="AB221" s="155"/>
      <c r="AC221" s="155"/>
      <c r="AD221" s="155"/>
      <c r="AE221" s="155"/>
      <c r="AF221" s="155"/>
      <c r="AG221" s="155"/>
      <c r="AH221" s="36"/>
      <c r="AI221" s="35"/>
      <c r="AJ221" s="35"/>
      <c r="AK221" s="155"/>
      <c r="AL221" s="47" t="s">
        <v>765</v>
      </c>
      <c r="AM221" s="36" t="s">
        <v>651</v>
      </c>
      <c r="AN221" s="48">
        <v>46021</v>
      </c>
      <c r="AO221" s="49">
        <v>14181</v>
      </c>
      <c r="AP221" s="36" t="s">
        <v>769</v>
      </c>
      <c r="AQ221" s="48">
        <v>46023</v>
      </c>
      <c r="AR221" s="48">
        <v>46387</v>
      </c>
      <c r="AS221" s="31"/>
      <c r="AT221" s="32"/>
      <c r="AU221" s="50"/>
      <c r="AV221" s="36"/>
      <c r="AW221" s="78"/>
      <c r="AX221" s="78"/>
      <c r="AY221" s="33"/>
      <c r="AZ221" s="34"/>
      <c r="BA221" s="35"/>
      <c r="BB221" s="35"/>
      <c r="BC221" s="79"/>
      <c r="BD221" s="86"/>
      <c r="BE221" s="78"/>
      <c r="BF221" s="35"/>
      <c r="BG221" s="36"/>
      <c r="BH221" s="35"/>
      <c r="BI221" s="97"/>
      <c r="BJ221" s="118"/>
      <c r="BK221" s="118"/>
      <c r="BL221" s="118"/>
      <c r="BM221" s="118"/>
      <c r="BN221" s="39"/>
      <c r="BO221" s="36"/>
      <c r="BP221" s="40"/>
      <c r="BQ221" s="40"/>
      <c r="BR221" s="40"/>
      <c r="BS221" s="40"/>
      <c r="BT221" s="40"/>
      <c r="BU221" s="40"/>
      <c r="BV221" s="40"/>
      <c r="BW221" s="40"/>
      <c r="BX221" s="40"/>
      <c r="BY221" s="40"/>
      <c r="BZ221" s="40"/>
      <c r="CA221" s="40"/>
      <c r="CB221" s="155"/>
      <c r="CC221" s="155"/>
      <c r="CD221" s="155"/>
      <c r="CE221" s="155"/>
      <c r="CF221" s="155"/>
      <c r="CG221" s="155"/>
    </row>
    <row r="222" spans="1:85" customFormat="1" ht="35.1" customHeight="1">
      <c r="A222" s="155"/>
      <c r="B222" s="155"/>
      <c r="C222" s="155"/>
      <c r="D222" s="274"/>
      <c r="E222" s="274"/>
      <c r="F222" s="274"/>
      <c r="G222" s="53"/>
      <c r="H222" s="155"/>
      <c r="I222" s="36"/>
      <c r="J222" s="36"/>
      <c r="K222" s="36"/>
      <c r="L222" s="36"/>
      <c r="M222" s="36"/>
      <c r="N222" s="36"/>
      <c r="O222" s="49"/>
      <c r="P222" s="49"/>
      <c r="Q222" s="47"/>
      <c r="R222" s="47"/>
      <c r="S222" s="47"/>
      <c r="T222" s="105"/>
      <c r="U222" s="47"/>
      <c r="V222" s="106"/>
      <c r="W222" s="36"/>
      <c r="X222" s="35"/>
      <c r="Y222" s="155"/>
      <c r="Z222" s="155"/>
      <c r="AA222" s="155"/>
      <c r="AB222" s="155"/>
      <c r="AC222" s="155"/>
      <c r="AD222" s="155"/>
      <c r="AE222" s="155"/>
      <c r="AF222" s="155"/>
      <c r="AG222" s="155"/>
      <c r="AH222" s="36"/>
      <c r="AI222" s="35"/>
      <c r="AJ222" s="35"/>
      <c r="AK222" s="155"/>
      <c r="AL222" s="47"/>
      <c r="AM222" s="36"/>
      <c r="AN222" s="48"/>
      <c r="AO222" s="49"/>
      <c r="AP222" s="36"/>
      <c r="AQ222" s="48"/>
      <c r="AR222" s="48"/>
      <c r="AS222" s="31"/>
      <c r="AT222" s="32"/>
      <c r="AU222" s="50"/>
      <c r="AV222" s="36"/>
      <c r="AW222" s="78"/>
      <c r="AX222" s="78"/>
      <c r="AY222" s="33"/>
      <c r="AZ222" s="34"/>
      <c r="BA222" s="35"/>
      <c r="BB222" s="35"/>
      <c r="BC222" s="79"/>
      <c r="BD222" s="86"/>
      <c r="BE222" s="80"/>
      <c r="BF222" s="35"/>
      <c r="BG222" s="36"/>
      <c r="BH222" s="35"/>
      <c r="BI222" s="97"/>
      <c r="BJ222" s="118"/>
      <c r="BK222" s="118"/>
      <c r="BL222" s="118"/>
      <c r="BM222" s="118"/>
      <c r="BN222" s="39">
        <f t="shared" ref="BN222:BN225" si="20">BJ222+BL222</f>
        <v>0</v>
      </c>
      <c r="BO222" s="36"/>
      <c r="BP222" s="40"/>
      <c r="BQ222" s="40"/>
      <c r="BR222" s="40"/>
      <c r="BS222" s="40"/>
      <c r="BT222" s="40"/>
      <c r="BU222" s="40"/>
      <c r="BV222" s="40"/>
      <c r="BW222" s="40"/>
      <c r="BX222" s="40"/>
      <c r="BY222" s="40"/>
      <c r="BZ222" s="40"/>
      <c r="CA222" s="40"/>
      <c r="CB222" s="155"/>
      <c r="CC222" s="155"/>
      <c r="CD222" s="155"/>
      <c r="CE222" s="155"/>
      <c r="CF222" s="155"/>
      <c r="CG222" s="155"/>
    </row>
    <row r="223" spans="1:85" customFormat="1" ht="35.1" customHeight="1" thickBot="1">
      <c r="A223" s="156"/>
      <c r="B223" s="156"/>
      <c r="C223" s="156"/>
      <c r="D223" s="275"/>
      <c r="E223" s="275"/>
      <c r="F223" s="275"/>
      <c r="G223" s="53"/>
      <c r="H223" s="156"/>
      <c r="I223" s="36"/>
      <c r="J223" s="36"/>
      <c r="K223" s="36"/>
      <c r="L223" s="36"/>
      <c r="M223" s="36"/>
      <c r="N223" s="36"/>
      <c r="O223" s="49"/>
      <c r="P223" s="49"/>
      <c r="Q223" s="47"/>
      <c r="R223" s="47"/>
      <c r="S223" s="47"/>
      <c r="T223" s="105"/>
      <c r="U223" s="47"/>
      <c r="V223" s="106"/>
      <c r="W223" s="36"/>
      <c r="X223" s="35"/>
      <c r="Y223" s="156"/>
      <c r="Z223" s="156"/>
      <c r="AA223" s="156"/>
      <c r="AB223" s="156"/>
      <c r="AC223" s="156"/>
      <c r="AD223" s="156"/>
      <c r="AE223" s="156"/>
      <c r="AF223" s="162"/>
      <c r="AG223" s="156"/>
      <c r="AH223" s="36"/>
      <c r="AI223" s="35"/>
      <c r="AJ223" s="35"/>
      <c r="AK223" s="156"/>
      <c r="AL223" s="47"/>
      <c r="AM223" s="36"/>
      <c r="AN223" s="48"/>
      <c r="AO223" s="49"/>
      <c r="AP223" s="36"/>
      <c r="AQ223" s="48"/>
      <c r="AR223" s="48"/>
      <c r="AS223" s="31"/>
      <c r="AT223" s="32"/>
      <c r="AU223" s="50"/>
      <c r="AV223" s="36"/>
      <c r="AW223" s="78"/>
      <c r="AX223" s="78"/>
      <c r="AY223" s="33"/>
      <c r="AZ223" s="34"/>
      <c r="BA223" s="35"/>
      <c r="BB223" s="35"/>
      <c r="BC223" s="79"/>
      <c r="BD223" s="86"/>
      <c r="BE223" s="80"/>
      <c r="BF223" s="35"/>
      <c r="BG223" s="36"/>
      <c r="BH223" s="35"/>
      <c r="BI223" s="78"/>
      <c r="BJ223" s="118"/>
      <c r="BK223" s="118"/>
      <c r="BL223" s="118"/>
      <c r="BM223" s="118"/>
      <c r="BN223" s="39">
        <f t="shared" si="20"/>
        <v>0</v>
      </c>
      <c r="BO223" s="36"/>
      <c r="BP223" s="40"/>
      <c r="BQ223" s="40"/>
      <c r="BR223" s="40"/>
      <c r="BS223" s="40"/>
      <c r="BT223" s="40"/>
      <c r="BU223" s="40"/>
      <c r="BV223" s="40"/>
      <c r="BW223" s="40"/>
      <c r="BX223" s="40"/>
      <c r="BY223" s="40"/>
      <c r="BZ223" s="40"/>
      <c r="CA223" s="40"/>
      <c r="CB223" s="156"/>
      <c r="CC223" s="156"/>
      <c r="CD223" s="156"/>
      <c r="CE223" s="156"/>
      <c r="CF223" s="156"/>
      <c r="CG223" s="156"/>
    </row>
    <row r="224" spans="1:85" customFormat="1" ht="60" customHeight="1">
      <c r="A224" s="170">
        <v>75</v>
      </c>
      <c r="B224" s="171" t="s">
        <v>770</v>
      </c>
      <c r="C224" s="183" t="s">
        <v>771</v>
      </c>
      <c r="D224" s="273" t="s">
        <v>772</v>
      </c>
      <c r="E224" s="273" t="s">
        <v>180</v>
      </c>
      <c r="F224" s="273" t="s">
        <v>773</v>
      </c>
      <c r="G224" s="43"/>
      <c r="H224" s="169">
        <v>13412</v>
      </c>
      <c r="I224" s="36"/>
      <c r="J224" s="36"/>
      <c r="K224" s="36"/>
      <c r="L224" s="36"/>
      <c r="M224" s="36"/>
      <c r="N224" s="36"/>
      <c r="O224" s="49"/>
      <c r="P224" s="49"/>
      <c r="Q224" s="154" t="s">
        <v>774</v>
      </c>
      <c r="R224" s="161">
        <v>44883</v>
      </c>
      <c r="S224" s="161">
        <v>45248</v>
      </c>
      <c r="T224" s="157">
        <v>13414</v>
      </c>
      <c r="U224" s="154" t="s">
        <v>775</v>
      </c>
      <c r="V224" s="157">
        <v>13515</v>
      </c>
      <c r="W224" s="154" t="s">
        <v>776</v>
      </c>
      <c r="X224" s="178">
        <v>393105</v>
      </c>
      <c r="Y224" s="163" t="s">
        <v>777</v>
      </c>
      <c r="Z224" s="165" t="s">
        <v>778</v>
      </c>
      <c r="AA224" s="165" t="s">
        <v>779</v>
      </c>
      <c r="AB224" s="161">
        <v>45057</v>
      </c>
      <c r="AC224" s="157">
        <v>13515</v>
      </c>
      <c r="AD224" s="161">
        <v>45057</v>
      </c>
      <c r="AE224" s="161">
        <v>45291</v>
      </c>
      <c r="AF224" s="163" t="s">
        <v>453</v>
      </c>
      <c r="AG224" s="154" t="s">
        <v>185</v>
      </c>
      <c r="AH224" s="36"/>
      <c r="AI224" s="35"/>
      <c r="AJ224" s="35"/>
      <c r="AK224" s="164">
        <v>393105</v>
      </c>
      <c r="AL224" s="47"/>
      <c r="AM224" s="36"/>
      <c r="AN224" s="36"/>
      <c r="AO224" s="49"/>
      <c r="AP224" s="36"/>
      <c r="AQ224" s="36"/>
      <c r="AR224" s="36"/>
      <c r="AS224" s="31"/>
      <c r="AT224" s="32"/>
      <c r="AU224" s="50"/>
      <c r="AV224" s="36"/>
      <c r="AW224" s="78"/>
      <c r="AX224" s="78"/>
      <c r="AY224" s="33"/>
      <c r="AZ224" s="34"/>
      <c r="BA224" s="35"/>
      <c r="BB224" s="35"/>
      <c r="BC224" s="79"/>
      <c r="BD224" s="80"/>
      <c r="BE224" s="80"/>
      <c r="BF224" s="35"/>
      <c r="BG224" s="36"/>
      <c r="BH224" s="35"/>
      <c r="BI224" s="35">
        <f>AK224</f>
        <v>393105</v>
      </c>
      <c r="BJ224" s="76">
        <f>393105+491382.25+491381.25</f>
        <v>1375868.5</v>
      </c>
      <c r="BK224" s="76">
        <f>491381.25</f>
        <v>491381.25</v>
      </c>
      <c r="BL224" s="76">
        <f>241381.25+250000</f>
        <v>491381.25</v>
      </c>
      <c r="BM224" s="76"/>
      <c r="BN224" s="39">
        <f t="shared" si="20"/>
        <v>1867249.75</v>
      </c>
      <c r="BO224" s="36"/>
      <c r="BP224" s="40"/>
      <c r="BQ224" s="40"/>
      <c r="BR224" s="40"/>
      <c r="BS224" s="40"/>
      <c r="BT224" s="40"/>
      <c r="BU224" s="40"/>
      <c r="BV224" s="40"/>
      <c r="BW224" s="40"/>
      <c r="BX224" s="40"/>
      <c r="BY224" s="40"/>
      <c r="BZ224" s="40"/>
      <c r="CA224" s="40"/>
      <c r="CB224" s="184" t="s">
        <v>780</v>
      </c>
      <c r="CC224" s="185">
        <v>13974</v>
      </c>
      <c r="CD224" s="184" t="s">
        <v>781</v>
      </c>
      <c r="CE224" s="185" t="s">
        <v>782</v>
      </c>
      <c r="CF224" s="184" t="s">
        <v>783</v>
      </c>
      <c r="CG224" s="187" t="s">
        <v>784</v>
      </c>
    </row>
    <row r="225" spans="1:85" customFormat="1" ht="60" customHeight="1">
      <c r="A225" s="155"/>
      <c r="B225" s="155"/>
      <c r="C225" s="155"/>
      <c r="D225" s="274"/>
      <c r="E225" s="274"/>
      <c r="F225" s="274"/>
      <c r="G225" s="52"/>
      <c r="H225" s="155"/>
      <c r="I225" s="36"/>
      <c r="J225" s="36"/>
      <c r="K225" s="36"/>
      <c r="L225" s="36"/>
      <c r="M225" s="36"/>
      <c r="N225" s="36"/>
      <c r="O225" s="49"/>
      <c r="P225" s="49"/>
      <c r="Q225" s="155"/>
      <c r="R225" s="155"/>
      <c r="S225" s="155"/>
      <c r="T225" s="155"/>
      <c r="U225" s="155"/>
      <c r="V225" s="155"/>
      <c r="W225" s="155"/>
      <c r="X225" s="155"/>
      <c r="Y225" s="155"/>
      <c r="Z225" s="155"/>
      <c r="AA225" s="155"/>
      <c r="AB225" s="155"/>
      <c r="AC225" s="155"/>
      <c r="AD225" s="155"/>
      <c r="AE225" s="155"/>
      <c r="AF225" s="155"/>
      <c r="AG225" s="155"/>
      <c r="AH225" s="36"/>
      <c r="AI225" s="35"/>
      <c r="AJ225" s="35"/>
      <c r="AK225" s="155"/>
      <c r="AL225" s="47" t="s">
        <v>518</v>
      </c>
      <c r="AM225" s="36" t="s">
        <v>199</v>
      </c>
      <c r="AN225" s="48">
        <v>45603</v>
      </c>
      <c r="AO225" s="49">
        <v>13674</v>
      </c>
      <c r="AP225" s="36" t="s">
        <v>785</v>
      </c>
      <c r="AQ225" s="48">
        <v>45292</v>
      </c>
      <c r="AR225" s="48">
        <v>45657</v>
      </c>
      <c r="AS225" s="31"/>
      <c r="AT225" s="32"/>
      <c r="AU225" s="50">
        <f>AW225/BI224</f>
        <v>0.25</v>
      </c>
      <c r="AV225" s="36"/>
      <c r="AW225" s="78">
        <v>98276.25</v>
      </c>
      <c r="AX225" s="78"/>
      <c r="AY225" s="33"/>
      <c r="AZ225" s="34"/>
      <c r="BA225" s="35"/>
      <c r="BB225" s="35"/>
      <c r="BC225" s="79"/>
      <c r="BD225" s="80"/>
      <c r="BE225" s="80"/>
      <c r="BF225" s="35"/>
      <c r="BG225" s="36"/>
      <c r="BH225" s="35"/>
      <c r="BI225" s="42">
        <f>BI224+AW225</f>
        <v>491381.25</v>
      </c>
      <c r="BJ225" s="76"/>
      <c r="BK225" s="76"/>
      <c r="BL225" s="76"/>
      <c r="BM225" s="76"/>
      <c r="BN225" s="39">
        <f t="shared" si="20"/>
        <v>0</v>
      </c>
      <c r="BO225" s="36"/>
      <c r="BP225" s="40"/>
      <c r="BQ225" s="40"/>
      <c r="BR225" s="40"/>
      <c r="BS225" s="40"/>
      <c r="BT225" s="40"/>
      <c r="BU225" s="40"/>
      <c r="BV225" s="40"/>
      <c r="BW225" s="40"/>
      <c r="BX225" s="40"/>
      <c r="BY225" s="40"/>
      <c r="BZ225" s="40"/>
      <c r="CA225" s="40"/>
      <c r="CB225" s="155"/>
      <c r="CC225" s="155"/>
      <c r="CD225" s="155"/>
      <c r="CE225" s="155"/>
      <c r="CF225" s="155"/>
      <c r="CG225" s="188"/>
    </row>
    <row r="226" spans="1:85" customFormat="1" ht="60" customHeight="1">
      <c r="A226" s="155"/>
      <c r="B226" s="155"/>
      <c r="C226" s="155"/>
      <c r="D226" s="274"/>
      <c r="E226" s="274"/>
      <c r="F226" s="274"/>
      <c r="G226" s="52"/>
      <c r="H226" s="155"/>
      <c r="I226" s="36"/>
      <c r="J226" s="36"/>
      <c r="K226" s="36"/>
      <c r="L226" s="36"/>
      <c r="M226" s="36"/>
      <c r="N226" s="36"/>
      <c r="O226" s="49"/>
      <c r="P226" s="49"/>
      <c r="Q226" s="155"/>
      <c r="R226" s="155"/>
      <c r="S226" s="155"/>
      <c r="T226" s="155"/>
      <c r="U226" s="155"/>
      <c r="V226" s="155"/>
      <c r="W226" s="155"/>
      <c r="X226" s="155"/>
      <c r="Y226" s="155"/>
      <c r="Z226" s="155"/>
      <c r="AA226" s="155"/>
      <c r="AB226" s="155"/>
      <c r="AC226" s="155"/>
      <c r="AD226" s="155"/>
      <c r="AE226" s="155"/>
      <c r="AF226" s="155"/>
      <c r="AG226" s="155"/>
      <c r="AH226" s="36"/>
      <c r="AI226" s="35"/>
      <c r="AJ226" s="35"/>
      <c r="AK226" s="155"/>
      <c r="AL226" s="47" t="s">
        <v>518</v>
      </c>
      <c r="AM226" s="36" t="s">
        <v>459</v>
      </c>
      <c r="AN226" s="48">
        <v>45646</v>
      </c>
      <c r="AO226" s="49">
        <v>13932</v>
      </c>
      <c r="AP226" s="36" t="s">
        <v>786</v>
      </c>
      <c r="AQ226" s="48">
        <v>45658</v>
      </c>
      <c r="AR226" s="48">
        <v>46022</v>
      </c>
      <c r="AS226" s="31"/>
      <c r="AT226" s="32"/>
      <c r="AU226" s="50"/>
      <c r="AV226" s="36"/>
      <c r="AW226" s="78"/>
      <c r="AX226" s="78"/>
      <c r="AY226" s="33"/>
      <c r="AZ226" s="34"/>
      <c r="BA226" s="35"/>
      <c r="BB226" s="35"/>
      <c r="BC226" s="79"/>
      <c r="BD226" s="80"/>
      <c r="BE226" s="80"/>
      <c r="BF226" s="35"/>
      <c r="BG226" s="36"/>
      <c r="BH226" s="35"/>
      <c r="BI226" s="42"/>
      <c r="BJ226" s="76"/>
      <c r="BK226" s="76"/>
      <c r="BL226" s="76"/>
      <c r="BM226" s="76"/>
      <c r="BN226" s="39"/>
      <c r="BO226" s="36"/>
      <c r="BP226" s="40"/>
      <c r="BQ226" s="40"/>
      <c r="BR226" s="40"/>
      <c r="BS226" s="40"/>
      <c r="BT226" s="40"/>
      <c r="BU226" s="40"/>
      <c r="BV226" s="40"/>
      <c r="BW226" s="40"/>
      <c r="BX226" s="40"/>
      <c r="BY226" s="40"/>
      <c r="BZ226" s="40"/>
      <c r="CA226" s="40"/>
      <c r="CB226" s="155"/>
      <c r="CC226" s="155"/>
      <c r="CD226" s="155"/>
      <c r="CE226" s="155"/>
      <c r="CF226" s="155"/>
      <c r="CG226" s="188"/>
    </row>
    <row r="227" spans="1:85" customFormat="1" ht="60" customHeight="1" thickBot="1">
      <c r="A227" s="162"/>
      <c r="B227" s="162"/>
      <c r="C227" s="162"/>
      <c r="D227" s="276"/>
      <c r="E227" s="276"/>
      <c r="F227" s="276"/>
      <c r="G227" s="54"/>
      <c r="H227" s="162"/>
      <c r="I227" s="36"/>
      <c r="J227" s="36"/>
      <c r="K227" s="36"/>
      <c r="L227" s="36"/>
      <c r="M227" s="36"/>
      <c r="N227" s="36"/>
      <c r="O227" s="49"/>
      <c r="P227" s="49"/>
      <c r="Q227" s="162"/>
      <c r="R227" s="162"/>
      <c r="S227" s="162"/>
      <c r="T227" s="162"/>
      <c r="U227" s="162"/>
      <c r="V227" s="162"/>
      <c r="W227" s="162"/>
      <c r="X227" s="162"/>
      <c r="Y227" s="162"/>
      <c r="Z227" s="162"/>
      <c r="AA227" s="162"/>
      <c r="AB227" s="162"/>
      <c r="AC227" s="162"/>
      <c r="AD227" s="162"/>
      <c r="AE227" s="162"/>
      <c r="AF227" s="162"/>
      <c r="AG227" s="162"/>
      <c r="AH227" s="36"/>
      <c r="AI227" s="35"/>
      <c r="AJ227" s="35"/>
      <c r="AK227" s="162"/>
      <c r="AL227" s="47" t="s">
        <v>518</v>
      </c>
      <c r="AM227" s="36" t="s">
        <v>520</v>
      </c>
      <c r="AN227" s="48">
        <v>45646</v>
      </c>
      <c r="AO227" s="49">
        <v>14165</v>
      </c>
      <c r="AP227" s="36" t="s">
        <v>786</v>
      </c>
      <c r="AQ227" s="48">
        <v>46023</v>
      </c>
      <c r="AR227" s="48">
        <v>46387</v>
      </c>
      <c r="AS227" s="31"/>
      <c r="AT227" s="32"/>
      <c r="AU227" s="50"/>
      <c r="AV227" s="36"/>
      <c r="AW227" s="78"/>
      <c r="AX227" s="78"/>
      <c r="AY227" s="33"/>
      <c r="AZ227" s="34"/>
      <c r="BA227" s="35"/>
      <c r="BB227" s="35"/>
      <c r="BC227" s="79"/>
      <c r="BD227" s="80"/>
      <c r="BE227" s="80"/>
      <c r="BF227" s="35"/>
      <c r="BG227" s="36"/>
      <c r="BH227" s="35"/>
      <c r="BI227" s="42"/>
      <c r="BJ227" s="76"/>
      <c r="BK227" s="76"/>
      <c r="BL227" s="76"/>
      <c r="BM227" s="76"/>
      <c r="BN227" s="39">
        <f t="shared" ref="BN227:BN231" si="21">BJ227+BL227</f>
        <v>0</v>
      </c>
      <c r="BO227" s="36"/>
      <c r="BP227" s="40"/>
      <c r="BQ227" s="40"/>
      <c r="BR227" s="40"/>
      <c r="BS227" s="40"/>
      <c r="BT227" s="40"/>
      <c r="BU227" s="40"/>
      <c r="BV227" s="40"/>
      <c r="BW227" s="40"/>
      <c r="BX227" s="40"/>
      <c r="BY227" s="40"/>
      <c r="BZ227" s="40"/>
      <c r="CA227" s="40"/>
      <c r="CB227" s="186"/>
      <c r="CC227" s="186"/>
      <c r="CD227" s="186"/>
      <c r="CE227" s="186"/>
      <c r="CF227" s="186"/>
      <c r="CG227" s="189"/>
    </row>
    <row r="228" spans="1:85" customFormat="1" ht="60" customHeight="1">
      <c r="A228" s="170">
        <v>76</v>
      </c>
      <c r="B228" s="170" t="s">
        <v>787</v>
      </c>
      <c r="C228" s="154" t="s">
        <v>788</v>
      </c>
      <c r="D228" s="273" t="s">
        <v>680</v>
      </c>
      <c r="E228" s="273" t="s">
        <v>180</v>
      </c>
      <c r="F228" s="273" t="s">
        <v>789</v>
      </c>
      <c r="G228" s="44"/>
      <c r="H228" s="175">
        <v>13248</v>
      </c>
      <c r="I228" s="36"/>
      <c r="J228" s="36"/>
      <c r="K228" s="36"/>
      <c r="L228" s="36"/>
      <c r="M228" s="36"/>
      <c r="N228" s="36"/>
      <c r="O228" s="49"/>
      <c r="P228" s="49"/>
      <c r="Q228" s="154" t="s">
        <v>788</v>
      </c>
      <c r="R228" s="161">
        <v>44643</v>
      </c>
      <c r="S228" s="154" t="s">
        <v>790</v>
      </c>
      <c r="T228" s="157">
        <v>13267</v>
      </c>
      <c r="U228" s="154" t="s">
        <v>791</v>
      </c>
      <c r="V228" s="170">
        <v>13267</v>
      </c>
      <c r="W228" s="154" t="s">
        <v>792</v>
      </c>
      <c r="X228" s="178">
        <v>3977499</v>
      </c>
      <c r="Y228" s="163" t="s">
        <v>793</v>
      </c>
      <c r="Z228" s="161" t="s">
        <v>728</v>
      </c>
      <c r="AA228" s="176" t="s">
        <v>729</v>
      </c>
      <c r="AB228" s="161">
        <v>44782</v>
      </c>
      <c r="AC228" s="175">
        <v>13345</v>
      </c>
      <c r="AD228" s="176">
        <v>44782</v>
      </c>
      <c r="AE228" s="176">
        <v>45147</v>
      </c>
      <c r="AF228" s="177" t="s">
        <v>453</v>
      </c>
      <c r="AG228" s="170" t="s">
        <v>185</v>
      </c>
      <c r="AH228" s="36"/>
      <c r="AI228" s="35"/>
      <c r="AJ228" s="35"/>
      <c r="AK228" s="174">
        <v>3977499</v>
      </c>
      <c r="AL228" s="47"/>
      <c r="AM228" s="36"/>
      <c r="AN228" s="48"/>
      <c r="AO228" s="49"/>
      <c r="AP228" s="36"/>
      <c r="AQ228" s="36"/>
      <c r="AR228" s="36"/>
      <c r="AS228" s="31"/>
      <c r="AT228" s="32"/>
      <c r="AU228" s="50"/>
      <c r="AV228" s="36"/>
      <c r="AW228" s="78"/>
      <c r="AX228" s="78"/>
      <c r="AY228" s="33"/>
      <c r="AZ228" s="34"/>
      <c r="BA228" s="35"/>
      <c r="BB228" s="35"/>
      <c r="BC228" s="79"/>
      <c r="BD228" s="86"/>
      <c r="BE228" s="80"/>
      <c r="BF228" s="35"/>
      <c r="BG228" s="36"/>
      <c r="BH228" s="35"/>
      <c r="BI228" s="78">
        <f>AK228</f>
        <v>3977499</v>
      </c>
      <c r="BJ228" s="76"/>
      <c r="BK228" s="76">
        <f>2184474.13+544085.95+2804585.1</f>
        <v>5533145.1799999997</v>
      </c>
      <c r="BL228" s="76">
        <f>931690.19+470020.95+473590.05+489022.59</f>
        <v>2364323.7799999998</v>
      </c>
      <c r="BM228" s="76"/>
      <c r="BN228" s="39"/>
      <c r="BO228" s="36"/>
      <c r="BP228" s="40"/>
      <c r="BQ228" s="40"/>
      <c r="BR228" s="40"/>
      <c r="BS228" s="40"/>
      <c r="BT228" s="40"/>
      <c r="BU228" s="40"/>
      <c r="BV228" s="40"/>
      <c r="BW228" s="40"/>
      <c r="BX228" s="40"/>
      <c r="BY228" s="40"/>
      <c r="BZ228" s="40"/>
      <c r="CA228" s="40"/>
      <c r="CB228" s="192" t="s">
        <v>794</v>
      </c>
      <c r="CC228" s="193">
        <v>13997</v>
      </c>
      <c r="CD228" s="192" t="s">
        <v>614</v>
      </c>
      <c r="CE228" s="193">
        <v>709978</v>
      </c>
      <c r="CF228" s="192" t="s">
        <v>795</v>
      </c>
      <c r="CG228" s="193">
        <v>716635</v>
      </c>
    </row>
    <row r="229" spans="1:85" customFormat="1" ht="60" customHeight="1">
      <c r="A229" s="155"/>
      <c r="B229" s="155"/>
      <c r="C229" s="155"/>
      <c r="D229" s="274"/>
      <c r="E229" s="274"/>
      <c r="F229" s="274"/>
      <c r="G229" s="53"/>
      <c r="H229" s="155"/>
      <c r="I229" s="36"/>
      <c r="J229" s="36"/>
      <c r="K229" s="36"/>
      <c r="L229" s="36"/>
      <c r="M229" s="36"/>
      <c r="N229" s="36"/>
      <c r="O229" s="49"/>
      <c r="P229" s="49"/>
      <c r="Q229" s="155"/>
      <c r="R229" s="155"/>
      <c r="S229" s="155"/>
      <c r="T229" s="155"/>
      <c r="U229" s="155"/>
      <c r="V229" s="155"/>
      <c r="W229" s="155"/>
      <c r="X229" s="155"/>
      <c r="Y229" s="155"/>
      <c r="Z229" s="155"/>
      <c r="AA229" s="155"/>
      <c r="AB229" s="155"/>
      <c r="AC229" s="155"/>
      <c r="AD229" s="155"/>
      <c r="AE229" s="155"/>
      <c r="AF229" s="155"/>
      <c r="AG229" s="155"/>
      <c r="AH229" s="36"/>
      <c r="AI229" s="35"/>
      <c r="AJ229" s="35"/>
      <c r="AK229" s="155"/>
      <c r="AL229" s="47" t="s">
        <v>198</v>
      </c>
      <c r="AM229" s="36" t="s">
        <v>199</v>
      </c>
      <c r="AN229" s="48">
        <v>44888</v>
      </c>
      <c r="AO229" s="49">
        <v>13417</v>
      </c>
      <c r="AP229" s="36" t="s">
        <v>620</v>
      </c>
      <c r="AQ229" s="48">
        <v>44888</v>
      </c>
      <c r="AR229" s="48">
        <v>45147</v>
      </c>
      <c r="AS229" s="31"/>
      <c r="AT229" s="32"/>
      <c r="AU229" s="50"/>
      <c r="AV229" s="36"/>
      <c r="AW229" s="78"/>
      <c r="AX229" s="78"/>
      <c r="AY229" s="33"/>
      <c r="AZ229" s="34"/>
      <c r="BA229" s="35"/>
      <c r="BB229" s="35"/>
      <c r="BC229" s="79"/>
      <c r="BD229" s="86">
        <f t="shared" ref="BD229:BD231" si="22">BE229/BI228</f>
        <v>0.19611916935742787</v>
      </c>
      <c r="BE229" s="80">
        <v>780063.8</v>
      </c>
      <c r="BF229" s="35"/>
      <c r="BG229" s="36"/>
      <c r="BH229" s="35"/>
      <c r="BI229" s="78">
        <f t="shared" ref="BI229:BI231" si="23">BI228+BE229</f>
        <v>4757562.8</v>
      </c>
      <c r="BJ229" s="76"/>
      <c r="BK229" s="76"/>
      <c r="BL229" s="76"/>
      <c r="BM229" s="76"/>
      <c r="BN229" s="39">
        <f t="shared" si="21"/>
        <v>0</v>
      </c>
      <c r="BO229" s="36"/>
      <c r="BP229" s="40"/>
      <c r="BQ229" s="40"/>
      <c r="BR229" s="40"/>
      <c r="BS229" s="40"/>
      <c r="BT229" s="40"/>
      <c r="BU229" s="40"/>
      <c r="BV229" s="40"/>
      <c r="BW229" s="40"/>
      <c r="BX229" s="40"/>
      <c r="BY229" s="40"/>
      <c r="BZ229" s="40"/>
      <c r="CA229" s="40"/>
      <c r="CB229" s="155"/>
      <c r="CC229" s="155"/>
      <c r="CD229" s="155"/>
      <c r="CE229" s="155"/>
      <c r="CF229" s="155"/>
      <c r="CG229" s="155"/>
    </row>
    <row r="230" spans="1:85" customFormat="1" ht="60" customHeight="1">
      <c r="A230" s="155"/>
      <c r="B230" s="155"/>
      <c r="C230" s="155"/>
      <c r="D230" s="274"/>
      <c r="E230" s="274"/>
      <c r="F230" s="274"/>
      <c r="G230" s="53"/>
      <c r="H230" s="155"/>
      <c r="I230" s="36"/>
      <c r="J230" s="36"/>
      <c r="K230" s="36"/>
      <c r="L230" s="36"/>
      <c r="M230" s="36"/>
      <c r="N230" s="36"/>
      <c r="O230" s="49"/>
      <c r="P230" s="49"/>
      <c r="Q230" s="155"/>
      <c r="R230" s="155"/>
      <c r="S230" s="155"/>
      <c r="T230" s="155"/>
      <c r="U230" s="155"/>
      <c r="V230" s="155"/>
      <c r="W230" s="155"/>
      <c r="X230" s="155"/>
      <c r="Y230" s="155"/>
      <c r="Z230" s="155"/>
      <c r="AA230" s="155"/>
      <c r="AB230" s="155"/>
      <c r="AC230" s="155"/>
      <c r="AD230" s="155"/>
      <c r="AE230" s="155"/>
      <c r="AF230" s="155"/>
      <c r="AG230" s="155"/>
      <c r="AH230" s="36"/>
      <c r="AI230" s="35"/>
      <c r="AJ230" s="35"/>
      <c r="AK230" s="155"/>
      <c r="AL230" s="47" t="s">
        <v>518</v>
      </c>
      <c r="AM230" s="36" t="s">
        <v>199</v>
      </c>
      <c r="AN230" s="48">
        <v>45139</v>
      </c>
      <c r="AO230" s="49">
        <v>13590</v>
      </c>
      <c r="AP230" s="36" t="s">
        <v>796</v>
      </c>
      <c r="AQ230" s="48">
        <v>45139</v>
      </c>
      <c r="AR230" s="48">
        <v>45504</v>
      </c>
      <c r="AS230" s="31"/>
      <c r="AT230" s="32"/>
      <c r="AU230" s="50"/>
      <c r="AV230" s="36"/>
      <c r="AW230" s="78"/>
      <c r="AX230" s="78"/>
      <c r="AY230" s="33"/>
      <c r="AZ230" s="34"/>
      <c r="BA230" s="35"/>
      <c r="BB230" s="35"/>
      <c r="BC230" s="79"/>
      <c r="BD230" s="86">
        <f t="shared" si="22"/>
        <v>7.097991433765205E-2</v>
      </c>
      <c r="BE230" s="80">
        <v>337691.4</v>
      </c>
      <c r="BF230" s="35"/>
      <c r="BG230" s="36"/>
      <c r="BH230" s="35"/>
      <c r="BI230" s="78">
        <f t="shared" si="23"/>
        <v>5095254.2</v>
      </c>
      <c r="BJ230" s="76"/>
      <c r="BK230" s="76"/>
      <c r="BL230" s="76"/>
      <c r="BM230" s="76"/>
      <c r="BN230" s="39">
        <f t="shared" si="21"/>
        <v>0</v>
      </c>
      <c r="BO230" s="36"/>
      <c r="BP230" s="40"/>
      <c r="BQ230" s="40"/>
      <c r="BR230" s="40"/>
      <c r="BS230" s="40"/>
      <c r="BT230" s="40"/>
      <c r="BU230" s="40"/>
      <c r="BV230" s="40"/>
      <c r="BW230" s="40"/>
      <c r="BX230" s="40"/>
      <c r="BY230" s="40"/>
      <c r="BZ230" s="40"/>
      <c r="CA230" s="40"/>
      <c r="CB230" s="155"/>
      <c r="CC230" s="155"/>
      <c r="CD230" s="155"/>
      <c r="CE230" s="155"/>
      <c r="CF230" s="155"/>
      <c r="CG230" s="155"/>
    </row>
    <row r="231" spans="1:85" customFormat="1" ht="60" customHeight="1">
      <c r="A231" s="155"/>
      <c r="B231" s="155"/>
      <c r="C231" s="155"/>
      <c r="D231" s="274"/>
      <c r="E231" s="274"/>
      <c r="F231" s="274"/>
      <c r="G231" s="53"/>
      <c r="H231" s="155"/>
      <c r="I231" s="36"/>
      <c r="J231" s="36"/>
      <c r="K231" s="36"/>
      <c r="L231" s="36"/>
      <c r="M231" s="36"/>
      <c r="N231" s="36"/>
      <c r="O231" s="49"/>
      <c r="P231" s="49"/>
      <c r="Q231" s="155"/>
      <c r="R231" s="155"/>
      <c r="S231" s="155"/>
      <c r="T231" s="155"/>
      <c r="U231" s="155"/>
      <c r="V231" s="155"/>
      <c r="W231" s="155"/>
      <c r="X231" s="155"/>
      <c r="Y231" s="155"/>
      <c r="Z231" s="155"/>
      <c r="AA231" s="155"/>
      <c r="AB231" s="155"/>
      <c r="AC231" s="155"/>
      <c r="AD231" s="155"/>
      <c r="AE231" s="155"/>
      <c r="AF231" s="155"/>
      <c r="AG231" s="155"/>
      <c r="AH231" s="36"/>
      <c r="AI231" s="35"/>
      <c r="AJ231" s="35"/>
      <c r="AK231" s="155"/>
      <c r="AL231" s="47" t="s">
        <v>518</v>
      </c>
      <c r="AM231" s="36" t="s">
        <v>459</v>
      </c>
      <c r="AN231" s="48">
        <v>45505</v>
      </c>
      <c r="AO231" s="49">
        <v>13590</v>
      </c>
      <c r="AP231" s="36" t="s">
        <v>796</v>
      </c>
      <c r="AQ231" s="48">
        <v>45505</v>
      </c>
      <c r="AR231" s="48">
        <v>45869</v>
      </c>
      <c r="AS231" s="31"/>
      <c r="AT231" s="32"/>
      <c r="AU231" s="50"/>
      <c r="AV231" s="36"/>
      <c r="AW231" s="78"/>
      <c r="AX231" s="78"/>
      <c r="AY231" s="33"/>
      <c r="AZ231" s="34"/>
      <c r="BA231" s="35"/>
      <c r="BB231" s="35"/>
      <c r="BC231" s="79"/>
      <c r="BD231" s="86">
        <f t="shared" si="22"/>
        <v>0.10244140518053053</v>
      </c>
      <c r="BE231" s="80">
        <v>521965</v>
      </c>
      <c r="BF231" s="35"/>
      <c r="BG231" s="36"/>
      <c r="BH231" s="35"/>
      <c r="BI231" s="78">
        <f t="shared" si="23"/>
        <v>5617219.2000000002</v>
      </c>
      <c r="BJ231" s="76"/>
      <c r="BK231" s="76"/>
      <c r="BL231" s="76"/>
      <c r="BM231" s="76"/>
      <c r="BN231" s="39">
        <f t="shared" si="21"/>
        <v>0</v>
      </c>
      <c r="BO231" s="36"/>
      <c r="BP231" s="40"/>
      <c r="BQ231" s="40"/>
      <c r="BR231" s="40"/>
      <c r="BS231" s="40"/>
      <c r="BT231" s="40"/>
      <c r="BU231" s="40"/>
      <c r="BV231" s="40"/>
      <c r="BW231" s="40"/>
      <c r="BX231" s="40"/>
      <c r="BY231" s="40"/>
      <c r="BZ231" s="40"/>
      <c r="CA231" s="40"/>
      <c r="CB231" s="155"/>
      <c r="CC231" s="155"/>
      <c r="CD231" s="155"/>
      <c r="CE231" s="155"/>
      <c r="CF231" s="155"/>
      <c r="CG231" s="155"/>
    </row>
    <row r="232" spans="1:85" customFormat="1" ht="60" customHeight="1">
      <c r="A232" s="155"/>
      <c r="B232" s="155"/>
      <c r="C232" s="155"/>
      <c r="D232" s="274"/>
      <c r="E232" s="274"/>
      <c r="F232" s="274"/>
      <c r="G232" s="53"/>
      <c r="H232" s="155"/>
      <c r="I232" s="36"/>
      <c r="J232" s="36"/>
      <c r="K232" s="36"/>
      <c r="L232" s="36"/>
      <c r="M232" s="36"/>
      <c r="N232" s="36"/>
      <c r="O232" s="49"/>
      <c r="P232" s="49"/>
      <c r="Q232" s="155"/>
      <c r="R232" s="155"/>
      <c r="S232" s="155"/>
      <c r="T232" s="155"/>
      <c r="U232" s="155"/>
      <c r="V232" s="155"/>
      <c r="W232" s="155"/>
      <c r="X232" s="155"/>
      <c r="Y232" s="155"/>
      <c r="Z232" s="155"/>
      <c r="AA232" s="155"/>
      <c r="AB232" s="155"/>
      <c r="AC232" s="155"/>
      <c r="AD232" s="155"/>
      <c r="AE232" s="155"/>
      <c r="AF232" s="155"/>
      <c r="AG232" s="155"/>
      <c r="AH232" s="36"/>
      <c r="AI232" s="35"/>
      <c r="AJ232" s="35"/>
      <c r="AK232" s="155"/>
      <c r="AL232" s="47" t="s">
        <v>518</v>
      </c>
      <c r="AM232" s="36" t="s">
        <v>520</v>
      </c>
      <c r="AN232" s="48">
        <v>45870</v>
      </c>
      <c r="AO232" s="49">
        <v>14082</v>
      </c>
      <c r="AP232" s="36" t="s">
        <v>637</v>
      </c>
      <c r="AQ232" s="48">
        <v>45870</v>
      </c>
      <c r="AR232" s="48">
        <v>46234</v>
      </c>
      <c r="AS232" s="31"/>
      <c r="AT232" s="32"/>
      <c r="AU232" s="50"/>
      <c r="AV232" s="36"/>
      <c r="AW232" s="78"/>
      <c r="AX232" s="78"/>
      <c r="AY232" s="33"/>
      <c r="AZ232" s="34"/>
      <c r="BA232" s="35"/>
      <c r="BB232" s="35"/>
      <c r="BC232" s="79"/>
      <c r="BD232" s="86"/>
      <c r="BE232" s="80"/>
      <c r="BF232" s="35"/>
      <c r="BG232" s="36"/>
      <c r="BH232" s="35"/>
      <c r="BI232" s="78"/>
      <c r="BJ232" s="76"/>
      <c r="BK232" s="76"/>
      <c r="BL232" s="76"/>
      <c r="BM232" s="76"/>
      <c r="BN232" s="39"/>
      <c r="BO232" s="36"/>
      <c r="BP232" s="40"/>
      <c r="BQ232" s="40"/>
      <c r="BR232" s="40"/>
      <c r="BS232" s="40"/>
      <c r="BT232" s="40"/>
      <c r="BU232" s="40"/>
      <c r="BV232" s="40"/>
      <c r="BW232" s="40"/>
      <c r="BX232" s="40"/>
      <c r="BY232" s="40"/>
      <c r="BZ232" s="40"/>
      <c r="CA232" s="40"/>
      <c r="CB232" s="155"/>
      <c r="CC232" s="155"/>
      <c r="CD232" s="155"/>
      <c r="CE232" s="155"/>
      <c r="CF232" s="155"/>
      <c r="CG232" s="155"/>
    </row>
    <row r="233" spans="1:85" customFormat="1" ht="60" customHeight="1">
      <c r="A233" s="162"/>
      <c r="B233" s="162"/>
      <c r="C233" s="162"/>
      <c r="D233" s="276"/>
      <c r="E233" s="276"/>
      <c r="F233" s="276"/>
      <c r="G233" s="47"/>
      <c r="H233" s="162"/>
      <c r="I233" s="36"/>
      <c r="J233" s="36"/>
      <c r="K233" s="36"/>
      <c r="L233" s="36"/>
      <c r="M233" s="36"/>
      <c r="N233" s="36"/>
      <c r="O233" s="49"/>
      <c r="P233" s="49"/>
      <c r="Q233" s="162"/>
      <c r="R233" s="162"/>
      <c r="S233" s="162"/>
      <c r="T233" s="162"/>
      <c r="U233" s="162"/>
      <c r="V233" s="162"/>
      <c r="W233" s="162"/>
      <c r="X233" s="162"/>
      <c r="Y233" s="162"/>
      <c r="Z233" s="162"/>
      <c r="AA233" s="162"/>
      <c r="AB233" s="162"/>
      <c r="AC233" s="162"/>
      <c r="AD233" s="162"/>
      <c r="AE233" s="162"/>
      <c r="AF233" s="162"/>
      <c r="AG233" s="162"/>
      <c r="AH233" s="36"/>
      <c r="AI233" s="35"/>
      <c r="AJ233" s="35"/>
      <c r="AK233" s="162"/>
      <c r="AL233" s="47" t="s">
        <v>518</v>
      </c>
      <c r="AM233" s="36" t="s">
        <v>651</v>
      </c>
      <c r="AN233" s="48">
        <v>46196</v>
      </c>
      <c r="AO233" s="49">
        <v>14211</v>
      </c>
      <c r="AP233" s="36" t="s">
        <v>797</v>
      </c>
      <c r="AQ233" s="48">
        <v>46235</v>
      </c>
      <c r="AR233" s="48">
        <v>46599</v>
      </c>
      <c r="AS233" s="31"/>
      <c r="AT233" s="32"/>
      <c r="AU233" s="50">
        <f>AW233/BI231</f>
        <v>0.14989156200277884</v>
      </c>
      <c r="AV233" s="36"/>
      <c r="AW233" s="78">
        <f>6459192.96-BI231</f>
        <v>841973.75999999978</v>
      </c>
      <c r="AX233" s="78"/>
      <c r="AY233" s="33"/>
      <c r="AZ233" s="34"/>
      <c r="BA233" s="35"/>
      <c r="BB233" s="35"/>
      <c r="BC233" s="79"/>
      <c r="BD233" s="86"/>
      <c r="BE233" s="80"/>
      <c r="BF233" s="35"/>
      <c r="BG233" s="36"/>
      <c r="BH233" s="35"/>
      <c r="BI233" s="97">
        <f>BI231+AW233</f>
        <v>6459192.96</v>
      </c>
      <c r="BJ233" s="76"/>
      <c r="BK233" s="76"/>
      <c r="BL233" s="76"/>
      <c r="BM233" s="76"/>
      <c r="BN233" s="39">
        <f t="shared" ref="BN233:BN252" si="24">BJ233+BL233</f>
        <v>0</v>
      </c>
      <c r="BO233" s="36"/>
      <c r="BP233" s="40"/>
      <c r="BQ233" s="40"/>
      <c r="BR233" s="40"/>
      <c r="BS233" s="40"/>
      <c r="BT233" s="40"/>
      <c r="BU233" s="40"/>
      <c r="BV233" s="40"/>
      <c r="BW233" s="40"/>
      <c r="BX233" s="40"/>
      <c r="BY233" s="40"/>
      <c r="BZ233" s="40"/>
      <c r="CA233" s="40"/>
      <c r="CB233" s="162"/>
      <c r="CC233" s="162"/>
      <c r="CD233" s="162"/>
      <c r="CE233" s="162"/>
      <c r="CF233" s="162"/>
      <c r="CG233" s="162"/>
    </row>
    <row r="234" spans="1:85" customFormat="1" ht="60" customHeight="1">
      <c r="A234" s="170">
        <v>77</v>
      </c>
      <c r="B234" s="170" t="s">
        <v>798</v>
      </c>
      <c r="C234" s="154" t="s">
        <v>799</v>
      </c>
      <c r="D234" s="273" t="s">
        <v>680</v>
      </c>
      <c r="E234" s="273" t="s">
        <v>180</v>
      </c>
      <c r="F234" s="273" t="s">
        <v>800</v>
      </c>
      <c r="G234" s="44"/>
      <c r="H234" s="175">
        <v>12972</v>
      </c>
      <c r="I234" s="36"/>
      <c r="J234" s="36"/>
      <c r="K234" s="36"/>
      <c r="L234" s="36"/>
      <c r="M234" s="36"/>
      <c r="N234" s="36"/>
      <c r="O234" s="49"/>
      <c r="P234" s="49"/>
      <c r="Q234" s="154" t="s">
        <v>801</v>
      </c>
      <c r="R234" s="161">
        <v>44487</v>
      </c>
      <c r="S234" s="161">
        <v>44852</v>
      </c>
      <c r="T234" s="157">
        <v>13151</v>
      </c>
      <c r="U234" s="154" t="s">
        <v>802</v>
      </c>
      <c r="V234" s="175">
        <v>13151</v>
      </c>
      <c r="W234" s="154" t="s">
        <v>800</v>
      </c>
      <c r="X234" s="178" t="s">
        <v>803</v>
      </c>
      <c r="Y234" s="163" t="s">
        <v>804</v>
      </c>
      <c r="Z234" s="161" t="s">
        <v>805</v>
      </c>
      <c r="AA234" s="176" t="s">
        <v>806</v>
      </c>
      <c r="AB234" s="161">
        <v>44538</v>
      </c>
      <c r="AC234" s="175">
        <v>13181</v>
      </c>
      <c r="AD234" s="176">
        <v>44538</v>
      </c>
      <c r="AE234" s="176">
        <v>44903</v>
      </c>
      <c r="AF234" s="177" t="s">
        <v>453</v>
      </c>
      <c r="AG234" s="170" t="s">
        <v>185</v>
      </c>
      <c r="AH234" s="36"/>
      <c r="AI234" s="35"/>
      <c r="AJ234" s="35"/>
      <c r="AK234" s="174">
        <v>89208</v>
      </c>
      <c r="AL234" s="47"/>
      <c r="AM234" s="36"/>
      <c r="AN234" s="48"/>
      <c r="AO234" s="49"/>
      <c r="AP234" s="36"/>
      <c r="AQ234" s="36"/>
      <c r="AR234" s="36"/>
      <c r="AS234" s="31"/>
      <c r="AT234" s="32"/>
      <c r="AU234" s="50"/>
      <c r="AV234" s="36"/>
      <c r="AW234" s="78"/>
      <c r="AX234" s="78"/>
      <c r="AY234" s="33"/>
      <c r="AZ234" s="34"/>
      <c r="BA234" s="35"/>
      <c r="BB234" s="35"/>
      <c r="BC234" s="79"/>
      <c r="BD234" s="80"/>
      <c r="BE234" s="80"/>
      <c r="BF234" s="35"/>
      <c r="BG234" s="36"/>
      <c r="BH234" s="35"/>
      <c r="BI234" s="78">
        <f>AK234</f>
        <v>89208</v>
      </c>
      <c r="BJ234" s="76">
        <f>5197.5+67167+51013.44+51013.44+60224.2</f>
        <v>234615.58000000002</v>
      </c>
      <c r="BK234" s="76">
        <f>60224.2</f>
        <v>60224.2</v>
      </c>
      <c r="BL234" s="76">
        <f>5313.9+5313.9+5313.9+5313.9+5313.9</f>
        <v>26569.5</v>
      </c>
      <c r="BM234" s="76"/>
      <c r="BN234" s="39">
        <f t="shared" si="24"/>
        <v>261185.08000000002</v>
      </c>
      <c r="BO234" s="36"/>
      <c r="BP234" s="40"/>
      <c r="BQ234" s="40"/>
      <c r="BR234" s="40"/>
      <c r="BS234" s="40"/>
      <c r="BT234" s="40"/>
      <c r="BU234" s="40"/>
      <c r="BV234" s="40"/>
      <c r="BW234" s="40"/>
      <c r="BX234" s="40"/>
      <c r="BY234" s="40"/>
      <c r="BZ234" s="40"/>
      <c r="CA234" s="40"/>
      <c r="CB234" s="154" t="s">
        <v>807</v>
      </c>
      <c r="CC234" s="157">
        <v>14020</v>
      </c>
      <c r="CD234" s="154" t="s">
        <v>646</v>
      </c>
      <c r="CE234" s="157">
        <v>709920</v>
      </c>
      <c r="CF234" s="154" t="s">
        <v>808</v>
      </c>
      <c r="CG234" s="157">
        <v>544438</v>
      </c>
    </row>
    <row r="235" spans="1:85" customFormat="1" ht="60" customHeight="1">
      <c r="A235" s="155"/>
      <c r="B235" s="155"/>
      <c r="C235" s="155"/>
      <c r="D235" s="274"/>
      <c r="E235" s="274"/>
      <c r="F235" s="274"/>
      <c r="G235" s="53"/>
      <c r="H235" s="155"/>
      <c r="I235" s="36"/>
      <c r="J235" s="36"/>
      <c r="K235" s="36"/>
      <c r="L235" s="36"/>
      <c r="M235" s="36"/>
      <c r="N235" s="36"/>
      <c r="O235" s="49"/>
      <c r="P235" s="49"/>
      <c r="Q235" s="155"/>
      <c r="R235" s="155"/>
      <c r="S235" s="155"/>
      <c r="T235" s="155"/>
      <c r="U235" s="155"/>
      <c r="V235" s="155"/>
      <c r="W235" s="155"/>
      <c r="X235" s="155"/>
      <c r="Y235" s="155"/>
      <c r="Z235" s="155"/>
      <c r="AA235" s="155"/>
      <c r="AB235" s="155"/>
      <c r="AC235" s="155"/>
      <c r="AD235" s="155"/>
      <c r="AE235" s="155"/>
      <c r="AF235" s="155"/>
      <c r="AG235" s="155"/>
      <c r="AH235" s="36"/>
      <c r="AI235" s="35"/>
      <c r="AJ235" s="35"/>
      <c r="AK235" s="155"/>
      <c r="AL235" s="101" t="s">
        <v>189</v>
      </c>
      <c r="AM235" s="36" t="s">
        <v>199</v>
      </c>
      <c r="AN235" s="102">
        <v>44904</v>
      </c>
      <c r="AO235" s="49">
        <v>13445</v>
      </c>
      <c r="AP235" s="36" t="s">
        <v>809</v>
      </c>
      <c r="AQ235" s="102">
        <v>44904</v>
      </c>
      <c r="AR235" s="102">
        <v>45268</v>
      </c>
      <c r="AS235" s="31"/>
      <c r="AT235" s="32"/>
      <c r="AU235" s="50"/>
      <c r="AV235" s="50">
        <f>AX235/BI234</f>
        <v>0.42815173527037931</v>
      </c>
      <c r="AW235" s="78"/>
      <c r="AX235" s="78">
        <v>38194.559999999998</v>
      </c>
      <c r="AY235" s="31"/>
      <c r="AZ235" s="119"/>
      <c r="BA235" s="35"/>
      <c r="BB235" s="35"/>
      <c r="BC235" s="79"/>
      <c r="BD235" s="80"/>
      <c r="BE235" s="80"/>
      <c r="BF235" s="35"/>
      <c r="BG235" s="36"/>
      <c r="BH235" s="35"/>
      <c r="BI235" s="78">
        <f>BI234-AX235</f>
        <v>51013.440000000002</v>
      </c>
      <c r="BJ235" s="76"/>
      <c r="BK235" s="76"/>
      <c r="BL235" s="76"/>
      <c r="BM235" s="76"/>
      <c r="BN235" s="39">
        <f t="shared" si="24"/>
        <v>0</v>
      </c>
      <c r="BO235" s="36"/>
      <c r="BP235" s="40"/>
      <c r="BQ235" s="40"/>
      <c r="BR235" s="40"/>
      <c r="BS235" s="40"/>
      <c r="BT235" s="40"/>
      <c r="BU235" s="40"/>
      <c r="BV235" s="40"/>
      <c r="BW235" s="40"/>
      <c r="BX235" s="40"/>
      <c r="BY235" s="40"/>
      <c r="BZ235" s="40"/>
      <c r="CA235" s="40"/>
      <c r="CB235" s="155"/>
      <c r="CC235" s="155"/>
      <c r="CD235" s="155"/>
      <c r="CE235" s="155"/>
      <c r="CF235" s="155"/>
      <c r="CG235" s="155"/>
    </row>
    <row r="236" spans="1:85" customFormat="1" ht="60" customHeight="1">
      <c r="A236" s="155"/>
      <c r="B236" s="155"/>
      <c r="C236" s="155"/>
      <c r="D236" s="274"/>
      <c r="E236" s="274"/>
      <c r="F236" s="274"/>
      <c r="G236" s="53"/>
      <c r="H236" s="155"/>
      <c r="I236" s="36"/>
      <c r="J236" s="36"/>
      <c r="K236" s="36"/>
      <c r="L236" s="36"/>
      <c r="M236" s="36"/>
      <c r="N236" s="36"/>
      <c r="O236" s="49"/>
      <c r="P236" s="49"/>
      <c r="Q236" s="155"/>
      <c r="R236" s="155"/>
      <c r="S236" s="155"/>
      <c r="T236" s="155"/>
      <c r="U236" s="155"/>
      <c r="V236" s="155"/>
      <c r="W236" s="155"/>
      <c r="X236" s="155"/>
      <c r="Y236" s="155"/>
      <c r="Z236" s="155"/>
      <c r="AA236" s="155"/>
      <c r="AB236" s="155"/>
      <c r="AC236" s="155"/>
      <c r="AD236" s="155"/>
      <c r="AE236" s="155"/>
      <c r="AF236" s="155"/>
      <c r="AG236" s="155"/>
      <c r="AH236" s="36"/>
      <c r="AI236" s="35"/>
      <c r="AJ236" s="35"/>
      <c r="AK236" s="155"/>
      <c r="AL236" s="101" t="s">
        <v>189</v>
      </c>
      <c r="AM236" s="36" t="s">
        <v>459</v>
      </c>
      <c r="AN236" s="102">
        <v>45269</v>
      </c>
      <c r="AO236" s="49">
        <v>13677</v>
      </c>
      <c r="AP236" s="36" t="s">
        <v>621</v>
      </c>
      <c r="AQ236" s="102">
        <v>45269</v>
      </c>
      <c r="AR236" s="102">
        <v>45634</v>
      </c>
      <c r="AS236" s="31"/>
      <c r="AT236" s="32"/>
      <c r="AU236" s="50"/>
      <c r="AV236" s="50"/>
      <c r="AW236" s="78"/>
      <c r="AX236" s="78"/>
      <c r="AY236" s="33"/>
      <c r="AZ236" s="34"/>
      <c r="BA236" s="35"/>
      <c r="BB236" s="35"/>
      <c r="BC236" s="79"/>
      <c r="BD236" s="80"/>
      <c r="BE236" s="80"/>
      <c r="BF236" s="35"/>
      <c r="BG236" s="36"/>
      <c r="BH236" s="35"/>
      <c r="BI236" s="78"/>
      <c r="BJ236" s="76"/>
      <c r="BK236" s="76"/>
      <c r="BL236" s="76"/>
      <c r="BM236" s="76"/>
      <c r="BN236" s="39">
        <f t="shared" si="24"/>
        <v>0</v>
      </c>
      <c r="BO236" s="36"/>
      <c r="BP236" s="40"/>
      <c r="BQ236" s="40"/>
      <c r="BR236" s="40"/>
      <c r="BS236" s="40"/>
      <c r="BT236" s="40"/>
      <c r="BU236" s="40"/>
      <c r="BV236" s="40"/>
      <c r="BW236" s="40"/>
      <c r="BX236" s="40"/>
      <c r="BY236" s="40"/>
      <c r="BZ236" s="40"/>
      <c r="CA236" s="40"/>
      <c r="CB236" s="155"/>
      <c r="CC236" s="155"/>
      <c r="CD236" s="155"/>
      <c r="CE236" s="155"/>
      <c r="CF236" s="155"/>
      <c r="CG236" s="155"/>
    </row>
    <row r="237" spans="1:85" customFormat="1" ht="60" customHeight="1">
      <c r="A237" s="155"/>
      <c r="B237" s="155"/>
      <c r="C237" s="155"/>
      <c r="D237" s="274"/>
      <c r="E237" s="274"/>
      <c r="F237" s="274"/>
      <c r="G237" s="53"/>
      <c r="H237" s="155"/>
      <c r="I237" s="36"/>
      <c r="J237" s="36"/>
      <c r="K237" s="36"/>
      <c r="L237" s="36"/>
      <c r="M237" s="36"/>
      <c r="N237" s="36"/>
      <c r="O237" s="49"/>
      <c r="P237" s="49"/>
      <c r="Q237" s="155"/>
      <c r="R237" s="155"/>
      <c r="S237" s="155"/>
      <c r="T237" s="155"/>
      <c r="U237" s="155"/>
      <c r="V237" s="155"/>
      <c r="W237" s="155"/>
      <c r="X237" s="155"/>
      <c r="Y237" s="155"/>
      <c r="Z237" s="155"/>
      <c r="AA237" s="155"/>
      <c r="AB237" s="155"/>
      <c r="AC237" s="155"/>
      <c r="AD237" s="155"/>
      <c r="AE237" s="155"/>
      <c r="AF237" s="155"/>
      <c r="AG237" s="155"/>
      <c r="AH237" s="36"/>
      <c r="AI237" s="35"/>
      <c r="AJ237" s="35"/>
      <c r="AK237" s="155"/>
      <c r="AL237" s="101" t="s">
        <v>189</v>
      </c>
      <c r="AM237" s="36" t="s">
        <v>520</v>
      </c>
      <c r="AN237" s="102">
        <v>45635</v>
      </c>
      <c r="AO237" s="49">
        <v>13933</v>
      </c>
      <c r="AP237" s="36" t="s">
        <v>810</v>
      </c>
      <c r="AQ237" s="102">
        <v>45635</v>
      </c>
      <c r="AR237" s="102">
        <v>45999</v>
      </c>
      <c r="AS237" s="31"/>
      <c r="AT237" s="32"/>
      <c r="AU237" s="50"/>
      <c r="AV237" s="50"/>
      <c r="AW237" s="78"/>
      <c r="AX237" s="78"/>
      <c r="AY237" s="33"/>
      <c r="AZ237" s="34"/>
      <c r="BA237" s="35"/>
      <c r="BB237" s="35"/>
      <c r="BC237" s="79"/>
      <c r="BD237" s="80"/>
      <c r="BE237" s="80"/>
      <c r="BF237" s="35"/>
      <c r="BG237" s="36"/>
      <c r="BH237" s="35"/>
      <c r="BI237" s="78"/>
      <c r="BJ237" s="76"/>
      <c r="BK237" s="76"/>
      <c r="BL237" s="76"/>
      <c r="BM237" s="76"/>
      <c r="BN237" s="39">
        <f t="shared" si="24"/>
        <v>0</v>
      </c>
      <c r="BO237" s="36"/>
      <c r="BP237" s="40"/>
      <c r="BQ237" s="40"/>
      <c r="BR237" s="40"/>
      <c r="BS237" s="40"/>
      <c r="BT237" s="40"/>
      <c r="BU237" s="40"/>
      <c r="BV237" s="40"/>
      <c r="BW237" s="40"/>
      <c r="BX237" s="40"/>
      <c r="BY237" s="40"/>
      <c r="BZ237" s="40"/>
      <c r="CA237" s="40"/>
      <c r="CB237" s="155"/>
      <c r="CC237" s="155"/>
      <c r="CD237" s="155"/>
      <c r="CE237" s="155"/>
      <c r="CF237" s="155"/>
      <c r="CG237" s="155"/>
    </row>
    <row r="238" spans="1:85" customFormat="1" ht="60" customHeight="1">
      <c r="A238" s="162"/>
      <c r="B238" s="162"/>
      <c r="C238" s="162"/>
      <c r="D238" s="276"/>
      <c r="E238" s="276"/>
      <c r="F238" s="276"/>
      <c r="G238" s="47"/>
      <c r="H238" s="162"/>
      <c r="I238" s="36"/>
      <c r="J238" s="36"/>
      <c r="K238" s="36"/>
      <c r="L238" s="36"/>
      <c r="M238" s="36"/>
      <c r="N238" s="36"/>
      <c r="O238" s="49"/>
      <c r="P238" s="49"/>
      <c r="Q238" s="162"/>
      <c r="R238" s="162"/>
      <c r="S238" s="162"/>
      <c r="T238" s="162"/>
      <c r="U238" s="162"/>
      <c r="V238" s="162"/>
      <c r="W238" s="162"/>
      <c r="X238" s="162"/>
      <c r="Y238" s="162"/>
      <c r="Z238" s="162"/>
      <c r="AA238" s="162"/>
      <c r="AB238" s="162"/>
      <c r="AC238" s="162"/>
      <c r="AD238" s="162"/>
      <c r="AE238" s="162"/>
      <c r="AF238" s="162"/>
      <c r="AG238" s="162"/>
      <c r="AH238" s="36"/>
      <c r="AI238" s="35"/>
      <c r="AJ238" s="35"/>
      <c r="AK238" s="162"/>
      <c r="AL238" s="101" t="s">
        <v>189</v>
      </c>
      <c r="AM238" s="36" t="s">
        <v>651</v>
      </c>
      <c r="AN238" s="102">
        <v>45999</v>
      </c>
      <c r="AO238" s="49">
        <v>14181</v>
      </c>
      <c r="AP238" s="36" t="s">
        <v>811</v>
      </c>
      <c r="AQ238" s="102">
        <v>46000</v>
      </c>
      <c r="AR238" s="102">
        <v>46364</v>
      </c>
      <c r="AS238" s="31"/>
      <c r="AT238" s="32"/>
      <c r="AU238" s="50"/>
      <c r="AV238" s="50"/>
      <c r="AW238" s="78"/>
      <c r="AX238" s="78"/>
      <c r="AY238" s="33"/>
      <c r="AZ238" s="34"/>
      <c r="BA238" s="35"/>
      <c r="BB238" s="35"/>
      <c r="BC238" s="79"/>
      <c r="BD238" s="86">
        <f>BE238/BI235</f>
        <v>0.25</v>
      </c>
      <c r="BE238" s="80">
        <f>12753.36</f>
        <v>12753.36</v>
      </c>
      <c r="BF238" s="35"/>
      <c r="BG238" s="36"/>
      <c r="BH238" s="35"/>
      <c r="BI238" s="97">
        <f>BI235+BE238</f>
        <v>63766.8</v>
      </c>
      <c r="BJ238" s="76"/>
      <c r="BK238" s="76"/>
      <c r="BL238" s="76"/>
      <c r="BM238" s="76"/>
      <c r="BN238" s="39">
        <f t="shared" si="24"/>
        <v>0</v>
      </c>
      <c r="BO238" s="36"/>
      <c r="BP238" s="40"/>
      <c r="BQ238" s="40"/>
      <c r="BR238" s="40"/>
      <c r="BS238" s="40"/>
      <c r="BT238" s="40"/>
      <c r="BU238" s="40"/>
      <c r="BV238" s="40"/>
      <c r="BW238" s="40"/>
      <c r="BX238" s="40"/>
      <c r="BY238" s="40"/>
      <c r="BZ238" s="40"/>
      <c r="CA238" s="40"/>
      <c r="CB238" s="162"/>
      <c r="CC238" s="162"/>
      <c r="CD238" s="162"/>
      <c r="CE238" s="162"/>
      <c r="CF238" s="162"/>
      <c r="CG238" s="162"/>
    </row>
    <row r="239" spans="1:85" customFormat="1" ht="54.75" customHeight="1">
      <c r="A239" s="170">
        <v>78</v>
      </c>
      <c r="B239" s="195" t="s">
        <v>812</v>
      </c>
      <c r="C239" s="165" t="s">
        <v>813</v>
      </c>
      <c r="D239" s="273" t="s">
        <v>625</v>
      </c>
      <c r="E239" s="273" t="s">
        <v>180</v>
      </c>
      <c r="F239" s="273" t="s">
        <v>814</v>
      </c>
      <c r="G239" s="43"/>
      <c r="H239" s="169">
        <v>13732</v>
      </c>
      <c r="I239" s="36"/>
      <c r="J239" s="36"/>
      <c r="K239" s="36"/>
      <c r="L239" s="36"/>
      <c r="M239" s="36"/>
      <c r="N239" s="36"/>
      <c r="O239" s="49"/>
      <c r="P239" s="49"/>
      <c r="Q239" s="154" t="s">
        <v>815</v>
      </c>
      <c r="R239" s="161">
        <v>45364</v>
      </c>
      <c r="S239" s="161">
        <v>45729</v>
      </c>
      <c r="T239" s="157">
        <v>13732</v>
      </c>
      <c r="U239" s="154" t="s">
        <v>816</v>
      </c>
      <c r="V239" s="175">
        <v>13732</v>
      </c>
      <c r="W239" s="154" t="s">
        <v>817</v>
      </c>
      <c r="X239" s="178">
        <v>5600000</v>
      </c>
      <c r="Y239" s="163" t="s">
        <v>818</v>
      </c>
      <c r="Z239" s="273" t="s">
        <v>819</v>
      </c>
      <c r="AA239" s="273" t="s">
        <v>820</v>
      </c>
      <c r="AB239" s="161">
        <v>45484</v>
      </c>
      <c r="AC239" s="157">
        <v>13821</v>
      </c>
      <c r="AD239" s="161">
        <v>45484</v>
      </c>
      <c r="AE239" s="161">
        <v>45849</v>
      </c>
      <c r="AF239" s="72" t="s">
        <v>453</v>
      </c>
      <c r="AG239" s="154" t="s">
        <v>185</v>
      </c>
      <c r="AH239" s="36"/>
      <c r="AI239" s="35"/>
      <c r="AJ239" s="35"/>
      <c r="AK239" s="194">
        <v>5600000</v>
      </c>
      <c r="AL239" s="47"/>
      <c r="AM239" s="47"/>
      <c r="AN239" s="116"/>
      <c r="AO239" s="105"/>
      <c r="AP239" s="36"/>
      <c r="AQ239" s="116"/>
      <c r="AR239" s="116"/>
      <c r="AS239" s="31"/>
      <c r="AT239" s="32"/>
      <c r="AU239" s="50"/>
      <c r="AV239" s="50"/>
      <c r="AW239" s="78"/>
      <c r="AX239" s="78"/>
      <c r="AY239" s="33"/>
      <c r="AZ239" s="34"/>
      <c r="BA239" s="35"/>
      <c r="BB239" s="35"/>
      <c r="BC239" s="79"/>
      <c r="BD239" s="80"/>
      <c r="BE239" s="80"/>
      <c r="BF239" s="35"/>
      <c r="BG239" s="36"/>
      <c r="BH239" s="35"/>
      <c r="BI239" s="78">
        <f>AK239</f>
        <v>5600000</v>
      </c>
      <c r="BJ239" s="76">
        <f>208618.75+485360+1203965+540000+413174.24+11451.76+28000+60000+799999.96+1200000+499999.87+4017952.44</f>
        <v>9468522.0199999996</v>
      </c>
      <c r="BK239" s="76">
        <v>4017952.44</v>
      </c>
      <c r="BL239" s="76">
        <f>130110.54+97168.57+546971.1+80063.94+392604.77+511969.64+419926.06+141059.25+307395.2+265527.85</f>
        <v>2892796.9200000004</v>
      </c>
      <c r="BM239" s="76"/>
      <c r="BN239" s="39"/>
      <c r="BO239" s="47"/>
      <c r="BP239" s="106"/>
      <c r="BQ239" s="40"/>
      <c r="BR239" s="40"/>
      <c r="BS239" s="106"/>
      <c r="BT239" s="106"/>
      <c r="BU239" s="106"/>
      <c r="BV239" s="106"/>
      <c r="BW239" s="106"/>
      <c r="BX239" s="40"/>
      <c r="BY239" s="40"/>
      <c r="BZ239" s="40"/>
      <c r="CA239" s="40"/>
      <c r="CB239" s="192" t="s">
        <v>821</v>
      </c>
      <c r="CC239" s="193">
        <v>13974</v>
      </c>
      <c r="CD239" s="192" t="s">
        <v>822</v>
      </c>
      <c r="CE239" s="192">
        <v>705552</v>
      </c>
      <c r="CF239" s="192" t="s">
        <v>823</v>
      </c>
      <c r="CG239" s="192" t="s">
        <v>784</v>
      </c>
    </row>
    <row r="240" spans="1:85" customFormat="1" ht="90" customHeight="1">
      <c r="A240" s="155"/>
      <c r="B240" s="155"/>
      <c r="C240" s="155"/>
      <c r="D240" s="274"/>
      <c r="E240" s="274"/>
      <c r="F240" s="274"/>
      <c r="G240" s="52"/>
      <c r="H240" s="155"/>
      <c r="I240" s="36"/>
      <c r="J240" s="36"/>
      <c r="K240" s="36"/>
      <c r="L240" s="36"/>
      <c r="M240" s="36"/>
      <c r="N240" s="36"/>
      <c r="O240" s="49"/>
      <c r="P240" s="49"/>
      <c r="Q240" s="155"/>
      <c r="R240" s="155"/>
      <c r="S240" s="155"/>
      <c r="T240" s="155"/>
      <c r="U240" s="155"/>
      <c r="V240" s="155"/>
      <c r="W240" s="155"/>
      <c r="X240" s="155"/>
      <c r="Y240" s="155"/>
      <c r="Z240" s="274"/>
      <c r="AA240" s="274"/>
      <c r="AB240" s="155"/>
      <c r="AC240" s="155"/>
      <c r="AD240" s="155"/>
      <c r="AE240" s="155"/>
      <c r="AF240" s="98" t="s">
        <v>666</v>
      </c>
      <c r="AG240" s="155"/>
      <c r="AH240" s="36"/>
      <c r="AI240" s="35"/>
      <c r="AJ240" s="35"/>
      <c r="AK240" s="155"/>
      <c r="AL240" s="47" t="s">
        <v>518</v>
      </c>
      <c r="AM240" s="47" t="s">
        <v>199</v>
      </c>
      <c r="AN240" s="116">
        <v>45812</v>
      </c>
      <c r="AO240" s="105">
        <v>14045</v>
      </c>
      <c r="AP240" s="36" t="s">
        <v>677</v>
      </c>
      <c r="AQ240" s="116">
        <v>45850</v>
      </c>
      <c r="AR240" s="116">
        <v>46215</v>
      </c>
      <c r="AS240" s="31"/>
      <c r="AT240" s="32"/>
      <c r="AU240" s="50">
        <f>AW240/BI239</f>
        <v>0.25</v>
      </c>
      <c r="AV240" s="50"/>
      <c r="AW240" s="78">
        <v>1400000</v>
      </c>
      <c r="AX240" s="78"/>
      <c r="AY240" s="33"/>
      <c r="AZ240" s="34"/>
      <c r="BA240" s="35"/>
      <c r="BB240" s="35"/>
      <c r="BC240" s="79"/>
      <c r="BD240" s="80"/>
      <c r="BE240" s="80"/>
      <c r="BF240" s="35"/>
      <c r="BG240" s="36"/>
      <c r="BH240" s="35"/>
      <c r="BI240" s="97">
        <f>BI239+AW240</f>
        <v>7000000</v>
      </c>
      <c r="BJ240" s="76">
        <v>747613.16</v>
      </c>
      <c r="BK240" s="76">
        <f>188217.42+313306.7+111716.61+134372.43</f>
        <v>747613.15999999992</v>
      </c>
      <c r="BL240" s="76"/>
      <c r="BM240" s="76"/>
      <c r="BN240" s="39">
        <f t="shared" si="24"/>
        <v>747613.16</v>
      </c>
      <c r="BO240" s="47"/>
      <c r="BP240" s="106"/>
      <c r="BQ240" s="40"/>
      <c r="BR240" s="40"/>
      <c r="BS240" s="106"/>
      <c r="BT240" s="106"/>
      <c r="BU240" s="106"/>
      <c r="BV240" s="106"/>
      <c r="BW240" s="106"/>
      <c r="BX240" s="40"/>
      <c r="BY240" s="40"/>
      <c r="BZ240" s="40"/>
      <c r="CA240" s="40"/>
      <c r="CB240" s="155"/>
      <c r="CC240" s="155"/>
      <c r="CD240" s="155"/>
      <c r="CE240" s="155"/>
      <c r="CF240" s="155"/>
      <c r="CG240" s="155"/>
    </row>
    <row r="241" spans="1:85" customFormat="1" ht="90" customHeight="1">
      <c r="A241" s="155"/>
      <c r="B241" s="155"/>
      <c r="C241" s="155"/>
      <c r="D241" s="274"/>
      <c r="E241" s="274"/>
      <c r="F241" s="274"/>
      <c r="G241" s="52"/>
      <c r="H241" s="155"/>
      <c r="I241" s="36"/>
      <c r="J241" s="36"/>
      <c r="K241" s="36"/>
      <c r="L241" s="36"/>
      <c r="M241" s="36"/>
      <c r="N241" s="36"/>
      <c r="O241" s="49"/>
      <c r="P241" s="49"/>
      <c r="Q241" s="155"/>
      <c r="R241" s="155"/>
      <c r="S241" s="155"/>
      <c r="T241" s="155"/>
      <c r="U241" s="155"/>
      <c r="V241" s="155"/>
      <c r="W241" s="155"/>
      <c r="X241" s="155"/>
      <c r="Y241" s="155"/>
      <c r="Z241" s="274"/>
      <c r="AA241" s="274"/>
      <c r="AB241" s="155"/>
      <c r="AC241" s="155"/>
      <c r="AD241" s="155"/>
      <c r="AE241" s="155"/>
      <c r="AF241" s="98" t="s">
        <v>824</v>
      </c>
      <c r="AG241" s="155"/>
      <c r="AH241" s="36"/>
      <c r="AI241" s="35"/>
      <c r="AJ241" s="35"/>
      <c r="AK241" s="155"/>
      <c r="AL241" s="47" t="s">
        <v>198</v>
      </c>
      <c r="AM241" s="47" t="s">
        <v>199</v>
      </c>
      <c r="AN241" s="116">
        <v>45917</v>
      </c>
      <c r="AO241" s="105">
        <v>14110</v>
      </c>
      <c r="AP241" s="36" t="s">
        <v>825</v>
      </c>
      <c r="AQ241" s="116">
        <v>45850</v>
      </c>
      <c r="AR241" s="116">
        <v>46215</v>
      </c>
      <c r="AS241" s="31"/>
      <c r="AT241" s="32"/>
      <c r="AU241" s="50"/>
      <c r="AV241" s="50"/>
      <c r="AW241" s="78"/>
      <c r="AX241" s="78"/>
      <c r="AY241" s="33"/>
      <c r="AZ241" s="34"/>
      <c r="BA241" s="35"/>
      <c r="BB241" s="35"/>
      <c r="BC241" s="79"/>
      <c r="BD241" s="80"/>
      <c r="BE241" s="80"/>
      <c r="BF241" s="35"/>
      <c r="BG241" s="36"/>
      <c r="BH241" s="35"/>
      <c r="BI241" s="97"/>
      <c r="BJ241" s="76">
        <v>890000</v>
      </c>
      <c r="BK241" s="76">
        <f>890000</f>
        <v>890000</v>
      </c>
      <c r="BL241" s="76"/>
      <c r="BM241" s="76"/>
      <c r="BN241" s="39">
        <f t="shared" si="24"/>
        <v>890000</v>
      </c>
      <c r="BO241" s="47"/>
      <c r="BP241" s="106"/>
      <c r="BQ241" s="40"/>
      <c r="BR241" s="40"/>
      <c r="BS241" s="106"/>
      <c r="BT241" s="106"/>
      <c r="BU241" s="106"/>
      <c r="BV241" s="106"/>
      <c r="BW241" s="106"/>
      <c r="BX241" s="40"/>
      <c r="BY241" s="40"/>
      <c r="BZ241" s="40"/>
      <c r="CA241" s="40"/>
      <c r="CB241" s="155"/>
      <c r="CC241" s="155"/>
      <c r="CD241" s="155"/>
      <c r="CE241" s="155"/>
      <c r="CF241" s="155"/>
      <c r="CG241" s="155"/>
    </row>
    <row r="242" spans="1:85" customFormat="1" ht="99" customHeight="1">
      <c r="A242" s="162"/>
      <c r="B242" s="162"/>
      <c r="C242" s="162"/>
      <c r="D242" s="276"/>
      <c r="E242" s="276"/>
      <c r="F242" s="276"/>
      <c r="G242" s="54"/>
      <c r="H242" s="162"/>
      <c r="I242" s="36"/>
      <c r="J242" s="36"/>
      <c r="K242" s="36"/>
      <c r="L242" s="36"/>
      <c r="M242" s="36"/>
      <c r="N242" s="36"/>
      <c r="O242" s="49"/>
      <c r="P242" s="49"/>
      <c r="Q242" s="162"/>
      <c r="R242" s="162"/>
      <c r="S242" s="162"/>
      <c r="T242" s="162"/>
      <c r="U242" s="162"/>
      <c r="V242" s="162"/>
      <c r="W242" s="162"/>
      <c r="X242" s="162"/>
      <c r="Y242" s="162"/>
      <c r="Z242" s="276"/>
      <c r="AA242" s="276"/>
      <c r="AB242" s="162"/>
      <c r="AC242" s="162"/>
      <c r="AD242" s="162"/>
      <c r="AE242" s="162"/>
      <c r="AF242" s="72" t="s">
        <v>826</v>
      </c>
      <c r="AG242" s="162"/>
      <c r="AH242" s="36"/>
      <c r="AI242" s="35"/>
      <c r="AJ242" s="35"/>
      <c r="AK242" s="162"/>
      <c r="AL242" s="47"/>
      <c r="AM242" s="47"/>
      <c r="AN242" s="116"/>
      <c r="AO242" s="105"/>
      <c r="AP242" s="36"/>
      <c r="AQ242" s="116"/>
      <c r="AR242" s="116"/>
      <c r="AS242" s="31"/>
      <c r="AT242" s="32"/>
      <c r="AU242" s="50"/>
      <c r="AV242" s="50"/>
      <c r="AW242" s="78"/>
      <c r="AX242" s="78"/>
      <c r="AY242" s="33"/>
      <c r="AZ242" s="34"/>
      <c r="BA242" s="35"/>
      <c r="BB242" s="35"/>
      <c r="BC242" s="79"/>
      <c r="BD242" s="80"/>
      <c r="BE242" s="80"/>
      <c r="BF242" s="35"/>
      <c r="BG242" s="36"/>
      <c r="BH242" s="35"/>
      <c r="BI242" s="35"/>
      <c r="BJ242" s="76"/>
      <c r="BK242" s="76"/>
      <c r="BL242" s="76"/>
      <c r="BM242" s="76"/>
      <c r="BN242" s="39">
        <f t="shared" si="24"/>
        <v>0</v>
      </c>
      <c r="BO242" s="47"/>
      <c r="BP242" s="106"/>
      <c r="BQ242" s="40"/>
      <c r="BR242" s="40"/>
      <c r="BS242" s="106"/>
      <c r="BT242" s="106"/>
      <c r="BU242" s="106"/>
      <c r="BV242" s="106"/>
      <c r="BW242" s="106"/>
      <c r="BX242" s="40"/>
      <c r="BY242" s="40"/>
      <c r="BZ242" s="40"/>
      <c r="CA242" s="40"/>
      <c r="CB242" s="162"/>
      <c r="CC242" s="162"/>
      <c r="CD242" s="162"/>
      <c r="CE242" s="162"/>
      <c r="CF242" s="162"/>
      <c r="CG242" s="162"/>
    </row>
    <row r="243" spans="1:85" customFormat="1" ht="44.25" customHeight="1">
      <c r="A243" s="170">
        <v>79</v>
      </c>
      <c r="B243" s="170" t="s">
        <v>827</v>
      </c>
      <c r="C243" s="154" t="s">
        <v>828</v>
      </c>
      <c r="D243" s="273" t="s">
        <v>700</v>
      </c>
      <c r="E243" s="273" t="s">
        <v>180</v>
      </c>
      <c r="F243" s="273" t="s">
        <v>829</v>
      </c>
      <c r="G243" s="165"/>
      <c r="H243" s="175">
        <v>13547</v>
      </c>
      <c r="I243" s="36"/>
      <c r="J243" s="36"/>
      <c r="K243" s="36"/>
      <c r="L243" s="36"/>
      <c r="M243" s="36"/>
      <c r="N243" s="36"/>
      <c r="O243" s="49"/>
      <c r="P243" s="49"/>
      <c r="Q243" s="47"/>
      <c r="R243" s="116"/>
      <c r="S243" s="116"/>
      <c r="T243" s="105"/>
      <c r="U243" s="47"/>
      <c r="V243" s="120"/>
      <c r="W243" s="36"/>
      <c r="X243" s="35"/>
      <c r="Y243" s="163" t="s">
        <v>830</v>
      </c>
      <c r="Z243" s="161" t="s">
        <v>831</v>
      </c>
      <c r="AA243" s="292" t="s">
        <v>832</v>
      </c>
      <c r="AB243" s="161">
        <v>45076</v>
      </c>
      <c r="AC243" s="175">
        <v>13547</v>
      </c>
      <c r="AD243" s="176">
        <v>45076</v>
      </c>
      <c r="AE243" s="176">
        <v>45291</v>
      </c>
      <c r="AF243" s="177" t="s">
        <v>453</v>
      </c>
      <c r="AG243" s="170" t="s">
        <v>833</v>
      </c>
      <c r="AH243" s="36"/>
      <c r="AI243" s="35"/>
      <c r="AJ243" s="35"/>
      <c r="AK243" s="174">
        <v>150000</v>
      </c>
      <c r="AL243" s="47"/>
      <c r="AM243" s="47"/>
      <c r="AN243" s="116"/>
      <c r="AO243" s="105"/>
      <c r="AP243" s="36"/>
      <c r="AQ243" s="116"/>
      <c r="AR243" s="116"/>
      <c r="AS243" s="31"/>
      <c r="AT243" s="32"/>
      <c r="AU243" s="50"/>
      <c r="AV243" s="50"/>
      <c r="AW243" s="78"/>
      <c r="AX243" s="78"/>
      <c r="AY243" s="33"/>
      <c r="AZ243" s="34"/>
      <c r="BA243" s="35"/>
      <c r="BB243" s="35"/>
      <c r="BC243" s="79"/>
      <c r="BD243" s="80"/>
      <c r="BE243" s="80"/>
      <c r="BF243" s="35"/>
      <c r="BG243" s="36"/>
      <c r="BH243" s="35"/>
      <c r="BI243" s="97">
        <f>AK243</f>
        <v>150000</v>
      </c>
      <c r="BJ243" s="38">
        <f>37347.67+41772.19+112164.95</f>
        <v>191284.81</v>
      </c>
      <c r="BK243" s="38">
        <f>112164.95</f>
        <v>112164.95</v>
      </c>
      <c r="BL243" s="38">
        <f>6038.94</f>
        <v>6038.94</v>
      </c>
      <c r="BM243" s="38"/>
      <c r="BN243" s="39">
        <f t="shared" si="24"/>
        <v>197323.75</v>
      </c>
      <c r="BO243" s="47"/>
      <c r="BP243" s="106"/>
      <c r="BQ243" s="40"/>
      <c r="BR243" s="40"/>
      <c r="BS243" s="106"/>
      <c r="BT243" s="106"/>
      <c r="BU243" s="106"/>
      <c r="BV243" s="106"/>
      <c r="BW243" s="106"/>
      <c r="BX243" s="40"/>
      <c r="BY243" s="40"/>
      <c r="BZ243" s="40"/>
      <c r="CA243" s="40"/>
      <c r="CB243" s="154" t="s">
        <v>834</v>
      </c>
      <c r="CC243" s="154">
        <v>13558</v>
      </c>
      <c r="CD243" s="154" t="s">
        <v>687</v>
      </c>
      <c r="CE243" s="154">
        <v>713115</v>
      </c>
      <c r="CF243" s="154" t="s">
        <v>835</v>
      </c>
      <c r="CG243" s="154" t="s">
        <v>836</v>
      </c>
    </row>
    <row r="244" spans="1:85" customFormat="1" ht="44.25" customHeight="1">
      <c r="A244" s="155"/>
      <c r="B244" s="155"/>
      <c r="C244" s="155"/>
      <c r="D244" s="274"/>
      <c r="E244" s="274"/>
      <c r="F244" s="274"/>
      <c r="G244" s="155"/>
      <c r="H244" s="155"/>
      <c r="I244" s="36"/>
      <c r="J244" s="36"/>
      <c r="K244" s="36"/>
      <c r="L244" s="36"/>
      <c r="M244" s="36"/>
      <c r="N244" s="36"/>
      <c r="O244" s="49"/>
      <c r="P244" s="49"/>
      <c r="Q244" s="47"/>
      <c r="R244" s="116"/>
      <c r="S244" s="116"/>
      <c r="T244" s="105"/>
      <c r="U244" s="47"/>
      <c r="V244" s="120"/>
      <c r="W244" s="36"/>
      <c r="X244" s="35"/>
      <c r="Y244" s="155"/>
      <c r="Z244" s="155"/>
      <c r="AA244" s="274"/>
      <c r="AB244" s="155"/>
      <c r="AC244" s="155"/>
      <c r="AD244" s="155"/>
      <c r="AE244" s="155"/>
      <c r="AF244" s="155"/>
      <c r="AG244" s="155"/>
      <c r="AH244" s="36"/>
      <c r="AI244" s="35"/>
      <c r="AJ244" s="35"/>
      <c r="AK244" s="155"/>
      <c r="AL244" s="47" t="s">
        <v>518</v>
      </c>
      <c r="AM244" s="47" t="s">
        <v>199</v>
      </c>
      <c r="AN244" s="116">
        <v>45803</v>
      </c>
      <c r="AO244" s="105">
        <v>13800</v>
      </c>
      <c r="AP244" s="36" t="s">
        <v>228</v>
      </c>
      <c r="AQ244" s="116">
        <v>45443</v>
      </c>
      <c r="AR244" s="116">
        <v>45807</v>
      </c>
      <c r="AS244" s="31"/>
      <c r="AT244" s="32"/>
      <c r="AU244" s="50"/>
      <c r="AV244" s="50"/>
      <c r="AW244" s="78"/>
      <c r="AX244" s="78"/>
      <c r="AY244" s="33"/>
      <c r="AZ244" s="34"/>
      <c r="BA244" s="35"/>
      <c r="BB244" s="35"/>
      <c r="BC244" s="79"/>
      <c r="BD244" s="80"/>
      <c r="BE244" s="80"/>
      <c r="BF244" s="35"/>
      <c r="BG244" s="36"/>
      <c r="BH244" s="35"/>
      <c r="BI244" s="97"/>
      <c r="BJ244" s="38"/>
      <c r="BK244" s="38"/>
      <c r="BL244" s="38"/>
      <c r="BM244" s="38"/>
      <c r="BN244" s="39">
        <f t="shared" si="24"/>
        <v>0</v>
      </c>
      <c r="BO244" s="47"/>
      <c r="BP244" s="106"/>
      <c r="BQ244" s="40"/>
      <c r="BR244" s="40"/>
      <c r="BS244" s="106"/>
      <c r="BT244" s="106"/>
      <c r="BU244" s="106"/>
      <c r="BV244" s="106"/>
      <c r="BW244" s="106"/>
      <c r="BX244" s="40"/>
      <c r="BY244" s="40"/>
      <c r="BZ244" s="40"/>
      <c r="CA244" s="40"/>
      <c r="CB244" s="155"/>
      <c r="CC244" s="155"/>
      <c r="CD244" s="155"/>
      <c r="CE244" s="155"/>
      <c r="CF244" s="155"/>
      <c r="CG244" s="155"/>
    </row>
    <row r="245" spans="1:85" customFormat="1" ht="44.25" customHeight="1">
      <c r="A245" s="155"/>
      <c r="B245" s="155"/>
      <c r="C245" s="155"/>
      <c r="D245" s="274"/>
      <c r="E245" s="274"/>
      <c r="F245" s="274"/>
      <c r="G245" s="155"/>
      <c r="H245" s="155"/>
      <c r="I245" s="36"/>
      <c r="J245" s="36"/>
      <c r="K245" s="36"/>
      <c r="L245" s="36"/>
      <c r="M245" s="36"/>
      <c r="N245" s="36"/>
      <c r="O245" s="49"/>
      <c r="P245" s="49"/>
      <c r="Q245" s="47"/>
      <c r="R245" s="116"/>
      <c r="S245" s="116"/>
      <c r="T245" s="105"/>
      <c r="U245" s="47"/>
      <c r="V245" s="120"/>
      <c r="W245" s="36"/>
      <c r="X245" s="35"/>
      <c r="Y245" s="155"/>
      <c r="Z245" s="155"/>
      <c r="AA245" s="274"/>
      <c r="AB245" s="155"/>
      <c r="AC245" s="155"/>
      <c r="AD245" s="155"/>
      <c r="AE245" s="155"/>
      <c r="AF245" s="155"/>
      <c r="AG245" s="155"/>
      <c r="AH245" s="36"/>
      <c r="AI245" s="35"/>
      <c r="AJ245" s="35"/>
      <c r="AK245" s="155"/>
      <c r="AL245" s="47" t="s">
        <v>518</v>
      </c>
      <c r="AM245" s="47" t="s">
        <v>459</v>
      </c>
      <c r="AN245" s="116">
        <v>45808</v>
      </c>
      <c r="AO245" s="105">
        <v>14037</v>
      </c>
      <c r="AP245" s="36" t="s">
        <v>228</v>
      </c>
      <c r="AQ245" s="116">
        <v>45808</v>
      </c>
      <c r="AR245" s="116">
        <v>46172</v>
      </c>
      <c r="AS245" s="31"/>
      <c r="AT245" s="32"/>
      <c r="AU245" s="50"/>
      <c r="AV245" s="50"/>
      <c r="AW245" s="78"/>
      <c r="AX245" s="78"/>
      <c r="AY245" s="33"/>
      <c r="AZ245" s="34"/>
      <c r="BA245" s="35"/>
      <c r="BB245" s="35"/>
      <c r="BC245" s="79"/>
      <c r="BD245" s="80"/>
      <c r="BE245" s="80"/>
      <c r="BF245" s="35"/>
      <c r="BG245" s="36"/>
      <c r="BH245" s="35"/>
      <c r="BI245" s="97"/>
      <c r="BJ245" s="38"/>
      <c r="BK245" s="38"/>
      <c r="BL245" s="38"/>
      <c r="BM245" s="38"/>
      <c r="BN245" s="39">
        <f t="shared" si="24"/>
        <v>0</v>
      </c>
      <c r="BO245" s="47"/>
      <c r="BP245" s="106"/>
      <c r="BQ245" s="40"/>
      <c r="BR245" s="40"/>
      <c r="BS245" s="106"/>
      <c r="BT245" s="106"/>
      <c r="BU245" s="106"/>
      <c r="BV245" s="106"/>
      <c r="BW245" s="106"/>
      <c r="BX245" s="40"/>
      <c r="BY245" s="40"/>
      <c r="BZ245" s="40"/>
      <c r="CA245" s="40"/>
      <c r="CB245" s="155"/>
      <c r="CC245" s="155"/>
      <c r="CD245" s="155"/>
      <c r="CE245" s="155"/>
      <c r="CF245" s="155"/>
      <c r="CG245" s="155"/>
    </row>
    <row r="246" spans="1:85" customFormat="1" ht="41.25" customHeight="1">
      <c r="A246" s="162"/>
      <c r="B246" s="162"/>
      <c r="C246" s="162"/>
      <c r="D246" s="276"/>
      <c r="E246" s="276"/>
      <c r="F246" s="276"/>
      <c r="G246" s="162"/>
      <c r="H246" s="162"/>
      <c r="I246" s="36"/>
      <c r="J246" s="36"/>
      <c r="K246" s="36"/>
      <c r="L246" s="36"/>
      <c r="M246" s="36"/>
      <c r="N246" s="36"/>
      <c r="O246" s="49"/>
      <c r="P246" s="49"/>
      <c r="Q246" s="47"/>
      <c r="R246" s="116"/>
      <c r="S246" s="116"/>
      <c r="T246" s="105"/>
      <c r="U246" s="47"/>
      <c r="V246" s="120"/>
      <c r="W246" s="36"/>
      <c r="X246" s="35"/>
      <c r="Y246" s="162"/>
      <c r="Z246" s="162"/>
      <c r="AA246" s="276"/>
      <c r="AB246" s="162"/>
      <c r="AC246" s="162"/>
      <c r="AD246" s="162"/>
      <c r="AE246" s="162"/>
      <c r="AF246" s="162"/>
      <c r="AG246" s="162"/>
      <c r="AH246" s="36"/>
      <c r="AI246" s="35"/>
      <c r="AJ246" s="35"/>
      <c r="AK246" s="162"/>
      <c r="AL246" s="47"/>
      <c r="AM246" s="47"/>
      <c r="AN246" s="116"/>
      <c r="AO246" s="105"/>
      <c r="AP246" s="36"/>
      <c r="AQ246" s="116"/>
      <c r="AR246" s="116"/>
      <c r="AS246" s="31"/>
      <c r="AT246" s="32"/>
      <c r="AU246" s="50"/>
      <c r="AV246" s="50"/>
      <c r="AW246" s="78"/>
      <c r="AX246" s="78"/>
      <c r="AY246" s="33"/>
      <c r="AZ246" s="34"/>
      <c r="BA246" s="35"/>
      <c r="BB246" s="35"/>
      <c r="BC246" s="79"/>
      <c r="BD246" s="80"/>
      <c r="BE246" s="80"/>
      <c r="BF246" s="35"/>
      <c r="BG246" s="36"/>
      <c r="BH246" s="35"/>
      <c r="BI246" s="35"/>
      <c r="BJ246" s="76"/>
      <c r="BK246" s="76"/>
      <c r="BL246" s="76"/>
      <c r="BM246" s="76"/>
      <c r="BN246" s="39">
        <f t="shared" si="24"/>
        <v>0</v>
      </c>
      <c r="BO246" s="47"/>
      <c r="BP246" s="106"/>
      <c r="BQ246" s="40"/>
      <c r="BR246" s="40"/>
      <c r="BS246" s="106"/>
      <c r="BT246" s="106"/>
      <c r="BU246" s="106"/>
      <c r="BV246" s="106"/>
      <c r="BW246" s="106"/>
      <c r="BX246" s="40"/>
      <c r="BY246" s="40"/>
      <c r="BZ246" s="40"/>
      <c r="CA246" s="40"/>
      <c r="CB246" s="162"/>
      <c r="CC246" s="162"/>
      <c r="CD246" s="162"/>
      <c r="CE246" s="162"/>
      <c r="CF246" s="162"/>
      <c r="CG246" s="162"/>
    </row>
    <row r="247" spans="1:85" customFormat="1" ht="40.5" customHeight="1">
      <c r="A247" s="170">
        <v>80</v>
      </c>
      <c r="B247" s="170" t="s">
        <v>837</v>
      </c>
      <c r="C247" s="154" t="s">
        <v>837</v>
      </c>
      <c r="D247" s="273" t="s">
        <v>838</v>
      </c>
      <c r="E247" s="273" t="s">
        <v>839</v>
      </c>
      <c r="F247" s="273" t="s">
        <v>840</v>
      </c>
      <c r="G247" s="165"/>
      <c r="H247" s="175"/>
      <c r="I247" s="36"/>
      <c r="J247" s="36"/>
      <c r="K247" s="36"/>
      <c r="L247" s="36"/>
      <c r="M247" s="36"/>
      <c r="N247" s="36"/>
      <c r="O247" s="49"/>
      <c r="P247" s="49"/>
      <c r="Q247" s="47"/>
      <c r="R247" s="116"/>
      <c r="S247" s="116"/>
      <c r="T247" s="105"/>
      <c r="U247" s="47"/>
      <c r="V247" s="120"/>
      <c r="W247" s="36"/>
      <c r="X247" s="35"/>
      <c r="Y247" s="163" t="s">
        <v>841</v>
      </c>
      <c r="Z247" s="161" t="s">
        <v>842</v>
      </c>
      <c r="AA247" s="176" t="s">
        <v>843</v>
      </c>
      <c r="AB247" s="161">
        <v>45204</v>
      </c>
      <c r="AC247" s="175">
        <v>13633</v>
      </c>
      <c r="AD247" s="176">
        <v>45204</v>
      </c>
      <c r="AE247" s="176">
        <v>45570</v>
      </c>
      <c r="AF247" s="177" t="s">
        <v>453</v>
      </c>
      <c r="AG247" s="170" t="s">
        <v>185</v>
      </c>
      <c r="AH247" s="36"/>
      <c r="AI247" s="35"/>
      <c r="AJ247" s="35"/>
      <c r="AK247" s="174">
        <f>295200</f>
        <v>295200</v>
      </c>
      <c r="AL247" s="47"/>
      <c r="AM247" s="47"/>
      <c r="AN247" s="116"/>
      <c r="AO247" s="105"/>
      <c r="AP247" s="36"/>
      <c r="AQ247" s="116"/>
      <c r="AR247" s="116"/>
      <c r="AS247" s="31"/>
      <c r="AT247" s="32"/>
      <c r="AU247" s="50"/>
      <c r="AV247" s="50"/>
      <c r="AW247" s="78"/>
      <c r="AX247" s="78"/>
      <c r="AY247" s="33"/>
      <c r="AZ247" s="34"/>
      <c r="BA247" s="35"/>
      <c r="BB247" s="35"/>
      <c r="BC247" s="79"/>
      <c r="BD247" s="80"/>
      <c r="BE247" s="80"/>
      <c r="BF247" s="35"/>
      <c r="BG247" s="36"/>
      <c r="BH247" s="35"/>
      <c r="BI247" s="78">
        <f>AK247</f>
        <v>295200</v>
      </c>
      <c r="BJ247" s="76"/>
      <c r="BK247" s="76"/>
      <c r="BL247" s="76"/>
      <c r="BM247" s="76"/>
      <c r="BN247" s="39">
        <f t="shared" si="24"/>
        <v>0</v>
      </c>
      <c r="BO247" s="47"/>
      <c r="BP247" s="106"/>
      <c r="BQ247" s="40"/>
      <c r="BR247" s="40"/>
      <c r="BS247" s="106"/>
      <c r="BT247" s="106"/>
      <c r="BU247" s="106"/>
      <c r="BV247" s="106"/>
      <c r="BW247" s="106"/>
      <c r="BX247" s="40"/>
      <c r="BY247" s="40"/>
      <c r="BZ247" s="40"/>
      <c r="CA247" s="40"/>
      <c r="CB247" s="154" t="s">
        <v>844</v>
      </c>
      <c r="CC247" s="157">
        <v>14116</v>
      </c>
      <c r="CD247" s="154" t="s">
        <v>467</v>
      </c>
      <c r="CE247" s="157">
        <v>715268</v>
      </c>
      <c r="CF247" s="154" t="s">
        <v>455</v>
      </c>
      <c r="CG247" s="154" t="s">
        <v>456</v>
      </c>
    </row>
    <row r="248" spans="1:85" customFormat="1" ht="40.5" customHeight="1">
      <c r="A248" s="155"/>
      <c r="B248" s="155"/>
      <c r="C248" s="155"/>
      <c r="D248" s="274"/>
      <c r="E248" s="274"/>
      <c r="F248" s="274"/>
      <c r="G248" s="155"/>
      <c r="H248" s="155"/>
      <c r="I248" s="36"/>
      <c r="J248" s="36"/>
      <c r="K248" s="36"/>
      <c r="L248" s="36"/>
      <c r="M248" s="36"/>
      <c r="N248" s="36"/>
      <c r="O248" s="49"/>
      <c r="P248" s="49"/>
      <c r="Q248" s="47"/>
      <c r="R248" s="116"/>
      <c r="S248" s="116"/>
      <c r="T248" s="105"/>
      <c r="U248" s="47"/>
      <c r="V248" s="120"/>
      <c r="W248" s="36"/>
      <c r="X248" s="35"/>
      <c r="Y248" s="155"/>
      <c r="Z248" s="155"/>
      <c r="AA248" s="155"/>
      <c r="AB248" s="155"/>
      <c r="AC248" s="155"/>
      <c r="AD248" s="155"/>
      <c r="AE248" s="155"/>
      <c r="AF248" s="155"/>
      <c r="AG248" s="155"/>
      <c r="AH248" s="36"/>
      <c r="AI248" s="35"/>
      <c r="AJ248" s="35"/>
      <c r="AK248" s="155"/>
      <c r="AL248" s="47" t="s">
        <v>518</v>
      </c>
      <c r="AM248" s="47" t="s">
        <v>199</v>
      </c>
      <c r="AN248" s="116">
        <v>45566</v>
      </c>
      <c r="AO248" s="105">
        <v>13877</v>
      </c>
      <c r="AP248" s="36" t="s">
        <v>845</v>
      </c>
      <c r="AQ248" s="116">
        <v>45571</v>
      </c>
      <c r="AR248" s="116">
        <v>45935</v>
      </c>
      <c r="AS248" s="31"/>
      <c r="AT248" s="32"/>
      <c r="AU248" s="50"/>
      <c r="AV248" s="50"/>
      <c r="AW248" s="78"/>
      <c r="AX248" s="78"/>
      <c r="AY248" s="33"/>
      <c r="AZ248" s="34"/>
      <c r="BA248" s="35"/>
      <c r="BB248" s="35"/>
      <c r="BC248" s="79"/>
      <c r="BD248" s="86"/>
      <c r="BE248" s="80"/>
      <c r="BF248" s="48">
        <v>45566</v>
      </c>
      <c r="BG248" s="50">
        <f t="shared" ref="BG248:BG249" si="25">BH248/BI247</f>
        <v>3.1629268292682922E-2</v>
      </c>
      <c r="BH248" s="35">
        <v>9336.9599999999991</v>
      </c>
      <c r="BI248" s="78">
        <f t="shared" ref="BI248:BI249" si="26">BI247+BH248</f>
        <v>304536.96000000002</v>
      </c>
      <c r="BJ248" s="76"/>
      <c r="BK248" s="76"/>
      <c r="BL248" s="76"/>
      <c r="BM248" s="76"/>
      <c r="BN248" s="39">
        <f t="shared" si="24"/>
        <v>0</v>
      </c>
      <c r="BO248" s="47"/>
      <c r="BP248" s="106"/>
      <c r="BQ248" s="40"/>
      <c r="BR248" s="40"/>
      <c r="BS248" s="106"/>
      <c r="BT248" s="106"/>
      <c r="BU248" s="106"/>
      <c r="BV248" s="106"/>
      <c r="BW248" s="106"/>
      <c r="BX248" s="40"/>
      <c r="BY248" s="40"/>
      <c r="BZ248" s="40"/>
      <c r="CA248" s="40"/>
      <c r="CB248" s="155"/>
      <c r="CC248" s="155"/>
      <c r="CD248" s="155"/>
      <c r="CE248" s="155"/>
      <c r="CF248" s="155"/>
      <c r="CG248" s="155"/>
    </row>
    <row r="249" spans="1:85" customFormat="1" ht="50.25" customHeight="1">
      <c r="A249" s="162"/>
      <c r="B249" s="162"/>
      <c r="C249" s="162"/>
      <c r="D249" s="276"/>
      <c r="E249" s="276"/>
      <c r="F249" s="276"/>
      <c r="G249" s="162"/>
      <c r="H249" s="162"/>
      <c r="I249" s="36"/>
      <c r="J249" s="36"/>
      <c r="K249" s="36"/>
      <c r="L249" s="36"/>
      <c r="M249" s="36"/>
      <c r="N249" s="36"/>
      <c r="O249" s="49"/>
      <c r="P249" s="49"/>
      <c r="Q249" s="47" t="s">
        <v>846</v>
      </c>
      <c r="R249" s="116">
        <v>44895</v>
      </c>
      <c r="S249" s="116">
        <v>45260</v>
      </c>
      <c r="T249" s="105">
        <v>13469</v>
      </c>
      <c r="U249" s="47" t="s">
        <v>847</v>
      </c>
      <c r="V249" s="106">
        <v>13469</v>
      </c>
      <c r="W249" s="36"/>
      <c r="X249" s="35"/>
      <c r="Y249" s="162"/>
      <c r="Z249" s="162"/>
      <c r="AA249" s="162"/>
      <c r="AB249" s="162"/>
      <c r="AC249" s="162"/>
      <c r="AD249" s="162"/>
      <c r="AE249" s="162"/>
      <c r="AF249" s="162"/>
      <c r="AG249" s="162"/>
      <c r="AH249" s="36"/>
      <c r="AI249" s="35"/>
      <c r="AJ249" s="35"/>
      <c r="AK249" s="162"/>
      <c r="AL249" s="47" t="s">
        <v>518</v>
      </c>
      <c r="AM249" s="36" t="s">
        <v>459</v>
      </c>
      <c r="AN249" s="48">
        <v>45935</v>
      </c>
      <c r="AO249" s="49">
        <v>14130</v>
      </c>
      <c r="AP249" s="36" t="s">
        <v>848</v>
      </c>
      <c r="AQ249" s="48">
        <v>45936</v>
      </c>
      <c r="AR249" s="48">
        <v>46300</v>
      </c>
      <c r="AS249" s="31"/>
      <c r="AT249" s="32"/>
      <c r="AU249" s="50"/>
      <c r="AV249" s="36"/>
      <c r="AW249" s="78"/>
      <c r="AX249" s="78"/>
      <c r="AY249" s="33"/>
      <c r="AZ249" s="34"/>
      <c r="BA249" s="35"/>
      <c r="BB249" s="35"/>
      <c r="BC249" s="79"/>
      <c r="BD249" s="80"/>
      <c r="BE249" s="80"/>
      <c r="BF249" s="48">
        <v>45931</v>
      </c>
      <c r="BG249" s="50">
        <f t="shared" si="25"/>
        <v>5.0681533039536361E-2</v>
      </c>
      <c r="BH249" s="78">
        <f>319971.36-BI248</f>
        <v>15434.399999999965</v>
      </c>
      <c r="BI249" s="97">
        <f t="shared" si="26"/>
        <v>319971.36</v>
      </c>
      <c r="BJ249" s="38">
        <f>67240+295200+308395.56</f>
        <v>670835.56000000006</v>
      </c>
      <c r="BK249" s="38">
        <v>308395.56</v>
      </c>
      <c r="BL249" s="38">
        <f>53328.56+26664.28+26664.28+26664.28</f>
        <v>133321.4</v>
      </c>
      <c r="BM249" s="38"/>
      <c r="BN249" s="39">
        <f t="shared" si="24"/>
        <v>804156.96000000008</v>
      </c>
      <c r="BO249" s="47"/>
      <c r="BP249" s="106"/>
      <c r="BQ249" s="40"/>
      <c r="BR249" s="40"/>
      <c r="BS249" s="106"/>
      <c r="BT249" s="106"/>
      <c r="BU249" s="106"/>
      <c r="BV249" s="106"/>
      <c r="BW249" s="106"/>
      <c r="BX249" s="40"/>
      <c r="BY249" s="40"/>
      <c r="BZ249" s="40"/>
      <c r="CA249" s="40"/>
      <c r="CB249" s="162"/>
      <c r="CC249" s="162"/>
      <c r="CD249" s="162"/>
      <c r="CE249" s="162"/>
      <c r="CF249" s="162"/>
      <c r="CG249" s="162"/>
    </row>
    <row r="250" spans="1:85" customFormat="1" ht="120.75" customHeight="1">
      <c r="A250" s="170">
        <v>81</v>
      </c>
      <c r="B250" s="170" t="s">
        <v>849</v>
      </c>
      <c r="C250" s="154" t="s">
        <v>655</v>
      </c>
      <c r="D250" s="273" t="s">
        <v>680</v>
      </c>
      <c r="E250" s="273" t="s">
        <v>180</v>
      </c>
      <c r="F250" s="273" t="s">
        <v>850</v>
      </c>
      <c r="G250" s="165"/>
      <c r="H250" s="175">
        <v>13155</v>
      </c>
      <c r="I250" s="36"/>
      <c r="J250" s="36"/>
      <c r="K250" s="36"/>
      <c r="L250" s="36"/>
      <c r="M250" s="36"/>
      <c r="N250" s="36"/>
      <c r="O250" s="49"/>
      <c r="P250" s="49"/>
      <c r="Q250" s="154" t="s">
        <v>851</v>
      </c>
      <c r="R250" s="161">
        <v>44496</v>
      </c>
      <c r="S250" s="161">
        <v>44861</v>
      </c>
      <c r="T250" s="157">
        <v>13157</v>
      </c>
      <c r="U250" s="154" t="s">
        <v>852</v>
      </c>
      <c r="V250" s="157">
        <v>13157</v>
      </c>
      <c r="W250" s="273" t="s">
        <v>850</v>
      </c>
      <c r="X250" s="178">
        <v>472499.4</v>
      </c>
      <c r="Y250" s="163" t="s">
        <v>853</v>
      </c>
      <c r="Z250" s="161" t="s">
        <v>854</v>
      </c>
      <c r="AA250" s="176" t="s">
        <v>855</v>
      </c>
      <c r="AB250" s="161">
        <v>44687</v>
      </c>
      <c r="AC250" s="175">
        <v>13292</v>
      </c>
      <c r="AD250" s="176">
        <v>44687</v>
      </c>
      <c r="AE250" s="176">
        <v>45051</v>
      </c>
      <c r="AF250" s="177" t="s">
        <v>453</v>
      </c>
      <c r="AG250" s="170" t="s">
        <v>185</v>
      </c>
      <c r="AH250" s="36"/>
      <c r="AI250" s="35"/>
      <c r="AJ250" s="35"/>
      <c r="AK250" s="174">
        <v>472499.4</v>
      </c>
      <c r="AL250" s="47"/>
      <c r="AM250" s="36"/>
      <c r="AN250" s="36"/>
      <c r="AO250" s="49"/>
      <c r="AP250" s="36"/>
      <c r="AQ250" s="36"/>
      <c r="AR250" s="36"/>
      <c r="AS250" s="31"/>
      <c r="AT250" s="32"/>
      <c r="AU250" s="50"/>
      <c r="AV250" s="36"/>
      <c r="AW250" s="78"/>
      <c r="AX250" s="78"/>
      <c r="AY250" s="33"/>
      <c r="AZ250" s="34"/>
      <c r="BA250" s="35"/>
      <c r="BB250" s="35"/>
      <c r="BC250" s="79"/>
      <c r="BD250" s="80"/>
      <c r="BE250" s="80"/>
      <c r="BF250" s="35"/>
      <c r="BG250" s="36"/>
      <c r="BH250" s="35"/>
      <c r="BI250" s="97"/>
      <c r="BJ250" s="38">
        <f t="shared" ref="BJ250:BK250" si="27">472499.28</f>
        <v>472499.28</v>
      </c>
      <c r="BK250" s="38">
        <f t="shared" si="27"/>
        <v>472499.28</v>
      </c>
      <c r="BL250" s="38"/>
      <c r="BM250" s="38"/>
      <c r="BN250" s="39">
        <f t="shared" si="24"/>
        <v>472499.28</v>
      </c>
      <c r="BO250" s="47"/>
      <c r="BP250" s="106"/>
      <c r="BQ250" s="40"/>
      <c r="BR250" s="40"/>
      <c r="BS250" s="106"/>
      <c r="BT250" s="106"/>
      <c r="BU250" s="106"/>
      <c r="BV250" s="106"/>
      <c r="BW250" s="106"/>
      <c r="BX250" s="40"/>
      <c r="BY250" s="40"/>
      <c r="BZ250" s="40"/>
      <c r="CA250" s="40"/>
      <c r="CB250" s="154" t="s">
        <v>856</v>
      </c>
      <c r="CC250" s="157">
        <v>14023</v>
      </c>
      <c r="CD250" s="154" t="s">
        <v>614</v>
      </c>
      <c r="CE250" s="157">
        <v>709978</v>
      </c>
      <c r="CF250" s="154" t="s">
        <v>635</v>
      </c>
      <c r="CG250" s="157">
        <v>710528</v>
      </c>
    </row>
    <row r="251" spans="1:85" customFormat="1" ht="53.25" customHeight="1">
      <c r="A251" s="155"/>
      <c r="B251" s="155"/>
      <c r="C251" s="155"/>
      <c r="D251" s="274"/>
      <c r="E251" s="274"/>
      <c r="F251" s="274"/>
      <c r="G251" s="155"/>
      <c r="H251" s="155"/>
      <c r="I251" s="36"/>
      <c r="J251" s="36"/>
      <c r="K251" s="36"/>
      <c r="L251" s="36"/>
      <c r="M251" s="36"/>
      <c r="N251" s="36"/>
      <c r="O251" s="49"/>
      <c r="P251" s="49"/>
      <c r="Q251" s="155"/>
      <c r="R251" s="155"/>
      <c r="S251" s="155"/>
      <c r="T251" s="155"/>
      <c r="U251" s="155"/>
      <c r="V251" s="155"/>
      <c r="W251" s="274"/>
      <c r="X251" s="155"/>
      <c r="Y251" s="155"/>
      <c r="Z251" s="155"/>
      <c r="AA251" s="155"/>
      <c r="AB251" s="155"/>
      <c r="AC251" s="155"/>
      <c r="AD251" s="155"/>
      <c r="AE251" s="155"/>
      <c r="AF251" s="155"/>
      <c r="AG251" s="155"/>
      <c r="AH251" s="36"/>
      <c r="AI251" s="35"/>
      <c r="AJ251" s="35"/>
      <c r="AK251" s="155"/>
      <c r="AL251" s="47" t="s">
        <v>518</v>
      </c>
      <c r="AM251" s="36" t="s">
        <v>199</v>
      </c>
      <c r="AN251" s="48">
        <v>45050</v>
      </c>
      <c r="AO251" s="49">
        <v>13529</v>
      </c>
      <c r="AP251" s="36" t="s">
        <v>637</v>
      </c>
      <c r="AQ251" s="48">
        <v>45052</v>
      </c>
      <c r="AR251" s="48">
        <v>45417</v>
      </c>
      <c r="AS251" s="31"/>
      <c r="AT251" s="32"/>
      <c r="AU251" s="50"/>
      <c r="AV251" s="36"/>
      <c r="AW251" s="78"/>
      <c r="AX251" s="78"/>
      <c r="AY251" s="33"/>
      <c r="AZ251" s="34"/>
      <c r="BA251" s="35"/>
      <c r="BB251" s="35"/>
      <c r="BC251" s="79"/>
      <c r="BD251" s="80"/>
      <c r="BE251" s="80"/>
      <c r="BF251" s="35"/>
      <c r="BG251" s="36"/>
      <c r="BH251" s="35"/>
      <c r="BI251" s="97"/>
      <c r="BJ251" s="38"/>
      <c r="BK251" s="38"/>
      <c r="BL251" s="38"/>
      <c r="BM251" s="38"/>
      <c r="BN251" s="39">
        <f t="shared" si="24"/>
        <v>0</v>
      </c>
      <c r="BO251" s="47"/>
      <c r="BP251" s="106"/>
      <c r="BQ251" s="40"/>
      <c r="BR251" s="40"/>
      <c r="BS251" s="106"/>
      <c r="BT251" s="106"/>
      <c r="BU251" s="106"/>
      <c r="BV251" s="106"/>
      <c r="BW251" s="106"/>
      <c r="BX251" s="40"/>
      <c r="BY251" s="40"/>
      <c r="BZ251" s="40"/>
      <c r="CA251" s="40"/>
      <c r="CB251" s="155"/>
      <c r="CC251" s="155"/>
      <c r="CD251" s="155"/>
      <c r="CE251" s="155"/>
      <c r="CF251" s="155"/>
      <c r="CG251" s="155"/>
    </row>
    <row r="252" spans="1:85" customFormat="1" ht="53.25" customHeight="1">
      <c r="A252" s="155"/>
      <c r="B252" s="155"/>
      <c r="C252" s="155"/>
      <c r="D252" s="274"/>
      <c r="E252" s="274"/>
      <c r="F252" s="274"/>
      <c r="G252" s="155"/>
      <c r="H252" s="155"/>
      <c r="I252" s="36"/>
      <c r="J252" s="36"/>
      <c r="K252" s="36"/>
      <c r="L252" s="36"/>
      <c r="M252" s="36"/>
      <c r="N252" s="36"/>
      <c r="O252" s="49"/>
      <c r="P252" s="49"/>
      <c r="Q252" s="155"/>
      <c r="R252" s="155"/>
      <c r="S252" s="155"/>
      <c r="T252" s="155"/>
      <c r="U252" s="155"/>
      <c r="V252" s="155"/>
      <c r="W252" s="274"/>
      <c r="X252" s="155"/>
      <c r="Y252" s="155"/>
      <c r="Z252" s="155"/>
      <c r="AA252" s="155"/>
      <c r="AB252" s="155"/>
      <c r="AC252" s="155"/>
      <c r="AD252" s="155"/>
      <c r="AE252" s="155"/>
      <c r="AF252" s="155"/>
      <c r="AG252" s="155"/>
      <c r="AH252" s="36"/>
      <c r="AI252" s="35"/>
      <c r="AJ252" s="35"/>
      <c r="AK252" s="155"/>
      <c r="AL252" s="47" t="s">
        <v>518</v>
      </c>
      <c r="AM252" s="36" t="s">
        <v>459</v>
      </c>
      <c r="AN252" s="48">
        <v>45050</v>
      </c>
      <c r="AO252" s="49">
        <v>13772</v>
      </c>
      <c r="AP252" s="36" t="s">
        <v>637</v>
      </c>
      <c r="AQ252" s="48">
        <v>45052</v>
      </c>
      <c r="AR252" s="48">
        <v>45417</v>
      </c>
      <c r="AS252" s="31"/>
      <c r="AT252" s="32"/>
      <c r="AU252" s="50"/>
      <c r="AV252" s="36"/>
      <c r="AW252" s="78"/>
      <c r="AX252" s="78"/>
      <c r="AY252" s="33"/>
      <c r="AZ252" s="34"/>
      <c r="BA252" s="35"/>
      <c r="BB252" s="35"/>
      <c r="BC252" s="79"/>
      <c r="BD252" s="80"/>
      <c r="BE252" s="80"/>
      <c r="BF252" s="35"/>
      <c r="BG252" s="36"/>
      <c r="BH252" s="35"/>
      <c r="BI252" s="97"/>
      <c r="BJ252" s="38"/>
      <c r="BK252" s="38"/>
      <c r="BL252" s="38"/>
      <c r="BM252" s="38"/>
      <c r="BN252" s="39">
        <f t="shared" si="24"/>
        <v>0</v>
      </c>
      <c r="BO252" s="47"/>
      <c r="BP252" s="106"/>
      <c r="BQ252" s="40"/>
      <c r="BR252" s="40"/>
      <c r="BS252" s="106"/>
      <c r="BT252" s="106"/>
      <c r="BU252" s="106"/>
      <c r="BV252" s="106"/>
      <c r="BW252" s="106"/>
      <c r="BX252" s="40"/>
      <c r="BY252" s="40"/>
      <c r="BZ252" s="40"/>
      <c r="CA252" s="40"/>
      <c r="CB252" s="155"/>
      <c r="CC252" s="155"/>
      <c r="CD252" s="155"/>
      <c r="CE252" s="155"/>
      <c r="CF252" s="155"/>
      <c r="CG252" s="155"/>
    </row>
    <row r="253" spans="1:85" customFormat="1" ht="53.25" customHeight="1">
      <c r="A253" s="155"/>
      <c r="B253" s="155"/>
      <c r="C253" s="155"/>
      <c r="D253" s="274"/>
      <c r="E253" s="274"/>
      <c r="F253" s="274"/>
      <c r="G253" s="155"/>
      <c r="H253" s="155"/>
      <c r="I253" s="36"/>
      <c r="J253" s="36"/>
      <c r="K253" s="36"/>
      <c r="L253" s="36"/>
      <c r="M253" s="36"/>
      <c r="N253" s="36"/>
      <c r="O253" s="49"/>
      <c r="P253" s="49"/>
      <c r="Q253" s="155"/>
      <c r="R253" s="155"/>
      <c r="S253" s="155"/>
      <c r="T253" s="155"/>
      <c r="U253" s="155"/>
      <c r="V253" s="155"/>
      <c r="W253" s="274"/>
      <c r="X253" s="155"/>
      <c r="Y253" s="155"/>
      <c r="Z253" s="155"/>
      <c r="AA253" s="155"/>
      <c r="AB253" s="155"/>
      <c r="AC253" s="155"/>
      <c r="AD253" s="155"/>
      <c r="AE253" s="155"/>
      <c r="AF253" s="155"/>
      <c r="AG253" s="155"/>
      <c r="AH253" s="36"/>
      <c r="AI253" s="35"/>
      <c r="AJ253" s="35"/>
      <c r="AK253" s="155"/>
      <c r="AL253" s="47" t="s">
        <v>518</v>
      </c>
      <c r="AM253" s="36" t="s">
        <v>520</v>
      </c>
      <c r="AN253" s="48">
        <v>45776</v>
      </c>
      <c r="AO253" s="49">
        <v>14014</v>
      </c>
      <c r="AP253" s="36" t="s">
        <v>637</v>
      </c>
      <c r="AQ253" s="48">
        <v>45783</v>
      </c>
      <c r="AR253" s="48">
        <v>46147</v>
      </c>
      <c r="AS253" s="31"/>
      <c r="AT253" s="32"/>
      <c r="AU253" s="50"/>
      <c r="AV253" s="36"/>
      <c r="AW253" s="78"/>
      <c r="AX253" s="78"/>
      <c r="AY253" s="33"/>
      <c r="AZ253" s="34"/>
      <c r="BA253" s="35"/>
      <c r="BB253" s="35"/>
      <c r="BC253" s="79"/>
      <c r="BD253" s="80"/>
      <c r="BE253" s="80"/>
      <c r="BF253" s="35"/>
      <c r="BG253" s="36"/>
      <c r="BH253" s="35"/>
      <c r="BI253" s="97"/>
      <c r="BJ253" s="38"/>
      <c r="BK253" s="38"/>
      <c r="BL253" s="38"/>
      <c r="BM253" s="38"/>
      <c r="BN253" s="39"/>
      <c r="BO253" s="47"/>
      <c r="BP253" s="106"/>
      <c r="BQ253" s="40"/>
      <c r="BR253" s="40"/>
      <c r="BS253" s="106"/>
      <c r="BT253" s="106"/>
      <c r="BU253" s="106"/>
      <c r="BV253" s="106"/>
      <c r="BW253" s="106"/>
      <c r="BX253" s="40"/>
      <c r="BY253" s="40"/>
      <c r="BZ253" s="40"/>
      <c r="CA253" s="40"/>
      <c r="CB253" s="155"/>
      <c r="CC253" s="155"/>
      <c r="CD253" s="155"/>
      <c r="CE253" s="155"/>
      <c r="CF253" s="155"/>
      <c r="CG253" s="155"/>
    </row>
    <row r="254" spans="1:85" customFormat="1" ht="48.75" customHeight="1">
      <c r="A254" s="162"/>
      <c r="B254" s="162"/>
      <c r="C254" s="162"/>
      <c r="D254" s="276"/>
      <c r="E254" s="276"/>
      <c r="F254" s="276"/>
      <c r="G254" s="162"/>
      <c r="H254" s="162"/>
      <c r="I254" s="36"/>
      <c r="J254" s="36"/>
      <c r="K254" s="36"/>
      <c r="L254" s="36"/>
      <c r="M254" s="36"/>
      <c r="N254" s="36"/>
      <c r="O254" s="49"/>
      <c r="P254" s="49"/>
      <c r="Q254" s="162"/>
      <c r="R254" s="162"/>
      <c r="S254" s="162"/>
      <c r="T254" s="162"/>
      <c r="U254" s="162"/>
      <c r="V254" s="162"/>
      <c r="W254" s="276"/>
      <c r="X254" s="162"/>
      <c r="Y254" s="162"/>
      <c r="Z254" s="162"/>
      <c r="AA254" s="162"/>
      <c r="AB254" s="162"/>
      <c r="AC254" s="162"/>
      <c r="AD254" s="162"/>
      <c r="AE254" s="162"/>
      <c r="AF254" s="162"/>
      <c r="AG254" s="162"/>
      <c r="AH254" s="36"/>
      <c r="AI254" s="35"/>
      <c r="AJ254" s="35"/>
      <c r="AK254" s="162"/>
      <c r="AL254" s="47" t="s">
        <v>518</v>
      </c>
      <c r="AM254" s="36" t="s">
        <v>651</v>
      </c>
      <c r="AN254" s="48">
        <v>46147</v>
      </c>
      <c r="AO254" s="49"/>
      <c r="AP254" s="36" t="s">
        <v>857</v>
      </c>
      <c r="AQ254" s="48">
        <v>46148</v>
      </c>
      <c r="AR254" s="48">
        <v>46331</v>
      </c>
      <c r="AS254" s="31"/>
      <c r="AT254" s="32"/>
      <c r="AU254" s="50"/>
      <c r="AV254" s="36"/>
      <c r="AW254" s="78"/>
      <c r="AX254" s="78"/>
      <c r="AY254" s="33"/>
      <c r="AZ254" s="34"/>
      <c r="BA254" s="35"/>
      <c r="BB254" s="35"/>
      <c r="BC254" s="79"/>
      <c r="BD254" s="80"/>
      <c r="BE254" s="80"/>
      <c r="BF254" s="35"/>
      <c r="BG254" s="36"/>
      <c r="BH254" s="35"/>
      <c r="BI254" s="97">
        <f>AK250</f>
        <v>472499.4</v>
      </c>
      <c r="BJ254" s="76">
        <f>270899.59+472499.28+454124.28</f>
        <v>1197523.1500000001</v>
      </c>
      <c r="BK254" s="76"/>
      <c r="BL254" s="76">
        <f>39374.94+39374.94+39374.94+39374.94+39374.94</f>
        <v>196874.7</v>
      </c>
      <c r="BM254" s="76"/>
      <c r="BN254" s="39"/>
      <c r="BO254" s="47"/>
      <c r="BP254" s="106"/>
      <c r="BQ254" s="40"/>
      <c r="BR254" s="40"/>
      <c r="BS254" s="106"/>
      <c r="BT254" s="106"/>
      <c r="BU254" s="106"/>
      <c r="BV254" s="106"/>
      <c r="BW254" s="106"/>
      <c r="BX254" s="40"/>
      <c r="BY254" s="40"/>
      <c r="BZ254" s="40"/>
      <c r="CA254" s="40"/>
      <c r="CB254" s="162"/>
      <c r="CC254" s="162"/>
      <c r="CD254" s="162"/>
      <c r="CE254" s="162"/>
      <c r="CF254" s="162"/>
      <c r="CG254" s="162"/>
    </row>
    <row r="255" spans="1:85" customFormat="1" ht="20.100000000000001" customHeight="1">
      <c r="A255" s="170">
        <v>82</v>
      </c>
      <c r="B255" s="170" t="s">
        <v>858</v>
      </c>
      <c r="C255" s="154"/>
      <c r="D255" s="273" t="s">
        <v>724</v>
      </c>
      <c r="E255" s="283" t="s">
        <v>180</v>
      </c>
      <c r="F255" s="273" t="s">
        <v>859</v>
      </c>
      <c r="G255" s="44"/>
      <c r="H255" s="170"/>
      <c r="I255" s="36"/>
      <c r="J255" s="36"/>
      <c r="K255" s="36"/>
      <c r="L255" s="36"/>
      <c r="M255" s="154" t="s">
        <v>725</v>
      </c>
      <c r="N255" s="154" t="s">
        <v>860</v>
      </c>
      <c r="O255" s="157">
        <v>12454</v>
      </c>
      <c r="P255" s="157">
        <v>12454</v>
      </c>
      <c r="Q255" s="121"/>
      <c r="R255" s="122"/>
      <c r="S255" s="122"/>
      <c r="T255" s="123"/>
      <c r="U255" s="101"/>
      <c r="V255" s="123"/>
      <c r="W255" s="36"/>
      <c r="X255" s="35"/>
      <c r="Y255" s="154" t="s">
        <v>861</v>
      </c>
      <c r="Z255" s="154" t="s">
        <v>862</v>
      </c>
      <c r="AA255" s="154" t="s">
        <v>863</v>
      </c>
      <c r="AB255" s="161">
        <v>43070</v>
      </c>
      <c r="AC255" s="175">
        <v>12282</v>
      </c>
      <c r="AD255" s="176">
        <v>43070</v>
      </c>
      <c r="AE255" s="176">
        <v>43434</v>
      </c>
      <c r="AF255" s="177" t="s">
        <v>453</v>
      </c>
      <c r="AG255" s="170" t="s">
        <v>185</v>
      </c>
      <c r="AH255" s="36"/>
      <c r="AI255" s="35"/>
      <c r="AJ255" s="35"/>
      <c r="AK255" s="174">
        <v>144000</v>
      </c>
      <c r="AL255" s="72"/>
      <c r="AM255" s="72"/>
      <c r="AN255" s="48"/>
      <c r="AO255" s="49"/>
      <c r="AP255" s="36"/>
      <c r="AQ255" s="48"/>
      <c r="AR255" s="48"/>
      <c r="AS255" s="31"/>
      <c r="AT255" s="32"/>
      <c r="AU255" s="50"/>
      <c r="AV255" s="50"/>
      <c r="AW255" s="78"/>
      <c r="AX255" s="78"/>
      <c r="AY255" s="33"/>
      <c r="AZ255" s="34"/>
      <c r="BA255" s="35"/>
      <c r="BB255" s="35"/>
      <c r="BC255" s="80"/>
      <c r="BD255" s="80"/>
      <c r="BE255" s="80"/>
      <c r="BF255" s="35"/>
      <c r="BG255" s="36"/>
      <c r="BH255" s="35"/>
      <c r="BI255" s="78">
        <f>AK255</f>
        <v>144000</v>
      </c>
      <c r="BJ255" s="124">
        <f>12000+12000+60000+12000+12000+36000+24000+36000+48000+144000+121756.03+132000+13048.39+168639.24+168639.24+168639.24+177282.76+29486.88</f>
        <v>1375491.78</v>
      </c>
      <c r="BK255" s="125">
        <f>162177.84+14743.44+361.48</f>
        <v>177282.76</v>
      </c>
      <c r="BL255" s="125">
        <f>14743.44+31294.28</f>
        <v>46037.72</v>
      </c>
      <c r="BM255" s="125"/>
      <c r="BN255" s="39"/>
      <c r="BO255" s="36"/>
      <c r="BP255" s="40"/>
      <c r="BQ255" s="40"/>
      <c r="BR255" s="40"/>
      <c r="BS255" s="40"/>
      <c r="BT255" s="40"/>
      <c r="BU255" s="40"/>
      <c r="BV255" s="40"/>
      <c r="BW255" s="40"/>
      <c r="BX255" s="40"/>
      <c r="BY255" s="40"/>
      <c r="BZ255" s="40"/>
      <c r="CA255" s="40"/>
      <c r="CB255" s="154" t="s">
        <v>864</v>
      </c>
      <c r="CC255" s="154">
        <v>12982</v>
      </c>
      <c r="CD255" s="154" t="s">
        <v>865</v>
      </c>
      <c r="CE255" s="190">
        <v>712961</v>
      </c>
      <c r="CF255" s="190" t="s">
        <v>866</v>
      </c>
      <c r="CG255" s="154" t="s">
        <v>867</v>
      </c>
    </row>
    <row r="256" spans="1:85" customFormat="1" ht="30" customHeight="1">
      <c r="A256" s="155"/>
      <c r="B256" s="155"/>
      <c r="C256" s="155"/>
      <c r="D256" s="274"/>
      <c r="E256" s="274"/>
      <c r="F256" s="274"/>
      <c r="G256" s="53"/>
      <c r="H256" s="155"/>
      <c r="I256" s="36"/>
      <c r="J256" s="36"/>
      <c r="K256" s="36"/>
      <c r="L256" s="36"/>
      <c r="M256" s="155"/>
      <c r="N256" s="155"/>
      <c r="O256" s="155"/>
      <c r="P256" s="155"/>
      <c r="Q256" s="121"/>
      <c r="R256" s="122"/>
      <c r="S256" s="122"/>
      <c r="T256" s="123"/>
      <c r="U256" s="101"/>
      <c r="V256" s="123"/>
      <c r="W256" s="36"/>
      <c r="X256" s="35"/>
      <c r="Y256" s="155"/>
      <c r="Z256" s="155"/>
      <c r="AA256" s="155"/>
      <c r="AB256" s="155"/>
      <c r="AC256" s="155"/>
      <c r="AD256" s="155"/>
      <c r="AE256" s="155"/>
      <c r="AF256" s="155"/>
      <c r="AG256" s="155"/>
      <c r="AH256" s="36"/>
      <c r="AI256" s="35"/>
      <c r="AJ256" s="35"/>
      <c r="AK256" s="155"/>
      <c r="AL256" s="72" t="s">
        <v>518</v>
      </c>
      <c r="AM256" s="72" t="s">
        <v>199</v>
      </c>
      <c r="AN256" s="48">
        <v>43434</v>
      </c>
      <c r="AO256" s="49">
        <v>12454</v>
      </c>
      <c r="AP256" s="36" t="s">
        <v>766</v>
      </c>
      <c r="AQ256" s="48">
        <v>43435</v>
      </c>
      <c r="AR256" s="48">
        <v>43799</v>
      </c>
      <c r="AS256" s="31"/>
      <c r="AT256" s="32"/>
      <c r="AU256" s="50"/>
      <c r="AV256" s="50"/>
      <c r="AW256" s="78"/>
      <c r="AX256" s="78"/>
      <c r="AY256" s="33"/>
      <c r="AZ256" s="34"/>
      <c r="BA256" s="35"/>
      <c r="BB256" s="35"/>
      <c r="BC256" s="80"/>
      <c r="BD256" s="80"/>
      <c r="BE256" s="80"/>
      <c r="BF256" s="35"/>
      <c r="BG256" s="36"/>
      <c r="BH256" s="35"/>
      <c r="BI256" s="35"/>
      <c r="BJ256" s="124"/>
      <c r="BK256" s="124"/>
      <c r="BL256" s="124"/>
      <c r="BM256" s="124"/>
      <c r="BN256" s="39">
        <f t="shared" ref="BN256:BN269" si="28">BJ256+BL256</f>
        <v>0</v>
      </c>
      <c r="BO256" s="36"/>
      <c r="BP256" s="40"/>
      <c r="BQ256" s="40"/>
      <c r="BR256" s="40"/>
      <c r="BS256" s="40"/>
      <c r="BT256" s="40"/>
      <c r="BU256" s="40"/>
      <c r="BV256" s="40"/>
      <c r="BW256" s="40"/>
      <c r="BX256" s="40"/>
      <c r="BY256" s="40"/>
      <c r="BZ256" s="40"/>
      <c r="CA256" s="40"/>
      <c r="CB256" s="155"/>
      <c r="CC256" s="155"/>
      <c r="CD256" s="155"/>
      <c r="CE256" s="181"/>
      <c r="CF256" s="181"/>
      <c r="CG256" s="155"/>
    </row>
    <row r="257" spans="1:85" customFormat="1" ht="39.950000000000003" customHeight="1">
      <c r="A257" s="155"/>
      <c r="B257" s="155"/>
      <c r="C257" s="155"/>
      <c r="D257" s="274"/>
      <c r="E257" s="274"/>
      <c r="F257" s="274"/>
      <c r="G257" s="53"/>
      <c r="H257" s="155"/>
      <c r="I257" s="36"/>
      <c r="J257" s="36"/>
      <c r="K257" s="36"/>
      <c r="L257" s="36"/>
      <c r="M257" s="155"/>
      <c r="N257" s="155"/>
      <c r="O257" s="155"/>
      <c r="P257" s="155"/>
      <c r="Q257" s="121"/>
      <c r="R257" s="122"/>
      <c r="S257" s="122"/>
      <c r="T257" s="123"/>
      <c r="U257" s="101"/>
      <c r="V257" s="123"/>
      <c r="W257" s="36"/>
      <c r="X257" s="35"/>
      <c r="Y257" s="155"/>
      <c r="Z257" s="155"/>
      <c r="AA257" s="155"/>
      <c r="AB257" s="155"/>
      <c r="AC257" s="155"/>
      <c r="AD257" s="155"/>
      <c r="AE257" s="155"/>
      <c r="AF257" s="155"/>
      <c r="AG257" s="155"/>
      <c r="AH257" s="36"/>
      <c r="AI257" s="35"/>
      <c r="AJ257" s="35"/>
      <c r="AK257" s="155"/>
      <c r="AL257" s="72" t="s">
        <v>518</v>
      </c>
      <c r="AM257" s="72" t="s">
        <v>459</v>
      </c>
      <c r="AN257" s="48">
        <v>43757</v>
      </c>
      <c r="AO257" s="49">
        <v>12694</v>
      </c>
      <c r="AP257" s="36" t="s">
        <v>868</v>
      </c>
      <c r="AQ257" s="48">
        <v>43757</v>
      </c>
      <c r="AR257" s="48">
        <v>43799</v>
      </c>
      <c r="AS257" s="31"/>
      <c r="AT257" s="32"/>
      <c r="AU257" s="50"/>
      <c r="AV257" s="50"/>
      <c r="AW257" s="78"/>
      <c r="AX257" s="78"/>
      <c r="AY257" s="33"/>
      <c r="AZ257" s="34"/>
      <c r="BA257" s="35"/>
      <c r="BB257" s="35"/>
      <c r="BC257" s="80"/>
      <c r="BD257" s="80"/>
      <c r="BE257" s="80"/>
      <c r="BF257" s="35"/>
      <c r="BG257" s="36"/>
      <c r="BH257" s="35"/>
      <c r="BI257" s="35"/>
      <c r="BJ257" s="124"/>
      <c r="BK257" s="124"/>
      <c r="BL257" s="124"/>
      <c r="BM257" s="124"/>
      <c r="BN257" s="39">
        <f t="shared" si="28"/>
        <v>0</v>
      </c>
      <c r="BO257" s="36"/>
      <c r="BP257" s="40"/>
      <c r="BQ257" s="40"/>
      <c r="BR257" s="40"/>
      <c r="BS257" s="40"/>
      <c r="BT257" s="40"/>
      <c r="BU257" s="40"/>
      <c r="BV257" s="40"/>
      <c r="BW257" s="40"/>
      <c r="BX257" s="40"/>
      <c r="BY257" s="40"/>
      <c r="BZ257" s="40"/>
      <c r="CA257" s="40"/>
      <c r="CB257" s="155"/>
      <c r="CC257" s="155"/>
      <c r="CD257" s="155"/>
      <c r="CE257" s="181"/>
      <c r="CF257" s="181"/>
      <c r="CG257" s="155"/>
    </row>
    <row r="258" spans="1:85" customFormat="1" ht="39.950000000000003" customHeight="1">
      <c r="A258" s="155"/>
      <c r="B258" s="155"/>
      <c r="C258" s="155"/>
      <c r="D258" s="274"/>
      <c r="E258" s="274"/>
      <c r="F258" s="274"/>
      <c r="G258" s="53"/>
      <c r="H258" s="155"/>
      <c r="I258" s="36"/>
      <c r="J258" s="36"/>
      <c r="K258" s="36"/>
      <c r="L258" s="36"/>
      <c r="M258" s="155"/>
      <c r="N258" s="155"/>
      <c r="O258" s="155"/>
      <c r="P258" s="155"/>
      <c r="Q258" s="121"/>
      <c r="R258" s="122"/>
      <c r="S258" s="122"/>
      <c r="T258" s="123"/>
      <c r="U258" s="101"/>
      <c r="V258" s="123"/>
      <c r="W258" s="36"/>
      <c r="X258" s="35"/>
      <c r="Y258" s="155"/>
      <c r="Z258" s="155"/>
      <c r="AA258" s="155"/>
      <c r="AB258" s="155"/>
      <c r="AC258" s="155"/>
      <c r="AD258" s="155"/>
      <c r="AE258" s="155"/>
      <c r="AF258" s="155"/>
      <c r="AG258" s="155"/>
      <c r="AH258" s="36"/>
      <c r="AI258" s="35"/>
      <c r="AJ258" s="35"/>
      <c r="AK258" s="155"/>
      <c r="AL258" s="72" t="s">
        <v>518</v>
      </c>
      <c r="AM258" s="72" t="s">
        <v>520</v>
      </c>
      <c r="AN258" s="48">
        <v>43799</v>
      </c>
      <c r="AO258" s="49">
        <v>12697</v>
      </c>
      <c r="AP258" s="36" t="s">
        <v>766</v>
      </c>
      <c r="AQ258" s="48">
        <v>43800</v>
      </c>
      <c r="AR258" s="48">
        <v>44165</v>
      </c>
      <c r="AS258" s="31"/>
      <c r="AT258" s="32"/>
      <c r="AU258" s="50"/>
      <c r="AV258" s="50"/>
      <c r="AW258" s="78"/>
      <c r="AX258" s="78"/>
      <c r="AY258" s="33"/>
      <c r="AZ258" s="34"/>
      <c r="BA258" s="35"/>
      <c r="BB258" s="35"/>
      <c r="BC258" s="80"/>
      <c r="BD258" s="80"/>
      <c r="BE258" s="80"/>
      <c r="BF258" s="35"/>
      <c r="BG258" s="36"/>
      <c r="BH258" s="35"/>
      <c r="BI258" s="35"/>
      <c r="BJ258" s="124"/>
      <c r="BK258" s="124"/>
      <c r="BL258" s="124"/>
      <c r="BM258" s="124"/>
      <c r="BN258" s="39">
        <f t="shared" si="28"/>
        <v>0</v>
      </c>
      <c r="BO258" s="36"/>
      <c r="BP258" s="40"/>
      <c r="BQ258" s="40"/>
      <c r="BR258" s="40"/>
      <c r="BS258" s="40"/>
      <c r="BT258" s="40"/>
      <c r="BU258" s="40"/>
      <c r="BV258" s="40"/>
      <c r="BW258" s="40"/>
      <c r="BX258" s="40"/>
      <c r="BY258" s="40"/>
      <c r="BZ258" s="40"/>
      <c r="CA258" s="40"/>
      <c r="CB258" s="155"/>
      <c r="CC258" s="155"/>
      <c r="CD258" s="155"/>
      <c r="CE258" s="181"/>
      <c r="CF258" s="181"/>
      <c r="CG258" s="155"/>
    </row>
    <row r="259" spans="1:85" customFormat="1" ht="39.950000000000003" customHeight="1">
      <c r="A259" s="155"/>
      <c r="B259" s="155"/>
      <c r="C259" s="155"/>
      <c r="D259" s="274"/>
      <c r="E259" s="274"/>
      <c r="F259" s="274"/>
      <c r="G259" s="53"/>
      <c r="H259" s="155"/>
      <c r="I259" s="36"/>
      <c r="J259" s="36"/>
      <c r="K259" s="36"/>
      <c r="L259" s="36"/>
      <c r="M259" s="155"/>
      <c r="N259" s="155"/>
      <c r="O259" s="155"/>
      <c r="P259" s="155"/>
      <c r="Q259" s="121"/>
      <c r="R259" s="122"/>
      <c r="S259" s="122"/>
      <c r="T259" s="123"/>
      <c r="U259" s="101"/>
      <c r="V259" s="123"/>
      <c r="W259" s="36"/>
      <c r="X259" s="35"/>
      <c r="Y259" s="155"/>
      <c r="Z259" s="155"/>
      <c r="AA259" s="155"/>
      <c r="AB259" s="155"/>
      <c r="AC259" s="155"/>
      <c r="AD259" s="155"/>
      <c r="AE259" s="155"/>
      <c r="AF259" s="155"/>
      <c r="AG259" s="155"/>
      <c r="AH259" s="36"/>
      <c r="AI259" s="35"/>
      <c r="AJ259" s="35"/>
      <c r="AK259" s="155"/>
      <c r="AL259" s="72" t="s">
        <v>518</v>
      </c>
      <c r="AM259" s="72" t="s">
        <v>651</v>
      </c>
      <c r="AN259" s="48">
        <v>44147</v>
      </c>
      <c r="AO259" s="49">
        <v>12926</v>
      </c>
      <c r="AP259" s="36" t="s">
        <v>766</v>
      </c>
      <c r="AQ259" s="48">
        <v>44166</v>
      </c>
      <c r="AR259" s="48">
        <v>44530</v>
      </c>
      <c r="AS259" s="31"/>
      <c r="AT259" s="32"/>
      <c r="AU259" s="50"/>
      <c r="AV259" s="50"/>
      <c r="AW259" s="78"/>
      <c r="AX259" s="78"/>
      <c r="AY259" s="33"/>
      <c r="AZ259" s="34"/>
      <c r="BA259" s="35"/>
      <c r="BB259" s="35"/>
      <c r="BC259" s="80"/>
      <c r="BD259" s="80"/>
      <c r="BE259" s="80"/>
      <c r="BF259" s="35"/>
      <c r="BG259" s="36"/>
      <c r="BH259" s="35"/>
      <c r="BI259" s="78">
        <f>AK255</f>
        <v>144000</v>
      </c>
      <c r="BJ259" s="124"/>
      <c r="BK259" s="124"/>
      <c r="BL259" s="124"/>
      <c r="BM259" s="124"/>
      <c r="BN259" s="39">
        <f t="shared" si="28"/>
        <v>0</v>
      </c>
      <c r="BO259" s="36"/>
      <c r="BP259" s="40"/>
      <c r="BQ259" s="40"/>
      <c r="BR259" s="40"/>
      <c r="BS259" s="40"/>
      <c r="BT259" s="40"/>
      <c r="BU259" s="40"/>
      <c r="BV259" s="40"/>
      <c r="BW259" s="40"/>
      <c r="BX259" s="40"/>
      <c r="BY259" s="40"/>
      <c r="BZ259" s="40"/>
      <c r="CA259" s="40"/>
      <c r="CB259" s="155"/>
      <c r="CC259" s="155"/>
      <c r="CD259" s="155"/>
      <c r="CE259" s="181"/>
      <c r="CF259" s="181"/>
      <c r="CG259" s="155"/>
    </row>
    <row r="260" spans="1:85" customFormat="1" ht="39.950000000000003" customHeight="1">
      <c r="A260" s="155"/>
      <c r="B260" s="155"/>
      <c r="C260" s="155"/>
      <c r="D260" s="274"/>
      <c r="E260" s="274"/>
      <c r="F260" s="274"/>
      <c r="G260" s="53"/>
      <c r="H260" s="155"/>
      <c r="I260" s="36"/>
      <c r="J260" s="36"/>
      <c r="K260" s="36"/>
      <c r="L260" s="36"/>
      <c r="M260" s="155"/>
      <c r="N260" s="155"/>
      <c r="O260" s="155"/>
      <c r="P260" s="155"/>
      <c r="Q260" s="121"/>
      <c r="R260" s="122"/>
      <c r="S260" s="122"/>
      <c r="T260" s="123"/>
      <c r="U260" s="101"/>
      <c r="V260" s="123"/>
      <c r="W260" s="36"/>
      <c r="X260" s="35"/>
      <c r="Y260" s="155"/>
      <c r="Z260" s="155"/>
      <c r="AA260" s="155"/>
      <c r="AB260" s="155"/>
      <c r="AC260" s="155"/>
      <c r="AD260" s="155"/>
      <c r="AE260" s="155"/>
      <c r="AF260" s="155"/>
      <c r="AG260" s="155"/>
      <c r="AH260" s="36"/>
      <c r="AI260" s="35"/>
      <c r="AJ260" s="35"/>
      <c r="AK260" s="155"/>
      <c r="AL260" s="72" t="s">
        <v>518</v>
      </c>
      <c r="AM260" s="72" t="s">
        <v>653</v>
      </c>
      <c r="AN260" s="48">
        <v>44530</v>
      </c>
      <c r="AO260" s="49">
        <v>13181</v>
      </c>
      <c r="AP260" s="36" t="s">
        <v>869</v>
      </c>
      <c r="AQ260" s="48">
        <v>44531</v>
      </c>
      <c r="AR260" s="48">
        <v>44895</v>
      </c>
      <c r="AS260" s="31"/>
      <c r="AT260" s="32"/>
      <c r="AU260" s="50"/>
      <c r="AV260" s="50"/>
      <c r="AW260" s="78"/>
      <c r="AX260" s="78"/>
      <c r="AY260" s="33"/>
      <c r="AZ260" s="34"/>
      <c r="BA260" s="35"/>
      <c r="BB260" s="35"/>
      <c r="BC260" s="80"/>
      <c r="BD260" s="86">
        <f>BE260/BI255</f>
        <v>0.17110583333333335</v>
      </c>
      <c r="BE260" s="80">
        <v>24639.24</v>
      </c>
      <c r="BF260" s="35"/>
      <c r="BG260" s="36"/>
      <c r="BH260" s="35"/>
      <c r="BI260" s="78">
        <f>BI255+BE260</f>
        <v>168639.24</v>
      </c>
      <c r="BJ260" s="124"/>
      <c r="BK260" s="124"/>
      <c r="BL260" s="124"/>
      <c r="BM260" s="124"/>
      <c r="BN260" s="39">
        <f t="shared" si="28"/>
        <v>0</v>
      </c>
      <c r="BO260" s="36"/>
      <c r="BP260" s="40"/>
      <c r="BQ260" s="40"/>
      <c r="BR260" s="40"/>
      <c r="BS260" s="40"/>
      <c r="BT260" s="40"/>
      <c r="BU260" s="40"/>
      <c r="BV260" s="40"/>
      <c r="BW260" s="40"/>
      <c r="BX260" s="40"/>
      <c r="BY260" s="40"/>
      <c r="BZ260" s="40"/>
      <c r="CA260" s="40"/>
      <c r="CB260" s="155"/>
      <c r="CC260" s="155"/>
      <c r="CD260" s="155"/>
      <c r="CE260" s="181"/>
      <c r="CF260" s="181"/>
      <c r="CG260" s="155"/>
    </row>
    <row r="261" spans="1:85" customFormat="1" ht="39.950000000000003" customHeight="1">
      <c r="A261" s="155"/>
      <c r="B261" s="155"/>
      <c r="C261" s="155"/>
      <c r="D261" s="274"/>
      <c r="E261" s="274"/>
      <c r="F261" s="274"/>
      <c r="G261" s="53"/>
      <c r="H261" s="155"/>
      <c r="I261" s="36"/>
      <c r="J261" s="36"/>
      <c r="K261" s="36"/>
      <c r="L261" s="36"/>
      <c r="M261" s="155"/>
      <c r="N261" s="155"/>
      <c r="O261" s="155"/>
      <c r="P261" s="155"/>
      <c r="Q261" s="121"/>
      <c r="R261" s="122"/>
      <c r="S261" s="122"/>
      <c r="T261" s="123"/>
      <c r="U261" s="101"/>
      <c r="V261" s="123"/>
      <c r="W261" s="36"/>
      <c r="X261" s="35"/>
      <c r="Y261" s="155"/>
      <c r="Z261" s="155"/>
      <c r="AA261" s="155"/>
      <c r="AB261" s="155"/>
      <c r="AC261" s="155"/>
      <c r="AD261" s="155"/>
      <c r="AE261" s="155"/>
      <c r="AF261" s="155"/>
      <c r="AG261" s="155"/>
      <c r="AH261" s="36"/>
      <c r="AI261" s="35"/>
      <c r="AJ261" s="35"/>
      <c r="AK261" s="155"/>
      <c r="AL261" s="72" t="s">
        <v>518</v>
      </c>
      <c r="AM261" s="72" t="s">
        <v>870</v>
      </c>
      <c r="AN261" s="48">
        <v>44895</v>
      </c>
      <c r="AO261" s="49">
        <v>13427</v>
      </c>
      <c r="AP261" s="36" t="s">
        <v>621</v>
      </c>
      <c r="AQ261" s="48">
        <v>44896</v>
      </c>
      <c r="AR261" s="48">
        <v>45260</v>
      </c>
      <c r="AS261" s="31"/>
      <c r="AT261" s="32"/>
      <c r="AU261" s="50"/>
      <c r="AV261" s="50"/>
      <c r="AW261" s="78"/>
      <c r="AX261" s="78"/>
      <c r="AY261" s="33"/>
      <c r="AZ261" s="34"/>
      <c r="BA261" s="35"/>
      <c r="BB261" s="35"/>
      <c r="BC261" s="80"/>
      <c r="BD261" s="86"/>
      <c r="BE261" s="80"/>
      <c r="BF261" s="35"/>
      <c r="BG261" s="36"/>
      <c r="BH261" s="35"/>
      <c r="BI261" s="35"/>
      <c r="BJ261" s="124"/>
      <c r="BK261" s="124"/>
      <c r="BL261" s="124"/>
      <c r="BM261" s="124"/>
      <c r="BN261" s="39">
        <f t="shared" si="28"/>
        <v>0</v>
      </c>
      <c r="BO261" s="36"/>
      <c r="BP261" s="40"/>
      <c r="BQ261" s="40"/>
      <c r="BR261" s="40"/>
      <c r="BS261" s="40"/>
      <c r="BT261" s="40"/>
      <c r="BU261" s="40"/>
      <c r="BV261" s="40"/>
      <c r="BW261" s="40"/>
      <c r="BX261" s="40"/>
      <c r="BY261" s="40"/>
      <c r="BZ261" s="40"/>
      <c r="CA261" s="40"/>
      <c r="CB261" s="155"/>
      <c r="CC261" s="155"/>
      <c r="CD261" s="155"/>
      <c r="CE261" s="181"/>
      <c r="CF261" s="181"/>
      <c r="CG261" s="155"/>
    </row>
    <row r="262" spans="1:85" customFormat="1" ht="39.950000000000003" customHeight="1">
      <c r="A262" s="155"/>
      <c r="B262" s="155"/>
      <c r="C262" s="155"/>
      <c r="D262" s="274"/>
      <c r="E262" s="274"/>
      <c r="F262" s="274"/>
      <c r="G262" s="53"/>
      <c r="H262" s="155"/>
      <c r="I262" s="36"/>
      <c r="J262" s="36"/>
      <c r="K262" s="36"/>
      <c r="L262" s="36"/>
      <c r="M262" s="155"/>
      <c r="N262" s="155"/>
      <c r="O262" s="155"/>
      <c r="P262" s="155"/>
      <c r="Q262" s="121"/>
      <c r="R262" s="122"/>
      <c r="S262" s="122"/>
      <c r="T262" s="123"/>
      <c r="U262" s="101"/>
      <c r="V262" s="123"/>
      <c r="W262" s="36"/>
      <c r="X262" s="35"/>
      <c r="Y262" s="155"/>
      <c r="Z262" s="155"/>
      <c r="AA262" s="155"/>
      <c r="AB262" s="155"/>
      <c r="AC262" s="155"/>
      <c r="AD262" s="155"/>
      <c r="AE262" s="155"/>
      <c r="AF262" s="155"/>
      <c r="AG262" s="155"/>
      <c r="AH262" s="36"/>
      <c r="AI262" s="35"/>
      <c r="AJ262" s="35"/>
      <c r="AK262" s="155"/>
      <c r="AL262" s="72" t="s">
        <v>618</v>
      </c>
      <c r="AM262" s="72" t="s">
        <v>871</v>
      </c>
      <c r="AN262" s="48">
        <v>45250</v>
      </c>
      <c r="AO262" s="49">
        <v>13660</v>
      </c>
      <c r="AP262" s="36" t="s">
        <v>621</v>
      </c>
      <c r="AQ262" s="48">
        <v>45261</v>
      </c>
      <c r="AR262" s="48">
        <v>45627</v>
      </c>
      <c r="AS262" s="31"/>
      <c r="AT262" s="32"/>
      <c r="AU262" s="50"/>
      <c r="AV262" s="50"/>
      <c r="AW262" s="78"/>
      <c r="AX262" s="78"/>
      <c r="AY262" s="33"/>
      <c r="AZ262" s="34"/>
      <c r="BA262" s="35"/>
      <c r="BB262" s="35"/>
      <c r="BC262" s="80"/>
      <c r="BD262" s="86"/>
      <c r="BE262" s="80"/>
      <c r="BF262" s="35"/>
      <c r="BG262" s="36"/>
      <c r="BH262" s="35"/>
      <c r="BI262" s="35"/>
      <c r="BJ262" s="124"/>
      <c r="BK262" s="124"/>
      <c r="BL262" s="124"/>
      <c r="BM262" s="124"/>
      <c r="BN262" s="39">
        <f t="shared" si="28"/>
        <v>0</v>
      </c>
      <c r="BO262" s="36"/>
      <c r="BP262" s="40"/>
      <c r="BQ262" s="40"/>
      <c r="BR262" s="40"/>
      <c r="BS262" s="40"/>
      <c r="BT262" s="40"/>
      <c r="BU262" s="40"/>
      <c r="BV262" s="40"/>
      <c r="BW262" s="40"/>
      <c r="BX262" s="40"/>
      <c r="BY262" s="40"/>
      <c r="BZ262" s="40"/>
      <c r="CA262" s="40"/>
      <c r="CB262" s="155"/>
      <c r="CC262" s="155"/>
      <c r="CD262" s="155"/>
      <c r="CE262" s="181"/>
      <c r="CF262" s="181"/>
      <c r="CG262" s="155"/>
    </row>
    <row r="263" spans="1:85" customFormat="1" ht="39.950000000000003" customHeight="1">
      <c r="A263" s="155"/>
      <c r="B263" s="155"/>
      <c r="C263" s="155"/>
      <c r="D263" s="274"/>
      <c r="E263" s="274"/>
      <c r="F263" s="274"/>
      <c r="G263" s="53"/>
      <c r="H263" s="155"/>
      <c r="I263" s="36"/>
      <c r="J263" s="36"/>
      <c r="K263" s="36"/>
      <c r="L263" s="36"/>
      <c r="M263" s="155"/>
      <c r="N263" s="155"/>
      <c r="O263" s="155"/>
      <c r="P263" s="155"/>
      <c r="Q263" s="121"/>
      <c r="R263" s="122"/>
      <c r="S263" s="122"/>
      <c r="T263" s="123"/>
      <c r="U263" s="101"/>
      <c r="V263" s="123"/>
      <c r="W263" s="36"/>
      <c r="X263" s="35"/>
      <c r="Y263" s="155"/>
      <c r="Z263" s="155"/>
      <c r="AA263" s="155"/>
      <c r="AB263" s="155"/>
      <c r="AC263" s="155"/>
      <c r="AD263" s="155"/>
      <c r="AE263" s="155"/>
      <c r="AF263" s="155"/>
      <c r="AG263" s="155"/>
      <c r="AH263" s="36"/>
      <c r="AI263" s="35"/>
      <c r="AJ263" s="35"/>
      <c r="AK263" s="155"/>
      <c r="AL263" s="72" t="s">
        <v>618</v>
      </c>
      <c r="AM263" s="72" t="s">
        <v>872</v>
      </c>
      <c r="AN263" s="48">
        <v>45628</v>
      </c>
      <c r="AO263" s="49">
        <v>13926</v>
      </c>
      <c r="AP263" s="36" t="s">
        <v>873</v>
      </c>
      <c r="AQ263" s="48">
        <v>45628</v>
      </c>
      <c r="AR263" s="48">
        <v>45993</v>
      </c>
      <c r="AS263" s="31"/>
      <c r="AT263" s="32"/>
      <c r="AU263" s="50">
        <f>AW263/BI260</f>
        <v>4.9110989826567066E-2</v>
      </c>
      <c r="AV263" s="50"/>
      <c r="AW263" s="78">
        <v>8282.0400000000009</v>
      </c>
      <c r="AX263" s="78"/>
      <c r="AY263" s="33"/>
      <c r="AZ263" s="34"/>
      <c r="BA263" s="35"/>
      <c r="BB263" s="35"/>
      <c r="BC263" s="80"/>
      <c r="BD263" s="86"/>
      <c r="BE263" s="80"/>
      <c r="BF263" s="35"/>
      <c r="BG263" s="36"/>
      <c r="BH263" s="35"/>
      <c r="BI263" s="78">
        <f>BI260+AW263</f>
        <v>176921.28</v>
      </c>
      <c r="BJ263" s="124"/>
      <c r="BK263" s="124"/>
      <c r="BL263" s="124"/>
      <c r="BM263" s="124"/>
      <c r="BN263" s="39">
        <f t="shared" si="28"/>
        <v>0</v>
      </c>
      <c r="BO263" s="36"/>
      <c r="BP263" s="40"/>
      <c r="BQ263" s="40"/>
      <c r="BR263" s="40"/>
      <c r="BS263" s="40"/>
      <c r="BT263" s="40"/>
      <c r="BU263" s="40"/>
      <c r="BV263" s="40"/>
      <c r="BW263" s="40"/>
      <c r="BX263" s="40"/>
      <c r="BY263" s="40"/>
      <c r="BZ263" s="40"/>
      <c r="CA263" s="40"/>
      <c r="CB263" s="155"/>
      <c r="CC263" s="155"/>
      <c r="CD263" s="155"/>
      <c r="CE263" s="181"/>
      <c r="CF263" s="181"/>
      <c r="CG263" s="155"/>
    </row>
    <row r="264" spans="1:85" customFormat="1" ht="39.950000000000003" customHeight="1" thickBot="1">
      <c r="A264" s="162"/>
      <c r="B264" s="162"/>
      <c r="C264" s="162"/>
      <c r="D264" s="276"/>
      <c r="E264" s="276"/>
      <c r="F264" s="276"/>
      <c r="G264" s="47"/>
      <c r="H264" s="162"/>
      <c r="I264" s="36"/>
      <c r="J264" s="36"/>
      <c r="K264" s="36"/>
      <c r="L264" s="36"/>
      <c r="M264" s="162"/>
      <c r="N264" s="162"/>
      <c r="O264" s="162"/>
      <c r="P264" s="162"/>
      <c r="Q264" s="121"/>
      <c r="R264" s="122"/>
      <c r="S264" s="122"/>
      <c r="T264" s="123"/>
      <c r="U264" s="101"/>
      <c r="V264" s="123"/>
      <c r="W264" s="36"/>
      <c r="X264" s="35"/>
      <c r="Y264" s="162"/>
      <c r="Z264" s="162"/>
      <c r="AA264" s="162"/>
      <c r="AB264" s="162"/>
      <c r="AC264" s="162"/>
      <c r="AD264" s="162"/>
      <c r="AE264" s="162"/>
      <c r="AF264" s="162"/>
      <c r="AG264" s="162"/>
      <c r="AH264" s="36"/>
      <c r="AI264" s="35"/>
      <c r="AJ264" s="35"/>
      <c r="AK264" s="162"/>
      <c r="AL264" s="72" t="s">
        <v>618</v>
      </c>
      <c r="AM264" s="72" t="s">
        <v>874</v>
      </c>
      <c r="AN264" s="48">
        <v>45992</v>
      </c>
      <c r="AO264" s="49">
        <v>14166</v>
      </c>
      <c r="AP264" s="36" t="s">
        <v>652</v>
      </c>
      <c r="AQ264" s="48">
        <v>45992</v>
      </c>
      <c r="AR264" s="48">
        <v>46356</v>
      </c>
      <c r="AS264" s="31"/>
      <c r="AT264" s="32"/>
      <c r="AU264" s="50">
        <f>AW264/BI263</f>
        <v>2.4518022930876376E-2</v>
      </c>
      <c r="AV264" s="50"/>
      <c r="AW264" s="78">
        <v>4337.76</v>
      </c>
      <c r="AX264" s="78"/>
      <c r="AY264" s="33"/>
      <c r="AZ264" s="34"/>
      <c r="BA264" s="35"/>
      <c r="BB264" s="35"/>
      <c r="BC264" s="80"/>
      <c r="BD264" s="80"/>
      <c r="BE264" s="80"/>
      <c r="BF264" s="35"/>
      <c r="BG264" s="36"/>
      <c r="BH264" s="35"/>
      <c r="BI264" s="97">
        <v>181259.04</v>
      </c>
      <c r="BJ264" s="124"/>
      <c r="BK264" s="124"/>
      <c r="BL264" s="124"/>
      <c r="BM264" s="124"/>
      <c r="BN264" s="39">
        <f t="shared" si="28"/>
        <v>0</v>
      </c>
      <c r="BO264" s="36"/>
      <c r="BP264" s="40"/>
      <c r="BQ264" s="40"/>
      <c r="BR264" s="40"/>
      <c r="BS264" s="40"/>
      <c r="BT264" s="40"/>
      <c r="BU264" s="40"/>
      <c r="BV264" s="40"/>
      <c r="BW264" s="40"/>
      <c r="BX264" s="40"/>
      <c r="BY264" s="40"/>
      <c r="BZ264" s="40"/>
      <c r="CA264" s="40"/>
      <c r="CB264" s="162"/>
      <c r="CC264" s="162"/>
      <c r="CD264" s="162"/>
      <c r="CE264" s="191"/>
      <c r="CF264" s="191"/>
      <c r="CG264" s="162"/>
    </row>
    <row r="265" spans="1:85" customFormat="1" ht="20.100000000000001" customHeight="1">
      <c r="A265" s="170">
        <v>83</v>
      </c>
      <c r="B265" s="170" t="s">
        <v>875</v>
      </c>
      <c r="C265" s="154" t="s">
        <v>770</v>
      </c>
      <c r="D265" s="273" t="s">
        <v>876</v>
      </c>
      <c r="E265" s="283" t="s">
        <v>180</v>
      </c>
      <c r="F265" s="273" t="s">
        <v>877</v>
      </c>
      <c r="G265" s="154"/>
      <c r="H265" s="170">
        <v>13638</v>
      </c>
      <c r="I265" s="36"/>
      <c r="J265" s="36"/>
      <c r="K265" s="36"/>
      <c r="L265" s="36"/>
      <c r="M265" s="44"/>
      <c r="N265" s="44"/>
      <c r="O265" s="77"/>
      <c r="P265" s="77"/>
      <c r="Q265" s="72"/>
      <c r="R265" s="126"/>
      <c r="S265" s="126"/>
      <c r="T265" s="40"/>
      <c r="U265" s="47"/>
      <c r="V265" s="106"/>
      <c r="W265" s="36"/>
      <c r="X265" s="35"/>
      <c r="Y265" s="154" t="s">
        <v>878</v>
      </c>
      <c r="Z265" s="154" t="s">
        <v>879</v>
      </c>
      <c r="AA265" s="154" t="s">
        <v>880</v>
      </c>
      <c r="AB265" s="161">
        <v>45223</v>
      </c>
      <c r="AC265" s="170">
        <v>13646</v>
      </c>
      <c r="AD265" s="176">
        <v>45223</v>
      </c>
      <c r="AE265" s="176">
        <v>45463</v>
      </c>
      <c r="AF265" s="177" t="s">
        <v>453</v>
      </c>
      <c r="AG265" s="170" t="s">
        <v>881</v>
      </c>
      <c r="AH265" s="36"/>
      <c r="AI265" s="35"/>
      <c r="AJ265" s="35"/>
      <c r="AK265" s="174">
        <v>382148.29</v>
      </c>
      <c r="AL265" s="72"/>
      <c r="AM265" s="98"/>
      <c r="AN265" s="111"/>
      <c r="AO265" s="77"/>
      <c r="AP265" s="36"/>
      <c r="AQ265" s="116"/>
      <c r="AR265" s="116"/>
      <c r="AS265" s="31"/>
      <c r="AT265" s="32"/>
      <c r="AU265" s="50"/>
      <c r="AV265" s="86"/>
      <c r="AW265" s="80"/>
      <c r="AX265" s="80"/>
      <c r="AY265" s="33"/>
      <c r="AZ265" s="34"/>
      <c r="BA265" s="35"/>
      <c r="BB265" s="35"/>
      <c r="BC265" s="80"/>
      <c r="BD265" s="80"/>
      <c r="BE265" s="80"/>
      <c r="BF265" s="35"/>
      <c r="BG265" s="36"/>
      <c r="BH265" s="35"/>
      <c r="BI265" s="97">
        <f>AK265</f>
        <v>382148.29</v>
      </c>
      <c r="BJ265" s="125">
        <f>7489.26+75146.23+14894.72</f>
        <v>97530.209999999992</v>
      </c>
      <c r="BK265" s="125">
        <f>86675.06+3240.38+9764.93</f>
        <v>99680.37</v>
      </c>
      <c r="BL265" s="125">
        <f>37654.19</f>
        <v>37654.19</v>
      </c>
      <c r="BM265" s="125">
        <f>73083.95+2756.19+8945.51</f>
        <v>84785.65</v>
      </c>
      <c r="BN265" s="39">
        <f t="shared" si="28"/>
        <v>135184.4</v>
      </c>
      <c r="BO265" s="154" t="s">
        <v>882</v>
      </c>
      <c r="BP265" s="170" t="s">
        <v>883</v>
      </c>
      <c r="BQ265" s="126">
        <v>45260</v>
      </c>
      <c r="BR265" s="126">
        <v>45440</v>
      </c>
      <c r="BS265" s="179">
        <f>BN265/BI268</f>
        <v>0.28577131369646458</v>
      </c>
      <c r="BT265" s="170"/>
      <c r="BU265" s="176">
        <v>45260</v>
      </c>
      <c r="BV265" s="154" t="s">
        <v>884</v>
      </c>
      <c r="BW265" s="170" t="s">
        <v>885</v>
      </c>
      <c r="BX265" s="170" t="s">
        <v>886</v>
      </c>
      <c r="BY265" s="40"/>
      <c r="BZ265" s="40"/>
      <c r="CA265" s="40"/>
      <c r="CB265" s="184" t="s">
        <v>887</v>
      </c>
      <c r="CC265" s="185">
        <v>13974</v>
      </c>
      <c r="CD265" s="184" t="s">
        <v>888</v>
      </c>
      <c r="CE265" s="185">
        <v>711764</v>
      </c>
      <c r="CF265" s="184" t="s">
        <v>889</v>
      </c>
      <c r="CG265" s="187" t="s">
        <v>890</v>
      </c>
    </row>
    <row r="266" spans="1:85" customFormat="1" ht="20.100000000000001" customHeight="1">
      <c r="A266" s="155"/>
      <c r="B266" s="155"/>
      <c r="C266" s="155"/>
      <c r="D266" s="274"/>
      <c r="E266" s="274"/>
      <c r="F266" s="274"/>
      <c r="G266" s="155"/>
      <c r="H266" s="155"/>
      <c r="I266" s="36"/>
      <c r="J266" s="36"/>
      <c r="K266" s="36"/>
      <c r="L266" s="36"/>
      <c r="M266" s="44"/>
      <c r="N266" s="44"/>
      <c r="O266" s="77"/>
      <c r="P266" s="77"/>
      <c r="Q266" s="72"/>
      <c r="R266" s="126"/>
      <c r="S266" s="126"/>
      <c r="T266" s="40"/>
      <c r="U266" s="47"/>
      <c r="V266" s="106"/>
      <c r="W266" s="36"/>
      <c r="X266" s="35"/>
      <c r="Y266" s="155"/>
      <c r="Z266" s="155"/>
      <c r="AA266" s="155"/>
      <c r="AB266" s="155"/>
      <c r="AC266" s="155"/>
      <c r="AD266" s="155"/>
      <c r="AE266" s="155"/>
      <c r="AF266" s="162"/>
      <c r="AG266" s="155"/>
      <c r="AH266" s="36"/>
      <c r="AI266" s="35"/>
      <c r="AJ266" s="35"/>
      <c r="AK266" s="155"/>
      <c r="AL266" s="72"/>
      <c r="AM266" s="72"/>
      <c r="AN266" s="111"/>
      <c r="AO266" s="77"/>
      <c r="AP266" s="36"/>
      <c r="AQ266" s="116"/>
      <c r="AR266" s="116"/>
      <c r="AS266" s="31"/>
      <c r="AT266" s="32"/>
      <c r="AU266" s="50"/>
      <c r="AV266" s="86"/>
      <c r="AW266" s="80"/>
      <c r="AX266" s="80"/>
      <c r="AY266" s="33"/>
      <c r="AZ266" s="34"/>
      <c r="BA266" s="35"/>
      <c r="BB266" s="35"/>
      <c r="BC266" s="80"/>
      <c r="BD266" s="80"/>
      <c r="BE266" s="80"/>
      <c r="BF266" s="35"/>
      <c r="BG266" s="36"/>
      <c r="BH266" s="35"/>
      <c r="BI266" s="35"/>
      <c r="BJ266" s="125"/>
      <c r="BK266" s="125"/>
      <c r="BL266" s="125"/>
      <c r="BM266" s="125"/>
      <c r="BN266" s="39">
        <f t="shared" si="28"/>
        <v>0</v>
      </c>
      <c r="BO266" s="155"/>
      <c r="BP266" s="155"/>
      <c r="BQ266" s="126"/>
      <c r="BR266" s="126"/>
      <c r="BS266" s="155"/>
      <c r="BT266" s="155"/>
      <c r="BU266" s="155"/>
      <c r="BV266" s="155"/>
      <c r="BW266" s="155"/>
      <c r="BX266" s="155"/>
      <c r="BY266" s="40"/>
      <c r="BZ266" s="40"/>
      <c r="CA266" s="40"/>
      <c r="CB266" s="155"/>
      <c r="CC266" s="155"/>
      <c r="CD266" s="155"/>
      <c r="CE266" s="155"/>
      <c r="CF266" s="155"/>
      <c r="CG266" s="188"/>
    </row>
    <row r="267" spans="1:85" customFormat="1" ht="35.1" customHeight="1">
      <c r="A267" s="155"/>
      <c r="B267" s="155"/>
      <c r="C267" s="155"/>
      <c r="D267" s="274"/>
      <c r="E267" s="274"/>
      <c r="F267" s="274"/>
      <c r="G267" s="155"/>
      <c r="H267" s="155"/>
      <c r="I267" s="36"/>
      <c r="J267" s="36"/>
      <c r="K267" s="36"/>
      <c r="L267" s="36"/>
      <c r="M267" s="44"/>
      <c r="N267" s="44"/>
      <c r="O267" s="77"/>
      <c r="P267" s="77"/>
      <c r="Q267" s="72"/>
      <c r="R267" s="126"/>
      <c r="S267" s="126"/>
      <c r="T267" s="40"/>
      <c r="U267" s="47"/>
      <c r="V267" s="106"/>
      <c r="W267" s="36"/>
      <c r="X267" s="35"/>
      <c r="Y267" s="155"/>
      <c r="Z267" s="155"/>
      <c r="AA267" s="155"/>
      <c r="AB267" s="155"/>
      <c r="AC267" s="155"/>
      <c r="AD267" s="155"/>
      <c r="AE267" s="155"/>
      <c r="AF267" s="127"/>
      <c r="AG267" s="155"/>
      <c r="AH267" s="36"/>
      <c r="AI267" s="35"/>
      <c r="AJ267" s="35"/>
      <c r="AK267" s="155"/>
      <c r="AL267" s="72" t="s">
        <v>518</v>
      </c>
      <c r="AM267" s="72" t="s">
        <v>199</v>
      </c>
      <c r="AN267" s="111">
        <v>45428</v>
      </c>
      <c r="AO267" s="77">
        <v>13781</v>
      </c>
      <c r="AP267" s="289" t="s">
        <v>891</v>
      </c>
      <c r="AQ267" s="116">
        <v>45074</v>
      </c>
      <c r="AR267" s="116">
        <v>45619</v>
      </c>
      <c r="AS267" s="31"/>
      <c r="AT267" s="32"/>
      <c r="AU267" s="50"/>
      <c r="AV267" s="86"/>
      <c r="AW267" s="80"/>
      <c r="AX267" s="80"/>
      <c r="AY267" s="33"/>
      <c r="AZ267" s="34"/>
      <c r="BA267" s="35"/>
      <c r="BB267" s="35"/>
      <c r="BC267" s="80"/>
      <c r="BD267" s="80"/>
      <c r="BE267" s="80"/>
      <c r="BF267" s="35"/>
      <c r="BG267" s="36"/>
      <c r="BH267" s="35"/>
      <c r="BI267" s="78">
        <f>BI265+AW268-AX268</f>
        <v>462321.33999999997</v>
      </c>
      <c r="BJ267" s="125"/>
      <c r="BK267" s="125"/>
      <c r="BL267" s="125"/>
      <c r="BM267" s="125"/>
      <c r="BN267" s="39">
        <f t="shared" si="28"/>
        <v>0</v>
      </c>
      <c r="BO267" s="155"/>
      <c r="BP267" s="155"/>
      <c r="BQ267" s="126">
        <v>45440</v>
      </c>
      <c r="BR267" s="126">
        <v>45619</v>
      </c>
      <c r="BS267" s="155"/>
      <c r="BT267" s="155"/>
      <c r="BU267" s="155"/>
      <c r="BV267" s="155"/>
      <c r="BW267" s="155"/>
      <c r="BX267" s="155"/>
      <c r="BY267" s="40"/>
      <c r="BZ267" s="40"/>
      <c r="CA267" s="40"/>
      <c r="CB267" s="155"/>
      <c r="CC267" s="155"/>
      <c r="CD267" s="155"/>
      <c r="CE267" s="155"/>
      <c r="CF267" s="155"/>
      <c r="CG267" s="188"/>
    </row>
    <row r="268" spans="1:85" customFormat="1" ht="35.1" customHeight="1">
      <c r="A268" s="155"/>
      <c r="B268" s="155"/>
      <c r="C268" s="155"/>
      <c r="D268" s="274"/>
      <c r="E268" s="274"/>
      <c r="F268" s="274"/>
      <c r="G268" s="155"/>
      <c r="H268" s="155"/>
      <c r="I268" s="36"/>
      <c r="J268" s="36"/>
      <c r="K268" s="36"/>
      <c r="L268" s="36"/>
      <c r="M268" s="44"/>
      <c r="N268" s="44"/>
      <c r="O268" s="77"/>
      <c r="P268" s="77"/>
      <c r="Q268" s="72"/>
      <c r="R268" s="126"/>
      <c r="S268" s="126"/>
      <c r="T268" s="40"/>
      <c r="U268" s="47"/>
      <c r="V268" s="106"/>
      <c r="W268" s="36"/>
      <c r="X268" s="35"/>
      <c r="Y268" s="155"/>
      <c r="Z268" s="155"/>
      <c r="AA268" s="155"/>
      <c r="AB268" s="155"/>
      <c r="AC268" s="155"/>
      <c r="AD268" s="155"/>
      <c r="AE268" s="155"/>
      <c r="AF268" s="127"/>
      <c r="AG268" s="155"/>
      <c r="AH268" s="36"/>
      <c r="AI268" s="35"/>
      <c r="AJ268" s="35"/>
      <c r="AK268" s="155"/>
      <c r="AL268" s="72" t="s">
        <v>518</v>
      </c>
      <c r="AM268" s="72" t="s">
        <v>459</v>
      </c>
      <c r="AN268" s="111">
        <v>45565</v>
      </c>
      <c r="AO268" s="77">
        <v>13876</v>
      </c>
      <c r="AP268" s="36" t="s">
        <v>892</v>
      </c>
      <c r="AQ268" s="116">
        <v>45565</v>
      </c>
      <c r="AR268" s="116">
        <v>45619</v>
      </c>
      <c r="AS268" s="31"/>
      <c r="AT268" s="32"/>
      <c r="AU268" s="50">
        <f>AW268/BI265</f>
        <v>0.22219426914091389</v>
      </c>
      <c r="AV268" s="86">
        <f>AX268/BI265</f>
        <v>1.239861625443882E-2</v>
      </c>
      <c r="AW268" s="80">
        <v>84911.16</v>
      </c>
      <c r="AX268" s="80">
        <v>4738.1099999999997</v>
      </c>
      <c r="AY268" s="31"/>
      <c r="AZ268" s="34"/>
      <c r="BA268" s="35"/>
      <c r="BB268" s="50">
        <f>BC268/BI265</f>
        <v>2.8077163448775342E-2</v>
      </c>
      <c r="BC268" s="80">
        <v>10729.64</v>
      </c>
      <c r="BD268" s="86"/>
      <c r="BE268" s="80"/>
      <c r="BF268" s="35"/>
      <c r="BG268" s="36"/>
      <c r="BH268" s="35"/>
      <c r="BI268" s="78">
        <f>BI265+AW268-AX268+BC268</f>
        <v>473050.98</v>
      </c>
      <c r="BJ268" s="125"/>
      <c r="BK268" s="125"/>
      <c r="BL268" s="125"/>
      <c r="BM268" s="125"/>
      <c r="BN268" s="39">
        <f t="shared" si="28"/>
        <v>0</v>
      </c>
      <c r="BO268" s="155"/>
      <c r="BP268" s="155"/>
      <c r="BQ268" s="126">
        <v>45620</v>
      </c>
      <c r="BR268" s="126">
        <v>45799</v>
      </c>
      <c r="BS268" s="155"/>
      <c r="BT268" s="155"/>
      <c r="BU268" s="155"/>
      <c r="BV268" s="155"/>
      <c r="BW268" s="155"/>
      <c r="BX268" s="155"/>
      <c r="BY268" s="40"/>
      <c r="BZ268" s="40"/>
      <c r="CA268" s="40"/>
      <c r="CB268" s="155"/>
      <c r="CC268" s="155"/>
      <c r="CD268" s="155"/>
      <c r="CE268" s="155"/>
      <c r="CF268" s="155"/>
      <c r="CG268" s="188"/>
    </row>
    <row r="269" spans="1:85" customFormat="1" ht="35.1" customHeight="1">
      <c r="A269" s="155"/>
      <c r="B269" s="155"/>
      <c r="C269" s="155"/>
      <c r="D269" s="274"/>
      <c r="E269" s="274"/>
      <c r="F269" s="274"/>
      <c r="G269" s="155"/>
      <c r="H269" s="155"/>
      <c r="I269" s="36"/>
      <c r="J269" s="36"/>
      <c r="K269" s="36"/>
      <c r="L269" s="36"/>
      <c r="M269" s="44"/>
      <c r="N269" s="44"/>
      <c r="O269" s="77"/>
      <c r="P269" s="77"/>
      <c r="Q269" s="72"/>
      <c r="R269" s="126"/>
      <c r="S269" s="126"/>
      <c r="T269" s="40"/>
      <c r="U269" s="47"/>
      <c r="V269" s="106"/>
      <c r="W269" s="36"/>
      <c r="X269" s="35"/>
      <c r="Y269" s="155"/>
      <c r="Z269" s="155"/>
      <c r="AA269" s="155"/>
      <c r="AB269" s="155"/>
      <c r="AC269" s="155"/>
      <c r="AD269" s="155"/>
      <c r="AE269" s="155"/>
      <c r="AF269" s="127"/>
      <c r="AG269" s="155"/>
      <c r="AH269" s="36"/>
      <c r="AI269" s="35"/>
      <c r="AJ269" s="35"/>
      <c r="AK269" s="155"/>
      <c r="AL269" s="72" t="s">
        <v>518</v>
      </c>
      <c r="AM269" s="72" t="s">
        <v>520</v>
      </c>
      <c r="AN269" s="111">
        <v>45635</v>
      </c>
      <c r="AO269" s="77">
        <v>13927</v>
      </c>
      <c r="AP269" s="289" t="s">
        <v>891</v>
      </c>
      <c r="AQ269" s="116">
        <v>45643</v>
      </c>
      <c r="AR269" s="116">
        <v>45822</v>
      </c>
      <c r="AS269" s="31"/>
      <c r="AT269" s="32"/>
      <c r="AU269" s="50"/>
      <c r="AV269" s="86"/>
      <c r="AW269" s="80"/>
      <c r="AX269" s="80"/>
      <c r="AY269" s="31"/>
      <c r="AZ269" s="34"/>
      <c r="BA269" s="35"/>
      <c r="BB269" s="35"/>
      <c r="BC269" s="80"/>
      <c r="BD269" s="86"/>
      <c r="BE269" s="80"/>
      <c r="BF269" s="35"/>
      <c r="BG269" s="36"/>
      <c r="BH269" s="35"/>
      <c r="BI269" s="78"/>
      <c r="BJ269" s="125"/>
      <c r="BK269" s="125"/>
      <c r="BL269" s="125"/>
      <c r="BM269" s="125"/>
      <c r="BN269" s="39">
        <f t="shared" si="28"/>
        <v>0</v>
      </c>
      <c r="BO269" s="155"/>
      <c r="BP269" s="155"/>
      <c r="BQ269" s="126"/>
      <c r="BR269" s="126"/>
      <c r="BS269" s="155"/>
      <c r="BT269" s="155"/>
      <c r="BU269" s="155"/>
      <c r="BV269" s="155"/>
      <c r="BW269" s="155"/>
      <c r="BX269" s="155"/>
      <c r="BY269" s="40"/>
      <c r="BZ269" s="40"/>
      <c r="CA269" s="40"/>
      <c r="CB269" s="155"/>
      <c r="CC269" s="155"/>
      <c r="CD269" s="155"/>
      <c r="CE269" s="155"/>
      <c r="CF269" s="155"/>
      <c r="CG269" s="188"/>
    </row>
    <row r="270" spans="1:85" customFormat="1" ht="35.1" customHeight="1">
      <c r="A270" s="155"/>
      <c r="B270" s="155"/>
      <c r="C270" s="155"/>
      <c r="D270" s="274"/>
      <c r="E270" s="274"/>
      <c r="F270" s="274"/>
      <c r="G270" s="155"/>
      <c r="H270" s="155"/>
      <c r="I270" s="36"/>
      <c r="J270" s="36"/>
      <c r="K270" s="36"/>
      <c r="L270" s="36"/>
      <c r="M270" s="44"/>
      <c r="N270" s="44"/>
      <c r="O270" s="77"/>
      <c r="P270" s="77"/>
      <c r="Q270" s="72"/>
      <c r="R270" s="126"/>
      <c r="S270" s="126"/>
      <c r="T270" s="40"/>
      <c r="U270" s="47"/>
      <c r="V270" s="106"/>
      <c r="W270" s="36"/>
      <c r="X270" s="35"/>
      <c r="Y270" s="155"/>
      <c r="Z270" s="155"/>
      <c r="AA270" s="155"/>
      <c r="AB270" s="155"/>
      <c r="AC270" s="155"/>
      <c r="AD270" s="155"/>
      <c r="AE270" s="155"/>
      <c r="AF270" s="127"/>
      <c r="AG270" s="155"/>
      <c r="AH270" s="36"/>
      <c r="AI270" s="35"/>
      <c r="AJ270" s="35"/>
      <c r="AK270" s="155"/>
      <c r="AL270" s="72" t="s">
        <v>518</v>
      </c>
      <c r="AM270" s="72" t="s">
        <v>651</v>
      </c>
      <c r="AN270" s="111">
        <v>45814</v>
      </c>
      <c r="AO270" s="77">
        <v>14042</v>
      </c>
      <c r="AP270" s="36" t="s">
        <v>893</v>
      </c>
      <c r="AQ270" s="116">
        <v>45823</v>
      </c>
      <c r="AR270" s="116">
        <v>45942</v>
      </c>
      <c r="AS270" s="31"/>
      <c r="AT270" s="32"/>
      <c r="AU270" s="50"/>
      <c r="AV270" s="86"/>
      <c r="AW270" s="80"/>
      <c r="AX270" s="80"/>
      <c r="AY270" s="31"/>
      <c r="AZ270" s="34"/>
      <c r="BA270" s="35"/>
      <c r="BB270" s="35"/>
      <c r="BC270" s="80"/>
      <c r="BD270" s="86"/>
      <c r="BE270" s="80"/>
      <c r="BF270" s="35"/>
      <c r="BG270" s="36"/>
      <c r="BH270" s="35"/>
      <c r="BI270" s="78"/>
      <c r="BJ270" s="125"/>
      <c r="BK270" s="125"/>
      <c r="BL270" s="125"/>
      <c r="BM270" s="125"/>
      <c r="BN270" s="39"/>
      <c r="BO270" s="155"/>
      <c r="BP270" s="155"/>
      <c r="BQ270" s="126"/>
      <c r="BR270" s="126"/>
      <c r="BS270" s="155"/>
      <c r="BT270" s="155"/>
      <c r="BU270" s="155"/>
      <c r="BV270" s="155"/>
      <c r="BW270" s="155"/>
      <c r="BX270" s="155"/>
      <c r="BY270" s="40"/>
      <c r="BZ270" s="40"/>
      <c r="CA270" s="40"/>
      <c r="CB270" s="155"/>
      <c r="CC270" s="155"/>
      <c r="CD270" s="155"/>
      <c r="CE270" s="155"/>
      <c r="CF270" s="155"/>
      <c r="CG270" s="188"/>
    </row>
    <row r="271" spans="1:85" customFormat="1" ht="35.1" customHeight="1">
      <c r="A271" s="155"/>
      <c r="B271" s="155"/>
      <c r="C271" s="155"/>
      <c r="D271" s="274"/>
      <c r="E271" s="274"/>
      <c r="F271" s="274"/>
      <c r="G271" s="155"/>
      <c r="H271" s="155"/>
      <c r="I271" s="36"/>
      <c r="J271" s="36"/>
      <c r="K271" s="36"/>
      <c r="L271" s="36"/>
      <c r="M271" s="44"/>
      <c r="N271" s="44"/>
      <c r="O271" s="77"/>
      <c r="P271" s="77"/>
      <c r="Q271" s="72"/>
      <c r="R271" s="126"/>
      <c r="S271" s="126"/>
      <c r="T271" s="40"/>
      <c r="U271" s="47"/>
      <c r="V271" s="106"/>
      <c r="W271" s="36"/>
      <c r="X271" s="35"/>
      <c r="Y271" s="155"/>
      <c r="Z271" s="155"/>
      <c r="AA271" s="155"/>
      <c r="AB271" s="155"/>
      <c r="AC271" s="155"/>
      <c r="AD271" s="155"/>
      <c r="AE271" s="155"/>
      <c r="AF271" s="127"/>
      <c r="AG271" s="155"/>
      <c r="AH271" s="36"/>
      <c r="AI271" s="35"/>
      <c r="AJ271" s="35"/>
      <c r="AK271" s="155"/>
      <c r="AL271" s="72" t="s">
        <v>518</v>
      </c>
      <c r="AM271" s="72" t="s">
        <v>653</v>
      </c>
      <c r="AN271" s="111">
        <v>45940</v>
      </c>
      <c r="AO271" s="77">
        <v>14139</v>
      </c>
      <c r="AP271" s="36" t="s">
        <v>893</v>
      </c>
      <c r="AQ271" s="116">
        <v>45943</v>
      </c>
      <c r="AR271" s="116">
        <v>46062</v>
      </c>
      <c r="AS271" s="31"/>
      <c r="AT271" s="32"/>
      <c r="AU271" s="50"/>
      <c r="AV271" s="86"/>
      <c r="AW271" s="80"/>
      <c r="AX271" s="80"/>
      <c r="AY271" s="31"/>
      <c r="AZ271" s="34"/>
      <c r="BA271" s="35"/>
      <c r="BB271" s="35"/>
      <c r="BC271" s="80"/>
      <c r="BD271" s="86"/>
      <c r="BE271" s="80"/>
      <c r="BF271" s="35"/>
      <c r="BG271" s="36"/>
      <c r="BH271" s="35"/>
      <c r="BI271" s="78"/>
      <c r="BJ271" s="125"/>
      <c r="BK271" s="125"/>
      <c r="BL271" s="125"/>
      <c r="BM271" s="125"/>
      <c r="BN271" s="39"/>
      <c r="BO271" s="155"/>
      <c r="BP271" s="155"/>
      <c r="BQ271" s="126"/>
      <c r="BR271" s="126"/>
      <c r="BS271" s="155"/>
      <c r="BT271" s="155"/>
      <c r="BU271" s="155"/>
      <c r="BV271" s="155"/>
      <c r="BW271" s="155"/>
      <c r="BX271" s="155"/>
      <c r="BY271" s="40"/>
      <c r="BZ271" s="40"/>
      <c r="CA271" s="40"/>
      <c r="CB271" s="155"/>
      <c r="CC271" s="155"/>
      <c r="CD271" s="155"/>
      <c r="CE271" s="155"/>
      <c r="CF271" s="155"/>
      <c r="CG271" s="188"/>
    </row>
    <row r="272" spans="1:85" customFormat="1" ht="20.100000000000001" customHeight="1" thickBot="1">
      <c r="A272" s="162"/>
      <c r="B272" s="162"/>
      <c r="C272" s="162"/>
      <c r="D272" s="276"/>
      <c r="E272" s="276"/>
      <c r="F272" s="276"/>
      <c r="G272" s="162"/>
      <c r="H272" s="162"/>
      <c r="I272" s="36"/>
      <c r="J272" s="36"/>
      <c r="K272" s="36"/>
      <c r="L272" s="36"/>
      <c r="M272" s="44"/>
      <c r="N272" s="44"/>
      <c r="O272" s="77"/>
      <c r="P272" s="77"/>
      <c r="Q272" s="72"/>
      <c r="R272" s="126"/>
      <c r="S272" s="126"/>
      <c r="T272" s="40"/>
      <c r="U272" s="47"/>
      <c r="V272" s="106"/>
      <c r="W272" s="36"/>
      <c r="X272" s="35"/>
      <c r="Y272" s="162"/>
      <c r="Z272" s="162"/>
      <c r="AA272" s="162"/>
      <c r="AB272" s="162"/>
      <c r="AC272" s="162"/>
      <c r="AD272" s="162"/>
      <c r="AE272" s="162"/>
      <c r="AF272" s="127" t="s">
        <v>894</v>
      </c>
      <c r="AG272" s="162"/>
      <c r="AH272" s="36"/>
      <c r="AI272" s="35"/>
      <c r="AJ272" s="35"/>
      <c r="AK272" s="162"/>
      <c r="AL272" s="72" t="s">
        <v>518</v>
      </c>
      <c r="AM272" s="72" t="s">
        <v>870</v>
      </c>
      <c r="AN272" s="111">
        <v>46006</v>
      </c>
      <c r="AO272" s="77">
        <v>14171</v>
      </c>
      <c r="AP272" s="36" t="s">
        <v>895</v>
      </c>
      <c r="AQ272" s="116">
        <v>45943</v>
      </c>
      <c r="AR272" s="116">
        <v>46062</v>
      </c>
      <c r="AS272" s="31"/>
      <c r="AT272" s="32"/>
      <c r="AU272" s="50">
        <f>AW272/BI268</f>
        <v>7.9625815382519657E-2</v>
      </c>
      <c r="AV272" s="86">
        <f>AX272/BI268</f>
        <v>1.0429489016173268E-2</v>
      </c>
      <c r="AW272" s="80">
        <v>37667.07</v>
      </c>
      <c r="AX272" s="80">
        <v>4933.68</v>
      </c>
      <c r="AY272" s="33"/>
      <c r="AZ272" s="34"/>
      <c r="BA272" s="35"/>
      <c r="BB272" s="35"/>
      <c r="BC272" s="80"/>
      <c r="BD272" s="80"/>
      <c r="BE272" s="80"/>
      <c r="BF272" s="35"/>
      <c r="BG272" s="36"/>
      <c r="BH272" s="35"/>
      <c r="BI272" s="97">
        <f>BI268+AW272-AX272</f>
        <v>505784.37</v>
      </c>
      <c r="BJ272" s="125"/>
      <c r="BK272" s="125"/>
      <c r="BL272" s="125"/>
      <c r="BM272" s="125"/>
      <c r="BN272" s="39">
        <f t="shared" ref="BN272:BN277" si="29">BJ272+BL272</f>
        <v>0</v>
      </c>
      <c r="BO272" s="162"/>
      <c r="BP272" s="162"/>
      <c r="BQ272" s="126"/>
      <c r="BR272" s="126"/>
      <c r="BS272" s="162"/>
      <c r="BT272" s="162"/>
      <c r="BU272" s="162"/>
      <c r="BV272" s="162"/>
      <c r="BW272" s="162"/>
      <c r="BX272" s="162"/>
      <c r="BY272" s="40"/>
      <c r="BZ272" s="40"/>
      <c r="CA272" s="40"/>
      <c r="CB272" s="186"/>
      <c r="CC272" s="186"/>
      <c r="CD272" s="186"/>
      <c r="CE272" s="186"/>
      <c r="CF272" s="186"/>
      <c r="CG272" s="189"/>
    </row>
    <row r="273" spans="1:85" customFormat="1" ht="60" customHeight="1">
      <c r="A273" s="170">
        <v>84</v>
      </c>
      <c r="B273" s="171" t="s">
        <v>896</v>
      </c>
      <c r="C273" s="183" t="s">
        <v>897</v>
      </c>
      <c r="D273" s="273" t="s">
        <v>898</v>
      </c>
      <c r="E273" s="273" t="s">
        <v>839</v>
      </c>
      <c r="F273" s="273" t="s">
        <v>899</v>
      </c>
      <c r="G273" s="154"/>
      <c r="H273" s="169">
        <v>13660</v>
      </c>
      <c r="I273" s="36"/>
      <c r="J273" s="36"/>
      <c r="K273" s="36"/>
      <c r="L273" s="36"/>
      <c r="M273" s="44"/>
      <c r="N273" s="44"/>
      <c r="O273" s="77"/>
      <c r="P273" s="77"/>
      <c r="Q273" s="121"/>
      <c r="R273" s="122"/>
      <c r="S273" s="122"/>
      <c r="T273" s="123"/>
      <c r="U273" s="47"/>
      <c r="V273" s="106"/>
      <c r="W273" s="36"/>
      <c r="X273" s="35"/>
      <c r="Y273" s="163" t="s">
        <v>900</v>
      </c>
      <c r="Z273" s="273" t="s">
        <v>901</v>
      </c>
      <c r="AA273" s="165" t="s">
        <v>902</v>
      </c>
      <c r="AB273" s="161">
        <v>45254</v>
      </c>
      <c r="AC273" s="157">
        <v>13660</v>
      </c>
      <c r="AD273" s="161">
        <v>45254</v>
      </c>
      <c r="AE273" s="161">
        <v>45620</v>
      </c>
      <c r="AF273" s="72" t="s">
        <v>453</v>
      </c>
      <c r="AG273" s="154" t="s">
        <v>185</v>
      </c>
      <c r="AH273" s="36"/>
      <c r="AI273" s="35"/>
      <c r="AJ273" s="35"/>
      <c r="AK273" s="174">
        <f>1500000</f>
        <v>1500000</v>
      </c>
      <c r="AL273" s="72"/>
      <c r="AM273" s="98"/>
      <c r="AN273" s="111"/>
      <c r="AO273" s="77"/>
      <c r="AP273" s="36"/>
      <c r="AQ273" s="116"/>
      <c r="AR273" s="116"/>
      <c r="AS273" s="31"/>
      <c r="AT273" s="32"/>
      <c r="AU273" s="50"/>
      <c r="AV273" s="86"/>
      <c r="AW273" s="80"/>
      <c r="AX273" s="80"/>
      <c r="AY273" s="33"/>
      <c r="AZ273" s="34"/>
      <c r="BA273" s="35"/>
      <c r="BB273" s="35"/>
      <c r="BC273" s="80"/>
      <c r="BD273" s="80"/>
      <c r="BE273" s="80"/>
      <c r="BF273" s="35"/>
      <c r="BG273" s="36"/>
      <c r="BH273" s="35"/>
      <c r="BI273" s="97">
        <f>AK273</f>
        <v>1500000</v>
      </c>
      <c r="BJ273" s="125">
        <v>1499518.51</v>
      </c>
      <c r="BK273" s="125">
        <v>1500000</v>
      </c>
      <c r="BL273" s="125"/>
      <c r="BM273" s="125">
        <f>481.49</f>
        <v>481.49</v>
      </c>
      <c r="BN273" s="39"/>
      <c r="BO273" s="53"/>
      <c r="BP273" s="89"/>
      <c r="BQ273" s="40"/>
      <c r="BR273" s="40"/>
      <c r="BS273" s="179"/>
      <c r="BT273" s="89"/>
      <c r="BU273" s="128"/>
      <c r="BV273" s="53"/>
      <c r="BW273" s="89"/>
      <c r="BX273" s="89"/>
      <c r="BY273" s="40"/>
      <c r="BZ273" s="40"/>
      <c r="CA273" s="40"/>
      <c r="CB273" s="184" t="s">
        <v>903</v>
      </c>
      <c r="CC273" s="184">
        <v>13999</v>
      </c>
      <c r="CD273" s="184" t="s">
        <v>904</v>
      </c>
      <c r="CE273" s="185">
        <v>716649</v>
      </c>
      <c r="CF273" s="184" t="s">
        <v>492</v>
      </c>
      <c r="CG273" s="180">
        <v>702751</v>
      </c>
    </row>
    <row r="274" spans="1:85" customFormat="1" ht="75.75" customHeight="1">
      <c r="A274" s="155"/>
      <c r="B274" s="155"/>
      <c r="C274" s="155"/>
      <c r="D274" s="274"/>
      <c r="E274" s="274"/>
      <c r="F274" s="274"/>
      <c r="G274" s="155"/>
      <c r="H274" s="155"/>
      <c r="I274" s="36"/>
      <c r="J274" s="36"/>
      <c r="K274" s="36"/>
      <c r="L274" s="36"/>
      <c r="M274" s="44"/>
      <c r="N274" s="44"/>
      <c r="O274" s="77"/>
      <c r="P274" s="77"/>
      <c r="Q274" s="121"/>
      <c r="R274" s="122"/>
      <c r="S274" s="122"/>
      <c r="T274" s="123"/>
      <c r="U274" s="47"/>
      <c r="V274" s="106"/>
      <c r="W274" s="36"/>
      <c r="X274" s="35"/>
      <c r="Y274" s="155"/>
      <c r="Z274" s="274"/>
      <c r="AA274" s="155"/>
      <c r="AB274" s="155"/>
      <c r="AC274" s="155"/>
      <c r="AD274" s="155"/>
      <c r="AE274" s="155"/>
      <c r="AF274" s="72" t="s">
        <v>517</v>
      </c>
      <c r="AG274" s="155"/>
      <c r="AH274" s="36"/>
      <c r="AI274" s="35"/>
      <c r="AJ274" s="35"/>
      <c r="AK274" s="155"/>
      <c r="AL274" s="72" t="s">
        <v>518</v>
      </c>
      <c r="AM274" s="72" t="s">
        <v>199</v>
      </c>
      <c r="AN274" s="111">
        <v>45621</v>
      </c>
      <c r="AO274" s="77">
        <v>13911</v>
      </c>
      <c r="AP274" s="36" t="s">
        <v>905</v>
      </c>
      <c r="AQ274" s="116">
        <v>45621</v>
      </c>
      <c r="AR274" s="116">
        <v>45985</v>
      </c>
      <c r="AS274" s="31"/>
      <c r="AT274" s="32"/>
      <c r="AU274" s="50"/>
      <c r="AV274" s="86"/>
      <c r="AW274" s="80"/>
      <c r="AX274" s="80"/>
      <c r="AY274" s="33"/>
      <c r="AZ274" s="34"/>
      <c r="BA274" s="35"/>
      <c r="BB274" s="35"/>
      <c r="BC274" s="80"/>
      <c r="BD274" s="80"/>
      <c r="BE274" s="80"/>
      <c r="BF274" s="35"/>
      <c r="BG274" s="36"/>
      <c r="BH274" s="35"/>
      <c r="BI274" s="97"/>
      <c r="BJ274" s="125">
        <v>599954.21</v>
      </c>
      <c r="BK274" s="125">
        <f>599954.21</f>
        <v>599954.21</v>
      </c>
      <c r="BL274" s="125"/>
      <c r="BM274" s="125"/>
      <c r="BN274" s="39">
        <f t="shared" si="29"/>
        <v>599954.21</v>
      </c>
      <c r="BO274" s="53"/>
      <c r="BP274" s="89"/>
      <c r="BQ274" s="40"/>
      <c r="BR274" s="40"/>
      <c r="BS274" s="155"/>
      <c r="BT274" s="89"/>
      <c r="BU274" s="128"/>
      <c r="BV274" s="53"/>
      <c r="BW274" s="89"/>
      <c r="BX274" s="89"/>
      <c r="BY274" s="40"/>
      <c r="BZ274" s="40"/>
      <c r="CA274" s="40"/>
      <c r="CB274" s="155"/>
      <c r="CC274" s="155"/>
      <c r="CD274" s="155"/>
      <c r="CE274" s="155"/>
      <c r="CF274" s="155"/>
      <c r="CG274" s="181"/>
    </row>
    <row r="275" spans="1:85" customFormat="1" ht="102.75" customHeight="1">
      <c r="A275" s="162"/>
      <c r="B275" s="162"/>
      <c r="C275" s="162"/>
      <c r="D275" s="276"/>
      <c r="E275" s="276"/>
      <c r="F275" s="276"/>
      <c r="G275" s="162"/>
      <c r="H275" s="162"/>
      <c r="I275" s="36"/>
      <c r="J275" s="36"/>
      <c r="K275" s="36"/>
      <c r="L275" s="36"/>
      <c r="M275" s="44"/>
      <c r="N275" s="44"/>
      <c r="O275" s="77"/>
      <c r="P275" s="77"/>
      <c r="Q275" s="121"/>
      <c r="R275" s="122"/>
      <c r="S275" s="122"/>
      <c r="T275" s="123"/>
      <c r="U275" s="47"/>
      <c r="V275" s="106"/>
      <c r="W275" s="36"/>
      <c r="X275" s="35"/>
      <c r="Y275" s="162"/>
      <c r="Z275" s="276"/>
      <c r="AA275" s="162"/>
      <c r="AB275" s="162"/>
      <c r="AC275" s="162"/>
      <c r="AD275" s="162"/>
      <c r="AE275" s="162"/>
      <c r="AF275" s="72"/>
      <c r="AG275" s="162"/>
      <c r="AH275" s="36"/>
      <c r="AI275" s="35"/>
      <c r="AJ275" s="35"/>
      <c r="AK275" s="162"/>
      <c r="AL275" s="72" t="s">
        <v>518</v>
      </c>
      <c r="AM275" s="72" t="s">
        <v>459</v>
      </c>
      <c r="AN275" s="111">
        <v>45982</v>
      </c>
      <c r="AO275" s="77">
        <v>14156</v>
      </c>
      <c r="AP275" s="36" t="s">
        <v>905</v>
      </c>
      <c r="AQ275" s="116">
        <v>45986</v>
      </c>
      <c r="AR275" s="116">
        <v>46350</v>
      </c>
      <c r="AS275" s="31"/>
      <c r="AT275" s="32"/>
      <c r="AU275" s="50"/>
      <c r="AV275" s="86"/>
      <c r="AW275" s="80"/>
      <c r="AX275" s="80"/>
      <c r="AY275" s="33"/>
      <c r="AZ275" s="34"/>
      <c r="BA275" s="35"/>
      <c r="BB275" s="35"/>
      <c r="BC275" s="80"/>
      <c r="BD275" s="80"/>
      <c r="BE275" s="80"/>
      <c r="BF275" s="35"/>
      <c r="BG275" s="36"/>
      <c r="BH275" s="35"/>
      <c r="BI275" s="35"/>
      <c r="BJ275" s="125"/>
      <c r="BK275" s="125"/>
      <c r="BL275" s="125">
        <f>570142.21+329666.21</f>
        <v>899808.41999999993</v>
      </c>
      <c r="BM275" s="125"/>
      <c r="BN275" s="39">
        <f t="shared" si="29"/>
        <v>899808.41999999993</v>
      </c>
      <c r="BO275" s="44"/>
      <c r="BP275" s="108"/>
      <c r="BQ275" s="40"/>
      <c r="BR275" s="40"/>
      <c r="BS275" s="156"/>
      <c r="BT275" s="89"/>
      <c r="BU275" s="128"/>
      <c r="BV275" s="53"/>
      <c r="BW275" s="89"/>
      <c r="BX275" s="89"/>
      <c r="BY275" s="40"/>
      <c r="BZ275" s="40"/>
      <c r="CA275" s="40"/>
      <c r="CB275" s="156"/>
      <c r="CC275" s="156"/>
      <c r="CD275" s="162"/>
      <c r="CE275" s="156"/>
      <c r="CF275" s="156"/>
      <c r="CG275" s="182"/>
    </row>
    <row r="276" spans="1:85" customFormat="1" ht="60" customHeight="1">
      <c r="A276" s="170">
        <v>85</v>
      </c>
      <c r="B276" s="171" t="s">
        <v>906</v>
      </c>
      <c r="C276" s="183" t="s">
        <v>907</v>
      </c>
      <c r="D276" s="273" t="s">
        <v>898</v>
      </c>
      <c r="E276" s="273" t="s">
        <v>839</v>
      </c>
      <c r="F276" s="273" t="s">
        <v>908</v>
      </c>
      <c r="G276" s="154"/>
      <c r="H276" s="169"/>
      <c r="I276" s="36"/>
      <c r="J276" s="36"/>
      <c r="K276" s="36"/>
      <c r="L276" s="36"/>
      <c r="M276" s="44"/>
      <c r="N276" s="44"/>
      <c r="O276" s="77"/>
      <c r="P276" s="77"/>
      <c r="Q276" s="121"/>
      <c r="R276" s="122"/>
      <c r="S276" s="122"/>
      <c r="T276" s="123"/>
      <c r="U276" s="47"/>
      <c r="V276" s="106"/>
      <c r="W276" s="36"/>
      <c r="X276" s="35"/>
      <c r="Y276" s="163" t="s">
        <v>909</v>
      </c>
      <c r="Z276" s="273" t="s">
        <v>910</v>
      </c>
      <c r="AA276" s="273" t="s">
        <v>911</v>
      </c>
      <c r="AB276" s="161">
        <v>45283</v>
      </c>
      <c r="AC276" s="157">
        <v>13694</v>
      </c>
      <c r="AD276" s="161">
        <v>45283</v>
      </c>
      <c r="AE276" s="161">
        <v>45703</v>
      </c>
      <c r="AF276" s="72" t="s">
        <v>453</v>
      </c>
      <c r="AG276" s="154" t="s">
        <v>881</v>
      </c>
      <c r="AH276" s="36"/>
      <c r="AI276" s="35"/>
      <c r="AJ276" s="35"/>
      <c r="AK276" s="172">
        <v>4940738.96</v>
      </c>
      <c r="AL276" s="72"/>
      <c r="AM276" s="72"/>
      <c r="AN276" s="48"/>
      <c r="AO276" s="77"/>
      <c r="AP276" s="36"/>
      <c r="AQ276" s="116"/>
      <c r="AR276" s="116"/>
      <c r="AS276" s="31"/>
      <c r="AT276" s="32"/>
      <c r="AU276" s="50"/>
      <c r="AV276" s="86"/>
      <c r="AW276" s="80"/>
      <c r="AX276" s="80"/>
      <c r="AY276" s="33"/>
      <c r="AZ276" s="34"/>
      <c r="BA276" s="35"/>
      <c r="BB276" s="35"/>
      <c r="BC276" s="79"/>
      <c r="BD276" s="86"/>
      <c r="BE276" s="80"/>
      <c r="BF276" s="35"/>
      <c r="BG276" s="36"/>
      <c r="BH276" s="35"/>
      <c r="BI276" s="97">
        <f>AK276</f>
        <v>4940738.96</v>
      </c>
      <c r="BJ276" s="38">
        <v>1000000</v>
      </c>
      <c r="BK276" s="38">
        <f>1000000</f>
        <v>1000000</v>
      </c>
      <c r="BL276" s="38">
        <f>177395.93+301599.23</f>
        <v>478995.16</v>
      </c>
      <c r="BM276" s="38"/>
      <c r="BN276" s="39"/>
      <c r="BO276" s="154" t="s">
        <v>882</v>
      </c>
      <c r="BP276" s="170" t="s">
        <v>883</v>
      </c>
      <c r="BQ276" s="123"/>
      <c r="BR276" s="123"/>
      <c r="BS276" s="179">
        <f>BN276/BI276</f>
        <v>0</v>
      </c>
      <c r="BT276" s="170"/>
      <c r="BU276" s="176">
        <v>45703</v>
      </c>
      <c r="BV276" s="161">
        <v>46150</v>
      </c>
      <c r="BW276" s="170" t="s">
        <v>885</v>
      </c>
      <c r="BX276" s="170" t="s">
        <v>886</v>
      </c>
      <c r="BY276" s="40"/>
      <c r="BZ276" s="40"/>
      <c r="CA276" s="40"/>
      <c r="CB276" s="154" t="s">
        <v>912</v>
      </c>
      <c r="CC276" s="157">
        <v>14030</v>
      </c>
      <c r="CD276" s="154" t="s">
        <v>913</v>
      </c>
      <c r="CE276" s="157">
        <v>711764</v>
      </c>
      <c r="CF276" s="154" t="s">
        <v>914</v>
      </c>
      <c r="CG276" s="154" t="s">
        <v>915</v>
      </c>
    </row>
    <row r="277" spans="1:85" customFormat="1" ht="60" customHeight="1">
      <c r="A277" s="155"/>
      <c r="B277" s="155"/>
      <c r="C277" s="155"/>
      <c r="D277" s="274"/>
      <c r="E277" s="274"/>
      <c r="F277" s="274"/>
      <c r="G277" s="155"/>
      <c r="H277" s="155"/>
      <c r="I277" s="36"/>
      <c r="J277" s="36"/>
      <c r="K277" s="36"/>
      <c r="L277" s="36"/>
      <c r="M277" s="44"/>
      <c r="N277" s="44"/>
      <c r="O277" s="77"/>
      <c r="P277" s="77"/>
      <c r="Q277" s="121"/>
      <c r="R277" s="122"/>
      <c r="S277" s="122"/>
      <c r="T277" s="123"/>
      <c r="U277" s="47"/>
      <c r="V277" s="106"/>
      <c r="W277" s="36"/>
      <c r="X277" s="35"/>
      <c r="Y277" s="155"/>
      <c r="Z277" s="274"/>
      <c r="AA277" s="274"/>
      <c r="AB277" s="155"/>
      <c r="AC277" s="155"/>
      <c r="AD277" s="155"/>
      <c r="AE277" s="155"/>
      <c r="AF277" s="72"/>
      <c r="AG277" s="155"/>
      <c r="AH277" s="36"/>
      <c r="AI277" s="35"/>
      <c r="AJ277" s="35"/>
      <c r="AK277" s="155"/>
      <c r="AL277" s="72" t="s">
        <v>518</v>
      </c>
      <c r="AM277" s="72" t="s">
        <v>199</v>
      </c>
      <c r="AN277" s="111">
        <v>45705</v>
      </c>
      <c r="AO277" s="77">
        <v>13985</v>
      </c>
      <c r="AP277" s="36" t="s">
        <v>916</v>
      </c>
      <c r="AQ277" s="116">
        <v>45706</v>
      </c>
      <c r="AR277" s="116">
        <v>46125</v>
      </c>
      <c r="AS277" s="31"/>
      <c r="AT277" s="32"/>
      <c r="AU277" s="50"/>
      <c r="AV277" s="86"/>
      <c r="AW277" s="80"/>
      <c r="AX277" s="80"/>
      <c r="AY277" s="33"/>
      <c r="AZ277" s="34"/>
      <c r="BA277" s="35"/>
      <c r="BB277" s="35"/>
      <c r="BC277" s="79"/>
      <c r="BD277" s="86"/>
      <c r="BE277" s="80"/>
      <c r="BF277" s="35"/>
      <c r="BG277" s="36"/>
      <c r="BH277" s="35"/>
      <c r="BI277" s="97"/>
      <c r="BJ277" s="38"/>
      <c r="BK277" s="38"/>
      <c r="BL277" s="38"/>
      <c r="BM277" s="38"/>
      <c r="BN277" s="39">
        <f t="shared" si="29"/>
        <v>0</v>
      </c>
      <c r="BO277" s="155"/>
      <c r="BP277" s="155"/>
      <c r="BQ277" s="123"/>
      <c r="BR277" s="123"/>
      <c r="BS277" s="155"/>
      <c r="BT277" s="155"/>
      <c r="BU277" s="155"/>
      <c r="BV277" s="155"/>
      <c r="BW277" s="155"/>
      <c r="BX277" s="155"/>
      <c r="BY277" s="40"/>
      <c r="BZ277" s="40"/>
      <c r="CA277" s="40"/>
      <c r="CB277" s="155"/>
      <c r="CC277" s="155"/>
      <c r="CD277" s="155"/>
      <c r="CE277" s="155"/>
      <c r="CF277" s="155"/>
      <c r="CG277" s="155"/>
    </row>
    <row r="278" spans="1:85" customFormat="1" ht="60" customHeight="1">
      <c r="A278" s="155"/>
      <c r="B278" s="155"/>
      <c r="C278" s="155"/>
      <c r="D278" s="274"/>
      <c r="E278" s="274"/>
      <c r="F278" s="274"/>
      <c r="G278" s="155"/>
      <c r="H278" s="155"/>
      <c r="I278" s="36"/>
      <c r="J278" s="36"/>
      <c r="K278" s="36"/>
      <c r="L278" s="36"/>
      <c r="M278" s="44"/>
      <c r="N278" s="44"/>
      <c r="O278" s="77"/>
      <c r="P278" s="77"/>
      <c r="Q278" s="121"/>
      <c r="R278" s="122"/>
      <c r="S278" s="122"/>
      <c r="T278" s="123"/>
      <c r="U278" s="47"/>
      <c r="V278" s="106"/>
      <c r="W278" s="36"/>
      <c r="X278" s="35"/>
      <c r="Y278" s="155"/>
      <c r="Z278" s="274"/>
      <c r="AA278" s="274"/>
      <c r="AB278" s="155"/>
      <c r="AC278" s="155"/>
      <c r="AD278" s="155"/>
      <c r="AE278" s="155"/>
      <c r="AF278" s="72"/>
      <c r="AG278" s="155"/>
      <c r="AH278" s="36"/>
      <c r="AI278" s="35"/>
      <c r="AJ278" s="35"/>
      <c r="AK278" s="155"/>
      <c r="AL278" s="72" t="s">
        <v>518</v>
      </c>
      <c r="AM278" s="72" t="s">
        <v>459</v>
      </c>
      <c r="AN278" s="111">
        <v>46062</v>
      </c>
      <c r="AO278" s="77"/>
      <c r="AP278" s="36" t="s">
        <v>916</v>
      </c>
      <c r="AQ278" s="116">
        <v>46126</v>
      </c>
      <c r="AR278" s="116">
        <v>46545</v>
      </c>
      <c r="AS278" s="31"/>
      <c r="AT278" s="32"/>
      <c r="AU278" s="50"/>
      <c r="AV278" s="86"/>
      <c r="AW278" s="80"/>
      <c r="AX278" s="80"/>
      <c r="AY278" s="33"/>
      <c r="AZ278" s="34"/>
      <c r="BA278" s="35"/>
      <c r="BB278" s="35"/>
      <c r="BC278" s="79"/>
      <c r="BD278" s="86"/>
      <c r="BE278" s="80"/>
      <c r="BF278" s="35"/>
      <c r="BG278" s="36"/>
      <c r="BH278" s="35"/>
      <c r="BI278" s="97"/>
      <c r="BJ278" s="38"/>
      <c r="BK278" s="38"/>
      <c r="BL278" s="38"/>
      <c r="BM278" s="38"/>
      <c r="BN278" s="39"/>
      <c r="BO278" s="156"/>
      <c r="BP278" s="156"/>
      <c r="BQ278" s="122">
        <v>45977</v>
      </c>
      <c r="BR278" s="122">
        <v>46336</v>
      </c>
      <c r="BS278" s="156"/>
      <c r="BT278" s="156"/>
      <c r="BU278" s="156"/>
      <c r="BV278" s="156"/>
      <c r="BW278" s="156"/>
      <c r="BX278" s="156"/>
      <c r="BY278" s="40"/>
      <c r="BZ278" s="40"/>
      <c r="CA278" s="40"/>
      <c r="CB278" s="155"/>
      <c r="CC278" s="155"/>
      <c r="CD278" s="155"/>
      <c r="CE278" s="155"/>
      <c r="CF278" s="155"/>
      <c r="CG278" s="155"/>
    </row>
    <row r="279" spans="1:85" customFormat="1" ht="60" customHeight="1">
      <c r="A279" s="162"/>
      <c r="B279" s="162"/>
      <c r="C279" s="162"/>
      <c r="D279" s="276"/>
      <c r="E279" s="276"/>
      <c r="F279" s="276"/>
      <c r="G279" s="162"/>
      <c r="H279" s="162"/>
      <c r="I279" s="36"/>
      <c r="J279" s="36"/>
      <c r="K279" s="36"/>
      <c r="L279" s="36"/>
      <c r="M279" s="44"/>
      <c r="N279" s="44"/>
      <c r="O279" s="77"/>
      <c r="P279" s="77"/>
      <c r="Q279" s="121"/>
      <c r="R279" s="122"/>
      <c r="S279" s="122"/>
      <c r="T279" s="123"/>
      <c r="U279" s="47"/>
      <c r="V279" s="106"/>
      <c r="W279" s="36"/>
      <c r="X279" s="35"/>
      <c r="Y279" s="162"/>
      <c r="Z279" s="276"/>
      <c r="AA279" s="276"/>
      <c r="AB279" s="162"/>
      <c r="AC279" s="162"/>
      <c r="AD279" s="162"/>
      <c r="AE279" s="162"/>
      <c r="AF279" s="72"/>
      <c r="AG279" s="162"/>
      <c r="AH279" s="36"/>
      <c r="AI279" s="35"/>
      <c r="AJ279" s="35"/>
      <c r="AK279" s="162"/>
      <c r="AL279" s="72"/>
      <c r="AM279" s="72"/>
      <c r="AN279" s="48"/>
      <c r="AO279" s="77"/>
      <c r="AP279" s="36"/>
      <c r="AQ279" s="116"/>
      <c r="AR279" s="116"/>
      <c r="AS279" s="31"/>
      <c r="AT279" s="32"/>
      <c r="AU279" s="50"/>
      <c r="AV279" s="86"/>
      <c r="AW279" s="80"/>
      <c r="AX279" s="80"/>
      <c r="AY279" s="33"/>
      <c r="AZ279" s="34"/>
      <c r="BA279" s="35"/>
      <c r="BB279" s="35"/>
      <c r="BC279" s="79"/>
      <c r="BD279" s="86"/>
      <c r="BE279" s="80"/>
      <c r="BF279" s="35"/>
      <c r="BG279" s="36"/>
      <c r="BH279" s="35"/>
      <c r="BI279" s="97"/>
      <c r="BJ279" s="38"/>
      <c r="BK279" s="38"/>
      <c r="BL279" s="38"/>
      <c r="BM279" s="38"/>
      <c r="BN279" s="39">
        <f t="shared" ref="BN279:BN290" si="30">BJ279+BL279</f>
        <v>0</v>
      </c>
      <c r="BO279" s="53"/>
      <c r="BP279" s="89"/>
      <c r="BQ279" s="123"/>
      <c r="BR279" s="123"/>
      <c r="BS279" s="129"/>
      <c r="BT279" s="89"/>
      <c r="BU279" s="89"/>
      <c r="BV279" s="53"/>
      <c r="BW279" s="89"/>
      <c r="BX279" s="89"/>
      <c r="BY279" s="40"/>
      <c r="BZ279" s="40"/>
      <c r="CA279" s="40"/>
      <c r="CB279" s="162"/>
      <c r="CC279" s="162"/>
      <c r="CD279" s="162"/>
      <c r="CE279" s="162"/>
      <c r="CF279" s="162"/>
      <c r="CG279" s="162"/>
    </row>
    <row r="280" spans="1:85" customFormat="1" ht="162" customHeight="1">
      <c r="A280" s="106">
        <v>86</v>
      </c>
      <c r="B280" s="130" t="s">
        <v>917</v>
      </c>
      <c r="C280" s="131" t="s">
        <v>554</v>
      </c>
      <c r="D280" s="278" t="s">
        <v>918</v>
      </c>
      <c r="E280" s="284"/>
      <c r="F280" s="278" t="s">
        <v>919</v>
      </c>
      <c r="G280" s="47"/>
      <c r="H280" s="120"/>
      <c r="I280" s="36"/>
      <c r="J280" s="36"/>
      <c r="K280" s="36"/>
      <c r="L280" s="36"/>
      <c r="M280" s="44" t="s">
        <v>411</v>
      </c>
      <c r="N280" s="44" t="s">
        <v>920</v>
      </c>
      <c r="O280" s="77"/>
      <c r="P280" s="77"/>
      <c r="Q280" s="72"/>
      <c r="R280" s="126"/>
      <c r="S280" s="126"/>
      <c r="T280" s="40"/>
      <c r="U280" s="47"/>
      <c r="V280" s="106"/>
      <c r="W280" s="36"/>
      <c r="X280" s="35"/>
      <c r="Y280" s="47" t="s">
        <v>921</v>
      </c>
      <c r="Z280" s="47" t="s">
        <v>922</v>
      </c>
      <c r="AA280" s="47" t="s">
        <v>923</v>
      </c>
      <c r="AB280" s="116">
        <v>46107</v>
      </c>
      <c r="AC280" s="120">
        <v>14234</v>
      </c>
      <c r="AD280" s="132">
        <v>46107</v>
      </c>
      <c r="AE280" s="127" t="s">
        <v>215</v>
      </c>
      <c r="AF280" s="127" t="s">
        <v>453</v>
      </c>
      <c r="AG280" s="106" t="s">
        <v>924</v>
      </c>
      <c r="AH280" s="36"/>
      <c r="AI280" s="35"/>
      <c r="AJ280" s="35"/>
      <c r="AK280" s="133"/>
      <c r="AL280" s="72"/>
      <c r="AM280" s="72"/>
      <c r="AN280" s="48"/>
      <c r="AO280" s="49"/>
      <c r="AP280" s="36"/>
      <c r="AQ280" s="116"/>
      <c r="AR280" s="116"/>
      <c r="AS280" s="31"/>
      <c r="AT280" s="32"/>
      <c r="AU280" s="50"/>
      <c r="AV280" s="50"/>
      <c r="AW280" s="78"/>
      <c r="AX280" s="78"/>
      <c r="AY280" s="33"/>
      <c r="AZ280" s="34"/>
      <c r="BA280" s="35"/>
      <c r="BB280" s="35"/>
      <c r="BC280" s="80"/>
      <c r="BD280" s="80"/>
      <c r="BE280" s="80"/>
      <c r="BF280" s="35"/>
      <c r="BG280" s="36"/>
      <c r="BH280" s="35"/>
      <c r="BI280" s="97">
        <v>62000</v>
      </c>
      <c r="BJ280" s="125"/>
      <c r="BK280" s="125"/>
      <c r="BL280" s="125">
        <v>62000</v>
      </c>
      <c r="BM280" s="125"/>
      <c r="BN280" s="39">
        <f t="shared" si="30"/>
        <v>62000</v>
      </c>
      <c r="BO280" s="36"/>
      <c r="BP280" s="40"/>
      <c r="BQ280" s="40"/>
      <c r="BR280" s="40"/>
      <c r="BS280" s="40"/>
      <c r="BT280" s="40"/>
      <c r="BU280" s="40"/>
      <c r="BV280" s="40"/>
      <c r="BW280" s="40"/>
      <c r="BX280" s="40"/>
      <c r="BY280" s="40"/>
      <c r="BZ280" s="40"/>
      <c r="CA280" s="40"/>
      <c r="CB280" s="36" t="s">
        <v>925</v>
      </c>
      <c r="CC280" s="49">
        <v>14236</v>
      </c>
      <c r="CD280" s="36" t="s">
        <v>926</v>
      </c>
      <c r="CE280" s="49">
        <v>701969</v>
      </c>
      <c r="CF280" s="36" t="s">
        <v>563</v>
      </c>
      <c r="CG280" s="49">
        <v>713519</v>
      </c>
    </row>
    <row r="281" spans="1:85" customFormat="1" ht="162" customHeight="1">
      <c r="A281" s="106">
        <v>87</v>
      </c>
      <c r="B281" s="130" t="s">
        <v>927</v>
      </c>
      <c r="C281" s="131" t="s">
        <v>928</v>
      </c>
      <c r="D281" s="278" t="s">
        <v>918</v>
      </c>
      <c r="E281" s="284"/>
      <c r="F281" s="278" t="s">
        <v>929</v>
      </c>
      <c r="G281" s="47"/>
      <c r="H281" s="120"/>
      <c r="I281" s="36"/>
      <c r="J281" s="36"/>
      <c r="K281" s="36"/>
      <c r="L281" s="36"/>
      <c r="M281" s="44" t="s">
        <v>411</v>
      </c>
      <c r="N281" s="44" t="s">
        <v>930</v>
      </c>
      <c r="O281" s="77"/>
      <c r="P281" s="77"/>
      <c r="Q281" s="72"/>
      <c r="R281" s="126"/>
      <c r="S281" s="126"/>
      <c r="T281" s="40"/>
      <c r="U281" s="47"/>
      <c r="V281" s="106"/>
      <c r="W281" s="36"/>
      <c r="X281" s="35"/>
      <c r="Y281" s="47" t="s">
        <v>931</v>
      </c>
      <c r="Z281" s="47" t="s">
        <v>932</v>
      </c>
      <c r="AA281" s="47" t="s">
        <v>933</v>
      </c>
      <c r="AB281" s="116">
        <v>45982</v>
      </c>
      <c r="AC281" s="120">
        <v>14160</v>
      </c>
      <c r="AD281" s="132">
        <v>45982</v>
      </c>
      <c r="AE281" s="127" t="s">
        <v>934</v>
      </c>
      <c r="AF281" s="127" t="s">
        <v>225</v>
      </c>
      <c r="AG281" s="106" t="s">
        <v>924</v>
      </c>
      <c r="AH281" s="36"/>
      <c r="AI281" s="35"/>
      <c r="AJ281" s="35"/>
      <c r="AK281" s="133"/>
      <c r="AL281" s="72"/>
      <c r="AM281" s="72"/>
      <c r="AN281" s="48"/>
      <c r="AO281" s="49"/>
      <c r="AP281" s="36"/>
      <c r="AQ281" s="116"/>
      <c r="AR281" s="116"/>
      <c r="AS281" s="31"/>
      <c r="AT281" s="32"/>
      <c r="AU281" s="50"/>
      <c r="AV281" s="50"/>
      <c r="AW281" s="78"/>
      <c r="AX281" s="78"/>
      <c r="AY281" s="33"/>
      <c r="AZ281" s="34"/>
      <c r="BA281" s="35"/>
      <c r="BB281" s="35"/>
      <c r="BC281" s="80"/>
      <c r="BD281" s="80"/>
      <c r="BE281" s="80"/>
      <c r="BF281" s="35"/>
      <c r="BG281" s="36"/>
      <c r="BH281" s="35"/>
      <c r="BI281" s="97">
        <v>136032</v>
      </c>
      <c r="BJ281" s="125"/>
      <c r="BK281" s="125"/>
      <c r="BL281" s="125">
        <f>22672+11336+11336+11336+11336</f>
        <v>68016</v>
      </c>
      <c r="BM281" s="125"/>
      <c r="BN281" s="39">
        <f t="shared" si="30"/>
        <v>68016</v>
      </c>
      <c r="BO281" s="36"/>
      <c r="BP281" s="40"/>
      <c r="BQ281" s="40"/>
      <c r="BR281" s="40"/>
      <c r="BS281" s="40"/>
      <c r="BT281" s="40"/>
      <c r="BU281" s="40"/>
      <c r="BV281" s="40"/>
      <c r="BW281" s="40"/>
      <c r="BX281" s="40"/>
      <c r="BY281" s="40"/>
      <c r="BZ281" s="40"/>
      <c r="CA281" s="40"/>
      <c r="CB281" s="36" t="s">
        <v>935</v>
      </c>
      <c r="CC281" s="49">
        <v>14162</v>
      </c>
      <c r="CD281" s="36" t="s">
        <v>936</v>
      </c>
      <c r="CE281" s="49">
        <v>716543</v>
      </c>
      <c r="CF281" s="36" t="s">
        <v>937</v>
      </c>
      <c r="CG281" s="49">
        <v>545557</v>
      </c>
    </row>
    <row r="282" spans="1:85" customFormat="1" ht="65.25" customHeight="1">
      <c r="A282" s="170">
        <v>88</v>
      </c>
      <c r="B282" s="170" t="s">
        <v>938</v>
      </c>
      <c r="C282" s="154" t="s">
        <v>939</v>
      </c>
      <c r="D282" s="273" t="s">
        <v>724</v>
      </c>
      <c r="E282" s="283" t="s">
        <v>180</v>
      </c>
      <c r="F282" s="273" t="s">
        <v>940</v>
      </c>
      <c r="G282" s="154"/>
      <c r="H282" s="175">
        <v>13555</v>
      </c>
      <c r="I282" s="36"/>
      <c r="J282" s="36"/>
      <c r="K282" s="36"/>
      <c r="L282" s="36"/>
      <c r="M282" s="154" t="s">
        <v>725</v>
      </c>
      <c r="N282" s="154" t="s">
        <v>941</v>
      </c>
      <c r="O282" s="157">
        <v>13555</v>
      </c>
      <c r="P282" s="157">
        <v>13605</v>
      </c>
      <c r="Q282" s="72"/>
      <c r="R282" s="126"/>
      <c r="S282" s="126"/>
      <c r="T282" s="40"/>
      <c r="U282" s="36"/>
      <c r="V282" s="40"/>
      <c r="W282" s="36"/>
      <c r="X282" s="35"/>
      <c r="Y282" s="154" t="s">
        <v>942</v>
      </c>
      <c r="Z282" s="154" t="s">
        <v>943</v>
      </c>
      <c r="AA282" s="154" t="s">
        <v>944</v>
      </c>
      <c r="AB282" s="161">
        <v>45160</v>
      </c>
      <c r="AC282" s="175">
        <v>13602</v>
      </c>
      <c r="AD282" s="176">
        <v>45160</v>
      </c>
      <c r="AE282" s="177" t="s">
        <v>945</v>
      </c>
      <c r="AF282" s="177" t="s">
        <v>453</v>
      </c>
      <c r="AG282" s="170" t="s">
        <v>946</v>
      </c>
      <c r="AH282" s="36"/>
      <c r="AI282" s="178"/>
      <c r="AJ282" s="178"/>
      <c r="AK282" s="174">
        <v>48000</v>
      </c>
      <c r="AL282" s="72"/>
      <c r="AM282" s="72"/>
      <c r="AN282" s="48"/>
      <c r="AO282" s="49"/>
      <c r="AP282" s="36"/>
      <c r="AQ282" s="116"/>
      <c r="AR282" s="116"/>
      <c r="AS282" s="31"/>
      <c r="AT282" s="32"/>
      <c r="AU282" s="50"/>
      <c r="AV282" s="50"/>
      <c r="AW282" s="78"/>
      <c r="AX282" s="78"/>
      <c r="AY282" s="33"/>
      <c r="AZ282" s="34"/>
      <c r="BA282" s="35"/>
      <c r="BB282" s="35"/>
      <c r="BC282" s="80"/>
      <c r="BD282" s="80"/>
      <c r="BE282" s="80"/>
      <c r="BF282" s="35"/>
      <c r="BG282" s="36"/>
      <c r="BH282" s="35"/>
      <c r="BI282" s="97">
        <f>AK282</f>
        <v>48000</v>
      </c>
      <c r="BJ282" s="38">
        <f>18400+66800+44000</f>
        <v>129200</v>
      </c>
      <c r="BK282" s="38">
        <f>44000</f>
        <v>44000</v>
      </c>
      <c r="BL282" s="38">
        <f>4000+12000+4000</f>
        <v>20000</v>
      </c>
      <c r="BM282" s="38"/>
      <c r="BN282" s="39">
        <f t="shared" si="30"/>
        <v>149200</v>
      </c>
      <c r="BO282" s="36"/>
      <c r="BP282" s="40"/>
      <c r="BQ282" s="40"/>
      <c r="BR282" s="40"/>
      <c r="BS282" s="40"/>
      <c r="BT282" s="40"/>
      <c r="BU282" s="40"/>
      <c r="BV282" s="40"/>
      <c r="BW282" s="40"/>
      <c r="BX282" s="40"/>
      <c r="BY282" s="40"/>
      <c r="BZ282" s="40"/>
      <c r="CA282" s="40"/>
      <c r="CB282" s="154" t="s">
        <v>947</v>
      </c>
      <c r="CC282" s="157">
        <v>13984</v>
      </c>
      <c r="CD282" s="154" t="s">
        <v>687</v>
      </c>
      <c r="CE282" s="157">
        <v>713115</v>
      </c>
      <c r="CF282" s="154" t="s">
        <v>948</v>
      </c>
      <c r="CG282" s="154" t="s">
        <v>949</v>
      </c>
    </row>
    <row r="283" spans="1:85" customFormat="1" ht="65.25" customHeight="1">
      <c r="A283" s="155"/>
      <c r="B283" s="155"/>
      <c r="C283" s="155"/>
      <c r="D283" s="274"/>
      <c r="E283" s="274"/>
      <c r="F283" s="274"/>
      <c r="G283" s="155"/>
      <c r="H283" s="155"/>
      <c r="I283" s="36"/>
      <c r="J283" s="36"/>
      <c r="K283" s="36"/>
      <c r="L283" s="36"/>
      <c r="M283" s="155"/>
      <c r="N283" s="155"/>
      <c r="O283" s="155"/>
      <c r="P283" s="155"/>
      <c r="Q283" s="72"/>
      <c r="R283" s="126"/>
      <c r="S283" s="126"/>
      <c r="T283" s="40"/>
      <c r="U283" s="36"/>
      <c r="V283" s="40"/>
      <c r="W283" s="36"/>
      <c r="X283" s="35"/>
      <c r="Y283" s="155"/>
      <c r="Z283" s="155"/>
      <c r="AA283" s="155"/>
      <c r="AB283" s="155"/>
      <c r="AC283" s="155"/>
      <c r="AD283" s="155"/>
      <c r="AE283" s="155"/>
      <c r="AF283" s="155"/>
      <c r="AG283" s="155"/>
      <c r="AH283" s="36"/>
      <c r="AI283" s="155"/>
      <c r="AJ283" s="155"/>
      <c r="AK283" s="155"/>
      <c r="AL283" s="72" t="s">
        <v>518</v>
      </c>
      <c r="AM283" s="72" t="s">
        <v>199</v>
      </c>
      <c r="AN283" s="48">
        <v>45527</v>
      </c>
      <c r="AO283" s="49">
        <v>13850</v>
      </c>
      <c r="AP283" s="36" t="s">
        <v>950</v>
      </c>
      <c r="AQ283" s="116">
        <v>45527</v>
      </c>
      <c r="AR283" s="116">
        <v>45891</v>
      </c>
      <c r="AS283" s="31"/>
      <c r="AT283" s="32"/>
      <c r="AU283" s="50"/>
      <c r="AV283" s="50"/>
      <c r="AW283" s="78"/>
      <c r="AX283" s="78"/>
      <c r="AY283" s="33"/>
      <c r="AZ283" s="34"/>
      <c r="BA283" s="35"/>
      <c r="BB283" s="35"/>
      <c r="BC283" s="80"/>
      <c r="BD283" s="80"/>
      <c r="BE283" s="80"/>
      <c r="BF283" s="35"/>
      <c r="BG283" s="36"/>
      <c r="BH283" s="35"/>
      <c r="BI283" s="78"/>
      <c r="BJ283" s="38"/>
      <c r="BK283" s="38"/>
      <c r="BL283" s="38"/>
      <c r="BM283" s="38"/>
      <c r="BN283" s="39">
        <f t="shared" si="30"/>
        <v>0</v>
      </c>
      <c r="BO283" s="36"/>
      <c r="BP283" s="40"/>
      <c r="BQ283" s="40"/>
      <c r="BR283" s="40"/>
      <c r="BS283" s="40"/>
      <c r="BT283" s="40"/>
      <c r="BU283" s="40"/>
      <c r="BV283" s="40"/>
      <c r="BW283" s="40"/>
      <c r="BX283" s="40"/>
      <c r="BY283" s="40"/>
      <c r="BZ283" s="40"/>
      <c r="CA283" s="40"/>
      <c r="CB283" s="155"/>
      <c r="CC283" s="155"/>
      <c r="CD283" s="155"/>
      <c r="CE283" s="155"/>
      <c r="CF283" s="155"/>
      <c r="CG283" s="155"/>
    </row>
    <row r="284" spans="1:85" customFormat="1" ht="65.25" customHeight="1">
      <c r="A284" s="155"/>
      <c r="B284" s="155"/>
      <c r="C284" s="155"/>
      <c r="D284" s="274"/>
      <c r="E284" s="274"/>
      <c r="F284" s="274"/>
      <c r="G284" s="155"/>
      <c r="H284" s="155"/>
      <c r="I284" s="36"/>
      <c r="J284" s="36"/>
      <c r="K284" s="36"/>
      <c r="L284" s="36"/>
      <c r="M284" s="155"/>
      <c r="N284" s="155"/>
      <c r="O284" s="155"/>
      <c r="P284" s="155"/>
      <c r="Q284" s="72"/>
      <c r="R284" s="126"/>
      <c r="S284" s="126"/>
      <c r="T284" s="40"/>
      <c r="U284" s="36"/>
      <c r="V284" s="40"/>
      <c r="W284" s="36"/>
      <c r="X284" s="35"/>
      <c r="Y284" s="155"/>
      <c r="Z284" s="155"/>
      <c r="AA284" s="155"/>
      <c r="AB284" s="155"/>
      <c r="AC284" s="155"/>
      <c r="AD284" s="155"/>
      <c r="AE284" s="155"/>
      <c r="AF284" s="155"/>
      <c r="AG284" s="155"/>
      <c r="AH284" s="36"/>
      <c r="AI284" s="155"/>
      <c r="AJ284" s="155"/>
      <c r="AK284" s="155"/>
      <c r="AL284" s="72" t="s">
        <v>518</v>
      </c>
      <c r="AM284" s="72" t="s">
        <v>459</v>
      </c>
      <c r="AN284" s="48">
        <v>45891</v>
      </c>
      <c r="AO284" s="49">
        <v>14087</v>
      </c>
      <c r="AP284" s="36" t="s">
        <v>950</v>
      </c>
      <c r="AQ284" s="116">
        <v>45892</v>
      </c>
      <c r="AR284" s="116">
        <v>46256</v>
      </c>
      <c r="AS284" s="31"/>
      <c r="AT284" s="32"/>
      <c r="AU284" s="50"/>
      <c r="AV284" s="50"/>
      <c r="AW284" s="78"/>
      <c r="AX284" s="78"/>
      <c r="AY284" s="33"/>
      <c r="AZ284" s="34"/>
      <c r="BA284" s="35"/>
      <c r="BB284" s="35"/>
      <c r="BC284" s="80"/>
      <c r="BD284" s="80"/>
      <c r="BE284" s="80"/>
      <c r="BF284" s="35"/>
      <c r="BG284" s="36"/>
      <c r="BH284" s="35"/>
      <c r="BI284" s="78"/>
      <c r="BJ284" s="38"/>
      <c r="BK284" s="38"/>
      <c r="BL284" s="38"/>
      <c r="BM284" s="38"/>
      <c r="BN284" s="39">
        <f t="shared" si="30"/>
        <v>0</v>
      </c>
      <c r="BO284" s="36"/>
      <c r="BP284" s="40"/>
      <c r="BQ284" s="40"/>
      <c r="BR284" s="40"/>
      <c r="BS284" s="40"/>
      <c r="BT284" s="40"/>
      <c r="BU284" s="40"/>
      <c r="BV284" s="40"/>
      <c r="BW284" s="40"/>
      <c r="BX284" s="40"/>
      <c r="BY284" s="40"/>
      <c r="BZ284" s="40"/>
      <c r="CA284" s="40"/>
      <c r="CB284" s="155"/>
      <c r="CC284" s="155"/>
      <c r="CD284" s="155"/>
      <c r="CE284" s="155"/>
      <c r="CF284" s="155"/>
      <c r="CG284" s="155"/>
    </row>
    <row r="285" spans="1:85" customFormat="1" ht="57" customHeight="1">
      <c r="A285" s="162"/>
      <c r="B285" s="162"/>
      <c r="C285" s="162"/>
      <c r="D285" s="276"/>
      <c r="E285" s="276"/>
      <c r="F285" s="276"/>
      <c r="G285" s="162"/>
      <c r="H285" s="162"/>
      <c r="I285" s="36"/>
      <c r="J285" s="36"/>
      <c r="K285" s="36"/>
      <c r="L285" s="36"/>
      <c r="M285" s="162"/>
      <c r="N285" s="162"/>
      <c r="O285" s="162"/>
      <c r="P285" s="162"/>
      <c r="Q285" s="72"/>
      <c r="R285" s="126"/>
      <c r="S285" s="126"/>
      <c r="T285" s="40"/>
      <c r="U285" s="36"/>
      <c r="V285" s="40"/>
      <c r="W285" s="36"/>
      <c r="X285" s="35"/>
      <c r="Y285" s="162"/>
      <c r="Z285" s="162"/>
      <c r="AA285" s="162"/>
      <c r="AB285" s="162"/>
      <c r="AC285" s="162"/>
      <c r="AD285" s="162"/>
      <c r="AE285" s="162"/>
      <c r="AF285" s="162"/>
      <c r="AG285" s="162"/>
      <c r="AH285" s="36"/>
      <c r="AI285" s="162"/>
      <c r="AJ285" s="162"/>
      <c r="AK285" s="162"/>
      <c r="AL285" s="72"/>
      <c r="AM285" s="72"/>
      <c r="AN285" s="48"/>
      <c r="AO285" s="49"/>
      <c r="AP285" s="36"/>
      <c r="AQ285" s="116"/>
      <c r="AR285" s="116"/>
      <c r="AS285" s="31"/>
      <c r="AT285" s="32"/>
      <c r="AU285" s="50"/>
      <c r="AV285" s="50"/>
      <c r="AW285" s="78"/>
      <c r="AX285" s="78"/>
      <c r="AY285" s="33"/>
      <c r="AZ285" s="34"/>
      <c r="BA285" s="35"/>
      <c r="BB285" s="35"/>
      <c r="BC285" s="80"/>
      <c r="BD285" s="80"/>
      <c r="BE285" s="80"/>
      <c r="BF285" s="35"/>
      <c r="BG285" s="36"/>
      <c r="BH285" s="35"/>
      <c r="BI285" s="78"/>
      <c r="BJ285" s="38"/>
      <c r="BK285" s="38"/>
      <c r="BL285" s="38"/>
      <c r="BM285" s="38"/>
      <c r="BN285" s="39">
        <f t="shared" si="30"/>
        <v>0</v>
      </c>
      <c r="BO285" s="36"/>
      <c r="BP285" s="40"/>
      <c r="BQ285" s="40"/>
      <c r="BR285" s="40"/>
      <c r="BS285" s="40"/>
      <c r="BT285" s="40"/>
      <c r="BU285" s="40"/>
      <c r="BV285" s="40"/>
      <c r="BW285" s="40"/>
      <c r="BX285" s="40"/>
      <c r="BY285" s="40"/>
      <c r="BZ285" s="40"/>
      <c r="CA285" s="40"/>
      <c r="CB285" s="162"/>
      <c r="CC285" s="162"/>
      <c r="CD285" s="162"/>
      <c r="CE285" s="162"/>
      <c r="CF285" s="162"/>
      <c r="CG285" s="162"/>
    </row>
    <row r="286" spans="1:85" customFormat="1" ht="60" customHeight="1">
      <c r="A286" s="170">
        <v>89</v>
      </c>
      <c r="B286" s="170" t="s">
        <v>951</v>
      </c>
      <c r="C286" s="154" t="s">
        <v>952</v>
      </c>
      <c r="D286" s="273" t="s">
        <v>724</v>
      </c>
      <c r="E286" s="283" t="s">
        <v>180</v>
      </c>
      <c r="F286" s="273" t="s">
        <v>953</v>
      </c>
      <c r="G286" s="47"/>
      <c r="H286" s="170"/>
      <c r="I286" s="36"/>
      <c r="J286" s="36"/>
      <c r="K286" s="36"/>
      <c r="L286" s="36"/>
      <c r="M286" s="154" t="s">
        <v>725</v>
      </c>
      <c r="N286" s="154" t="s">
        <v>941</v>
      </c>
      <c r="O286" s="157">
        <v>13380</v>
      </c>
      <c r="P286" s="157">
        <v>13381</v>
      </c>
      <c r="Q286" s="72"/>
      <c r="R286" s="126"/>
      <c r="S286" s="126"/>
      <c r="T286" s="40"/>
      <c r="U286" s="36"/>
      <c r="V286" s="40"/>
      <c r="W286" s="36"/>
      <c r="X286" s="35"/>
      <c r="Y286" s="154" t="s">
        <v>954</v>
      </c>
      <c r="Z286" s="154" t="s">
        <v>955</v>
      </c>
      <c r="AA286" s="154" t="s">
        <v>956</v>
      </c>
      <c r="AB286" s="161">
        <v>44805</v>
      </c>
      <c r="AC286" s="175">
        <v>13381</v>
      </c>
      <c r="AD286" s="176">
        <v>44805</v>
      </c>
      <c r="AE286" s="177" t="s">
        <v>957</v>
      </c>
      <c r="AF286" s="177" t="s">
        <v>453</v>
      </c>
      <c r="AG286" s="170" t="s">
        <v>185</v>
      </c>
      <c r="AH286" s="36"/>
      <c r="AI286" s="35"/>
      <c r="AJ286" s="35"/>
      <c r="AK286" s="174">
        <f>25000*12</f>
        <v>300000</v>
      </c>
      <c r="AL286" s="72" t="s">
        <v>518</v>
      </c>
      <c r="AM286" s="72" t="s">
        <v>199</v>
      </c>
      <c r="AN286" s="48">
        <v>45171</v>
      </c>
      <c r="AO286" s="49">
        <v>13649</v>
      </c>
      <c r="AP286" s="36" t="s">
        <v>637</v>
      </c>
      <c r="AQ286" s="116">
        <v>45171</v>
      </c>
      <c r="AR286" s="116">
        <v>45537</v>
      </c>
      <c r="AS286" s="31"/>
      <c r="AT286" s="32"/>
      <c r="AU286" s="50"/>
      <c r="AV286" s="50"/>
      <c r="AW286" s="78"/>
      <c r="AX286" s="78"/>
      <c r="AY286" s="33"/>
      <c r="AZ286" s="34"/>
      <c r="BA286" s="35"/>
      <c r="BB286" s="35"/>
      <c r="BC286" s="80"/>
      <c r="BD286" s="80"/>
      <c r="BE286" s="80"/>
      <c r="BF286" s="35"/>
      <c r="BG286" s="36"/>
      <c r="BH286" s="35"/>
      <c r="BI286" s="80">
        <f>AK286</f>
        <v>300000</v>
      </c>
      <c r="BJ286" s="38">
        <f>200000+100000+333396.52+315565.44</f>
        <v>948961.96</v>
      </c>
      <c r="BK286" s="38">
        <f>208523.2+107042.24</f>
        <v>315565.44</v>
      </c>
      <c r="BL286" s="38">
        <f>26760.56+26760.56+53521.12+26760.56</f>
        <v>133802.80000000002</v>
      </c>
      <c r="BM286" s="38"/>
      <c r="BN286" s="39"/>
      <c r="BO286" s="36"/>
      <c r="BP286" s="40"/>
      <c r="BQ286" s="40"/>
      <c r="BR286" s="40"/>
      <c r="BS286" s="40"/>
      <c r="BT286" s="40"/>
      <c r="BU286" s="40"/>
      <c r="BV286" s="40"/>
      <c r="BW286" s="40"/>
      <c r="BX286" s="40"/>
      <c r="BY286" s="40"/>
      <c r="BZ286" s="40"/>
      <c r="CA286" s="40"/>
      <c r="CB286" s="154" t="s">
        <v>958</v>
      </c>
      <c r="CC286" s="157">
        <v>14023</v>
      </c>
      <c r="CD286" s="154" t="s">
        <v>959</v>
      </c>
      <c r="CE286" s="157">
        <v>712466</v>
      </c>
      <c r="CF286" s="154" t="s">
        <v>960</v>
      </c>
      <c r="CG286" s="157">
        <v>715633</v>
      </c>
    </row>
    <row r="287" spans="1:85" customFormat="1" ht="60" customHeight="1">
      <c r="A287" s="155"/>
      <c r="B287" s="155"/>
      <c r="C287" s="155"/>
      <c r="D287" s="274"/>
      <c r="E287" s="274"/>
      <c r="F287" s="274"/>
      <c r="G287" s="47"/>
      <c r="H287" s="155"/>
      <c r="I287" s="36"/>
      <c r="J287" s="36"/>
      <c r="K287" s="36"/>
      <c r="L287" s="36"/>
      <c r="M287" s="155"/>
      <c r="N287" s="155"/>
      <c r="O287" s="155"/>
      <c r="P287" s="155"/>
      <c r="Q287" s="98"/>
      <c r="R287" s="134"/>
      <c r="S287" s="134"/>
      <c r="T287" s="108"/>
      <c r="U287" s="53"/>
      <c r="V287" s="89"/>
      <c r="W287" s="36"/>
      <c r="X287" s="35"/>
      <c r="Y287" s="155"/>
      <c r="Z287" s="155"/>
      <c r="AA287" s="155"/>
      <c r="AB287" s="155"/>
      <c r="AC287" s="155"/>
      <c r="AD287" s="155"/>
      <c r="AE287" s="155"/>
      <c r="AF287" s="155"/>
      <c r="AG287" s="155"/>
      <c r="AH287" s="36"/>
      <c r="AI287" s="35"/>
      <c r="AJ287" s="35"/>
      <c r="AK287" s="155"/>
      <c r="AL287" s="72" t="s">
        <v>518</v>
      </c>
      <c r="AM287" s="72" t="s">
        <v>459</v>
      </c>
      <c r="AN287" s="48">
        <v>45538</v>
      </c>
      <c r="AO287" s="49">
        <v>13870</v>
      </c>
      <c r="AP287" s="36" t="s">
        <v>961</v>
      </c>
      <c r="AQ287" s="116">
        <v>45538</v>
      </c>
      <c r="AR287" s="116">
        <v>45903</v>
      </c>
      <c r="AS287" s="31"/>
      <c r="AT287" s="32"/>
      <c r="AU287" s="50"/>
      <c r="AV287" s="50"/>
      <c r="AW287" s="78"/>
      <c r="AX287" s="78"/>
      <c r="AY287" s="33"/>
      <c r="AZ287" s="34"/>
      <c r="BA287" s="35"/>
      <c r="BB287" s="35"/>
      <c r="BC287" s="80"/>
      <c r="BD287" s="86">
        <f t="shared" ref="BD287:BD288" si="31">BE287/BI286</f>
        <v>4.2616000000000001E-2</v>
      </c>
      <c r="BE287" s="80">
        <f>1065.4*12</f>
        <v>12784.800000000001</v>
      </c>
      <c r="BF287" s="35"/>
      <c r="BG287" s="36"/>
      <c r="BH287" s="35"/>
      <c r="BI287" s="80">
        <f>26065.4*12</f>
        <v>312784.80000000005</v>
      </c>
      <c r="BJ287" s="38"/>
      <c r="BK287" s="38"/>
      <c r="BL287" s="38"/>
      <c r="BM287" s="38"/>
      <c r="BN287" s="39">
        <f t="shared" si="30"/>
        <v>0</v>
      </c>
      <c r="BO287" s="36"/>
      <c r="BP287" s="40"/>
      <c r="BQ287" s="40"/>
      <c r="BR287" s="40"/>
      <c r="BS287" s="40"/>
      <c r="BT287" s="40"/>
      <c r="BU287" s="40"/>
      <c r="BV287" s="40"/>
      <c r="BW287" s="40"/>
      <c r="BX287" s="40"/>
      <c r="BY287" s="40"/>
      <c r="BZ287" s="40"/>
      <c r="CA287" s="40"/>
      <c r="CB287" s="155"/>
      <c r="CC287" s="155"/>
      <c r="CD287" s="155"/>
      <c r="CE287" s="155"/>
      <c r="CF287" s="155"/>
      <c r="CG287" s="155"/>
    </row>
    <row r="288" spans="1:85" customFormat="1" ht="60" customHeight="1">
      <c r="A288" s="162"/>
      <c r="B288" s="162"/>
      <c r="C288" s="162"/>
      <c r="D288" s="276"/>
      <c r="E288" s="276"/>
      <c r="F288" s="276"/>
      <c r="G288" s="47"/>
      <c r="H288" s="162"/>
      <c r="I288" s="36"/>
      <c r="J288" s="36"/>
      <c r="K288" s="36"/>
      <c r="L288" s="36"/>
      <c r="M288" s="162"/>
      <c r="N288" s="162"/>
      <c r="O288" s="162"/>
      <c r="P288" s="162"/>
      <c r="Q288" s="98"/>
      <c r="R288" s="134"/>
      <c r="S288" s="134"/>
      <c r="T288" s="108"/>
      <c r="U288" s="53"/>
      <c r="V288" s="89"/>
      <c r="W288" s="36"/>
      <c r="X288" s="35"/>
      <c r="Y288" s="162"/>
      <c r="Z288" s="162"/>
      <c r="AA288" s="162"/>
      <c r="AB288" s="162"/>
      <c r="AC288" s="162"/>
      <c r="AD288" s="162"/>
      <c r="AE288" s="162"/>
      <c r="AF288" s="162"/>
      <c r="AG288" s="162"/>
      <c r="AH288" s="36"/>
      <c r="AI288" s="35"/>
      <c r="AJ288" s="35"/>
      <c r="AK288" s="162"/>
      <c r="AL288" s="72" t="s">
        <v>518</v>
      </c>
      <c r="AM288" s="72" t="s">
        <v>520</v>
      </c>
      <c r="AN288" s="48">
        <v>45903</v>
      </c>
      <c r="AO288" s="49">
        <v>14107</v>
      </c>
      <c r="AP288" s="36" t="s">
        <v>637</v>
      </c>
      <c r="AQ288" s="116">
        <v>45903</v>
      </c>
      <c r="AR288" s="116">
        <v>46267</v>
      </c>
      <c r="AS288" s="31"/>
      <c r="AT288" s="32"/>
      <c r="AU288" s="50"/>
      <c r="AV288" s="50"/>
      <c r="AW288" s="78"/>
      <c r="AX288" s="78"/>
      <c r="AY288" s="33"/>
      <c r="AZ288" s="34"/>
      <c r="BA288" s="35"/>
      <c r="BB288" s="35"/>
      <c r="BC288" s="80"/>
      <c r="BD288" s="86">
        <f t="shared" si="31"/>
        <v>2.6669838176279655E-2</v>
      </c>
      <c r="BE288" s="80">
        <f>SUM(26760.56-26065.4)*12</f>
        <v>8341.9199999999983</v>
      </c>
      <c r="BF288" s="35"/>
      <c r="BG288" s="36"/>
      <c r="BH288" s="35"/>
      <c r="BI288" s="135">
        <f>BI287+BE288</f>
        <v>321126.72000000003</v>
      </c>
      <c r="BJ288" s="38"/>
      <c r="BK288" s="38"/>
      <c r="BL288" s="38"/>
      <c r="BM288" s="38"/>
      <c r="BN288" s="39">
        <f t="shared" si="30"/>
        <v>0</v>
      </c>
      <c r="BO288" s="36"/>
      <c r="BP288" s="40"/>
      <c r="BQ288" s="40"/>
      <c r="BR288" s="40"/>
      <c r="BS288" s="40"/>
      <c r="BT288" s="40"/>
      <c r="BU288" s="40"/>
      <c r="BV288" s="40"/>
      <c r="BW288" s="40"/>
      <c r="BX288" s="40"/>
      <c r="BY288" s="40"/>
      <c r="BZ288" s="40"/>
      <c r="CA288" s="40"/>
      <c r="CB288" s="162"/>
      <c r="CC288" s="162"/>
      <c r="CD288" s="162"/>
      <c r="CE288" s="162"/>
      <c r="CF288" s="162"/>
      <c r="CG288" s="162"/>
    </row>
    <row r="289" spans="1:85" customFormat="1" ht="60" customHeight="1">
      <c r="A289" s="170">
        <v>90</v>
      </c>
      <c r="B289" s="170" t="s">
        <v>962</v>
      </c>
      <c r="C289" s="154" t="s">
        <v>963</v>
      </c>
      <c r="D289" s="273" t="s">
        <v>724</v>
      </c>
      <c r="E289" s="283" t="s">
        <v>180</v>
      </c>
      <c r="F289" s="273" t="s">
        <v>964</v>
      </c>
      <c r="G289" s="47"/>
      <c r="H289" s="170"/>
      <c r="I289" s="36"/>
      <c r="J289" s="36"/>
      <c r="K289" s="36"/>
      <c r="L289" s="36"/>
      <c r="M289" s="154" t="s">
        <v>725</v>
      </c>
      <c r="N289" s="154" t="s">
        <v>965</v>
      </c>
      <c r="O289" s="157">
        <v>13381</v>
      </c>
      <c r="P289" s="157">
        <v>13381</v>
      </c>
      <c r="Q289" s="98"/>
      <c r="R289" s="134"/>
      <c r="S289" s="134"/>
      <c r="T289" s="108"/>
      <c r="U289" s="53"/>
      <c r="V289" s="89"/>
      <c r="W289" s="36"/>
      <c r="X289" s="35"/>
      <c r="Y289" s="154" t="s">
        <v>966</v>
      </c>
      <c r="Z289" s="154" t="s">
        <v>955</v>
      </c>
      <c r="AA289" s="154" t="s">
        <v>956</v>
      </c>
      <c r="AB289" s="161">
        <v>45007</v>
      </c>
      <c r="AC289" s="175">
        <v>13511</v>
      </c>
      <c r="AD289" s="176">
        <v>45007</v>
      </c>
      <c r="AE289" s="177" t="s">
        <v>967</v>
      </c>
      <c r="AF289" s="177" t="s">
        <v>453</v>
      </c>
      <c r="AG289" s="170" t="s">
        <v>185</v>
      </c>
      <c r="AH289" s="36"/>
      <c r="AI289" s="35"/>
      <c r="AJ289" s="35"/>
      <c r="AK289" s="174">
        <f>2500*12</f>
        <v>30000</v>
      </c>
      <c r="AL289" s="72"/>
      <c r="AM289" s="72"/>
      <c r="AN289" s="48"/>
      <c r="AO289" s="49"/>
      <c r="AP289" s="36"/>
      <c r="AQ289" s="116"/>
      <c r="AR289" s="116"/>
      <c r="AS289" s="31"/>
      <c r="AT289" s="32"/>
      <c r="AU289" s="50"/>
      <c r="AV289" s="50"/>
      <c r="AW289" s="78"/>
      <c r="AX289" s="78"/>
      <c r="AY289" s="33"/>
      <c r="AZ289" s="34"/>
      <c r="BA289" s="35"/>
      <c r="BB289" s="35"/>
      <c r="BC289" s="80"/>
      <c r="BD289" s="80"/>
      <c r="BE289" s="80"/>
      <c r="BF289" s="35"/>
      <c r="BG289" s="36"/>
      <c r="BH289" s="35"/>
      <c r="BI289" s="78">
        <f>AK289</f>
        <v>30000</v>
      </c>
      <c r="BJ289" s="38">
        <f>22500+57442.49+47799.42+5000</f>
        <v>132741.90999999997</v>
      </c>
      <c r="BK289" s="38">
        <f>5000</f>
        <v>5000</v>
      </c>
      <c r="BL289" s="38"/>
      <c r="BM289" s="38"/>
      <c r="BN289" s="39">
        <f t="shared" si="30"/>
        <v>132741.90999999997</v>
      </c>
      <c r="BO289" s="36"/>
      <c r="BP289" s="40"/>
      <c r="BQ289" s="40"/>
      <c r="BR289" s="40"/>
      <c r="BS289" s="40"/>
      <c r="BT289" s="40"/>
      <c r="BU289" s="40"/>
      <c r="BV289" s="40"/>
      <c r="BW289" s="40"/>
      <c r="BX289" s="40"/>
      <c r="BY289" s="40"/>
      <c r="BZ289" s="40"/>
      <c r="CA289" s="40"/>
      <c r="CB289" s="154" t="s">
        <v>968</v>
      </c>
      <c r="CC289" s="157">
        <v>14023</v>
      </c>
      <c r="CD289" s="154" t="s">
        <v>959</v>
      </c>
      <c r="CE289" s="157">
        <v>712466</v>
      </c>
      <c r="CF289" s="154" t="s">
        <v>960</v>
      </c>
      <c r="CG289" s="157">
        <v>715633</v>
      </c>
    </row>
    <row r="290" spans="1:85" customFormat="1" ht="60" customHeight="1">
      <c r="A290" s="155"/>
      <c r="B290" s="155"/>
      <c r="C290" s="155"/>
      <c r="D290" s="274"/>
      <c r="E290" s="274"/>
      <c r="F290" s="274"/>
      <c r="G290" s="53"/>
      <c r="H290" s="155"/>
      <c r="I290" s="36"/>
      <c r="J290" s="36"/>
      <c r="K290" s="36"/>
      <c r="L290" s="36"/>
      <c r="M290" s="155"/>
      <c r="N290" s="155"/>
      <c r="O290" s="155"/>
      <c r="P290" s="155"/>
      <c r="Q290" s="98"/>
      <c r="R290" s="134"/>
      <c r="S290" s="134"/>
      <c r="T290" s="108"/>
      <c r="U290" s="53"/>
      <c r="V290" s="89"/>
      <c r="W290" s="36"/>
      <c r="X290" s="35"/>
      <c r="Y290" s="155"/>
      <c r="Z290" s="155"/>
      <c r="AA290" s="155"/>
      <c r="AB290" s="155"/>
      <c r="AC290" s="155"/>
      <c r="AD290" s="155"/>
      <c r="AE290" s="155"/>
      <c r="AF290" s="155"/>
      <c r="AG290" s="155"/>
      <c r="AH290" s="36"/>
      <c r="AI290" s="35"/>
      <c r="AJ290" s="35"/>
      <c r="AK290" s="155"/>
      <c r="AL290" s="72" t="s">
        <v>518</v>
      </c>
      <c r="AM290" s="72" t="s">
        <v>199</v>
      </c>
      <c r="AN290" s="48">
        <v>45371</v>
      </c>
      <c r="AO290" s="49">
        <v>13740</v>
      </c>
      <c r="AP290" s="36" t="s">
        <v>637</v>
      </c>
      <c r="AQ290" s="116">
        <v>45374</v>
      </c>
      <c r="AR290" s="116">
        <v>45738</v>
      </c>
      <c r="AS290" s="31"/>
      <c r="AT290" s="32"/>
      <c r="AU290" s="50"/>
      <c r="AV290" s="50"/>
      <c r="AW290" s="78"/>
      <c r="AX290" s="78"/>
      <c r="AY290" s="33"/>
      <c r="AZ290" s="34"/>
      <c r="BA290" s="35"/>
      <c r="BB290" s="35"/>
      <c r="BC290" s="80"/>
      <c r="BD290" s="86">
        <f>BE290/BI289</f>
        <v>8.440400000000009E-2</v>
      </c>
      <c r="BE290" s="80">
        <f>(2711.01-2500)*12</f>
        <v>2532.1200000000026</v>
      </c>
      <c r="BF290" s="35"/>
      <c r="BG290" s="36"/>
      <c r="BH290" s="35"/>
      <c r="BI290" s="97">
        <f>BI289+BE290</f>
        <v>32532.120000000003</v>
      </c>
      <c r="BJ290" s="38">
        <v>30810.12</v>
      </c>
      <c r="BK290" s="38">
        <f>3700.02+26962.35+147.75</f>
        <v>30810.12</v>
      </c>
      <c r="BL290" s="38">
        <f>2711.01+7676.51+7602.39+2711.01+1897.71+3524.31+2711.01</f>
        <v>28833.949999999997</v>
      </c>
      <c r="BM290" s="38"/>
      <c r="BN290" s="39">
        <f t="shared" si="30"/>
        <v>59644.069999999992</v>
      </c>
      <c r="BO290" s="36"/>
      <c r="BP290" s="40"/>
      <c r="BQ290" s="40"/>
      <c r="BR290" s="40"/>
      <c r="BS290" s="40"/>
      <c r="BT290" s="40"/>
      <c r="BU290" s="40"/>
      <c r="BV290" s="40"/>
      <c r="BW290" s="40"/>
      <c r="BX290" s="40"/>
      <c r="BY290" s="40"/>
      <c r="BZ290" s="40"/>
      <c r="CA290" s="40"/>
      <c r="CB290" s="155"/>
      <c r="CC290" s="155"/>
      <c r="CD290" s="155"/>
      <c r="CE290" s="155"/>
      <c r="CF290" s="155"/>
      <c r="CG290" s="155"/>
    </row>
    <row r="291" spans="1:85" customFormat="1" ht="60" customHeight="1">
      <c r="A291" s="155"/>
      <c r="B291" s="155"/>
      <c r="C291" s="155"/>
      <c r="D291" s="274"/>
      <c r="E291" s="274"/>
      <c r="F291" s="274"/>
      <c r="G291" s="53"/>
      <c r="H291" s="155"/>
      <c r="I291" s="36"/>
      <c r="J291" s="36"/>
      <c r="K291" s="36"/>
      <c r="L291" s="36"/>
      <c r="M291" s="155"/>
      <c r="N291" s="155"/>
      <c r="O291" s="155"/>
      <c r="P291" s="155"/>
      <c r="Q291" s="98"/>
      <c r="R291" s="134"/>
      <c r="S291" s="134"/>
      <c r="T291" s="108"/>
      <c r="U291" s="53"/>
      <c r="V291" s="89"/>
      <c r="W291" s="36"/>
      <c r="X291" s="35"/>
      <c r="Y291" s="155"/>
      <c r="Z291" s="155"/>
      <c r="AA291" s="155"/>
      <c r="AB291" s="155"/>
      <c r="AC291" s="155"/>
      <c r="AD291" s="155"/>
      <c r="AE291" s="155"/>
      <c r="AF291" s="155"/>
      <c r="AG291" s="155"/>
      <c r="AH291" s="36"/>
      <c r="AI291" s="35"/>
      <c r="AJ291" s="35"/>
      <c r="AK291" s="155"/>
      <c r="AL291" s="72" t="s">
        <v>518</v>
      </c>
      <c r="AM291" s="72" t="s">
        <v>459</v>
      </c>
      <c r="AN291" s="48">
        <v>45738</v>
      </c>
      <c r="AO291" s="49">
        <v>14019</v>
      </c>
      <c r="AP291" s="36" t="s">
        <v>637</v>
      </c>
      <c r="AQ291" s="116">
        <v>45739</v>
      </c>
      <c r="AR291" s="116">
        <v>46103</v>
      </c>
      <c r="AS291" s="31"/>
      <c r="AT291" s="32"/>
      <c r="AU291" s="50"/>
      <c r="AV291" s="50"/>
      <c r="AW291" s="78"/>
      <c r="AX291" s="78"/>
      <c r="AY291" s="33"/>
      <c r="AZ291" s="34"/>
      <c r="BA291" s="35"/>
      <c r="BB291" s="35"/>
      <c r="BC291" s="80"/>
      <c r="BD291" s="86"/>
      <c r="BE291" s="80"/>
      <c r="BF291" s="35"/>
      <c r="BG291" s="36"/>
      <c r="BH291" s="35"/>
      <c r="BI291" s="97"/>
      <c r="BJ291" s="38"/>
      <c r="BK291" s="38"/>
      <c r="BL291" s="38"/>
      <c r="BM291" s="38"/>
      <c r="BN291" s="39"/>
      <c r="BO291" s="36"/>
      <c r="BP291" s="40"/>
      <c r="BQ291" s="40"/>
      <c r="BR291" s="40"/>
      <c r="BS291" s="40"/>
      <c r="BT291" s="40"/>
      <c r="BU291" s="40"/>
      <c r="BV291" s="40"/>
      <c r="BW291" s="40"/>
      <c r="BX291" s="40"/>
      <c r="BY291" s="40"/>
      <c r="BZ291" s="40"/>
      <c r="CA291" s="40"/>
      <c r="CB291" s="155"/>
      <c r="CC291" s="155"/>
      <c r="CD291" s="155"/>
      <c r="CE291" s="155"/>
      <c r="CF291" s="155"/>
      <c r="CG291" s="155"/>
    </row>
    <row r="292" spans="1:85" customFormat="1" ht="60" customHeight="1">
      <c r="A292" s="162"/>
      <c r="B292" s="162"/>
      <c r="C292" s="162"/>
      <c r="D292" s="276"/>
      <c r="E292" s="276"/>
      <c r="F292" s="276"/>
      <c r="G292" s="53"/>
      <c r="H292" s="162"/>
      <c r="I292" s="36"/>
      <c r="J292" s="36"/>
      <c r="K292" s="36"/>
      <c r="L292" s="36"/>
      <c r="M292" s="162"/>
      <c r="N292" s="162"/>
      <c r="O292" s="162"/>
      <c r="P292" s="162"/>
      <c r="Q292" s="98"/>
      <c r="R292" s="134"/>
      <c r="S292" s="134"/>
      <c r="T292" s="108"/>
      <c r="U292" s="53"/>
      <c r="V292" s="89"/>
      <c r="W292" s="36"/>
      <c r="X292" s="35"/>
      <c r="Y292" s="162"/>
      <c r="Z292" s="162"/>
      <c r="AA292" s="162"/>
      <c r="AB292" s="162"/>
      <c r="AC292" s="162"/>
      <c r="AD292" s="162"/>
      <c r="AE292" s="162"/>
      <c r="AF292" s="162"/>
      <c r="AG292" s="162"/>
      <c r="AH292" s="36"/>
      <c r="AI292" s="35"/>
      <c r="AJ292" s="35"/>
      <c r="AK292" s="162"/>
      <c r="AL292" s="72" t="s">
        <v>518</v>
      </c>
      <c r="AM292" s="72" t="s">
        <v>520</v>
      </c>
      <c r="AN292" s="48">
        <v>46094</v>
      </c>
      <c r="AO292" s="49">
        <v>14225</v>
      </c>
      <c r="AP292" s="36" t="s">
        <v>637</v>
      </c>
      <c r="AQ292" s="116">
        <v>46104</v>
      </c>
      <c r="AR292" s="116">
        <v>46468</v>
      </c>
      <c r="AS292" s="31"/>
      <c r="AT292" s="32"/>
      <c r="AU292" s="50"/>
      <c r="AV292" s="50"/>
      <c r="AW292" s="78"/>
      <c r="AX292" s="78"/>
      <c r="AY292" s="33"/>
      <c r="AZ292" s="34"/>
      <c r="BA292" s="35"/>
      <c r="BB292" s="35"/>
      <c r="BC292" s="80"/>
      <c r="BD292" s="86"/>
      <c r="BE292" s="80"/>
      <c r="BF292" s="35"/>
      <c r="BG292" s="36"/>
      <c r="BH292" s="35"/>
      <c r="BI292" s="78"/>
      <c r="BJ292" s="38"/>
      <c r="BK292" s="38"/>
      <c r="BL292" s="38"/>
      <c r="BM292" s="38"/>
      <c r="BN292" s="39">
        <f t="shared" ref="BN292:BN320" si="32">BJ292+BL292</f>
        <v>0</v>
      </c>
      <c r="BO292" s="36"/>
      <c r="BP292" s="40"/>
      <c r="BQ292" s="40"/>
      <c r="BR292" s="40"/>
      <c r="BS292" s="40"/>
      <c r="BT292" s="40"/>
      <c r="BU292" s="40"/>
      <c r="BV292" s="40"/>
      <c r="BW292" s="40"/>
      <c r="BX292" s="40"/>
      <c r="BY292" s="40"/>
      <c r="BZ292" s="40"/>
      <c r="CA292" s="40"/>
      <c r="CB292" s="162"/>
      <c r="CC292" s="162"/>
      <c r="CD292" s="162"/>
      <c r="CE292" s="162"/>
      <c r="CF292" s="162"/>
      <c r="CG292" s="162"/>
    </row>
    <row r="293" spans="1:85" customFormat="1" ht="20.100000000000001" customHeight="1">
      <c r="A293" s="170">
        <v>91</v>
      </c>
      <c r="B293" s="154">
        <v>1474</v>
      </c>
      <c r="C293" s="154"/>
      <c r="D293" s="273" t="s">
        <v>724</v>
      </c>
      <c r="E293" s="273" t="s">
        <v>180</v>
      </c>
      <c r="F293" s="273" t="s">
        <v>969</v>
      </c>
      <c r="G293" s="44"/>
      <c r="H293" s="157">
        <v>9186</v>
      </c>
      <c r="I293" s="36"/>
      <c r="J293" s="36"/>
      <c r="K293" s="36"/>
      <c r="L293" s="36"/>
      <c r="M293" s="154" t="s">
        <v>725</v>
      </c>
      <c r="N293" s="154" t="s">
        <v>970</v>
      </c>
      <c r="O293" s="157">
        <v>9186</v>
      </c>
      <c r="P293" s="157">
        <v>9186</v>
      </c>
      <c r="Q293" s="121"/>
      <c r="R293" s="122"/>
      <c r="S293" s="122"/>
      <c r="T293" s="123"/>
      <c r="U293" s="101"/>
      <c r="V293" s="40"/>
      <c r="W293" s="36"/>
      <c r="X293" s="35"/>
      <c r="Y293" s="163" t="s">
        <v>971</v>
      </c>
      <c r="Z293" s="154" t="s">
        <v>972</v>
      </c>
      <c r="AA293" s="154" t="s">
        <v>973</v>
      </c>
      <c r="AB293" s="161">
        <v>38688</v>
      </c>
      <c r="AC293" s="154">
        <v>9186</v>
      </c>
      <c r="AD293" s="161">
        <v>38688</v>
      </c>
      <c r="AE293" s="161">
        <v>39418</v>
      </c>
      <c r="AF293" s="163" t="s">
        <v>453</v>
      </c>
      <c r="AG293" s="154" t="s">
        <v>946</v>
      </c>
      <c r="AH293" s="36"/>
      <c r="AI293" s="35"/>
      <c r="AJ293" s="35"/>
      <c r="AK293" s="172">
        <v>151200</v>
      </c>
      <c r="AL293" s="72"/>
      <c r="AM293" s="36"/>
      <c r="AN293" s="36"/>
      <c r="AO293" s="49"/>
      <c r="AP293" s="72"/>
      <c r="AQ293" s="36"/>
      <c r="AR293" s="36"/>
      <c r="AS293" s="31"/>
      <c r="AT293" s="32"/>
      <c r="AU293" s="50"/>
      <c r="AV293" s="36"/>
      <c r="AW293" s="78"/>
      <c r="AX293" s="78"/>
      <c r="AY293" s="33"/>
      <c r="AZ293" s="34"/>
      <c r="BA293" s="35"/>
      <c r="BB293" s="35"/>
      <c r="BC293" s="78"/>
      <c r="BD293" s="78"/>
      <c r="BE293" s="78"/>
      <c r="BF293" s="35"/>
      <c r="BG293" s="36"/>
      <c r="BH293" s="35"/>
      <c r="BI293" s="78">
        <f>AK293</f>
        <v>151200</v>
      </c>
      <c r="BJ293" s="37">
        <f>760047.9+81812.72+137430.19+68133.36+246396.99+12906509+152531.47+140798.28+11733.19+11733.19+23466.38+11733.19+11733.19+11733.19+11733.19+23466.38+11733.19+11733.19+140798.28+175997.76+175997.75+175997.76</f>
        <v>15303249.739999996</v>
      </c>
      <c r="BK293" s="136">
        <f>175997.76</f>
        <v>175997.76</v>
      </c>
      <c r="BL293" s="136">
        <f>29332.96+14666.48+14666.48+14666.48</f>
        <v>73332.399999999994</v>
      </c>
      <c r="BM293" s="136"/>
      <c r="BN293" s="39"/>
      <c r="BO293" s="36"/>
      <c r="BP293" s="40"/>
      <c r="BQ293" s="40"/>
      <c r="BR293" s="40"/>
      <c r="BS293" s="40"/>
      <c r="BT293" s="40"/>
      <c r="BU293" s="40"/>
      <c r="BV293" s="40"/>
      <c r="BW293" s="40"/>
      <c r="BX293" s="40"/>
      <c r="BY293" s="40"/>
      <c r="BZ293" s="40"/>
      <c r="CA293" s="40"/>
      <c r="CB293" s="154" t="s">
        <v>974</v>
      </c>
      <c r="CC293" s="157">
        <v>14022</v>
      </c>
      <c r="CD293" s="154" t="s">
        <v>975</v>
      </c>
      <c r="CE293" s="157">
        <v>709920</v>
      </c>
      <c r="CF293" s="154" t="s">
        <v>976</v>
      </c>
      <c r="CG293" s="154" t="s">
        <v>977</v>
      </c>
    </row>
    <row r="294" spans="1:85" customFormat="1" ht="20.100000000000001" customHeight="1">
      <c r="A294" s="155"/>
      <c r="B294" s="155"/>
      <c r="C294" s="155"/>
      <c r="D294" s="274"/>
      <c r="E294" s="274"/>
      <c r="F294" s="274"/>
      <c r="G294" s="53"/>
      <c r="H294" s="155"/>
      <c r="I294" s="36"/>
      <c r="J294" s="36"/>
      <c r="K294" s="36"/>
      <c r="L294" s="36"/>
      <c r="M294" s="155"/>
      <c r="N294" s="155"/>
      <c r="O294" s="155"/>
      <c r="P294" s="155"/>
      <c r="Q294" s="121"/>
      <c r="R294" s="122"/>
      <c r="S294" s="122"/>
      <c r="T294" s="123"/>
      <c r="U294" s="101"/>
      <c r="V294" s="40"/>
      <c r="W294" s="36"/>
      <c r="X294" s="35"/>
      <c r="Y294" s="155"/>
      <c r="Z294" s="155"/>
      <c r="AA294" s="155"/>
      <c r="AB294" s="155"/>
      <c r="AC294" s="155"/>
      <c r="AD294" s="155"/>
      <c r="AE294" s="155"/>
      <c r="AF294" s="155"/>
      <c r="AG294" s="155"/>
      <c r="AH294" s="36"/>
      <c r="AI294" s="35"/>
      <c r="AJ294" s="35"/>
      <c r="AK294" s="155"/>
      <c r="AL294" s="36" t="s">
        <v>978</v>
      </c>
      <c r="AM294" s="72" t="s">
        <v>190</v>
      </c>
      <c r="AN294" s="48">
        <v>39052</v>
      </c>
      <c r="AO294" s="49">
        <v>9579</v>
      </c>
      <c r="AP294" s="72" t="s">
        <v>979</v>
      </c>
      <c r="AQ294" s="48">
        <v>39053</v>
      </c>
      <c r="AR294" s="48">
        <v>39418</v>
      </c>
      <c r="AS294" s="31"/>
      <c r="AT294" s="32"/>
      <c r="AU294" s="50"/>
      <c r="AV294" s="36"/>
      <c r="AW294" s="78"/>
      <c r="AX294" s="78"/>
      <c r="AY294" s="33"/>
      <c r="AZ294" s="34"/>
      <c r="BA294" s="35"/>
      <c r="BB294" s="35"/>
      <c r="BC294" s="78"/>
      <c r="BD294" s="50">
        <f>220.5/6300</f>
        <v>3.5000000000000003E-2</v>
      </c>
      <c r="BE294" s="78">
        <f>220.5*12</f>
        <v>2646</v>
      </c>
      <c r="BF294" s="35"/>
      <c r="BG294" s="36"/>
      <c r="BH294" s="35"/>
      <c r="BI294" s="78">
        <f t="shared" ref="BI294:BI296" si="33">BI293+BE294</f>
        <v>153846</v>
      </c>
      <c r="BJ294" s="37"/>
      <c r="BK294" s="37"/>
      <c r="BL294" s="37"/>
      <c r="BM294" s="37"/>
      <c r="BN294" s="39">
        <f t="shared" si="32"/>
        <v>0</v>
      </c>
      <c r="BO294" s="36"/>
      <c r="BP294" s="40"/>
      <c r="BQ294" s="40"/>
      <c r="BR294" s="40"/>
      <c r="BS294" s="40"/>
      <c r="BT294" s="40"/>
      <c r="BU294" s="40"/>
      <c r="BV294" s="40"/>
      <c r="BW294" s="40"/>
      <c r="BX294" s="40"/>
      <c r="BY294" s="40"/>
      <c r="BZ294" s="40"/>
      <c r="CA294" s="40"/>
      <c r="CB294" s="155"/>
      <c r="CC294" s="155"/>
      <c r="CD294" s="155"/>
      <c r="CE294" s="155"/>
      <c r="CF294" s="155"/>
      <c r="CG294" s="155"/>
    </row>
    <row r="295" spans="1:85" customFormat="1" ht="27.95" customHeight="1">
      <c r="A295" s="155"/>
      <c r="B295" s="155"/>
      <c r="C295" s="155"/>
      <c r="D295" s="274"/>
      <c r="E295" s="274"/>
      <c r="F295" s="274"/>
      <c r="G295" s="53"/>
      <c r="H295" s="155"/>
      <c r="I295" s="36"/>
      <c r="J295" s="36"/>
      <c r="K295" s="36"/>
      <c r="L295" s="36"/>
      <c r="M295" s="155"/>
      <c r="N295" s="155"/>
      <c r="O295" s="155"/>
      <c r="P295" s="155"/>
      <c r="Q295" s="121"/>
      <c r="R295" s="122"/>
      <c r="S295" s="122"/>
      <c r="T295" s="123"/>
      <c r="U295" s="101"/>
      <c r="V295" s="40"/>
      <c r="W295" s="36"/>
      <c r="X295" s="35"/>
      <c r="Y295" s="155"/>
      <c r="Z295" s="155"/>
      <c r="AA295" s="155"/>
      <c r="AB295" s="155"/>
      <c r="AC295" s="155"/>
      <c r="AD295" s="155"/>
      <c r="AE295" s="155"/>
      <c r="AF295" s="155"/>
      <c r="AG295" s="155"/>
      <c r="AH295" s="36"/>
      <c r="AI295" s="35"/>
      <c r="AJ295" s="35"/>
      <c r="AK295" s="155"/>
      <c r="AL295" s="36" t="s">
        <v>978</v>
      </c>
      <c r="AM295" s="72" t="s">
        <v>194</v>
      </c>
      <c r="AN295" s="48">
        <v>39417</v>
      </c>
      <c r="AO295" s="49">
        <v>9702</v>
      </c>
      <c r="AP295" s="72" t="s">
        <v>980</v>
      </c>
      <c r="AQ295" s="48">
        <v>39419</v>
      </c>
      <c r="AR295" s="48">
        <v>39813</v>
      </c>
      <c r="AS295" s="31"/>
      <c r="AT295" s="32"/>
      <c r="AU295" s="50"/>
      <c r="AV295" s="36"/>
      <c r="AW295" s="78"/>
      <c r="AX295" s="78"/>
      <c r="AY295" s="33"/>
      <c r="AZ295" s="34"/>
      <c r="BA295" s="35"/>
      <c r="BB295" s="35"/>
      <c r="BC295" s="78"/>
      <c r="BD295" s="50">
        <f>405.68/6520.5</f>
        <v>6.2216087723334104E-2</v>
      </c>
      <c r="BE295" s="78">
        <f>405.68*13</f>
        <v>5273.84</v>
      </c>
      <c r="BF295" s="35"/>
      <c r="BG295" s="36"/>
      <c r="BH295" s="35"/>
      <c r="BI295" s="78">
        <f t="shared" si="33"/>
        <v>159119.84</v>
      </c>
      <c r="BJ295" s="37"/>
      <c r="BK295" s="37"/>
      <c r="BL295" s="37"/>
      <c r="BM295" s="37"/>
      <c r="BN295" s="39">
        <f t="shared" si="32"/>
        <v>0</v>
      </c>
      <c r="BO295" s="36"/>
      <c r="BP295" s="40"/>
      <c r="BQ295" s="40"/>
      <c r="BR295" s="40"/>
      <c r="BS295" s="40"/>
      <c r="BT295" s="40"/>
      <c r="BU295" s="40"/>
      <c r="BV295" s="40"/>
      <c r="BW295" s="40"/>
      <c r="BX295" s="40"/>
      <c r="BY295" s="40"/>
      <c r="BZ295" s="40"/>
      <c r="CA295" s="40"/>
      <c r="CB295" s="155"/>
      <c r="CC295" s="155"/>
      <c r="CD295" s="155"/>
      <c r="CE295" s="155"/>
      <c r="CF295" s="155"/>
      <c r="CG295" s="155"/>
    </row>
    <row r="296" spans="1:85" customFormat="1" ht="27.95" customHeight="1">
      <c r="A296" s="155"/>
      <c r="B296" s="155"/>
      <c r="C296" s="155"/>
      <c r="D296" s="274"/>
      <c r="E296" s="274"/>
      <c r="F296" s="274"/>
      <c r="G296" s="53"/>
      <c r="H296" s="155"/>
      <c r="I296" s="36"/>
      <c r="J296" s="36"/>
      <c r="K296" s="36"/>
      <c r="L296" s="36"/>
      <c r="M296" s="155"/>
      <c r="N296" s="155"/>
      <c r="O296" s="155"/>
      <c r="P296" s="155"/>
      <c r="Q296" s="121"/>
      <c r="R296" s="122"/>
      <c r="S296" s="122"/>
      <c r="T296" s="123"/>
      <c r="U296" s="101"/>
      <c r="V296" s="40"/>
      <c r="W296" s="36"/>
      <c r="X296" s="35"/>
      <c r="Y296" s="155"/>
      <c r="Z296" s="155"/>
      <c r="AA296" s="155"/>
      <c r="AB296" s="155"/>
      <c r="AC296" s="155"/>
      <c r="AD296" s="155"/>
      <c r="AE296" s="155"/>
      <c r="AF296" s="155"/>
      <c r="AG296" s="155"/>
      <c r="AH296" s="36"/>
      <c r="AI296" s="35"/>
      <c r="AJ296" s="35"/>
      <c r="AK296" s="155"/>
      <c r="AL296" s="36" t="s">
        <v>978</v>
      </c>
      <c r="AM296" s="72" t="s">
        <v>202</v>
      </c>
      <c r="AN296" s="48">
        <v>39799</v>
      </c>
      <c r="AO296" s="49">
        <v>9960</v>
      </c>
      <c r="AP296" s="72" t="s">
        <v>980</v>
      </c>
      <c r="AQ296" s="48">
        <v>39814</v>
      </c>
      <c r="AR296" s="48">
        <v>40178</v>
      </c>
      <c r="AS296" s="31"/>
      <c r="AT296" s="32"/>
      <c r="AU296" s="50"/>
      <c r="AV296" s="36"/>
      <c r="AW296" s="78"/>
      <c r="AX296" s="78"/>
      <c r="AY296" s="33"/>
      <c r="AZ296" s="34"/>
      <c r="BA296" s="35"/>
      <c r="BB296" s="35"/>
      <c r="BC296" s="78"/>
      <c r="BD296" s="50">
        <f>823.07/6926.18</f>
        <v>0.11883462456938745</v>
      </c>
      <c r="BE296" s="78">
        <f>823.07*13</f>
        <v>10699.91</v>
      </c>
      <c r="BF296" s="35"/>
      <c r="BG296" s="36"/>
      <c r="BH296" s="35"/>
      <c r="BI296" s="78">
        <f t="shared" si="33"/>
        <v>169819.75</v>
      </c>
      <c r="BJ296" s="37"/>
      <c r="BK296" s="37"/>
      <c r="BL296" s="37"/>
      <c r="BM296" s="37"/>
      <c r="BN296" s="39">
        <f t="shared" si="32"/>
        <v>0</v>
      </c>
      <c r="BO296" s="36"/>
      <c r="BP296" s="40"/>
      <c r="BQ296" s="40"/>
      <c r="BR296" s="40"/>
      <c r="BS296" s="40"/>
      <c r="BT296" s="40"/>
      <c r="BU296" s="40"/>
      <c r="BV296" s="40"/>
      <c r="BW296" s="40"/>
      <c r="BX296" s="40"/>
      <c r="BY296" s="40"/>
      <c r="BZ296" s="40"/>
      <c r="CA296" s="40"/>
      <c r="CB296" s="155"/>
      <c r="CC296" s="155"/>
      <c r="CD296" s="155"/>
      <c r="CE296" s="155"/>
      <c r="CF296" s="155"/>
      <c r="CG296" s="155"/>
    </row>
    <row r="297" spans="1:85" customFormat="1" ht="20.100000000000001" customHeight="1">
      <c r="A297" s="155"/>
      <c r="B297" s="155"/>
      <c r="C297" s="155"/>
      <c r="D297" s="274"/>
      <c r="E297" s="274"/>
      <c r="F297" s="274"/>
      <c r="G297" s="53"/>
      <c r="H297" s="155"/>
      <c r="I297" s="36"/>
      <c r="J297" s="36"/>
      <c r="K297" s="36"/>
      <c r="L297" s="36"/>
      <c r="M297" s="155"/>
      <c r="N297" s="155"/>
      <c r="O297" s="155"/>
      <c r="P297" s="155"/>
      <c r="Q297" s="121"/>
      <c r="R297" s="122"/>
      <c r="S297" s="122"/>
      <c r="T297" s="123"/>
      <c r="U297" s="101"/>
      <c r="V297" s="40"/>
      <c r="W297" s="36"/>
      <c r="X297" s="35"/>
      <c r="Y297" s="155"/>
      <c r="Z297" s="155"/>
      <c r="AA297" s="155"/>
      <c r="AB297" s="155"/>
      <c r="AC297" s="155"/>
      <c r="AD297" s="155"/>
      <c r="AE297" s="155"/>
      <c r="AF297" s="155"/>
      <c r="AG297" s="155"/>
      <c r="AH297" s="36"/>
      <c r="AI297" s="35"/>
      <c r="AJ297" s="35"/>
      <c r="AK297" s="155"/>
      <c r="AL297" s="36" t="s">
        <v>978</v>
      </c>
      <c r="AM297" s="72" t="s">
        <v>205</v>
      </c>
      <c r="AN297" s="48">
        <v>40161</v>
      </c>
      <c r="AO297" s="49">
        <v>10209</v>
      </c>
      <c r="AP297" s="72" t="s">
        <v>981</v>
      </c>
      <c r="AQ297" s="48">
        <v>40179</v>
      </c>
      <c r="AR297" s="48">
        <v>40512</v>
      </c>
      <c r="AS297" s="31"/>
      <c r="AT297" s="32"/>
      <c r="AU297" s="50"/>
      <c r="AV297" s="36"/>
      <c r="AW297" s="78"/>
      <c r="AX297" s="78"/>
      <c r="AY297" s="33"/>
      <c r="AZ297" s="34"/>
      <c r="BA297" s="35"/>
      <c r="BB297" s="35"/>
      <c r="BC297" s="78"/>
      <c r="BD297" s="78"/>
      <c r="BE297" s="78"/>
      <c r="BF297" s="35"/>
      <c r="BG297" s="36"/>
      <c r="BH297" s="35"/>
      <c r="BI297" s="35"/>
      <c r="BJ297" s="37"/>
      <c r="BK297" s="37"/>
      <c r="BL297" s="37"/>
      <c r="BM297" s="37"/>
      <c r="BN297" s="39">
        <f t="shared" si="32"/>
        <v>0</v>
      </c>
      <c r="BO297" s="36"/>
      <c r="BP297" s="40"/>
      <c r="BQ297" s="40"/>
      <c r="BR297" s="40"/>
      <c r="BS297" s="40"/>
      <c r="BT297" s="40"/>
      <c r="BU297" s="40"/>
      <c r="BV297" s="40"/>
      <c r="BW297" s="40"/>
      <c r="BX297" s="40"/>
      <c r="BY297" s="40"/>
      <c r="BZ297" s="40"/>
      <c r="CA297" s="40"/>
      <c r="CB297" s="155"/>
      <c r="CC297" s="155"/>
      <c r="CD297" s="155"/>
      <c r="CE297" s="155"/>
      <c r="CF297" s="155"/>
      <c r="CG297" s="155"/>
    </row>
    <row r="298" spans="1:85" customFormat="1" ht="20.100000000000001" customHeight="1">
      <c r="A298" s="155"/>
      <c r="B298" s="155"/>
      <c r="C298" s="155"/>
      <c r="D298" s="274"/>
      <c r="E298" s="274"/>
      <c r="F298" s="274"/>
      <c r="G298" s="53"/>
      <c r="H298" s="155"/>
      <c r="I298" s="36"/>
      <c r="J298" s="36"/>
      <c r="K298" s="36"/>
      <c r="L298" s="36"/>
      <c r="M298" s="155"/>
      <c r="N298" s="155"/>
      <c r="O298" s="155"/>
      <c r="P298" s="155"/>
      <c r="Q298" s="121"/>
      <c r="R298" s="122"/>
      <c r="S298" s="122"/>
      <c r="T298" s="123"/>
      <c r="U298" s="101"/>
      <c r="V298" s="40"/>
      <c r="W298" s="36"/>
      <c r="X298" s="35"/>
      <c r="Y298" s="155"/>
      <c r="Z298" s="155"/>
      <c r="AA298" s="155"/>
      <c r="AB298" s="155"/>
      <c r="AC298" s="155"/>
      <c r="AD298" s="155"/>
      <c r="AE298" s="155"/>
      <c r="AF298" s="155"/>
      <c r="AG298" s="155"/>
      <c r="AH298" s="36"/>
      <c r="AI298" s="35"/>
      <c r="AJ298" s="35"/>
      <c r="AK298" s="155"/>
      <c r="AL298" s="36" t="s">
        <v>978</v>
      </c>
      <c r="AM298" s="72" t="s">
        <v>208</v>
      </c>
      <c r="AN298" s="48">
        <v>40500</v>
      </c>
      <c r="AO298" s="49">
        <v>10439</v>
      </c>
      <c r="AP298" s="72" t="s">
        <v>982</v>
      </c>
      <c r="AQ298" s="48">
        <v>40513</v>
      </c>
      <c r="AR298" s="48">
        <v>40878</v>
      </c>
      <c r="AS298" s="31"/>
      <c r="AT298" s="32"/>
      <c r="AU298" s="50"/>
      <c r="AV298" s="36"/>
      <c r="AW298" s="78"/>
      <c r="AX298" s="78"/>
      <c r="AY298" s="33"/>
      <c r="AZ298" s="34"/>
      <c r="BA298" s="35"/>
      <c r="BB298" s="35"/>
      <c r="BC298" s="78"/>
      <c r="BD298" s="78"/>
      <c r="BE298" s="78"/>
      <c r="BF298" s="35"/>
      <c r="BG298" s="36"/>
      <c r="BH298" s="35"/>
      <c r="BI298" s="35"/>
      <c r="BJ298" s="37"/>
      <c r="BK298" s="37"/>
      <c r="BL298" s="37"/>
      <c r="BM298" s="37"/>
      <c r="BN298" s="39">
        <f t="shared" si="32"/>
        <v>0</v>
      </c>
      <c r="BO298" s="36"/>
      <c r="BP298" s="40"/>
      <c r="BQ298" s="40"/>
      <c r="BR298" s="40"/>
      <c r="BS298" s="40"/>
      <c r="BT298" s="40"/>
      <c r="BU298" s="40"/>
      <c r="BV298" s="40"/>
      <c r="BW298" s="40"/>
      <c r="BX298" s="40"/>
      <c r="BY298" s="40"/>
      <c r="BZ298" s="40"/>
      <c r="CA298" s="40"/>
      <c r="CB298" s="155"/>
      <c r="CC298" s="155"/>
      <c r="CD298" s="155"/>
      <c r="CE298" s="155"/>
      <c r="CF298" s="155"/>
      <c r="CG298" s="155"/>
    </row>
    <row r="299" spans="1:85" customFormat="1" ht="20.100000000000001" customHeight="1">
      <c r="A299" s="155"/>
      <c r="B299" s="155"/>
      <c r="C299" s="155"/>
      <c r="D299" s="274"/>
      <c r="E299" s="274"/>
      <c r="F299" s="274"/>
      <c r="G299" s="53"/>
      <c r="H299" s="155"/>
      <c r="I299" s="36"/>
      <c r="J299" s="36"/>
      <c r="K299" s="36"/>
      <c r="L299" s="36"/>
      <c r="M299" s="155"/>
      <c r="N299" s="155"/>
      <c r="O299" s="155"/>
      <c r="P299" s="155"/>
      <c r="Q299" s="121"/>
      <c r="R299" s="122"/>
      <c r="S299" s="122"/>
      <c r="T299" s="123"/>
      <c r="U299" s="101"/>
      <c r="V299" s="40"/>
      <c r="W299" s="36"/>
      <c r="X299" s="35"/>
      <c r="Y299" s="155"/>
      <c r="Z299" s="155"/>
      <c r="AA299" s="155"/>
      <c r="AB299" s="155"/>
      <c r="AC299" s="155"/>
      <c r="AD299" s="155"/>
      <c r="AE299" s="155"/>
      <c r="AF299" s="155"/>
      <c r="AG299" s="155"/>
      <c r="AH299" s="36"/>
      <c r="AI299" s="35"/>
      <c r="AJ299" s="35"/>
      <c r="AK299" s="155"/>
      <c r="AL299" s="72" t="s">
        <v>632</v>
      </c>
      <c r="AM299" s="72" t="s">
        <v>983</v>
      </c>
      <c r="AN299" s="48">
        <v>40521</v>
      </c>
      <c r="AO299" s="49"/>
      <c r="AP299" s="72" t="s">
        <v>979</v>
      </c>
      <c r="AQ299" s="48">
        <v>40514</v>
      </c>
      <c r="AR299" s="48">
        <v>40878</v>
      </c>
      <c r="AS299" s="31"/>
      <c r="AT299" s="32"/>
      <c r="AU299" s="50"/>
      <c r="AV299" s="36"/>
      <c r="AW299" s="78"/>
      <c r="AX299" s="78"/>
      <c r="AY299" s="33"/>
      <c r="AZ299" s="34"/>
      <c r="BA299" s="35"/>
      <c r="BB299" s="35"/>
      <c r="BC299" s="78"/>
      <c r="BD299" s="50">
        <f>795.98/7749.25</f>
        <v>0.10271703713262574</v>
      </c>
      <c r="BE299" s="78">
        <f>795.98*12</f>
        <v>9551.76</v>
      </c>
      <c r="BF299" s="78"/>
      <c r="BG299" s="36"/>
      <c r="BH299" s="35"/>
      <c r="BI299" s="78">
        <f>BI296+BE299</f>
        <v>179371.51</v>
      </c>
      <c r="BJ299" s="37"/>
      <c r="BK299" s="37"/>
      <c r="BL299" s="37"/>
      <c r="BM299" s="37"/>
      <c r="BN299" s="39">
        <f t="shared" si="32"/>
        <v>0</v>
      </c>
      <c r="BO299" s="36"/>
      <c r="BP299" s="40"/>
      <c r="BQ299" s="40"/>
      <c r="BR299" s="40"/>
      <c r="BS299" s="40"/>
      <c r="BT299" s="40"/>
      <c r="BU299" s="40"/>
      <c r="BV299" s="40"/>
      <c r="BW299" s="40"/>
      <c r="BX299" s="40"/>
      <c r="BY299" s="40"/>
      <c r="BZ299" s="40"/>
      <c r="CA299" s="40"/>
      <c r="CB299" s="155"/>
      <c r="CC299" s="155"/>
      <c r="CD299" s="155"/>
      <c r="CE299" s="155"/>
      <c r="CF299" s="155"/>
      <c r="CG299" s="155"/>
    </row>
    <row r="300" spans="1:85" customFormat="1" ht="20.100000000000001" customHeight="1">
      <c r="A300" s="155"/>
      <c r="B300" s="155"/>
      <c r="C300" s="155"/>
      <c r="D300" s="274"/>
      <c r="E300" s="274"/>
      <c r="F300" s="274"/>
      <c r="G300" s="53"/>
      <c r="H300" s="155"/>
      <c r="I300" s="36"/>
      <c r="J300" s="36"/>
      <c r="K300" s="36"/>
      <c r="L300" s="36"/>
      <c r="M300" s="155"/>
      <c r="N300" s="155"/>
      <c r="O300" s="155"/>
      <c r="P300" s="155"/>
      <c r="Q300" s="121"/>
      <c r="R300" s="122"/>
      <c r="S300" s="122"/>
      <c r="T300" s="123"/>
      <c r="U300" s="101"/>
      <c r="V300" s="40"/>
      <c r="W300" s="36"/>
      <c r="X300" s="35"/>
      <c r="Y300" s="155"/>
      <c r="Z300" s="155"/>
      <c r="AA300" s="155"/>
      <c r="AB300" s="155"/>
      <c r="AC300" s="155"/>
      <c r="AD300" s="155"/>
      <c r="AE300" s="155"/>
      <c r="AF300" s="155"/>
      <c r="AG300" s="155"/>
      <c r="AH300" s="36"/>
      <c r="AI300" s="35"/>
      <c r="AJ300" s="35"/>
      <c r="AK300" s="155"/>
      <c r="AL300" s="36" t="s">
        <v>978</v>
      </c>
      <c r="AM300" s="72" t="s">
        <v>212</v>
      </c>
      <c r="AN300" s="48">
        <v>40857</v>
      </c>
      <c r="AO300" s="49">
        <v>10694</v>
      </c>
      <c r="AP300" s="72" t="s">
        <v>982</v>
      </c>
      <c r="AQ300" s="48">
        <v>40878</v>
      </c>
      <c r="AR300" s="48">
        <v>41244</v>
      </c>
      <c r="AS300" s="31"/>
      <c r="AT300" s="32"/>
      <c r="AU300" s="50"/>
      <c r="AV300" s="36"/>
      <c r="AW300" s="78"/>
      <c r="AX300" s="78"/>
      <c r="AY300" s="33"/>
      <c r="AZ300" s="34"/>
      <c r="BA300" s="35"/>
      <c r="BB300" s="35"/>
      <c r="BC300" s="78"/>
      <c r="BD300" s="50"/>
      <c r="BE300" s="78"/>
      <c r="BF300" s="78"/>
      <c r="BG300" s="36"/>
      <c r="BH300" s="35"/>
      <c r="BI300" s="35"/>
      <c r="BJ300" s="37"/>
      <c r="BK300" s="37"/>
      <c r="BL300" s="37"/>
      <c r="BM300" s="37"/>
      <c r="BN300" s="39">
        <f t="shared" si="32"/>
        <v>0</v>
      </c>
      <c r="BO300" s="36"/>
      <c r="BP300" s="40"/>
      <c r="BQ300" s="40"/>
      <c r="BR300" s="40"/>
      <c r="BS300" s="40"/>
      <c r="BT300" s="40"/>
      <c r="BU300" s="40"/>
      <c r="BV300" s="40"/>
      <c r="BW300" s="40"/>
      <c r="BX300" s="40"/>
      <c r="BY300" s="40"/>
      <c r="BZ300" s="40"/>
      <c r="CA300" s="40"/>
      <c r="CB300" s="155"/>
      <c r="CC300" s="155"/>
      <c r="CD300" s="155"/>
      <c r="CE300" s="155"/>
      <c r="CF300" s="155"/>
      <c r="CG300" s="155"/>
    </row>
    <row r="301" spans="1:85" customFormat="1" ht="20.100000000000001" customHeight="1">
      <c r="A301" s="155"/>
      <c r="B301" s="155"/>
      <c r="C301" s="155"/>
      <c r="D301" s="274"/>
      <c r="E301" s="274"/>
      <c r="F301" s="274"/>
      <c r="G301" s="53"/>
      <c r="H301" s="155"/>
      <c r="I301" s="36"/>
      <c r="J301" s="36"/>
      <c r="K301" s="36"/>
      <c r="L301" s="36"/>
      <c r="M301" s="155"/>
      <c r="N301" s="155"/>
      <c r="O301" s="155"/>
      <c r="P301" s="155"/>
      <c r="Q301" s="121"/>
      <c r="R301" s="122"/>
      <c r="S301" s="122"/>
      <c r="T301" s="123"/>
      <c r="U301" s="101"/>
      <c r="V301" s="40"/>
      <c r="W301" s="36"/>
      <c r="X301" s="35"/>
      <c r="Y301" s="155"/>
      <c r="Z301" s="155"/>
      <c r="AA301" s="155"/>
      <c r="AB301" s="155"/>
      <c r="AC301" s="155"/>
      <c r="AD301" s="155"/>
      <c r="AE301" s="155"/>
      <c r="AF301" s="155"/>
      <c r="AG301" s="155"/>
      <c r="AH301" s="36"/>
      <c r="AI301" s="35"/>
      <c r="AJ301" s="35"/>
      <c r="AK301" s="155"/>
      <c r="AL301" s="72" t="s">
        <v>632</v>
      </c>
      <c r="AM301" s="72" t="s">
        <v>984</v>
      </c>
      <c r="AN301" s="48">
        <v>40879</v>
      </c>
      <c r="AO301" s="49"/>
      <c r="AP301" s="72" t="s">
        <v>985</v>
      </c>
      <c r="AQ301" s="48">
        <v>40879</v>
      </c>
      <c r="AR301" s="48">
        <v>41245</v>
      </c>
      <c r="AS301" s="31"/>
      <c r="AT301" s="32"/>
      <c r="AU301" s="50"/>
      <c r="AV301" s="36"/>
      <c r="AW301" s="78"/>
      <c r="AX301" s="78"/>
      <c r="AY301" s="33"/>
      <c r="AZ301" s="34"/>
      <c r="BA301" s="35"/>
      <c r="BB301" s="35"/>
      <c r="BC301" s="78"/>
      <c r="BD301" s="50">
        <f>508.15/8545.53</f>
        <v>5.9463836649101924E-2</v>
      </c>
      <c r="BE301" s="78">
        <f>508.15*12</f>
        <v>6097.7999999999993</v>
      </c>
      <c r="BF301" s="78"/>
      <c r="BG301" s="36"/>
      <c r="BH301" s="35"/>
      <c r="BI301" s="78">
        <f>BI299+BE301</f>
        <v>185469.31</v>
      </c>
      <c r="BJ301" s="37"/>
      <c r="BK301" s="37"/>
      <c r="BL301" s="37"/>
      <c r="BM301" s="37"/>
      <c r="BN301" s="39">
        <f t="shared" si="32"/>
        <v>0</v>
      </c>
      <c r="BO301" s="36"/>
      <c r="BP301" s="40"/>
      <c r="BQ301" s="40"/>
      <c r="BR301" s="40"/>
      <c r="BS301" s="40"/>
      <c r="BT301" s="40"/>
      <c r="BU301" s="40"/>
      <c r="BV301" s="40"/>
      <c r="BW301" s="40"/>
      <c r="BX301" s="40"/>
      <c r="BY301" s="40"/>
      <c r="BZ301" s="40"/>
      <c r="CA301" s="40"/>
      <c r="CB301" s="155"/>
      <c r="CC301" s="155"/>
      <c r="CD301" s="155"/>
      <c r="CE301" s="155"/>
      <c r="CF301" s="155"/>
      <c r="CG301" s="155"/>
    </row>
    <row r="302" spans="1:85" customFormat="1" ht="20.100000000000001" customHeight="1">
      <c r="A302" s="155"/>
      <c r="B302" s="155"/>
      <c r="C302" s="155"/>
      <c r="D302" s="274"/>
      <c r="E302" s="274"/>
      <c r="F302" s="274"/>
      <c r="G302" s="53"/>
      <c r="H302" s="155"/>
      <c r="I302" s="36"/>
      <c r="J302" s="36"/>
      <c r="K302" s="36"/>
      <c r="L302" s="36"/>
      <c r="M302" s="155"/>
      <c r="N302" s="155"/>
      <c r="O302" s="155"/>
      <c r="P302" s="155"/>
      <c r="Q302" s="121"/>
      <c r="R302" s="122"/>
      <c r="S302" s="122"/>
      <c r="T302" s="123"/>
      <c r="U302" s="101"/>
      <c r="V302" s="40"/>
      <c r="W302" s="36"/>
      <c r="X302" s="35"/>
      <c r="Y302" s="155"/>
      <c r="Z302" s="155"/>
      <c r="AA302" s="155"/>
      <c r="AB302" s="155"/>
      <c r="AC302" s="155"/>
      <c r="AD302" s="155"/>
      <c r="AE302" s="155"/>
      <c r="AF302" s="155"/>
      <c r="AG302" s="155"/>
      <c r="AH302" s="36"/>
      <c r="AI302" s="35"/>
      <c r="AJ302" s="35"/>
      <c r="AK302" s="155"/>
      <c r="AL302" s="72" t="s">
        <v>986</v>
      </c>
      <c r="AM302" s="72" t="s">
        <v>987</v>
      </c>
      <c r="AN302" s="48">
        <v>41239</v>
      </c>
      <c r="AO302" s="49">
        <v>10939</v>
      </c>
      <c r="AP302" s="72" t="s">
        <v>982</v>
      </c>
      <c r="AQ302" s="48">
        <v>41244</v>
      </c>
      <c r="AR302" s="48">
        <v>41609</v>
      </c>
      <c r="AS302" s="31"/>
      <c r="AT302" s="32"/>
      <c r="AU302" s="50"/>
      <c r="AV302" s="36"/>
      <c r="AW302" s="78"/>
      <c r="AX302" s="78"/>
      <c r="AY302" s="33"/>
      <c r="AZ302" s="34"/>
      <c r="BA302" s="35"/>
      <c r="BB302" s="35"/>
      <c r="BC302" s="78"/>
      <c r="BD302" s="50"/>
      <c r="BE302" s="78"/>
      <c r="BF302" s="78"/>
      <c r="BG302" s="36"/>
      <c r="BH302" s="35"/>
      <c r="BI302" s="35"/>
      <c r="BJ302" s="37"/>
      <c r="BK302" s="37"/>
      <c r="BL302" s="37"/>
      <c r="BM302" s="37"/>
      <c r="BN302" s="39">
        <f t="shared" si="32"/>
        <v>0</v>
      </c>
      <c r="BO302" s="36"/>
      <c r="BP302" s="40"/>
      <c r="BQ302" s="40"/>
      <c r="BR302" s="40"/>
      <c r="BS302" s="40"/>
      <c r="BT302" s="40"/>
      <c r="BU302" s="40"/>
      <c r="BV302" s="40"/>
      <c r="BW302" s="40"/>
      <c r="BX302" s="40"/>
      <c r="BY302" s="40"/>
      <c r="BZ302" s="40"/>
      <c r="CA302" s="40"/>
      <c r="CB302" s="155"/>
      <c r="CC302" s="155"/>
      <c r="CD302" s="155"/>
      <c r="CE302" s="155"/>
      <c r="CF302" s="155"/>
      <c r="CG302" s="155"/>
    </row>
    <row r="303" spans="1:85" customFormat="1" ht="20.100000000000001" customHeight="1">
      <c r="A303" s="155"/>
      <c r="B303" s="155"/>
      <c r="C303" s="155"/>
      <c r="D303" s="274"/>
      <c r="E303" s="274"/>
      <c r="F303" s="274"/>
      <c r="G303" s="53"/>
      <c r="H303" s="155"/>
      <c r="I303" s="36"/>
      <c r="J303" s="36"/>
      <c r="K303" s="36"/>
      <c r="L303" s="36"/>
      <c r="M303" s="155"/>
      <c r="N303" s="155"/>
      <c r="O303" s="155"/>
      <c r="P303" s="155"/>
      <c r="Q303" s="121"/>
      <c r="R303" s="122"/>
      <c r="S303" s="122"/>
      <c r="T303" s="123"/>
      <c r="U303" s="101"/>
      <c r="V303" s="40"/>
      <c r="W303" s="36"/>
      <c r="X303" s="35"/>
      <c r="Y303" s="155"/>
      <c r="Z303" s="155"/>
      <c r="AA303" s="155"/>
      <c r="AB303" s="155"/>
      <c r="AC303" s="155"/>
      <c r="AD303" s="155"/>
      <c r="AE303" s="155"/>
      <c r="AF303" s="155"/>
      <c r="AG303" s="155"/>
      <c r="AH303" s="36"/>
      <c r="AI303" s="35"/>
      <c r="AJ303" s="35"/>
      <c r="AK303" s="155"/>
      <c r="AL303" s="72" t="s">
        <v>988</v>
      </c>
      <c r="AM303" s="72" t="s">
        <v>989</v>
      </c>
      <c r="AN303" s="48">
        <v>41249</v>
      </c>
      <c r="AO303" s="49"/>
      <c r="AP303" s="72" t="s">
        <v>985</v>
      </c>
      <c r="AQ303" s="48">
        <v>41245</v>
      </c>
      <c r="AR303" s="48">
        <v>41609</v>
      </c>
      <c r="AS303" s="31"/>
      <c r="AT303" s="32"/>
      <c r="AU303" s="50"/>
      <c r="AV303" s="36"/>
      <c r="AW303" s="78"/>
      <c r="AX303" s="78"/>
      <c r="AY303" s="33"/>
      <c r="AZ303" s="34"/>
      <c r="BA303" s="35"/>
      <c r="BB303" s="35"/>
      <c r="BC303" s="78"/>
      <c r="BD303" s="50">
        <f>629.71/9053.68</f>
        <v>6.9552933171925665E-2</v>
      </c>
      <c r="BE303" s="78">
        <f>629.71*12</f>
        <v>7556.52</v>
      </c>
      <c r="BF303" s="78"/>
      <c r="BG303" s="36"/>
      <c r="BH303" s="35"/>
      <c r="BI303" s="78">
        <f>BI301+BE303</f>
        <v>193025.83</v>
      </c>
      <c r="BJ303" s="37"/>
      <c r="BK303" s="37"/>
      <c r="BL303" s="37"/>
      <c r="BM303" s="37"/>
      <c r="BN303" s="39">
        <f t="shared" si="32"/>
        <v>0</v>
      </c>
      <c r="BO303" s="36"/>
      <c r="BP303" s="40"/>
      <c r="BQ303" s="40"/>
      <c r="BR303" s="40"/>
      <c r="BS303" s="40"/>
      <c r="BT303" s="40"/>
      <c r="BU303" s="40"/>
      <c r="BV303" s="40"/>
      <c r="BW303" s="40"/>
      <c r="BX303" s="40"/>
      <c r="BY303" s="40"/>
      <c r="BZ303" s="40"/>
      <c r="CA303" s="40"/>
      <c r="CB303" s="155"/>
      <c r="CC303" s="155"/>
      <c r="CD303" s="155"/>
      <c r="CE303" s="155"/>
      <c r="CF303" s="155"/>
      <c r="CG303" s="155"/>
    </row>
    <row r="304" spans="1:85" customFormat="1" ht="20.100000000000001" customHeight="1">
      <c r="A304" s="155"/>
      <c r="B304" s="155"/>
      <c r="C304" s="155"/>
      <c r="D304" s="274"/>
      <c r="E304" s="274"/>
      <c r="F304" s="274"/>
      <c r="G304" s="53"/>
      <c r="H304" s="155"/>
      <c r="I304" s="36"/>
      <c r="J304" s="36"/>
      <c r="K304" s="36"/>
      <c r="L304" s="36"/>
      <c r="M304" s="155"/>
      <c r="N304" s="155"/>
      <c r="O304" s="155"/>
      <c r="P304" s="155"/>
      <c r="Q304" s="121"/>
      <c r="R304" s="122"/>
      <c r="S304" s="122"/>
      <c r="T304" s="123"/>
      <c r="U304" s="101"/>
      <c r="V304" s="40"/>
      <c r="W304" s="36"/>
      <c r="X304" s="35"/>
      <c r="Y304" s="155"/>
      <c r="Z304" s="155"/>
      <c r="AA304" s="155"/>
      <c r="AB304" s="155"/>
      <c r="AC304" s="155"/>
      <c r="AD304" s="155"/>
      <c r="AE304" s="155"/>
      <c r="AF304" s="155"/>
      <c r="AG304" s="155"/>
      <c r="AH304" s="36"/>
      <c r="AI304" s="35"/>
      <c r="AJ304" s="35"/>
      <c r="AK304" s="155"/>
      <c r="AL304" s="36" t="s">
        <v>978</v>
      </c>
      <c r="AM304" s="72" t="s">
        <v>990</v>
      </c>
      <c r="AN304" s="48">
        <v>41604</v>
      </c>
      <c r="AO304" s="49">
        <v>11219</v>
      </c>
      <c r="AP304" s="72" t="s">
        <v>982</v>
      </c>
      <c r="AQ304" s="48">
        <v>41609</v>
      </c>
      <c r="AR304" s="48">
        <v>41974</v>
      </c>
      <c r="AS304" s="31"/>
      <c r="AT304" s="32"/>
      <c r="AU304" s="50"/>
      <c r="AV304" s="36"/>
      <c r="AW304" s="78"/>
      <c r="AX304" s="78"/>
      <c r="AY304" s="33"/>
      <c r="AZ304" s="34"/>
      <c r="BA304" s="35"/>
      <c r="BB304" s="35"/>
      <c r="BC304" s="78"/>
      <c r="BD304" s="50"/>
      <c r="BE304" s="78"/>
      <c r="BF304" s="78"/>
      <c r="BG304" s="36"/>
      <c r="BH304" s="35"/>
      <c r="BI304" s="35"/>
      <c r="BJ304" s="37"/>
      <c r="BK304" s="37"/>
      <c r="BL304" s="37"/>
      <c r="BM304" s="37"/>
      <c r="BN304" s="39">
        <f t="shared" si="32"/>
        <v>0</v>
      </c>
      <c r="BO304" s="36"/>
      <c r="BP304" s="40"/>
      <c r="BQ304" s="40"/>
      <c r="BR304" s="40"/>
      <c r="BS304" s="40"/>
      <c r="BT304" s="40"/>
      <c r="BU304" s="40"/>
      <c r="BV304" s="40"/>
      <c r="BW304" s="40"/>
      <c r="BX304" s="40"/>
      <c r="BY304" s="40"/>
      <c r="BZ304" s="40"/>
      <c r="CA304" s="40"/>
      <c r="CB304" s="155"/>
      <c r="CC304" s="155"/>
      <c r="CD304" s="155"/>
      <c r="CE304" s="155"/>
      <c r="CF304" s="155"/>
      <c r="CG304" s="155"/>
    </row>
    <row r="305" spans="1:85" customFormat="1" ht="20.100000000000001" customHeight="1">
      <c r="A305" s="155"/>
      <c r="B305" s="155"/>
      <c r="C305" s="155"/>
      <c r="D305" s="274"/>
      <c r="E305" s="274"/>
      <c r="F305" s="274"/>
      <c r="G305" s="53"/>
      <c r="H305" s="155"/>
      <c r="I305" s="36"/>
      <c r="J305" s="36"/>
      <c r="K305" s="36"/>
      <c r="L305" s="36"/>
      <c r="M305" s="155"/>
      <c r="N305" s="155"/>
      <c r="O305" s="155"/>
      <c r="P305" s="155"/>
      <c r="Q305" s="121"/>
      <c r="R305" s="122"/>
      <c r="S305" s="122"/>
      <c r="T305" s="123"/>
      <c r="U305" s="101"/>
      <c r="V305" s="40"/>
      <c r="W305" s="36"/>
      <c r="X305" s="35"/>
      <c r="Y305" s="155"/>
      <c r="Z305" s="155"/>
      <c r="AA305" s="155"/>
      <c r="AB305" s="155"/>
      <c r="AC305" s="155"/>
      <c r="AD305" s="155"/>
      <c r="AE305" s="155"/>
      <c r="AF305" s="155"/>
      <c r="AG305" s="155"/>
      <c r="AH305" s="36"/>
      <c r="AI305" s="35"/>
      <c r="AJ305" s="35"/>
      <c r="AK305" s="155"/>
      <c r="AL305" s="72" t="s">
        <v>632</v>
      </c>
      <c r="AM305" s="72" t="s">
        <v>991</v>
      </c>
      <c r="AN305" s="48">
        <v>41634</v>
      </c>
      <c r="AO305" s="49"/>
      <c r="AP305" s="72" t="s">
        <v>985</v>
      </c>
      <c r="AQ305" s="48">
        <v>41609</v>
      </c>
      <c r="AR305" s="48">
        <v>41974</v>
      </c>
      <c r="AS305" s="31"/>
      <c r="AT305" s="32"/>
      <c r="AU305" s="50"/>
      <c r="AV305" s="36"/>
      <c r="AW305" s="78"/>
      <c r="AX305" s="78"/>
      <c r="AY305" s="33"/>
      <c r="AZ305" s="34"/>
      <c r="BA305" s="35"/>
      <c r="BB305" s="35"/>
      <c r="BC305" s="78"/>
      <c r="BD305" s="50">
        <f>543.2/9683.39</f>
        <v>5.6096057269200153E-2</v>
      </c>
      <c r="BE305" s="78">
        <f>543.2*12</f>
        <v>6518.4000000000005</v>
      </c>
      <c r="BF305" s="78"/>
      <c r="BG305" s="36"/>
      <c r="BH305" s="35"/>
      <c r="BI305" s="78">
        <f>BI303+BE305</f>
        <v>199544.22999999998</v>
      </c>
      <c r="BJ305" s="37"/>
      <c r="BK305" s="37"/>
      <c r="BL305" s="37"/>
      <c r="BM305" s="37"/>
      <c r="BN305" s="39">
        <f t="shared" si="32"/>
        <v>0</v>
      </c>
      <c r="BO305" s="36"/>
      <c r="BP305" s="40"/>
      <c r="BQ305" s="40"/>
      <c r="BR305" s="40"/>
      <c r="BS305" s="40"/>
      <c r="BT305" s="40"/>
      <c r="BU305" s="40"/>
      <c r="BV305" s="40"/>
      <c r="BW305" s="40"/>
      <c r="BX305" s="40"/>
      <c r="BY305" s="40"/>
      <c r="BZ305" s="40"/>
      <c r="CA305" s="40"/>
      <c r="CB305" s="155"/>
      <c r="CC305" s="155"/>
      <c r="CD305" s="155"/>
      <c r="CE305" s="155"/>
      <c r="CF305" s="155"/>
      <c r="CG305" s="155"/>
    </row>
    <row r="306" spans="1:85" customFormat="1" ht="20.100000000000001" customHeight="1">
      <c r="A306" s="155"/>
      <c r="B306" s="155"/>
      <c r="C306" s="155"/>
      <c r="D306" s="274"/>
      <c r="E306" s="274"/>
      <c r="F306" s="274"/>
      <c r="G306" s="53"/>
      <c r="H306" s="155"/>
      <c r="I306" s="36"/>
      <c r="J306" s="36"/>
      <c r="K306" s="36"/>
      <c r="L306" s="36"/>
      <c r="M306" s="155"/>
      <c r="N306" s="155"/>
      <c r="O306" s="155"/>
      <c r="P306" s="155"/>
      <c r="Q306" s="121"/>
      <c r="R306" s="122"/>
      <c r="S306" s="122"/>
      <c r="T306" s="123"/>
      <c r="U306" s="101"/>
      <c r="V306" s="40"/>
      <c r="W306" s="36"/>
      <c r="X306" s="35"/>
      <c r="Y306" s="155"/>
      <c r="Z306" s="155"/>
      <c r="AA306" s="155"/>
      <c r="AB306" s="155"/>
      <c r="AC306" s="155"/>
      <c r="AD306" s="155"/>
      <c r="AE306" s="155"/>
      <c r="AF306" s="155"/>
      <c r="AG306" s="155"/>
      <c r="AH306" s="36"/>
      <c r="AI306" s="35"/>
      <c r="AJ306" s="35"/>
      <c r="AK306" s="155"/>
      <c r="AL306" s="36" t="s">
        <v>978</v>
      </c>
      <c r="AM306" s="72" t="s">
        <v>992</v>
      </c>
      <c r="AN306" s="48">
        <v>41969</v>
      </c>
      <c r="AO306" s="49">
        <v>11479</v>
      </c>
      <c r="AP306" s="72" t="s">
        <v>982</v>
      </c>
      <c r="AQ306" s="48">
        <v>41974</v>
      </c>
      <c r="AR306" s="48">
        <v>42338</v>
      </c>
      <c r="AS306" s="31"/>
      <c r="AT306" s="32"/>
      <c r="AU306" s="50"/>
      <c r="AV306" s="36"/>
      <c r="AW306" s="78"/>
      <c r="AX306" s="78"/>
      <c r="AY306" s="33"/>
      <c r="AZ306" s="34"/>
      <c r="BA306" s="35"/>
      <c r="BB306" s="35"/>
      <c r="BC306" s="78"/>
      <c r="BD306" s="50"/>
      <c r="BE306" s="78"/>
      <c r="BF306" s="78"/>
      <c r="BG306" s="36"/>
      <c r="BH306" s="35"/>
      <c r="BI306" s="35"/>
      <c r="BJ306" s="37"/>
      <c r="BK306" s="37"/>
      <c r="BL306" s="37"/>
      <c r="BM306" s="37"/>
      <c r="BN306" s="39">
        <f t="shared" si="32"/>
        <v>0</v>
      </c>
      <c r="BO306" s="36"/>
      <c r="BP306" s="40"/>
      <c r="BQ306" s="40"/>
      <c r="BR306" s="40"/>
      <c r="BS306" s="40"/>
      <c r="BT306" s="40"/>
      <c r="BU306" s="40"/>
      <c r="BV306" s="40"/>
      <c r="BW306" s="40"/>
      <c r="BX306" s="40"/>
      <c r="BY306" s="40"/>
      <c r="BZ306" s="40"/>
      <c r="CA306" s="40"/>
      <c r="CB306" s="155"/>
      <c r="CC306" s="155"/>
      <c r="CD306" s="155"/>
      <c r="CE306" s="155"/>
      <c r="CF306" s="155"/>
      <c r="CG306" s="155"/>
    </row>
    <row r="307" spans="1:85" customFormat="1" ht="27.95" customHeight="1">
      <c r="A307" s="155"/>
      <c r="B307" s="155"/>
      <c r="C307" s="155"/>
      <c r="D307" s="274"/>
      <c r="E307" s="274"/>
      <c r="F307" s="274"/>
      <c r="G307" s="53"/>
      <c r="H307" s="155"/>
      <c r="I307" s="36"/>
      <c r="J307" s="36"/>
      <c r="K307" s="36"/>
      <c r="L307" s="36"/>
      <c r="M307" s="155"/>
      <c r="N307" s="155"/>
      <c r="O307" s="155"/>
      <c r="P307" s="155"/>
      <c r="Q307" s="121"/>
      <c r="R307" s="122"/>
      <c r="S307" s="122"/>
      <c r="T307" s="123"/>
      <c r="U307" s="101"/>
      <c r="V307" s="40"/>
      <c r="W307" s="36"/>
      <c r="X307" s="35"/>
      <c r="Y307" s="155"/>
      <c r="Z307" s="155"/>
      <c r="AA307" s="155"/>
      <c r="AB307" s="155"/>
      <c r="AC307" s="155"/>
      <c r="AD307" s="155"/>
      <c r="AE307" s="155"/>
      <c r="AF307" s="155"/>
      <c r="AG307" s="155"/>
      <c r="AH307" s="36"/>
      <c r="AI307" s="35"/>
      <c r="AJ307" s="35"/>
      <c r="AK307" s="155"/>
      <c r="AL307" s="72" t="s">
        <v>993</v>
      </c>
      <c r="AM307" s="72" t="s">
        <v>872</v>
      </c>
      <c r="AN307" s="48">
        <v>42039</v>
      </c>
      <c r="AO307" s="49"/>
      <c r="AP307" s="72" t="s">
        <v>985</v>
      </c>
      <c r="AQ307" s="48">
        <v>42039</v>
      </c>
      <c r="AR307" s="48">
        <v>42338</v>
      </c>
      <c r="AS307" s="31"/>
      <c r="AT307" s="32"/>
      <c r="AU307" s="50"/>
      <c r="AV307" s="36"/>
      <c r="AW307" s="78"/>
      <c r="AX307" s="78"/>
      <c r="AY307" s="33"/>
      <c r="AZ307" s="34"/>
      <c r="BA307" s="35"/>
      <c r="BB307" s="35"/>
      <c r="BC307" s="78"/>
      <c r="BD307" s="50">
        <f>373.71/10226.59</f>
        <v>3.6542972779782898E-2</v>
      </c>
      <c r="BE307" s="78">
        <f>373.71*12</f>
        <v>4484.5199999999995</v>
      </c>
      <c r="BF307" s="78"/>
      <c r="BG307" s="36"/>
      <c r="BH307" s="35"/>
      <c r="BI307" s="78">
        <f>BI305+BE307</f>
        <v>204028.74999999997</v>
      </c>
      <c r="BJ307" s="37"/>
      <c r="BK307" s="37"/>
      <c r="BL307" s="37"/>
      <c r="BM307" s="37"/>
      <c r="BN307" s="39">
        <f t="shared" si="32"/>
        <v>0</v>
      </c>
      <c r="BO307" s="36"/>
      <c r="BP307" s="40"/>
      <c r="BQ307" s="40"/>
      <c r="BR307" s="40"/>
      <c r="BS307" s="40"/>
      <c r="BT307" s="40"/>
      <c r="BU307" s="40"/>
      <c r="BV307" s="40"/>
      <c r="BW307" s="40"/>
      <c r="BX307" s="40"/>
      <c r="BY307" s="40"/>
      <c r="BZ307" s="40"/>
      <c r="CA307" s="40"/>
      <c r="CB307" s="155"/>
      <c r="CC307" s="155"/>
      <c r="CD307" s="155"/>
      <c r="CE307" s="155"/>
      <c r="CF307" s="155"/>
      <c r="CG307" s="155"/>
    </row>
    <row r="308" spans="1:85" customFormat="1" ht="20.100000000000001" customHeight="1">
      <c r="A308" s="155"/>
      <c r="B308" s="155"/>
      <c r="C308" s="155"/>
      <c r="D308" s="274"/>
      <c r="E308" s="274"/>
      <c r="F308" s="274"/>
      <c r="G308" s="53"/>
      <c r="H308" s="155"/>
      <c r="I308" s="36"/>
      <c r="J308" s="36"/>
      <c r="K308" s="36"/>
      <c r="L308" s="36"/>
      <c r="M308" s="155"/>
      <c r="N308" s="155"/>
      <c r="O308" s="155"/>
      <c r="P308" s="155"/>
      <c r="Q308" s="121"/>
      <c r="R308" s="122"/>
      <c r="S308" s="122"/>
      <c r="T308" s="123"/>
      <c r="U308" s="101"/>
      <c r="V308" s="40"/>
      <c r="W308" s="36"/>
      <c r="X308" s="35"/>
      <c r="Y308" s="155"/>
      <c r="Z308" s="155"/>
      <c r="AA308" s="155"/>
      <c r="AB308" s="155"/>
      <c r="AC308" s="155"/>
      <c r="AD308" s="155"/>
      <c r="AE308" s="155"/>
      <c r="AF308" s="155"/>
      <c r="AG308" s="155"/>
      <c r="AH308" s="36"/>
      <c r="AI308" s="35"/>
      <c r="AJ308" s="35"/>
      <c r="AK308" s="155"/>
      <c r="AL308" s="36" t="s">
        <v>978</v>
      </c>
      <c r="AM308" s="72" t="s">
        <v>994</v>
      </c>
      <c r="AN308" s="48">
        <v>42334</v>
      </c>
      <c r="AO308" s="49">
        <v>11706</v>
      </c>
      <c r="AP308" s="72" t="s">
        <v>982</v>
      </c>
      <c r="AQ308" s="48">
        <v>42339</v>
      </c>
      <c r="AR308" s="48">
        <v>42704</v>
      </c>
      <c r="AS308" s="31"/>
      <c r="AT308" s="32"/>
      <c r="AU308" s="50"/>
      <c r="AV308" s="36"/>
      <c r="AW308" s="78"/>
      <c r="AX308" s="78"/>
      <c r="AY308" s="33"/>
      <c r="AZ308" s="34"/>
      <c r="BA308" s="35"/>
      <c r="BB308" s="35"/>
      <c r="BC308" s="78"/>
      <c r="BD308" s="50"/>
      <c r="BE308" s="78"/>
      <c r="BF308" s="78"/>
      <c r="BG308" s="36"/>
      <c r="BH308" s="35"/>
      <c r="BI308" s="35"/>
      <c r="BJ308" s="37"/>
      <c r="BK308" s="37"/>
      <c r="BL308" s="37"/>
      <c r="BM308" s="37"/>
      <c r="BN308" s="39">
        <f t="shared" si="32"/>
        <v>0</v>
      </c>
      <c r="BO308" s="36"/>
      <c r="BP308" s="40"/>
      <c r="BQ308" s="40"/>
      <c r="BR308" s="40"/>
      <c r="BS308" s="40"/>
      <c r="BT308" s="40"/>
      <c r="BU308" s="40"/>
      <c r="BV308" s="40"/>
      <c r="BW308" s="40"/>
      <c r="BX308" s="40"/>
      <c r="BY308" s="40"/>
      <c r="BZ308" s="40"/>
      <c r="CA308" s="40"/>
      <c r="CB308" s="155"/>
      <c r="CC308" s="155"/>
      <c r="CD308" s="155"/>
      <c r="CE308" s="155"/>
      <c r="CF308" s="155"/>
      <c r="CG308" s="155"/>
    </row>
    <row r="309" spans="1:85" customFormat="1" ht="27.95" customHeight="1">
      <c r="A309" s="155"/>
      <c r="B309" s="155"/>
      <c r="C309" s="155"/>
      <c r="D309" s="274"/>
      <c r="E309" s="274"/>
      <c r="F309" s="274"/>
      <c r="G309" s="53"/>
      <c r="H309" s="155"/>
      <c r="I309" s="36"/>
      <c r="J309" s="36"/>
      <c r="K309" s="36"/>
      <c r="L309" s="36"/>
      <c r="M309" s="155"/>
      <c r="N309" s="155"/>
      <c r="O309" s="155"/>
      <c r="P309" s="155"/>
      <c r="Q309" s="121"/>
      <c r="R309" s="122"/>
      <c r="S309" s="122"/>
      <c r="T309" s="123"/>
      <c r="U309" s="101"/>
      <c r="V309" s="40"/>
      <c r="W309" s="36"/>
      <c r="X309" s="35"/>
      <c r="Y309" s="155"/>
      <c r="Z309" s="155"/>
      <c r="AA309" s="155"/>
      <c r="AB309" s="155"/>
      <c r="AC309" s="155"/>
      <c r="AD309" s="155"/>
      <c r="AE309" s="155"/>
      <c r="AF309" s="155"/>
      <c r="AG309" s="155"/>
      <c r="AH309" s="36"/>
      <c r="AI309" s="35"/>
      <c r="AJ309" s="35"/>
      <c r="AK309" s="155"/>
      <c r="AL309" s="72" t="s">
        <v>993</v>
      </c>
      <c r="AM309" s="72" t="s">
        <v>874</v>
      </c>
      <c r="AN309" s="48">
        <v>42340</v>
      </c>
      <c r="AO309" s="49">
        <v>11724</v>
      </c>
      <c r="AP309" s="72" t="s">
        <v>995</v>
      </c>
      <c r="AQ309" s="48">
        <v>42340</v>
      </c>
      <c r="AR309" s="48">
        <v>42704</v>
      </c>
      <c r="AS309" s="31"/>
      <c r="AT309" s="32"/>
      <c r="AU309" s="50"/>
      <c r="AV309" s="36"/>
      <c r="AW309" s="78"/>
      <c r="AX309" s="78"/>
      <c r="AY309" s="33"/>
      <c r="AZ309" s="34"/>
      <c r="BA309" s="35"/>
      <c r="BB309" s="35"/>
      <c r="BC309" s="78"/>
      <c r="BD309" s="50">
        <f>1132.89/10600.3</f>
        <v>0.1068733903757441</v>
      </c>
      <c r="BE309" s="78">
        <f>1132.89*12</f>
        <v>13594.68</v>
      </c>
      <c r="BF309" s="78"/>
      <c r="BG309" s="36"/>
      <c r="BH309" s="35"/>
      <c r="BI309" s="78">
        <f>BI307+BE309</f>
        <v>217623.42999999996</v>
      </c>
      <c r="BJ309" s="37"/>
      <c r="BK309" s="37"/>
      <c r="BL309" s="37"/>
      <c r="BM309" s="37"/>
      <c r="BN309" s="39">
        <f t="shared" si="32"/>
        <v>0</v>
      </c>
      <c r="BO309" s="36"/>
      <c r="BP309" s="40"/>
      <c r="BQ309" s="40"/>
      <c r="BR309" s="40"/>
      <c r="BS309" s="40"/>
      <c r="BT309" s="40"/>
      <c r="BU309" s="40"/>
      <c r="BV309" s="40"/>
      <c r="BW309" s="40"/>
      <c r="BX309" s="40"/>
      <c r="BY309" s="40"/>
      <c r="BZ309" s="40"/>
      <c r="CA309" s="40"/>
      <c r="CB309" s="155"/>
      <c r="CC309" s="155"/>
      <c r="CD309" s="155"/>
      <c r="CE309" s="155"/>
      <c r="CF309" s="155"/>
      <c r="CG309" s="155"/>
    </row>
    <row r="310" spans="1:85" customFormat="1" ht="20.100000000000001" customHeight="1">
      <c r="A310" s="155"/>
      <c r="B310" s="155"/>
      <c r="C310" s="155"/>
      <c r="D310" s="274"/>
      <c r="E310" s="274"/>
      <c r="F310" s="274"/>
      <c r="G310" s="53"/>
      <c r="H310" s="155"/>
      <c r="I310" s="36"/>
      <c r="J310" s="36"/>
      <c r="K310" s="36"/>
      <c r="L310" s="36"/>
      <c r="M310" s="155"/>
      <c r="N310" s="155"/>
      <c r="O310" s="155"/>
      <c r="P310" s="155"/>
      <c r="Q310" s="121"/>
      <c r="R310" s="122"/>
      <c r="S310" s="122"/>
      <c r="T310" s="123"/>
      <c r="U310" s="101"/>
      <c r="V310" s="40"/>
      <c r="W310" s="36"/>
      <c r="X310" s="35"/>
      <c r="Y310" s="155"/>
      <c r="Z310" s="155"/>
      <c r="AA310" s="155"/>
      <c r="AB310" s="155"/>
      <c r="AC310" s="155"/>
      <c r="AD310" s="155"/>
      <c r="AE310" s="155"/>
      <c r="AF310" s="155"/>
      <c r="AG310" s="155"/>
      <c r="AH310" s="36"/>
      <c r="AI310" s="35"/>
      <c r="AJ310" s="35"/>
      <c r="AK310" s="155"/>
      <c r="AL310" s="36" t="s">
        <v>978</v>
      </c>
      <c r="AM310" s="72" t="s">
        <v>996</v>
      </c>
      <c r="AN310" s="48">
        <v>42703</v>
      </c>
      <c r="AO310" s="49">
        <v>12094</v>
      </c>
      <c r="AP310" s="72" t="s">
        <v>982</v>
      </c>
      <c r="AQ310" s="48">
        <v>42705</v>
      </c>
      <c r="AR310" s="48">
        <v>43069</v>
      </c>
      <c r="AS310" s="31"/>
      <c r="AT310" s="32"/>
      <c r="AU310" s="50"/>
      <c r="AV310" s="36"/>
      <c r="AW310" s="78"/>
      <c r="AX310" s="78"/>
      <c r="AY310" s="33"/>
      <c r="AZ310" s="34"/>
      <c r="BA310" s="35"/>
      <c r="BB310" s="35"/>
      <c r="BC310" s="78"/>
      <c r="BD310" s="78"/>
      <c r="BE310" s="78"/>
      <c r="BF310" s="35"/>
      <c r="BG310" s="36"/>
      <c r="BH310" s="35"/>
      <c r="BI310" s="35"/>
      <c r="BJ310" s="37"/>
      <c r="BK310" s="37"/>
      <c r="BL310" s="37"/>
      <c r="BM310" s="37"/>
      <c r="BN310" s="39">
        <f t="shared" si="32"/>
        <v>0</v>
      </c>
      <c r="BO310" s="36"/>
      <c r="BP310" s="40"/>
      <c r="BQ310" s="40"/>
      <c r="BR310" s="40"/>
      <c r="BS310" s="40"/>
      <c r="BT310" s="40"/>
      <c r="BU310" s="40"/>
      <c r="BV310" s="40"/>
      <c r="BW310" s="40"/>
      <c r="BX310" s="40"/>
      <c r="BY310" s="40"/>
      <c r="BZ310" s="40"/>
      <c r="CA310" s="40"/>
      <c r="CB310" s="155"/>
      <c r="CC310" s="155"/>
      <c r="CD310" s="155"/>
      <c r="CE310" s="155"/>
      <c r="CF310" s="155"/>
      <c r="CG310" s="155"/>
    </row>
    <row r="311" spans="1:85" customFormat="1" ht="20.100000000000001" customHeight="1">
      <c r="A311" s="155"/>
      <c r="B311" s="155"/>
      <c r="C311" s="155"/>
      <c r="D311" s="274"/>
      <c r="E311" s="274"/>
      <c r="F311" s="274"/>
      <c r="G311" s="53"/>
      <c r="H311" s="155"/>
      <c r="I311" s="36"/>
      <c r="J311" s="36"/>
      <c r="K311" s="36"/>
      <c r="L311" s="36"/>
      <c r="M311" s="155"/>
      <c r="N311" s="155"/>
      <c r="O311" s="155"/>
      <c r="P311" s="155"/>
      <c r="Q311" s="121"/>
      <c r="R311" s="122"/>
      <c r="S311" s="122"/>
      <c r="T311" s="123"/>
      <c r="U311" s="101"/>
      <c r="V311" s="40"/>
      <c r="W311" s="36"/>
      <c r="X311" s="35"/>
      <c r="Y311" s="155"/>
      <c r="Z311" s="155"/>
      <c r="AA311" s="155"/>
      <c r="AB311" s="155"/>
      <c r="AC311" s="155"/>
      <c r="AD311" s="155"/>
      <c r="AE311" s="155"/>
      <c r="AF311" s="155"/>
      <c r="AG311" s="155"/>
      <c r="AH311" s="36"/>
      <c r="AI311" s="35"/>
      <c r="AJ311" s="35"/>
      <c r="AK311" s="155"/>
      <c r="AL311" s="36" t="s">
        <v>978</v>
      </c>
      <c r="AM311" s="72" t="s">
        <v>997</v>
      </c>
      <c r="AN311" s="48">
        <v>43428</v>
      </c>
      <c r="AO311" s="49">
        <v>12199</v>
      </c>
      <c r="AP311" s="72" t="s">
        <v>982</v>
      </c>
      <c r="AQ311" s="48">
        <v>43070</v>
      </c>
      <c r="AR311" s="48">
        <v>43405</v>
      </c>
      <c r="AS311" s="31"/>
      <c r="AT311" s="32"/>
      <c r="AU311" s="50"/>
      <c r="AV311" s="36"/>
      <c r="AW311" s="78"/>
      <c r="AX311" s="78"/>
      <c r="AY311" s="33"/>
      <c r="AZ311" s="34"/>
      <c r="BA311" s="35"/>
      <c r="BB311" s="35"/>
      <c r="BC311" s="78"/>
      <c r="BD311" s="78"/>
      <c r="BE311" s="78"/>
      <c r="BF311" s="35"/>
      <c r="BG311" s="36"/>
      <c r="BH311" s="35"/>
      <c r="BI311" s="35"/>
      <c r="BJ311" s="37"/>
      <c r="BK311" s="37"/>
      <c r="BL311" s="37"/>
      <c r="BM311" s="37"/>
      <c r="BN311" s="39">
        <f t="shared" si="32"/>
        <v>0</v>
      </c>
      <c r="BO311" s="36"/>
      <c r="BP311" s="40"/>
      <c r="BQ311" s="40"/>
      <c r="BR311" s="40"/>
      <c r="BS311" s="40"/>
      <c r="BT311" s="40"/>
      <c r="BU311" s="40"/>
      <c r="BV311" s="40"/>
      <c r="BW311" s="40"/>
      <c r="BX311" s="40"/>
      <c r="BY311" s="40"/>
      <c r="BZ311" s="40"/>
      <c r="CA311" s="40"/>
      <c r="CB311" s="155"/>
      <c r="CC311" s="155"/>
      <c r="CD311" s="155"/>
      <c r="CE311" s="155"/>
      <c r="CF311" s="155"/>
      <c r="CG311" s="155"/>
    </row>
    <row r="312" spans="1:85" customFormat="1" ht="20.100000000000001" customHeight="1">
      <c r="A312" s="155"/>
      <c r="B312" s="155"/>
      <c r="C312" s="155"/>
      <c r="D312" s="274"/>
      <c r="E312" s="274"/>
      <c r="F312" s="274"/>
      <c r="G312" s="53"/>
      <c r="H312" s="155"/>
      <c r="I312" s="36"/>
      <c r="J312" s="36"/>
      <c r="K312" s="36"/>
      <c r="L312" s="36"/>
      <c r="M312" s="155"/>
      <c r="N312" s="155"/>
      <c r="O312" s="155"/>
      <c r="P312" s="155"/>
      <c r="Q312" s="121"/>
      <c r="R312" s="122"/>
      <c r="S312" s="122"/>
      <c r="T312" s="123"/>
      <c r="U312" s="101"/>
      <c r="V312" s="40"/>
      <c r="W312" s="36"/>
      <c r="X312" s="35"/>
      <c r="Y312" s="155"/>
      <c r="Z312" s="155"/>
      <c r="AA312" s="155"/>
      <c r="AB312" s="155"/>
      <c r="AC312" s="155"/>
      <c r="AD312" s="155"/>
      <c r="AE312" s="155"/>
      <c r="AF312" s="155"/>
      <c r="AG312" s="155"/>
      <c r="AH312" s="36"/>
      <c r="AI312" s="35"/>
      <c r="AJ312" s="35"/>
      <c r="AK312" s="155"/>
      <c r="AL312" s="36" t="s">
        <v>978</v>
      </c>
      <c r="AM312" s="72" t="s">
        <v>997</v>
      </c>
      <c r="AN312" s="48">
        <v>43433</v>
      </c>
      <c r="AO312" s="49">
        <v>12454</v>
      </c>
      <c r="AP312" s="72" t="s">
        <v>982</v>
      </c>
      <c r="AQ312" s="48">
        <v>43435</v>
      </c>
      <c r="AR312" s="48">
        <v>43434</v>
      </c>
      <c r="AS312" s="31"/>
      <c r="AT312" s="32"/>
      <c r="AU312" s="50"/>
      <c r="AV312" s="36"/>
      <c r="AW312" s="78"/>
      <c r="AX312" s="78"/>
      <c r="AY312" s="33"/>
      <c r="AZ312" s="34"/>
      <c r="BA312" s="35"/>
      <c r="BB312" s="35"/>
      <c r="BC312" s="78"/>
      <c r="BD312" s="78"/>
      <c r="BE312" s="78"/>
      <c r="BF312" s="35"/>
      <c r="BG312" s="36"/>
      <c r="BH312" s="35"/>
      <c r="BI312" s="35"/>
      <c r="BJ312" s="37"/>
      <c r="BK312" s="37"/>
      <c r="BL312" s="37"/>
      <c r="BM312" s="37"/>
      <c r="BN312" s="39">
        <f t="shared" si="32"/>
        <v>0</v>
      </c>
      <c r="BO312" s="36"/>
      <c r="BP312" s="40"/>
      <c r="BQ312" s="40"/>
      <c r="BR312" s="40"/>
      <c r="BS312" s="40"/>
      <c r="BT312" s="40"/>
      <c r="BU312" s="40"/>
      <c r="BV312" s="40"/>
      <c r="BW312" s="40"/>
      <c r="BX312" s="40"/>
      <c r="BY312" s="40"/>
      <c r="BZ312" s="40"/>
      <c r="CA312" s="40"/>
      <c r="CB312" s="155"/>
      <c r="CC312" s="155"/>
      <c r="CD312" s="155"/>
      <c r="CE312" s="155"/>
      <c r="CF312" s="155"/>
      <c r="CG312" s="155"/>
    </row>
    <row r="313" spans="1:85" customFormat="1" ht="20.100000000000001" customHeight="1">
      <c r="A313" s="155"/>
      <c r="B313" s="155"/>
      <c r="C313" s="155"/>
      <c r="D313" s="274"/>
      <c r="E313" s="274"/>
      <c r="F313" s="274"/>
      <c r="G313" s="53"/>
      <c r="H313" s="155"/>
      <c r="I313" s="36"/>
      <c r="J313" s="36"/>
      <c r="K313" s="36"/>
      <c r="L313" s="36"/>
      <c r="M313" s="155"/>
      <c r="N313" s="155"/>
      <c r="O313" s="155"/>
      <c r="P313" s="155"/>
      <c r="Q313" s="121"/>
      <c r="R313" s="122"/>
      <c r="S313" s="122"/>
      <c r="T313" s="123"/>
      <c r="U313" s="101"/>
      <c r="V313" s="40"/>
      <c r="W313" s="36"/>
      <c r="X313" s="35"/>
      <c r="Y313" s="155"/>
      <c r="Z313" s="155"/>
      <c r="AA313" s="155"/>
      <c r="AB313" s="155"/>
      <c r="AC313" s="155"/>
      <c r="AD313" s="155"/>
      <c r="AE313" s="155"/>
      <c r="AF313" s="155"/>
      <c r="AG313" s="155"/>
      <c r="AH313" s="36"/>
      <c r="AI313" s="35"/>
      <c r="AJ313" s="35"/>
      <c r="AK313" s="155"/>
      <c r="AL313" s="36" t="s">
        <v>978</v>
      </c>
      <c r="AM313" s="72" t="s">
        <v>998</v>
      </c>
      <c r="AN313" s="48">
        <v>43767</v>
      </c>
      <c r="AO313" s="49">
        <v>12454</v>
      </c>
      <c r="AP313" s="72" t="s">
        <v>982</v>
      </c>
      <c r="AQ313" s="48">
        <v>43800</v>
      </c>
      <c r="AR313" s="48">
        <v>43799</v>
      </c>
      <c r="AS313" s="31"/>
      <c r="AT313" s="32"/>
      <c r="AU313" s="50"/>
      <c r="AV313" s="36"/>
      <c r="AW313" s="78"/>
      <c r="AX313" s="78"/>
      <c r="AY313" s="33"/>
      <c r="AZ313" s="34"/>
      <c r="BA313" s="35"/>
      <c r="BB313" s="35"/>
      <c r="BC313" s="78"/>
      <c r="BD313" s="78"/>
      <c r="BE313" s="78"/>
      <c r="BF313" s="35"/>
      <c r="BG313" s="36"/>
      <c r="BH313" s="35"/>
      <c r="BI313" s="35"/>
      <c r="BJ313" s="37"/>
      <c r="BK313" s="37"/>
      <c r="BL313" s="37"/>
      <c r="BM313" s="37"/>
      <c r="BN313" s="39">
        <f t="shared" si="32"/>
        <v>0</v>
      </c>
      <c r="BO313" s="36"/>
      <c r="BP313" s="40"/>
      <c r="BQ313" s="40"/>
      <c r="BR313" s="40"/>
      <c r="BS313" s="40"/>
      <c r="BT313" s="40"/>
      <c r="BU313" s="40"/>
      <c r="BV313" s="40"/>
      <c r="BW313" s="40"/>
      <c r="BX313" s="40"/>
      <c r="BY313" s="40"/>
      <c r="BZ313" s="40"/>
      <c r="CA313" s="40"/>
      <c r="CB313" s="155"/>
      <c r="CC313" s="155"/>
      <c r="CD313" s="155"/>
      <c r="CE313" s="155"/>
      <c r="CF313" s="155"/>
      <c r="CG313" s="155"/>
    </row>
    <row r="314" spans="1:85" customFormat="1" ht="20.100000000000001" customHeight="1">
      <c r="A314" s="155"/>
      <c r="B314" s="155"/>
      <c r="C314" s="155"/>
      <c r="D314" s="274"/>
      <c r="E314" s="274"/>
      <c r="F314" s="274"/>
      <c r="G314" s="53"/>
      <c r="H314" s="155"/>
      <c r="I314" s="36"/>
      <c r="J314" s="36"/>
      <c r="K314" s="36"/>
      <c r="L314" s="36"/>
      <c r="M314" s="155"/>
      <c r="N314" s="155"/>
      <c r="O314" s="155"/>
      <c r="P314" s="155"/>
      <c r="Q314" s="121"/>
      <c r="R314" s="122"/>
      <c r="S314" s="122"/>
      <c r="T314" s="123"/>
      <c r="U314" s="101"/>
      <c r="V314" s="40"/>
      <c r="W314" s="36"/>
      <c r="X314" s="35"/>
      <c r="Y314" s="155"/>
      <c r="Z314" s="155"/>
      <c r="AA314" s="155"/>
      <c r="AB314" s="155"/>
      <c r="AC314" s="155"/>
      <c r="AD314" s="155"/>
      <c r="AE314" s="155"/>
      <c r="AF314" s="155"/>
      <c r="AG314" s="155"/>
      <c r="AH314" s="36"/>
      <c r="AI314" s="35"/>
      <c r="AJ314" s="35"/>
      <c r="AK314" s="155"/>
      <c r="AL314" s="36" t="s">
        <v>978</v>
      </c>
      <c r="AM314" s="72" t="s">
        <v>999</v>
      </c>
      <c r="AN314" s="48">
        <v>43816</v>
      </c>
      <c r="AO314" s="49">
        <v>12715</v>
      </c>
      <c r="AP314" s="72" t="s">
        <v>982</v>
      </c>
      <c r="AQ314" s="48">
        <v>43800</v>
      </c>
      <c r="AR314" s="48" t="s">
        <v>1000</v>
      </c>
      <c r="AS314" s="31"/>
      <c r="AT314" s="32"/>
      <c r="AU314" s="50"/>
      <c r="AV314" s="36"/>
      <c r="AW314" s="78"/>
      <c r="AX314" s="78"/>
      <c r="AY314" s="33"/>
      <c r="AZ314" s="34"/>
      <c r="BA314" s="35"/>
      <c r="BB314" s="35"/>
      <c r="BC314" s="78"/>
      <c r="BD314" s="78"/>
      <c r="BE314" s="78"/>
      <c r="BF314" s="35"/>
      <c r="BG314" s="36"/>
      <c r="BH314" s="35"/>
      <c r="BI314" s="35"/>
      <c r="BJ314" s="37"/>
      <c r="BK314" s="37"/>
      <c r="BL314" s="37"/>
      <c r="BM314" s="37"/>
      <c r="BN314" s="39">
        <f t="shared" si="32"/>
        <v>0</v>
      </c>
      <c r="BO314" s="36"/>
      <c r="BP314" s="40"/>
      <c r="BQ314" s="40"/>
      <c r="BR314" s="40"/>
      <c r="BS314" s="40"/>
      <c r="BT314" s="40"/>
      <c r="BU314" s="40"/>
      <c r="BV314" s="40"/>
      <c r="BW314" s="40"/>
      <c r="BX314" s="40"/>
      <c r="BY314" s="40"/>
      <c r="BZ314" s="40"/>
      <c r="CA314" s="40"/>
      <c r="CB314" s="155"/>
      <c r="CC314" s="155"/>
      <c r="CD314" s="155"/>
      <c r="CE314" s="155"/>
      <c r="CF314" s="155"/>
      <c r="CG314" s="155"/>
    </row>
    <row r="315" spans="1:85" customFormat="1" ht="20.100000000000001" customHeight="1">
      <c r="A315" s="155"/>
      <c r="B315" s="155"/>
      <c r="C315" s="155"/>
      <c r="D315" s="274"/>
      <c r="E315" s="274"/>
      <c r="F315" s="274"/>
      <c r="G315" s="53"/>
      <c r="H315" s="155"/>
      <c r="I315" s="36"/>
      <c r="J315" s="36"/>
      <c r="K315" s="36"/>
      <c r="L315" s="36"/>
      <c r="M315" s="155"/>
      <c r="N315" s="155"/>
      <c r="O315" s="155"/>
      <c r="P315" s="155"/>
      <c r="Q315" s="121"/>
      <c r="R315" s="122"/>
      <c r="S315" s="122"/>
      <c r="T315" s="123"/>
      <c r="U315" s="101"/>
      <c r="V315" s="40"/>
      <c r="W315" s="36"/>
      <c r="X315" s="35"/>
      <c r="Y315" s="155"/>
      <c r="Z315" s="155"/>
      <c r="AA315" s="155"/>
      <c r="AB315" s="155"/>
      <c r="AC315" s="155"/>
      <c r="AD315" s="155"/>
      <c r="AE315" s="155"/>
      <c r="AF315" s="155"/>
      <c r="AG315" s="155"/>
      <c r="AH315" s="36"/>
      <c r="AI315" s="35"/>
      <c r="AJ315" s="35"/>
      <c r="AK315" s="155"/>
      <c r="AL315" s="36" t="s">
        <v>978</v>
      </c>
      <c r="AM315" s="72" t="s">
        <v>1001</v>
      </c>
      <c r="AN315" s="48">
        <v>44166</v>
      </c>
      <c r="AO315" s="49">
        <v>12934</v>
      </c>
      <c r="AP315" s="72" t="s">
        <v>1002</v>
      </c>
      <c r="AQ315" s="48">
        <v>44166</v>
      </c>
      <c r="AR315" s="48">
        <v>44255</v>
      </c>
      <c r="AS315" s="31"/>
      <c r="AT315" s="32"/>
      <c r="AU315" s="50"/>
      <c r="AV315" s="36"/>
      <c r="AW315" s="78"/>
      <c r="AX315" s="78"/>
      <c r="AY315" s="33"/>
      <c r="AZ315" s="34"/>
      <c r="BA315" s="35"/>
      <c r="BB315" s="35"/>
      <c r="BC315" s="78"/>
      <c r="BD315" s="78"/>
      <c r="BE315" s="78"/>
      <c r="BF315" s="35"/>
      <c r="BG315" s="36"/>
      <c r="BH315" s="35"/>
      <c r="BI315" s="35"/>
      <c r="BJ315" s="37"/>
      <c r="BK315" s="37"/>
      <c r="BL315" s="37"/>
      <c r="BM315" s="37"/>
      <c r="BN315" s="39">
        <f t="shared" si="32"/>
        <v>0</v>
      </c>
      <c r="BO315" s="36"/>
      <c r="BP315" s="40"/>
      <c r="BQ315" s="40"/>
      <c r="BR315" s="40"/>
      <c r="BS315" s="40"/>
      <c r="BT315" s="40"/>
      <c r="BU315" s="40"/>
      <c r="BV315" s="40"/>
      <c r="BW315" s="40"/>
      <c r="BX315" s="40"/>
      <c r="BY315" s="40"/>
      <c r="BZ315" s="40"/>
      <c r="CA315" s="40"/>
      <c r="CB315" s="155"/>
      <c r="CC315" s="155"/>
      <c r="CD315" s="155"/>
      <c r="CE315" s="155"/>
      <c r="CF315" s="155"/>
      <c r="CG315" s="155"/>
    </row>
    <row r="316" spans="1:85" customFormat="1" ht="20.100000000000001" customHeight="1">
      <c r="A316" s="155"/>
      <c r="B316" s="155"/>
      <c r="C316" s="155"/>
      <c r="D316" s="274"/>
      <c r="E316" s="274"/>
      <c r="F316" s="274"/>
      <c r="G316" s="53"/>
      <c r="H316" s="155"/>
      <c r="I316" s="36"/>
      <c r="J316" s="36"/>
      <c r="K316" s="36"/>
      <c r="L316" s="36"/>
      <c r="M316" s="155"/>
      <c r="N316" s="155"/>
      <c r="O316" s="155"/>
      <c r="P316" s="155"/>
      <c r="Q316" s="121"/>
      <c r="R316" s="122"/>
      <c r="S316" s="122"/>
      <c r="T316" s="123"/>
      <c r="U316" s="101"/>
      <c r="V316" s="40"/>
      <c r="W316" s="36"/>
      <c r="X316" s="35"/>
      <c r="Y316" s="155"/>
      <c r="Z316" s="155"/>
      <c r="AA316" s="155"/>
      <c r="AB316" s="155"/>
      <c r="AC316" s="155"/>
      <c r="AD316" s="155"/>
      <c r="AE316" s="155"/>
      <c r="AF316" s="155"/>
      <c r="AG316" s="155"/>
      <c r="AH316" s="36"/>
      <c r="AI316" s="35"/>
      <c r="AJ316" s="35"/>
      <c r="AK316" s="155"/>
      <c r="AL316" s="36" t="s">
        <v>978</v>
      </c>
      <c r="AM316" s="72" t="s">
        <v>1003</v>
      </c>
      <c r="AN316" s="48">
        <v>44256</v>
      </c>
      <c r="AO316" s="49">
        <v>12994</v>
      </c>
      <c r="AP316" s="72" t="s">
        <v>1004</v>
      </c>
      <c r="AQ316" s="48">
        <v>44256</v>
      </c>
      <c r="AR316" s="48">
        <v>44439</v>
      </c>
      <c r="AS316" s="31"/>
      <c r="AT316" s="32"/>
      <c r="AU316" s="50"/>
      <c r="AV316" s="36"/>
      <c r="AW316" s="78"/>
      <c r="AX316" s="78"/>
      <c r="AY316" s="33"/>
      <c r="AZ316" s="34"/>
      <c r="BA316" s="35"/>
      <c r="BB316" s="35"/>
      <c r="BC316" s="78"/>
      <c r="BD316" s="78"/>
      <c r="BE316" s="78"/>
      <c r="BF316" s="35"/>
      <c r="BG316" s="36"/>
      <c r="BH316" s="35"/>
      <c r="BI316" s="35"/>
      <c r="BJ316" s="37"/>
      <c r="BK316" s="37"/>
      <c r="BL316" s="37"/>
      <c r="BM316" s="37"/>
      <c r="BN316" s="39">
        <f t="shared" si="32"/>
        <v>0</v>
      </c>
      <c r="BO316" s="36"/>
      <c r="BP316" s="40"/>
      <c r="BQ316" s="40"/>
      <c r="BR316" s="40"/>
      <c r="BS316" s="40"/>
      <c r="BT316" s="40"/>
      <c r="BU316" s="40"/>
      <c r="BV316" s="40"/>
      <c r="BW316" s="40"/>
      <c r="BX316" s="40"/>
      <c r="BY316" s="40"/>
      <c r="BZ316" s="40"/>
      <c r="CA316" s="40"/>
      <c r="CB316" s="155"/>
      <c r="CC316" s="155"/>
      <c r="CD316" s="155"/>
      <c r="CE316" s="155"/>
      <c r="CF316" s="155"/>
      <c r="CG316" s="155"/>
    </row>
    <row r="317" spans="1:85" customFormat="1" ht="20.100000000000001" customHeight="1">
      <c r="A317" s="155"/>
      <c r="B317" s="155"/>
      <c r="C317" s="155"/>
      <c r="D317" s="274"/>
      <c r="E317" s="274"/>
      <c r="F317" s="274"/>
      <c r="G317" s="53"/>
      <c r="H317" s="155"/>
      <c r="I317" s="36"/>
      <c r="J317" s="36"/>
      <c r="K317" s="36"/>
      <c r="L317" s="36"/>
      <c r="M317" s="155"/>
      <c r="N317" s="155"/>
      <c r="O317" s="155"/>
      <c r="P317" s="155"/>
      <c r="Q317" s="121"/>
      <c r="R317" s="122"/>
      <c r="S317" s="122"/>
      <c r="T317" s="123"/>
      <c r="U317" s="101"/>
      <c r="V317" s="40"/>
      <c r="W317" s="36"/>
      <c r="X317" s="35"/>
      <c r="Y317" s="155"/>
      <c r="Z317" s="155"/>
      <c r="AA317" s="155"/>
      <c r="AB317" s="155"/>
      <c r="AC317" s="155"/>
      <c r="AD317" s="155"/>
      <c r="AE317" s="155"/>
      <c r="AF317" s="155"/>
      <c r="AG317" s="155"/>
      <c r="AH317" s="36"/>
      <c r="AI317" s="35"/>
      <c r="AJ317" s="35"/>
      <c r="AK317" s="155"/>
      <c r="AL317" s="36" t="s">
        <v>978</v>
      </c>
      <c r="AM317" s="72" t="s">
        <v>1005</v>
      </c>
      <c r="AN317" s="48">
        <v>44440</v>
      </c>
      <c r="AO317" s="49">
        <v>13119</v>
      </c>
      <c r="AP317" s="72" t="s">
        <v>1006</v>
      </c>
      <c r="AQ317" s="48">
        <v>44440</v>
      </c>
      <c r="AR317" s="48">
        <v>44561</v>
      </c>
      <c r="AS317" s="31"/>
      <c r="AT317" s="32"/>
      <c r="AU317" s="50"/>
      <c r="AV317" s="36"/>
      <c r="AW317" s="78"/>
      <c r="AX317" s="78"/>
      <c r="AY317" s="33"/>
      <c r="AZ317" s="34"/>
      <c r="BA317" s="35"/>
      <c r="BB317" s="35"/>
      <c r="BC317" s="78"/>
      <c r="BD317" s="78"/>
      <c r="BE317" s="78"/>
      <c r="BF317" s="35"/>
      <c r="BG317" s="36"/>
      <c r="BH317" s="35"/>
      <c r="BI317" s="35"/>
      <c r="BJ317" s="37"/>
      <c r="BK317" s="37"/>
      <c r="BL317" s="37"/>
      <c r="BM317" s="37"/>
      <c r="BN317" s="39">
        <f t="shared" si="32"/>
        <v>0</v>
      </c>
      <c r="BO317" s="36"/>
      <c r="BP317" s="40"/>
      <c r="BQ317" s="40"/>
      <c r="BR317" s="40"/>
      <c r="BS317" s="40"/>
      <c r="BT317" s="40"/>
      <c r="BU317" s="40"/>
      <c r="BV317" s="40"/>
      <c r="BW317" s="40"/>
      <c r="BX317" s="40"/>
      <c r="BY317" s="40"/>
      <c r="BZ317" s="40"/>
      <c r="CA317" s="40"/>
      <c r="CB317" s="155"/>
      <c r="CC317" s="155"/>
      <c r="CD317" s="155"/>
      <c r="CE317" s="155"/>
      <c r="CF317" s="155"/>
      <c r="CG317" s="155"/>
    </row>
    <row r="318" spans="1:85" customFormat="1" ht="27.95" customHeight="1">
      <c r="A318" s="155"/>
      <c r="B318" s="155"/>
      <c r="C318" s="155"/>
      <c r="D318" s="274"/>
      <c r="E318" s="274"/>
      <c r="F318" s="274"/>
      <c r="G318" s="53"/>
      <c r="H318" s="155"/>
      <c r="I318" s="36"/>
      <c r="J318" s="36"/>
      <c r="K318" s="36"/>
      <c r="L318" s="36"/>
      <c r="M318" s="155"/>
      <c r="N318" s="155"/>
      <c r="O318" s="155"/>
      <c r="P318" s="155"/>
      <c r="Q318" s="121"/>
      <c r="R318" s="122"/>
      <c r="S318" s="122"/>
      <c r="T318" s="123"/>
      <c r="U318" s="101"/>
      <c r="V318" s="40"/>
      <c r="W318" s="36"/>
      <c r="X318" s="35"/>
      <c r="Y318" s="155"/>
      <c r="Z318" s="155"/>
      <c r="AA318" s="155"/>
      <c r="AB318" s="155"/>
      <c r="AC318" s="155"/>
      <c r="AD318" s="155"/>
      <c r="AE318" s="155"/>
      <c r="AF318" s="155"/>
      <c r="AG318" s="155"/>
      <c r="AH318" s="36"/>
      <c r="AI318" s="35"/>
      <c r="AJ318" s="35"/>
      <c r="AK318" s="155"/>
      <c r="AL318" s="44" t="s">
        <v>978</v>
      </c>
      <c r="AM318" s="98" t="s">
        <v>1007</v>
      </c>
      <c r="AN318" s="111">
        <v>44553</v>
      </c>
      <c r="AO318" s="77">
        <v>13199</v>
      </c>
      <c r="AP318" s="98" t="s">
        <v>1008</v>
      </c>
      <c r="AQ318" s="137" t="s">
        <v>192</v>
      </c>
      <c r="AR318" s="137" t="s">
        <v>193</v>
      </c>
      <c r="AS318" s="31"/>
      <c r="AT318" s="32"/>
      <c r="AU318" s="50"/>
      <c r="AV318" s="36"/>
      <c r="AW318" s="78"/>
      <c r="AX318" s="78"/>
      <c r="AY318" s="33"/>
      <c r="AZ318" s="34"/>
      <c r="BA318" s="35"/>
      <c r="BB318" s="35"/>
      <c r="BC318" s="78"/>
      <c r="BD318" s="37"/>
      <c r="BE318" s="78"/>
      <c r="BF318" s="35"/>
      <c r="BG318" s="36"/>
      <c r="BH318" s="35"/>
      <c r="BI318" s="35">
        <f>11733*12</f>
        <v>140796</v>
      </c>
      <c r="BJ318" s="37"/>
      <c r="BK318" s="37"/>
      <c r="BL318" s="37"/>
      <c r="BM318" s="37"/>
      <c r="BN318" s="39">
        <f t="shared" si="32"/>
        <v>0</v>
      </c>
      <c r="BO318" s="36"/>
      <c r="BP318" s="40"/>
      <c r="BQ318" s="40"/>
      <c r="BR318" s="40"/>
      <c r="BS318" s="40"/>
      <c r="BT318" s="40"/>
      <c r="BU318" s="40"/>
      <c r="BV318" s="40"/>
      <c r="BW318" s="40"/>
      <c r="BX318" s="40"/>
      <c r="BY318" s="40"/>
      <c r="BZ318" s="40"/>
      <c r="CA318" s="40"/>
      <c r="CB318" s="155"/>
      <c r="CC318" s="155"/>
      <c r="CD318" s="155"/>
      <c r="CE318" s="155"/>
      <c r="CF318" s="155"/>
      <c r="CG318" s="155"/>
    </row>
    <row r="319" spans="1:85" customFormat="1" ht="27.95" customHeight="1">
      <c r="A319" s="155"/>
      <c r="B319" s="155"/>
      <c r="C319" s="155"/>
      <c r="D319" s="274"/>
      <c r="E319" s="274"/>
      <c r="F319" s="274"/>
      <c r="G319" s="53"/>
      <c r="H319" s="155"/>
      <c r="I319" s="36"/>
      <c r="J319" s="36"/>
      <c r="K319" s="36"/>
      <c r="L319" s="36"/>
      <c r="M319" s="155"/>
      <c r="N319" s="155"/>
      <c r="O319" s="155"/>
      <c r="P319" s="155"/>
      <c r="Q319" s="121"/>
      <c r="R319" s="122"/>
      <c r="S319" s="122"/>
      <c r="T319" s="123"/>
      <c r="U319" s="101"/>
      <c r="V319" s="40"/>
      <c r="W319" s="36"/>
      <c r="X319" s="35"/>
      <c r="Y319" s="155"/>
      <c r="Z319" s="155"/>
      <c r="AA319" s="155"/>
      <c r="AB319" s="155"/>
      <c r="AC319" s="155"/>
      <c r="AD319" s="155"/>
      <c r="AE319" s="155"/>
      <c r="AF319" s="155"/>
      <c r="AG319" s="155"/>
      <c r="AH319" s="36"/>
      <c r="AI319" s="35"/>
      <c r="AJ319" s="35"/>
      <c r="AK319" s="155"/>
      <c r="AL319" s="36" t="s">
        <v>978</v>
      </c>
      <c r="AM319" s="72" t="s">
        <v>1009</v>
      </c>
      <c r="AN319" s="48">
        <v>44922</v>
      </c>
      <c r="AO319" s="49">
        <v>13445</v>
      </c>
      <c r="AP319" s="72" t="s">
        <v>619</v>
      </c>
      <c r="AQ319" s="72" t="s">
        <v>196</v>
      </c>
      <c r="AR319" s="72" t="s">
        <v>197</v>
      </c>
      <c r="AS319" s="31"/>
      <c r="AT319" s="32"/>
      <c r="AU319" s="50">
        <f>AW319/BI318</f>
        <v>0.25000340918776098</v>
      </c>
      <c r="AV319" s="36"/>
      <c r="AW319" s="78">
        <f>2933.29*12</f>
        <v>35199.479999999996</v>
      </c>
      <c r="AX319" s="78"/>
      <c r="AY319" s="33"/>
      <c r="AZ319" s="34"/>
      <c r="BA319" s="35"/>
      <c r="BB319" s="35"/>
      <c r="BC319" s="78"/>
      <c r="BD319" s="78"/>
      <c r="BE319" s="78"/>
      <c r="BF319" s="35"/>
      <c r="BG319" s="36"/>
      <c r="BH319" s="35"/>
      <c r="BI319" s="35">
        <f>BI318+AW319</f>
        <v>175995.47999999998</v>
      </c>
      <c r="BJ319" s="37"/>
      <c r="BK319" s="37"/>
      <c r="BL319" s="37"/>
      <c r="BM319" s="37"/>
      <c r="BN319" s="39">
        <f t="shared" si="32"/>
        <v>0</v>
      </c>
      <c r="BO319" s="36"/>
      <c r="BP319" s="40"/>
      <c r="BQ319" s="40"/>
      <c r="BR319" s="40"/>
      <c r="BS319" s="40"/>
      <c r="BT319" s="40"/>
      <c r="BU319" s="40"/>
      <c r="BV319" s="40"/>
      <c r="BW319" s="40"/>
      <c r="BX319" s="40"/>
      <c r="BY319" s="40"/>
      <c r="BZ319" s="40"/>
      <c r="CA319" s="40"/>
      <c r="CB319" s="155"/>
      <c r="CC319" s="155"/>
      <c r="CD319" s="155"/>
      <c r="CE319" s="155"/>
      <c r="CF319" s="155"/>
      <c r="CG319" s="155"/>
    </row>
    <row r="320" spans="1:85" customFormat="1" ht="20.100000000000001" customHeight="1">
      <c r="A320" s="155"/>
      <c r="B320" s="155"/>
      <c r="C320" s="155"/>
      <c r="D320" s="274"/>
      <c r="E320" s="274"/>
      <c r="F320" s="274"/>
      <c r="G320" s="53"/>
      <c r="H320" s="155"/>
      <c r="I320" s="36"/>
      <c r="J320" s="36"/>
      <c r="K320" s="36"/>
      <c r="L320" s="36"/>
      <c r="M320" s="155"/>
      <c r="N320" s="155"/>
      <c r="O320" s="155"/>
      <c r="P320" s="155"/>
      <c r="Q320" s="121"/>
      <c r="R320" s="122"/>
      <c r="S320" s="122"/>
      <c r="T320" s="123"/>
      <c r="U320" s="101"/>
      <c r="V320" s="40"/>
      <c r="W320" s="36"/>
      <c r="X320" s="35"/>
      <c r="Y320" s="155"/>
      <c r="Z320" s="155"/>
      <c r="AA320" s="155"/>
      <c r="AB320" s="155"/>
      <c r="AC320" s="155"/>
      <c r="AD320" s="155"/>
      <c r="AE320" s="155"/>
      <c r="AF320" s="155"/>
      <c r="AG320" s="155"/>
      <c r="AH320" s="36"/>
      <c r="AI320" s="35"/>
      <c r="AJ320" s="35"/>
      <c r="AK320" s="155"/>
      <c r="AL320" s="36" t="s">
        <v>1010</v>
      </c>
      <c r="AM320" s="72" t="s">
        <v>1011</v>
      </c>
      <c r="AN320" s="48">
        <v>45278</v>
      </c>
      <c r="AO320" s="49">
        <v>13686</v>
      </c>
      <c r="AP320" s="72" t="s">
        <v>1012</v>
      </c>
      <c r="AQ320" s="48">
        <v>45292</v>
      </c>
      <c r="AR320" s="48">
        <v>45657</v>
      </c>
      <c r="AS320" s="31"/>
      <c r="AT320" s="32"/>
      <c r="AU320" s="50"/>
      <c r="AV320" s="36"/>
      <c r="AW320" s="78"/>
      <c r="AX320" s="78"/>
      <c r="AY320" s="33"/>
      <c r="AZ320" s="34"/>
      <c r="BA320" s="35"/>
      <c r="BB320" s="35"/>
      <c r="BC320" s="78"/>
      <c r="BD320" s="78"/>
      <c r="BE320" s="78"/>
      <c r="BF320" s="35"/>
      <c r="BG320" s="36"/>
      <c r="BH320" s="35"/>
      <c r="BI320" s="42"/>
      <c r="BJ320" s="37"/>
      <c r="BK320" s="37"/>
      <c r="BL320" s="37"/>
      <c r="BM320" s="37"/>
      <c r="BN320" s="39">
        <f t="shared" si="32"/>
        <v>0</v>
      </c>
      <c r="BO320" s="36"/>
      <c r="BP320" s="40"/>
      <c r="BQ320" s="40"/>
      <c r="BR320" s="40"/>
      <c r="BS320" s="40"/>
      <c r="BT320" s="40"/>
      <c r="BU320" s="40"/>
      <c r="BV320" s="40"/>
      <c r="BW320" s="40"/>
      <c r="BX320" s="40"/>
      <c r="BY320" s="40"/>
      <c r="BZ320" s="40"/>
      <c r="CA320" s="40"/>
      <c r="CB320" s="155"/>
      <c r="CC320" s="155"/>
      <c r="CD320" s="155"/>
      <c r="CE320" s="155"/>
      <c r="CF320" s="155"/>
      <c r="CG320" s="155"/>
    </row>
    <row r="321" spans="1:85" customFormat="1" ht="20.100000000000001" customHeight="1">
      <c r="A321" s="155"/>
      <c r="B321" s="155"/>
      <c r="C321" s="155"/>
      <c r="D321" s="274"/>
      <c r="E321" s="274"/>
      <c r="F321" s="274"/>
      <c r="G321" s="53"/>
      <c r="H321" s="155"/>
      <c r="I321" s="36"/>
      <c r="J321" s="36"/>
      <c r="K321" s="36"/>
      <c r="L321" s="36"/>
      <c r="M321" s="155"/>
      <c r="N321" s="155"/>
      <c r="O321" s="155"/>
      <c r="P321" s="155"/>
      <c r="Q321" s="121"/>
      <c r="R321" s="122"/>
      <c r="S321" s="122"/>
      <c r="T321" s="123"/>
      <c r="U321" s="101"/>
      <c r="V321" s="40"/>
      <c r="W321" s="36"/>
      <c r="X321" s="35"/>
      <c r="Y321" s="155"/>
      <c r="Z321" s="155"/>
      <c r="AA321" s="155"/>
      <c r="AB321" s="155"/>
      <c r="AC321" s="155"/>
      <c r="AD321" s="155"/>
      <c r="AE321" s="155"/>
      <c r="AF321" s="155"/>
      <c r="AG321" s="155"/>
      <c r="AH321" s="36"/>
      <c r="AI321" s="35"/>
      <c r="AJ321" s="35"/>
      <c r="AK321" s="155"/>
      <c r="AL321" s="36" t="s">
        <v>1010</v>
      </c>
      <c r="AM321" s="72" t="s">
        <v>1013</v>
      </c>
      <c r="AN321" s="48">
        <v>45644</v>
      </c>
      <c r="AO321" s="49">
        <v>13950</v>
      </c>
      <c r="AP321" s="72" t="s">
        <v>1012</v>
      </c>
      <c r="AQ321" s="48">
        <v>45658</v>
      </c>
      <c r="AR321" s="48">
        <v>46022</v>
      </c>
      <c r="AS321" s="31"/>
      <c r="AT321" s="32"/>
      <c r="AU321" s="50"/>
      <c r="AV321" s="36"/>
      <c r="AW321" s="78"/>
      <c r="AX321" s="78"/>
      <c r="AY321" s="33"/>
      <c r="AZ321" s="34"/>
      <c r="BA321" s="35"/>
      <c r="BB321" s="35"/>
      <c r="BC321" s="78"/>
      <c r="BD321" s="78"/>
      <c r="BE321" s="78"/>
      <c r="BF321" s="35"/>
      <c r="BG321" s="36"/>
      <c r="BH321" s="35"/>
      <c r="BI321" s="42"/>
      <c r="BJ321" s="37"/>
      <c r="BK321" s="37"/>
      <c r="BL321" s="37"/>
      <c r="BM321" s="37"/>
      <c r="BN321" s="39"/>
      <c r="BO321" s="36"/>
      <c r="BP321" s="40"/>
      <c r="BQ321" s="40"/>
      <c r="BR321" s="40"/>
      <c r="BS321" s="40"/>
      <c r="BT321" s="40"/>
      <c r="BU321" s="40"/>
      <c r="BV321" s="40"/>
      <c r="BW321" s="40"/>
      <c r="BX321" s="40"/>
      <c r="BY321" s="40"/>
      <c r="BZ321" s="40"/>
      <c r="CA321" s="40"/>
      <c r="CB321" s="155"/>
      <c r="CC321" s="155"/>
      <c r="CD321" s="155"/>
      <c r="CE321" s="155"/>
      <c r="CF321" s="155"/>
      <c r="CG321" s="155"/>
    </row>
    <row r="322" spans="1:85" customFormat="1" ht="20.100000000000001" customHeight="1">
      <c r="A322" s="162"/>
      <c r="B322" s="162"/>
      <c r="C322" s="162"/>
      <c r="D322" s="276"/>
      <c r="E322" s="276"/>
      <c r="F322" s="276"/>
      <c r="G322" s="47"/>
      <c r="H322" s="162"/>
      <c r="I322" s="36"/>
      <c r="J322" s="36"/>
      <c r="K322" s="36"/>
      <c r="L322" s="36"/>
      <c r="M322" s="162"/>
      <c r="N322" s="162"/>
      <c r="O322" s="162"/>
      <c r="P322" s="162"/>
      <c r="Q322" s="121"/>
      <c r="R322" s="122"/>
      <c r="S322" s="122"/>
      <c r="T322" s="123"/>
      <c r="U322" s="101"/>
      <c r="V322" s="40"/>
      <c r="W322" s="36"/>
      <c r="X322" s="35"/>
      <c r="Y322" s="162"/>
      <c r="Z322" s="162"/>
      <c r="AA322" s="162"/>
      <c r="AB322" s="162"/>
      <c r="AC322" s="162"/>
      <c r="AD322" s="162"/>
      <c r="AE322" s="162"/>
      <c r="AF322" s="162"/>
      <c r="AG322" s="162"/>
      <c r="AH322" s="36"/>
      <c r="AI322" s="35"/>
      <c r="AJ322" s="35"/>
      <c r="AK322" s="162"/>
      <c r="AL322" s="36" t="s">
        <v>1010</v>
      </c>
      <c r="AM322" s="72" t="s">
        <v>1014</v>
      </c>
      <c r="AN322" s="48">
        <v>45961</v>
      </c>
      <c r="AO322" s="49">
        <v>14181</v>
      </c>
      <c r="AP322" s="72" t="s">
        <v>1012</v>
      </c>
      <c r="AQ322" s="48">
        <v>46023</v>
      </c>
      <c r="AR322" s="48">
        <v>46387</v>
      </c>
      <c r="AS322" s="31"/>
      <c r="AT322" s="32"/>
      <c r="AU322" s="50"/>
      <c r="AV322" s="36"/>
      <c r="AW322" s="78"/>
      <c r="AX322" s="78"/>
      <c r="AY322" s="33"/>
      <c r="AZ322" s="34"/>
      <c r="BA322" s="35"/>
      <c r="BB322" s="35"/>
      <c r="BC322" s="78"/>
      <c r="BD322" s="78"/>
      <c r="BE322" s="78"/>
      <c r="BF322" s="35"/>
      <c r="BG322" s="36"/>
      <c r="BH322" s="35"/>
      <c r="BI322" s="42">
        <f>14666.48*12</f>
        <v>175997.76</v>
      </c>
      <c r="BJ322" s="37"/>
      <c r="BK322" s="37"/>
      <c r="BL322" s="37"/>
      <c r="BM322" s="37"/>
      <c r="BN322" s="39">
        <f t="shared" ref="BN322:BN339" si="34">BJ322+BL322</f>
        <v>0</v>
      </c>
      <c r="BO322" s="36"/>
      <c r="BP322" s="40"/>
      <c r="BQ322" s="40"/>
      <c r="BR322" s="40"/>
      <c r="BS322" s="40"/>
      <c r="BT322" s="40"/>
      <c r="BU322" s="40"/>
      <c r="BV322" s="40"/>
      <c r="BW322" s="40"/>
      <c r="BX322" s="40"/>
      <c r="BY322" s="40"/>
      <c r="BZ322" s="40"/>
      <c r="CA322" s="40"/>
      <c r="CB322" s="162"/>
      <c r="CC322" s="162"/>
      <c r="CD322" s="162"/>
      <c r="CE322" s="162"/>
      <c r="CF322" s="162"/>
      <c r="CG322" s="162"/>
    </row>
    <row r="323" spans="1:85" customFormat="1" ht="20.100000000000001" customHeight="1">
      <c r="A323" s="170">
        <v>92</v>
      </c>
      <c r="B323" s="154" t="s">
        <v>1015</v>
      </c>
      <c r="C323" s="154"/>
      <c r="D323" s="273" t="s">
        <v>724</v>
      </c>
      <c r="E323" s="273" t="s">
        <v>180</v>
      </c>
      <c r="F323" s="273" t="s">
        <v>1016</v>
      </c>
      <c r="G323" s="44"/>
      <c r="H323" s="157"/>
      <c r="I323" s="36"/>
      <c r="J323" s="36"/>
      <c r="K323" s="36"/>
      <c r="L323" s="36"/>
      <c r="M323" s="154" t="s">
        <v>725</v>
      </c>
      <c r="N323" s="154" t="s">
        <v>970</v>
      </c>
      <c r="O323" s="157">
        <v>10759</v>
      </c>
      <c r="P323" s="157">
        <v>10759</v>
      </c>
      <c r="Q323" s="101"/>
      <c r="R323" s="101"/>
      <c r="S323" s="101"/>
      <c r="T323" s="103"/>
      <c r="U323" s="101"/>
      <c r="V323" s="123"/>
      <c r="W323" s="36"/>
      <c r="X323" s="35"/>
      <c r="Y323" s="163" t="s">
        <v>1017</v>
      </c>
      <c r="Z323" s="154" t="s">
        <v>1018</v>
      </c>
      <c r="AA323" s="154" t="s">
        <v>1019</v>
      </c>
      <c r="AB323" s="161">
        <v>40990</v>
      </c>
      <c r="AC323" s="154">
        <v>10769</v>
      </c>
      <c r="AD323" s="161">
        <v>40988</v>
      </c>
      <c r="AE323" s="161">
        <v>41639</v>
      </c>
      <c r="AF323" s="163" t="s">
        <v>1020</v>
      </c>
      <c r="AG323" s="154" t="s">
        <v>185</v>
      </c>
      <c r="AH323" s="36"/>
      <c r="AI323" s="35"/>
      <c r="AJ323" s="35"/>
      <c r="AK323" s="172">
        <v>102903.13</v>
      </c>
      <c r="AL323" s="72"/>
      <c r="AM323" s="72"/>
      <c r="AN323" s="36"/>
      <c r="AO323" s="49"/>
      <c r="AP323" s="72"/>
      <c r="AQ323" s="36"/>
      <c r="AR323" s="36"/>
      <c r="AS323" s="31"/>
      <c r="AT323" s="32"/>
      <c r="AU323" s="50"/>
      <c r="AV323" s="138"/>
      <c r="AW323" s="78"/>
      <c r="AX323" s="78"/>
      <c r="AY323" s="33"/>
      <c r="AZ323" s="34"/>
      <c r="BA323" s="35"/>
      <c r="BB323" s="35"/>
      <c r="BC323" s="50"/>
      <c r="BD323" s="50"/>
      <c r="BE323" s="78"/>
      <c r="BF323" s="35"/>
      <c r="BG323" s="36"/>
      <c r="BH323" s="35"/>
      <c r="BI323" s="78">
        <f>AK323</f>
        <v>102903.13</v>
      </c>
      <c r="BJ323" s="136">
        <f>786015.29+13083.58+13083.58+13083.58+13083.58+13083.58+13083.58+26167.16+13083.58+13083.58+13083.58+13083.58+13083.58+13083.58+13083.58+13083.58+13083.58+13083.58+13083.58+13083.58+13083.58+157002.96+13083.58+26167.16+13083.58+13083.58+13083.58+13083.58+13083.58+13083.58+39250.74+183293.04+195413.64+195413.64+205010.64</f>
        <v>2153907.35</v>
      </c>
      <c r="BK323" s="136">
        <f>205010.64</f>
        <v>205010.64</v>
      </c>
      <c r="BL323" s="136">
        <f>34168.44+17084.22+17084.22</f>
        <v>68336.88</v>
      </c>
      <c r="BM323" s="136"/>
      <c r="BN323" s="39"/>
      <c r="BO323" s="36"/>
      <c r="BP323" s="40"/>
      <c r="BQ323" s="40"/>
      <c r="BR323" s="40"/>
      <c r="BS323" s="40"/>
      <c r="BT323" s="40"/>
      <c r="BU323" s="40"/>
      <c r="BV323" s="40"/>
      <c r="BW323" s="40"/>
      <c r="BX323" s="40"/>
      <c r="BY323" s="40"/>
      <c r="BZ323" s="40"/>
      <c r="CA323" s="40"/>
      <c r="CB323" s="154" t="s">
        <v>1021</v>
      </c>
      <c r="CC323" s="157">
        <v>13991</v>
      </c>
      <c r="CD323" s="154" t="s">
        <v>1022</v>
      </c>
      <c r="CE323" s="157">
        <v>716812</v>
      </c>
      <c r="CF323" s="154" t="s">
        <v>1023</v>
      </c>
      <c r="CG323" s="157">
        <v>703209</v>
      </c>
    </row>
    <row r="324" spans="1:85" customFormat="1" ht="20.100000000000001" customHeight="1">
      <c r="A324" s="155"/>
      <c r="B324" s="155"/>
      <c r="C324" s="155"/>
      <c r="D324" s="274"/>
      <c r="E324" s="274"/>
      <c r="F324" s="274"/>
      <c r="G324" s="53"/>
      <c r="H324" s="155"/>
      <c r="I324" s="36"/>
      <c r="J324" s="36"/>
      <c r="K324" s="36"/>
      <c r="L324" s="36"/>
      <c r="M324" s="155"/>
      <c r="N324" s="155"/>
      <c r="O324" s="155"/>
      <c r="P324" s="155"/>
      <c r="Q324" s="101"/>
      <c r="R324" s="101"/>
      <c r="S324" s="101"/>
      <c r="T324" s="103"/>
      <c r="U324" s="101"/>
      <c r="V324" s="123"/>
      <c r="W324" s="36"/>
      <c r="X324" s="35"/>
      <c r="Y324" s="155"/>
      <c r="Z324" s="155"/>
      <c r="AA324" s="155"/>
      <c r="AB324" s="155"/>
      <c r="AC324" s="155"/>
      <c r="AD324" s="155"/>
      <c r="AE324" s="155"/>
      <c r="AF324" s="155"/>
      <c r="AG324" s="155"/>
      <c r="AH324" s="36"/>
      <c r="AI324" s="35"/>
      <c r="AJ324" s="35"/>
      <c r="AK324" s="155"/>
      <c r="AL324" s="36" t="s">
        <v>978</v>
      </c>
      <c r="AM324" s="72" t="s">
        <v>190</v>
      </c>
      <c r="AN324" s="48">
        <v>41275</v>
      </c>
      <c r="AO324" s="49">
        <v>10951</v>
      </c>
      <c r="AP324" s="72" t="s">
        <v>982</v>
      </c>
      <c r="AQ324" s="48">
        <v>41275</v>
      </c>
      <c r="AR324" s="48">
        <v>41639</v>
      </c>
      <c r="AS324" s="31"/>
      <c r="AT324" s="32"/>
      <c r="AU324" s="50"/>
      <c r="AV324" s="36"/>
      <c r="AW324" s="78"/>
      <c r="AX324" s="78"/>
      <c r="AY324" s="33"/>
      <c r="AZ324" s="34"/>
      <c r="BA324" s="35"/>
      <c r="BB324" s="35"/>
      <c r="BC324" s="50"/>
      <c r="BD324" s="50"/>
      <c r="BE324" s="78"/>
      <c r="BF324" s="35"/>
      <c r="BG324" s="36"/>
      <c r="BH324" s="35"/>
      <c r="BI324" s="35"/>
      <c r="BJ324" s="76"/>
      <c r="BK324" s="76"/>
      <c r="BL324" s="76"/>
      <c r="BM324" s="76"/>
      <c r="BN324" s="39">
        <f t="shared" si="34"/>
        <v>0</v>
      </c>
      <c r="BO324" s="36"/>
      <c r="BP324" s="40"/>
      <c r="BQ324" s="40"/>
      <c r="BR324" s="40"/>
      <c r="BS324" s="40"/>
      <c r="BT324" s="40"/>
      <c r="BU324" s="40"/>
      <c r="BV324" s="40"/>
      <c r="BW324" s="40"/>
      <c r="BX324" s="40"/>
      <c r="BY324" s="40"/>
      <c r="BZ324" s="40"/>
      <c r="CA324" s="40"/>
      <c r="CB324" s="155"/>
      <c r="CC324" s="155"/>
      <c r="CD324" s="155"/>
      <c r="CE324" s="155"/>
      <c r="CF324" s="155"/>
      <c r="CG324" s="155"/>
    </row>
    <row r="325" spans="1:85" customFormat="1" ht="20.100000000000001" customHeight="1">
      <c r="A325" s="155"/>
      <c r="B325" s="155"/>
      <c r="C325" s="155"/>
      <c r="D325" s="274"/>
      <c r="E325" s="274"/>
      <c r="F325" s="274"/>
      <c r="G325" s="53"/>
      <c r="H325" s="155"/>
      <c r="I325" s="36"/>
      <c r="J325" s="36"/>
      <c r="K325" s="36"/>
      <c r="L325" s="36"/>
      <c r="M325" s="155"/>
      <c r="N325" s="155"/>
      <c r="O325" s="155"/>
      <c r="P325" s="155"/>
      <c r="Q325" s="101"/>
      <c r="R325" s="101"/>
      <c r="S325" s="101"/>
      <c r="T325" s="103"/>
      <c r="U325" s="101"/>
      <c r="V325" s="123"/>
      <c r="W325" s="36"/>
      <c r="X325" s="35"/>
      <c r="Y325" s="155"/>
      <c r="Z325" s="155"/>
      <c r="AA325" s="155"/>
      <c r="AB325" s="155"/>
      <c r="AC325" s="155"/>
      <c r="AD325" s="155"/>
      <c r="AE325" s="155"/>
      <c r="AF325" s="155"/>
      <c r="AG325" s="155"/>
      <c r="AH325" s="36"/>
      <c r="AI325" s="35"/>
      <c r="AJ325" s="35"/>
      <c r="AK325" s="155"/>
      <c r="AL325" s="72" t="s">
        <v>632</v>
      </c>
      <c r="AM325" s="72" t="s">
        <v>1024</v>
      </c>
      <c r="AN325" s="48">
        <v>41366</v>
      </c>
      <c r="AO325" s="49"/>
      <c r="AP325" s="72" t="s">
        <v>979</v>
      </c>
      <c r="AQ325" s="48">
        <v>41275</v>
      </c>
      <c r="AR325" s="48">
        <v>41639</v>
      </c>
      <c r="AS325" s="31"/>
      <c r="AT325" s="32"/>
      <c r="AU325" s="50"/>
      <c r="AV325" s="36"/>
      <c r="AW325" s="78"/>
      <c r="AX325" s="78"/>
      <c r="AY325" s="33"/>
      <c r="AZ325" s="34"/>
      <c r="BA325" s="35"/>
      <c r="BB325" s="35"/>
      <c r="BC325" s="50"/>
      <c r="BD325" s="50">
        <f>BE325/BI323</f>
        <v>8.3266466238684875E-2</v>
      </c>
      <c r="BE325" s="78">
        <f>(911.53*9)+364.61</f>
        <v>8568.380000000001</v>
      </c>
      <c r="BF325" s="35"/>
      <c r="BG325" s="36"/>
      <c r="BH325" s="35"/>
      <c r="BI325" s="78">
        <f>BI323+BE325</f>
        <v>111471.51000000001</v>
      </c>
      <c r="BJ325" s="76"/>
      <c r="BK325" s="76"/>
      <c r="BL325" s="76"/>
      <c r="BM325" s="76"/>
      <c r="BN325" s="39">
        <f t="shared" si="34"/>
        <v>0</v>
      </c>
      <c r="BO325" s="36"/>
      <c r="BP325" s="40"/>
      <c r="BQ325" s="40"/>
      <c r="BR325" s="40"/>
      <c r="BS325" s="40"/>
      <c r="BT325" s="40"/>
      <c r="BU325" s="40"/>
      <c r="BV325" s="40"/>
      <c r="BW325" s="40"/>
      <c r="BX325" s="40"/>
      <c r="BY325" s="40"/>
      <c r="BZ325" s="40"/>
      <c r="CA325" s="40"/>
      <c r="CB325" s="155"/>
      <c r="CC325" s="155"/>
      <c r="CD325" s="155"/>
      <c r="CE325" s="155"/>
      <c r="CF325" s="155"/>
      <c r="CG325" s="155"/>
    </row>
    <row r="326" spans="1:85" customFormat="1" ht="20.100000000000001" customHeight="1">
      <c r="A326" s="155"/>
      <c r="B326" s="155"/>
      <c r="C326" s="155"/>
      <c r="D326" s="274"/>
      <c r="E326" s="274"/>
      <c r="F326" s="274"/>
      <c r="G326" s="53"/>
      <c r="H326" s="155"/>
      <c r="I326" s="36"/>
      <c r="J326" s="36"/>
      <c r="K326" s="36"/>
      <c r="L326" s="36"/>
      <c r="M326" s="155"/>
      <c r="N326" s="155"/>
      <c r="O326" s="155"/>
      <c r="P326" s="155"/>
      <c r="Q326" s="101"/>
      <c r="R326" s="101"/>
      <c r="S326" s="101"/>
      <c r="T326" s="103"/>
      <c r="U326" s="101"/>
      <c r="V326" s="123"/>
      <c r="W326" s="36"/>
      <c r="X326" s="35"/>
      <c r="Y326" s="155"/>
      <c r="Z326" s="155"/>
      <c r="AA326" s="155"/>
      <c r="AB326" s="155"/>
      <c r="AC326" s="155"/>
      <c r="AD326" s="155"/>
      <c r="AE326" s="155"/>
      <c r="AF326" s="155"/>
      <c r="AG326" s="155"/>
      <c r="AH326" s="36"/>
      <c r="AI326" s="35"/>
      <c r="AJ326" s="35"/>
      <c r="AK326" s="155"/>
      <c r="AL326" s="36" t="s">
        <v>978</v>
      </c>
      <c r="AM326" s="72" t="s">
        <v>194</v>
      </c>
      <c r="AN326" s="48">
        <v>41631</v>
      </c>
      <c r="AO326" s="49">
        <v>11221</v>
      </c>
      <c r="AP326" s="72" t="s">
        <v>982</v>
      </c>
      <c r="AQ326" s="48">
        <v>41640</v>
      </c>
      <c r="AR326" s="48">
        <v>42004</v>
      </c>
      <c r="AS326" s="31"/>
      <c r="AT326" s="32"/>
      <c r="AU326" s="50"/>
      <c r="AV326" s="36"/>
      <c r="AW326" s="78"/>
      <c r="AX326" s="78"/>
      <c r="AY326" s="33"/>
      <c r="AZ326" s="34"/>
      <c r="BA326" s="35"/>
      <c r="BB326" s="35"/>
      <c r="BC326" s="50"/>
      <c r="BD326" s="50"/>
      <c r="BE326" s="78"/>
      <c r="BF326" s="35"/>
      <c r="BG326" s="36"/>
      <c r="BH326" s="35"/>
      <c r="BI326" s="35"/>
      <c r="BJ326" s="76"/>
      <c r="BK326" s="76"/>
      <c r="BL326" s="76"/>
      <c r="BM326" s="76"/>
      <c r="BN326" s="39">
        <f t="shared" si="34"/>
        <v>0</v>
      </c>
      <c r="BO326" s="36"/>
      <c r="BP326" s="40"/>
      <c r="BQ326" s="40"/>
      <c r="BR326" s="40"/>
      <c r="BS326" s="40"/>
      <c r="BT326" s="40"/>
      <c r="BU326" s="40"/>
      <c r="BV326" s="40"/>
      <c r="BW326" s="40"/>
      <c r="BX326" s="40"/>
      <c r="BY326" s="40"/>
      <c r="BZ326" s="40"/>
      <c r="CA326" s="40"/>
      <c r="CB326" s="155"/>
      <c r="CC326" s="155"/>
      <c r="CD326" s="155"/>
      <c r="CE326" s="155"/>
      <c r="CF326" s="155"/>
      <c r="CG326" s="155"/>
    </row>
    <row r="327" spans="1:85" customFormat="1" ht="27.95" customHeight="1">
      <c r="A327" s="155"/>
      <c r="B327" s="155"/>
      <c r="C327" s="155"/>
      <c r="D327" s="274"/>
      <c r="E327" s="274"/>
      <c r="F327" s="274"/>
      <c r="G327" s="53"/>
      <c r="H327" s="155"/>
      <c r="I327" s="36"/>
      <c r="J327" s="36"/>
      <c r="K327" s="36"/>
      <c r="L327" s="36"/>
      <c r="M327" s="155"/>
      <c r="N327" s="155"/>
      <c r="O327" s="155"/>
      <c r="P327" s="155"/>
      <c r="Q327" s="101"/>
      <c r="R327" s="101"/>
      <c r="S327" s="101"/>
      <c r="T327" s="103"/>
      <c r="U327" s="101"/>
      <c r="V327" s="123"/>
      <c r="W327" s="36"/>
      <c r="X327" s="35"/>
      <c r="Y327" s="155"/>
      <c r="Z327" s="155"/>
      <c r="AA327" s="155"/>
      <c r="AB327" s="155"/>
      <c r="AC327" s="155"/>
      <c r="AD327" s="155"/>
      <c r="AE327" s="155"/>
      <c r="AF327" s="155"/>
      <c r="AG327" s="155"/>
      <c r="AH327" s="36"/>
      <c r="AI327" s="35"/>
      <c r="AJ327" s="35"/>
      <c r="AK327" s="155"/>
      <c r="AL327" s="72" t="s">
        <v>993</v>
      </c>
      <c r="AM327" s="72" t="s">
        <v>190</v>
      </c>
      <c r="AN327" s="48">
        <v>41738</v>
      </c>
      <c r="AO327" s="49">
        <v>11288</v>
      </c>
      <c r="AP327" s="72" t="s">
        <v>979</v>
      </c>
      <c r="AQ327" s="48">
        <v>41640</v>
      </c>
      <c r="AR327" s="48">
        <v>42004</v>
      </c>
      <c r="AS327" s="31"/>
      <c r="AT327" s="32"/>
      <c r="AU327" s="50"/>
      <c r="AV327" s="36"/>
      <c r="AW327" s="78"/>
      <c r="AX327" s="78"/>
      <c r="AY327" s="33"/>
      <c r="AZ327" s="34"/>
      <c r="BA327" s="35"/>
      <c r="BB327" s="35"/>
      <c r="BC327" s="50"/>
      <c r="BD327" s="50">
        <f>BE327/BI325</f>
        <v>5.7728562212891882E-2</v>
      </c>
      <c r="BE327" s="78">
        <f>(687.02*9)+251.91</f>
        <v>6435.09</v>
      </c>
      <c r="BF327" s="35"/>
      <c r="BG327" s="36"/>
      <c r="BH327" s="35"/>
      <c r="BI327" s="78">
        <f>BI325+BE327</f>
        <v>117906.6</v>
      </c>
      <c r="BJ327" s="76"/>
      <c r="BK327" s="76"/>
      <c r="BL327" s="76"/>
      <c r="BM327" s="76"/>
      <c r="BN327" s="39">
        <f t="shared" si="34"/>
        <v>0</v>
      </c>
      <c r="BO327" s="36"/>
      <c r="BP327" s="40"/>
      <c r="BQ327" s="40"/>
      <c r="BR327" s="40"/>
      <c r="BS327" s="40"/>
      <c r="BT327" s="40"/>
      <c r="BU327" s="40"/>
      <c r="BV327" s="40"/>
      <c r="BW327" s="40"/>
      <c r="BX327" s="40"/>
      <c r="BY327" s="40"/>
      <c r="BZ327" s="40"/>
      <c r="CA327" s="40"/>
      <c r="CB327" s="155"/>
      <c r="CC327" s="155"/>
      <c r="CD327" s="155"/>
      <c r="CE327" s="155"/>
      <c r="CF327" s="155"/>
      <c r="CG327" s="155"/>
    </row>
    <row r="328" spans="1:85" customFormat="1" ht="20.100000000000001" customHeight="1">
      <c r="A328" s="155"/>
      <c r="B328" s="155"/>
      <c r="C328" s="155"/>
      <c r="D328" s="274"/>
      <c r="E328" s="274"/>
      <c r="F328" s="274"/>
      <c r="G328" s="53"/>
      <c r="H328" s="155"/>
      <c r="I328" s="36"/>
      <c r="J328" s="36"/>
      <c r="K328" s="36"/>
      <c r="L328" s="36"/>
      <c r="M328" s="155"/>
      <c r="N328" s="155"/>
      <c r="O328" s="155"/>
      <c r="P328" s="155"/>
      <c r="Q328" s="101"/>
      <c r="R328" s="101"/>
      <c r="S328" s="101"/>
      <c r="T328" s="103"/>
      <c r="U328" s="101"/>
      <c r="V328" s="123"/>
      <c r="W328" s="36"/>
      <c r="X328" s="35"/>
      <c r="Y328" s="155"/>
      <c r="Z328" s="155"/>
      <c r="AA328" s="155"/>
      <c r="AB328" s="155"/>
      <c r="AC328" s="155"/>
      <c r="AD328" s="155"/>
      <c r="AE328" s="155"/>
      <c r="AF328" s="155"/>
      <c r="AG328" s="155"/>
      <c r="AH328" s="36"/>
      <c r="AI328" s="35"/>
      <c r="AJ328" s="35"/>
      <c r="AK328" s="155"/>
      <c r="AL328" s="36" t="s">
        <v>978</v>
      </c>
      <c r="AM328" s="72" t="s">
        <v>202</v>
      </c>
      <c r="AN328" s="48">
        <v>42003</v>
      </c>
      <c r="AO328" s="49">
        <v>11646</v>
      </c>
      <c r="AP328" s="72" t="s">
        <v>982</v>
      </c>
      <c r="AQ328" s="48">
        <v>42005</v>
      </c>
      <c r="AR328" s="48">
        <v>42369</v>
      </c>
      <c r="AS328" s="31"/>
      <c r="AT328" s="32"/>
      <c r="AU328" s="50"/>
      <c r="AV328" s="36"/>
      <c r="AW328" s="78"/>
      <c r="AX328" s="78"/>
      <c r="AY328" s="33"/>
      <c r="AZ328" s="34"/>
      <c r="BA328" s="35"/>
      <c r="BB328" s="35"/>
      <c r="BC328" s="50"/>
      <c r="BD328" s="50"/>
      <c r="BE328" s="78"/>
      <c r="BF328" s="35"/>
      <c r="BG328" s="36"/>
      <c r="BH328" s="35"/>
      <c r="BI328" s="35"/>
      <c r="BJ328" s="76"/>
      <c r="BK328" s="76"/>
      <c r="BL328" s="76"/>
      <c r="BM328" s="76"/>
      <c r="BN328" s="39">
        <f t="shared" si="34"/>
        <v>0</v>
      </c>
      <c r="BO328" s="36"/>
      <c r="BP328" s="40"/>
      <c r="BQ328" s="40"/>
      <c r="BR328" s="40"/>
      <c r="BS328" s="40"/>
      <c r="BT328" s="40"/>
      <c r="BU328" s="40"/>
      <c r="BV328" s="40"/>
      <c r="BW328" s="40"/>
      <c r="BX328" s="40"/>
      <c r="BY328" s="40"/>
      <c r="BZ328" s="40"/>
      <c r="CA328" s="40"/>
      <c r="CB328" s="155"/>
      <c r="CC328" s="155"/>
      <c r="CD328" s="155"/>
      <c r="CE328" s="155"/>
      <c r="CF328" s="155"/>
      <c r="CG328" s="155"/>
    </row>
    <row r="329" spans="1:85" customFormat="1" ht="27.95" customHeight="1">
      <c r="A329" s="155"/>
      <c r="B329" s="155"/>
      <c r="C329" s="155"/>
      <c r="D329" s="274"/>
      <c r="E329" s="274"/>
      <c r="F329" s="274"/>
      <c r="G329" s="53"/>
      <c r="H329" s="155"/>
      <c r="I329" s="36"/>
      <c r="J329" s="36"/>
      <c r="K329" s="36"/>
      <c r="L329" s="36"/>
      <c r="M329" s="155"/>
      <c r="N329" s="155"/>
      <c r="O329" s="155"/>
      <c r="P329" s="155"/>
      <c r="Q329" s="101"/>
      <c r="R329" s="101"/>
      <c r="S329" s="101"/>
      <c r="T329" s="103"/>
      <c r="U329" s="101"/>
      <c r="V329" s="123"/>
      <c r="W329" s="36"/>
      <c r="X329" s="35"/>
      <c r="Y329" s="155"/>
      <c r="Z329" s="155"/>
      <c r="AA329" s="155"/>
      <c r="AB329" s="155"/>
      <c r="AC329" s="155"/>
      <c r="AD329" s="155"/>
      <c r="AE329" s="155"/>
      <c r="AF329" s="155"/>
      <c r="AG329" s="155"/>
      <c r="AH329" s="36"/>
      <c r="AI329" s="35"/>
      <c r="AJ329" s="35"/>
      <c r="AK329" s="155"/>
      <c r="AL329" s="72" t="s">
        <v>993</v>
      </c>
      <c r="AM329" s="72" t="s">
        <v>194</v>
      </c>
      <c r="AN329" s="48">
        <v>42285</v>
      </c>
      <c r="AO329" s="49">
        <v>11663</v>
      </c>
      <c r="AP329" s="72" t="s">
        <v>979</v>
      </c>
      <c r="AQ329" s="48">
        <v>42095</v>
      </c>
      <c r="AR329" s="48">
        <v>42369</v>
      </c>
      <c r="AS329" s="31"/>
      <c r="AT329" s="32"/>
      <c r="AU329" s="50"/>
      <c r="AV329" s="36"/>
      <c r="AW329" s="78"/>
      <c r="AX329" s="78"/>
      <c r="AY329" s="33"/>
      <c r="AZ329" s="34"/>
      <c r="BA329" s="35"/>
      <c r="BB329" s="35"/>
      <c r="BC329" s="50"/>
      <c r="BD329" s="50">
        <f>BE329/BI327</f>
        <v>3.8531430810488973E-2</v>
      </c>
      <c r="BE329" s="78">
        <v>4543.1099999999997</v>
      </c>
      <c r="BF329" s="35"/>
      <c r="BG329" s="36"/>
      <c r="BH329" s="35"/>
      <c r="BI329" s="78">
        <f>BI327+BE329</f>
        <v>122449.71</v>
      </c>
      <c r="BJ329" s="76"/>
      <c r="BK329" s="76"/>
      <c r="BL329" s="76"/>
      <c r="BM329" s="76"/>
      <c r="BN329" s="39">
        <f t="shared" si="34"/>
        <v>0</v>
      </c>
      <c r="BO329" s="36"/>
      <c r="BP329" s="40"/>
      <c r="BQ329" s="40"/>
      <c r="BR329" s="40"/>
      <c r="BS329" s="40"/>
      <c r="BT329" s="40"/>
      <c r="BU329" s="40"/>
      <c r="BV329" s="40"/>
      <c r="BW329" s="40"/>
      <c r="BX329" s="40"/>
      <c r="BY329" s="40"/>
      <c r="BZ329" s="40"/>
      <c r="CA329" s="40"/>
      <c r="CB329" s="155"/>
      <c r="CC329" s="155"/>
      <c r="CD329" s="155"/>
      <c r="CE329" s="155"/>
      <c r="CF329" s="155"/>
      <c r="CG329" s="155"/>
    </row>
    <row r="330" spans="1:85" customFormat="1" ht="20.100000000000001" customHeight="1">
      <c r="A330" s="155"/>
      <c r="B330" s="155"/>
      <c r="C330" s="155"/>
      <c r="D330" s="274"/>
      <c r="E330" s="274"/>
      <c r="F330" s="274"/>
      <c r="G330" s="53"/>
      <c r="H330" s="155"/>
      <c r="I330" s="36"/>
      <c r="J330" s="36"/>
      <c r="K330" s="36"/>
      <c r="L330" s="36"/>
      <c r="M330" s="155"/>
      <c r="N330" s="155"/>
      <c r="O330" s="155"/>
      <c r="P330" s="155"/>
      <c r="Q330" s="101"/>
      <c r="R330" s="101"/>
      <c r="S330" s="101"/>
      <c r="T330" s="103"/>
      <c r="U330" s="101"/>
      <c r="V330" s="123"/>
      <c r="W330" s="36"/>
      <c r="X330" s="35"/>
      <c r="Y330" s="155"/>
      <c r="Z330" s="155"/>
      <c r="AA330" s="155"/>
      <c r="AB330" s="155"/>
      <c r="AC330" s="155"/>
      <c r="AD330" s="155"/>
      <c r="AE330" s="155"/>
      <c r="AF330" s="155"/>
      <c r="AG330" s="155"/>
      <c r="AH330" s="36"/>
      <c r="AI330" s="35"/>
      <c r="AJ330" s="35"/>
      <c r="AK330" s="155"/>
      <c r="AL330" s="36" t="s">
        <v>978</v>
      </c>
      <c r="AM330" s="72" t="s">
        <v>205</v>
      </c>
      <c r="AN330" s="48">
        <v>42360</v>
      </c>
      <c r="AO330" s="49">
        <v>12115</v>
      </c>
      <c r="AP330" s="72" t="s">
        <v>982</v>
      </c>
      <c r="AQ330" s="48">
        <v>42370</v>
      </c>
      <c r="AR330" s="48">
        <v>42735</v>
      </c>
      <c r="AS330" s="31"/>
      <c r="AT330" s="32"/>
      <c r="AU330" s="50"/>
      <c r="AV330" s="36"/>
      <c r="AW330" s="78"/>
      <c r="AX330" s="78"/>
      <c r="AY330" s="33"/>
      <c r="AZ330" s="34"/>
      <c r="BA330" s="35"/>
      <c r="BB330" s="35"/>
      <c r="BC330" s="50"/>
      <c r="BD330" s="50"/>
      <c r="BE330" s="78"/>
      <c r="BF330" s="35"/>
      <c r="BG330" s="36"/>
      <c r="BH330" s="35"/>
      <c r="BI330" s="35">
        <f>13083.58*12</f>
        <v>157002.96</v>
      </c>
      <c r="BJ330" s="76"/>
      <c r="BK330" s="76"/>
      <c r="BL330" s="76"/>
      <c r="BM330" s="76"/>
      <c r="BN330" s="39">
        <f t="shared" si="34"/>
        <v>0</v>
      </c>
      <c r="BO330" s="36"/>
      <c r="BP330" s="40"/>
      <c r="BQ330" s="40"/>
      <c r="BR330" s="40"/>
      <c r="BS330" s="40"/>
      <c r="BT330" s="40"/>
      <c r="BU330" s="40"/>
      <c r="BV330" s="40"/>
      <c r="BW330" s="40"/>
      <c r="BX330" s="40"/>
      <c r="BY330" s="40"/>
      <c r="BZ330" s="40"/>
      <c r="CA330" s="40"/>
      <c r="CB330" s="155"/>
      <c r="CC330" s="155"/>
      <c r="CD330" s="155"/>
      <c r="CE330" s="155"/>
      <c r="CF330" s="155"/>
      <c r="CG330" s="155"/>
    </row>
    <row r="331" spans="1:85" customFormat="1" ht="20.100000000000001" customHeight="1">
      <c r="A331" s="155"/>
      <c r="B331" s="155"/>
      <c r="C331" s="155"/>
      <c r="D331" s="274"/>
      <c r="E331" s="274"/>
      <c r="F331" s="274"/>
      <c r="G331" s="53"/>
      <c r="H331" s="155"/>
      <c r="I331" s="36"/>
      <c r="J331" s="36"/>
      <c r="K331" s="36"/>
      <c r="L331" s="36"/>
      <c r="M331" s="155"/>
      <c r="N331" s="155"/>
      <c r="O331" s="155"/>
      <c r="P331" s="155"/>
      <c r="Q331" s="101"/>
      <c r="R331" s="101"/>
      <c r="S331" s="101"/>
      <c r="T331" s="103"/>
      <c r="U331" s="101"/>
      <c r="V331" s="123"/>
      <c r="W331" s="36"/>
      <c r="X331" s="35"/>
      <c r="Y331" s="155"/>
      <c r="Z331" s="155"/>
      <c r="AA331" s="155"/>
      <c r="AB331" s="155"/>
      <c r="AC331" s="155"/>
      <c r="AD331" s="155"/>
      <c r="AE331" s="155"/>
      <c r="AF331" s="155"/>
      <c r="AG331" s="155"/>
      <c r="AH331" s="36"/>
      <c r="AI331" s="35"/>
      <c r="AJ331" s="35"/>
      <c r="AK331" s="155"/>
      <c r="AL331" s="72" t="s">
        <v>189</v>
      </c>
      <c r="AM331" s="72" t="s">
        <v>653</v>
      </c>
      <c r="AN331" s="48">
        <v>42733</v>
      </c>
      <c r="AO331" s="49">
        <v>12075</v>
      </c>
      <c r="AP331" s="72" t="s">
        <v>982</v>
      </c>
      <c r="AQ331" s="48">
        <v>42736</v>
      </c>
      <c r="AR331" s="48">
        <v>43100</v>
      </c>
      <c r="AS331" s="31"/>
      <c r="AT331" s="32"/>
      <c r="AU331" s="50"/>
      <c r="AV331" s="36"/>
      <c r="AW331" s="78"/>
      <c r="AX331" s="78"/>
      <c r="AY331" s="33"/>
      <c r="AZ331" s="34"/>
      <c r="BA331" s="35"/>
      <c r="BB331" s="35"/>
      <c r="BC331" s="50"/>
      <c r="BD331" s="50"/>
      <c r="BE331" s="78"/>
      <c r="BF331" s="35"/>
      <c r="BG331" s="36"/>
      <c r="BH331" s="35"/>
      <c r="BI331" s="35"/>
      <c r="BJ331" s="76"/>
      <c r="BK331" s="76"/>
      <c r="BL331" s="76"/>
      <c r="BM331" s="76"/>
      <c r="BN331" s="39">
        <f t="shared" si="34"/>
        <v>0</v>
      </c>
      <c r="BO331" s="36"/>
      <c r="BP331" s="40"/>
      <c r="BQ331" s="40"/>
      <c r="BR331" s="40"/>
      <c r="BS331" s="40"/>
      <c r="BT331" s="40"/>
      <c r="BU331" s="40"/>
      <c r="BV331" s="40"/>
      <c r="BW331" s="40"/>
      <c r="BX331" s="40"/>
      <c r="BY331" s="40"/>
      <c r="BZ331" s="40"/>
      <c r="CA331" s="40"/>
      <c r="CB331" s="155"/>
      <c r="CC331" s="155"/>
      <c r="CD331" s="155"/>
      <c r="CE331" s="155"/>
      <c r="CF331" s="155"/>
      <c r="CG331" s="155"/>
    </row>
    <row r="332" spans="1:85" customFormat="1" ht="20.100000000000001" customHeight="1">
      <c r="A332" s="155"/>
      <c r="B332" s="155"/>
      <c r="C332" s="155"/>
      <c r="D332" s="274"/>
      <c r="E332" s="274"/>
      <c r="F332" s="274"/>
      <c r="G332" s="53"/>
      <c r="H332" s="155"/>
      <c r="I332" s="36"/>
      <c r="J332" s="36"/>
      <c r="K332" s="36"/>
      <c r="L332" s="36"/>
      <c r="M332" s="155"/>
      <c r="N332" s="155"/>
      <c r="O332" s="155"/>
      <c r="P332" s="155"/>
      <c r="Q332" s="101"/>
      <c r="R332" s="101"/>
      <c r="S332" s="101"/>
      <c r="T332" s="103"/>
      <c r="U332" s="101"/>
      <c r="V332" s="123"/>
      <c r="W332" s="36"/>
      <c r="X332" s="35"/>
      <c r="Y332" s="155"/>
      <c r="Z332" s="155"/>
      <c r="AA332" s="155"/>
      <c r="AB332" s="155"/>
      <c r="AC332" s="155"/>
      <c r="AD332" s="155"/>
      <c r="AE332" s="155"/>
      <c r="AF332" s="155"/>
      <c r="AG332" s="155"/>
      <c r="AH332" s="36"/>
      <c r="AI332" s="35"/>
      <c r="AJ332" s="35"/>
      <c r="AK332" s="155"/>
      <c r="AL332" s="72" t="s">
        <v>189</v>
      </c>
      <c r="AM332" s="72" t="s">
        <v>870</v>
      </c>
      <c r="AN332" s="48">
        <v>43096</v>
      </c>
      <c r="AO332" s="49">
        <v>12214</v>
      </c>
      <c r="AP332" s="72" t="s">
        <v>982</v>
      </c>
      <c r="AQ332" s="48">
        <v>43101</v>
      </c>
      <c r="AR332" s="48">
        <v>43465</v>
      </c>
      <c r="AS332" s="31"/>
      <c r="AT332" s="32"/>
      <c r="AU332" s="50"/>
      <c r="AV332" s="36"/>
      <c r="AW332" s="78"/>
      <c r="AX332" s="78"/>
      <c r="AY332" s="33"/>
      <c r="AZ332" s="34"/>
      <c r="BA332" s="35"/>
      <c r="BB332" s="35"/>
      <c r="BC332" s="50"/>
      <c r="BD332" s="50"/>
      <c r="BE332" s="78"/>
      <c r="BF332" s="35"/>
      <c r="BG332" s="36"/>
      <c r="BH332" s="35"/>
      <c r="BI332" s="35"/>
      <c r="BJ332" s="76"/>
      <c r="BK332" s="76"/>
      <c r="BL332" s="76"/>
      <c r="BM332" s="76"/>
      <c r="BN332" s="39">
        <f t="shared" si="34"/>
        <v>0</v>
      </c>
      <c r="BO332" s="36"/>
      <c r="BP332" s="40"/>
      <c r="BQ332" s="40"/>
      <c r="BR332" s="40"/>
      <c r="BS332" s="40"/>
      <c r="BT332" s="40"/>
      <c r="BU332" s="40"/>
      <c r="BV332" s="40"/>
      <c r="BW332" s="40"/>
      <c r="BX332" s="40"/>
      <c r="BY332" s="40"/>
      <c r="BZ332" s="40"/>
      <c r="CA332" s="40"/>
      <c r="CB332" s="155"/>
      <c r="CC332" s="155"/>
      <c r="CD332" s="155"/>
      <c r="CE332" s="155"/>
      <c r="CF332" s="155"/>
      <c r="CG332" s="155"/>
    </row>
    <row r="333" spans="1:85" customFormat="1" ht="20.100000000000001" customHeight="1">
      <c r="A333" s="155"/>
      <c r="B333" s="155"/>
      <c r="C333" s="155"/>
      <c r="D333" s="274"/>
      <c r="E333" s="274"/>
      <c r="F333" s="274"/>
      <c r="G333" s="53"/>
      <c r="H333" s="155"/>
      <c r="I333" s="36"/>
      <c r="J333" s="36"/>
      <c r="K333" s="36"/>
      <c r="L333" s="36"/>
      <c r="M333" s="155"/>
      <c r="N333" s="155"/>
      <c r="O333" s="155"/>
      <c r="P333" s="155"/>
      <c r="Q333" s="101"/>
      <c r="R333" s="101"/>
      <c r="S333" s="101"/>
      <c r="T333" s="103"/>
      <c r="U333" s="101"/>
      <c r="V333" s="123"/>
      <c r="W333" s="36"/>
      <c r="X333" s="35"/>
      <c r="Y333" s="155"/>
      <c r="Z333" s="155"/>
      <c r="AA333" s="155"/>
      <c r="AB333" s="155"/>
      <c r="AC333" s="155"/>
      <c r="AD333" s="155"/>
      <c r="AE333" s="155"/>
      <c r="AF333" s="155"/>
      <c r="AG333" s="155"/>
      <c r="AH333" s="36"/>
      <c r="AI333" s="35"/>
      <c r="AJ333" s="35"/>
      <c r="AK333" s="155"/>
      <c r="AL333" s="72" t="s">
        <v>189</v>
      </c>
      <c r="AM333" s="72" t="s">
        <v>871</v>
      </c>
      <c r="AN333" s="48">
        <v>43460</v>
      </c>
      <c r="AO333" s="49">
        <v>12460</v>
      </c>
      <c r="AP333" s="72" t="s">
        <v>982</v>
      </c>
      <c r="AQ333" s="48">
        <v>43466</v>
      </c>
      <c r="AR333" s="48">
        <v>43830</v>
      </c>
      <c r="AS333" s="31"/>
      <c r="AT333" s="32"/>
      <c r="AU333" s="50"/>
      <c r="AV333" s="36"/>
      <c r="AW333" s="78"/>
      <c r="AX333" s="78"/>
      <c r="AY333" s="33"/>
      <c r="AZ333" s="34"/>
      <c r="BA333" s="35"/>
      <c r="BB333" s="35"/>
      <c r="BC333" s="50"/>
      <c r="BD333" s="50"/>
      <c r="BE333" s="78"/>
      <c r="BF333" s="35"/>
      <c r="BG333" s="36"/>
      <c r="BH333" s="35"/>
      <c r="BI333" s="35"/>
      <c r="BJ333" s="76"/>
      <c r="BK333" s="76"/>
      <c r="BL333" s="76"/>
      <c r="BM333" s="76"/>
      <c r="BN333" s="39">
        <f t="shared" si="34"/>
        <v>0</v>
      </c>
      <c r="BO333" s="36"/>
      <c r="BP333" s="40"/>
      <c r="BQ333" s="40"/>
      <c r="BR333" s="40"/>
      <c r="BS333" s="40"/>
      <c r="BT333" s="40"/>
      <c r="BU333" s="40"/>
      <c r="BV333" s="40"/>
      <c r="BW333" s="40"/>
      <c r="BX333" s="40"/>
      <c r="BY333" s="40"/>
      <c r="BZ333" s="40"/>
      <c r="CA333" s="40"/>
      <c r="CB333" s="155"/>
      <c r="CC333" s="155"/>
      <c r="CD333" s="155"/>
      <c r="CE333" s="155"/>
      <c r="CF333" s="155"/>
      <c r="CG333" s="155"/>
    </row>
    <row r="334" spans="1:85" customFormat="1" ht="20.100000000000001" customHeight="1">
      <c r="A334" s="155"/>
      <c r="B334" s="155"/>
      <c r="C334" s="155"/>
      <c r="D334" s="274"/>
      <c r="E334" s="274"/>
      <c r="F334" s="274"/>
      <c r="G334" s="53"/>
      <c r="H334" s="155"/>
      <c r="I334" s="36"/>
      <c r="J334" s="36"/>
      <c r="K334" s="36"/>
      <c r="L334" s="36"/>
      <c r="M334" s="155"/>
      <c r="N334" s="155"/>
      <c r="O334" s="155"/>
      <c r="P334" s="155"/>
      <c r="Q334" s="101"/>
      <c r="R334" s="101"/>
      <c r="S334" s="101"/>
      <c r="T334" s="103"/>
      <c r="U334" s="101"/>
      <c r="V334" s="123"/>
      <c r="W334" s="36"/>
      <c r="X334" s="35"/>
      <c r="Y334" s="155"/>
      <c r="Z334" s="155"/>
      <c r="AA334" s="155"/>
      <c r="AB334" s="155"/>
      <c r="AC334" s="155"/>
      <c r="AD334" s="155"/>
      <c r="AE334" s="155"/>
      <c r="AF334" s="155"/>
      <c r="AG334" s="155"/>
      <c r="AH334" s="36"/>
      <c r="AI334" s="35"/>
      <c r="AJ334" s="35"/>
      <c r="AK334" s="155"/>
      <c r="AL334" s="72" t="s">
        <v>189</v>
      </c>
      <c r="AM334" s="72" t="s">
        <v>872</v>
      </c>
      <c r="AN334" s="48">
        <v>43817</v>
      </c>
      <c r="AO334" s="49">
        <v>12717</v>
      </c>
      <c r="AP334" s="72" t="s">
        <v>1004</v>
      </c>
      <c r="AQ334" s="48">
        <v>43831</v>
      </c>
      <c r="AR334" s="48">
        <v>44012</v>
      </c>
      <c r="AS334" s="31"/>
      <c r="AT334" s="32"/>
      <c r="AU334" s="50"/>
      <c r="AV334" s="36"/>
      <c r="AW334" s="78"/>
      <c r="AX334" s="78"/>
      <c r="AY334" s="33"/>
      <c r="AZ334" s="34"/>
      <c r="BA334" s="35"/>
      <c r="BB334" s="35"/>
      <c r="BC334" s="50"/>
      <c r="BD334" s="50"/>
      <c r="BE334" s="78"/>
      <c r="BF334" s="35"/>
      <c r="BG334" s="36"/>
      <c r="BH334" s="35"/>
      <c r="BI334" s="35"/>
      <c r="BJ334" s="76"/>
      <c r="BK334" s="76"/>
      <c r="BL334" s="76"/>
      <c r="BM334" s="76"/>
      <c r="BN334" s="39">
        <f t="shared" si="34"/>
        <v>0</v>
      </c>
      <c r="BO334" s="36"/>
      <c r="BP334" s="40"/>
      <c r="BQ334" s="40"/>
      <c r="BR334" s="40"/>
      <c r="BS334" s="40"/>
      <c r="BT334" s="40"/>
      <c r="BU334" s="40"/>
      <c r="BV334" s="40"/>
      <c r="BW334" s="40"/>
      <c r="BX334" s="40"/>
      <c r="BY334" s="40"/>
      <c r="BZ334" s="40"/>
      <c r="CA334" s="40"/>
      <c r="CB334" s="155"/>
      <c r="CC334" s="155"/>
      <c r="CD334" s="155"/>
      <c r="CE334" s="155"/>
      <c r="CF334" s="155"/>
      <c r="CG334" s="155"/>
    </row>
    <row r="335" spans="1:85" customFormat="1" ht="20.100000000000001" customHeight="1">
      <c r="A335" s="155"/>
      <c r="B335" s="155"/>
      <c r="C335" s="155"/>
      <c r="D335" s="274"/>
      <c r="E335" s="274"/>
      <c r="F335" s="274"/>
      <c r="G335" s="53"/>
      <c r="H335" s="155"/>
      <c r="I335" s="36"/>
      <c r="J335" s="36"/>
      <c r="K335" s="36"/>
      <c r="L335" s="36"/>
      <c r="M335" s="155"/>
      <c r="N335" s="155"/>
      <c r="O335" s="155"/>
      <c r="P335" s="155"/>
      <c r="Q335" s="101"/>
      <c r="R335" s="101"/>
      <c r="S335" s="101"/>
      <c r="T335" s="103"/>
      <c r="U335" s="101"/>
      <c r="V335" s="123"/>
      <c r="W335" s="36"/>
      <c r="X335" s="35"/>
      <c r="Y335" s="155"/>
      <c r="Z335" s="155"/>
      <c r="AA335" s="155"/>
      <c r="AB335" s="155"/>
      <c r="AC335" s="155"/>
      <c r="AD335" s="155"/>
      <c r="AE335" s="155"/>
      <c r="AF335" s="155"/>
      <c r="AG335" s="155"/>
      <c r="AH335" s="36"/>
      <c r="AI335" s="35"/>
      <c r="AJ335" s="35"/>
      <c r="AK335" s="155"/>
      <c r="AL335" s="72" t="s">
        <v>189</v>
      </c>
      <c r="AM335" s="72" t="s">
        <v>874</v>
      </c>
      <c r="AN335" s="48">
        <v>44012</v>
      </c>
      <c r="AO335" s="49">
        <v>12828</v>
      </c>
      <c r="AP335" s="72" t="s">
        <v>1004</v>
      </c>
      <c r="AQ335" s="48">
        <v>44012</v>
      </c>
      <c r="AR335" s="48">
        <v>44196</v>
      </c>
      <c r="AS335" s="31"/>
      <c r="AT335" s="32"/>
      <c r="AU335" s="50"/>
      <c r="AV335" s="36"/>
      <c r="AW335" s="78"/>
      <c r="AX335" s="78"/>
      <c r="AY335" s="33"/>
      <c r="AZ335" s="34"/>
      <c r="BA335" s="35"/>
      <c r="BB335" s="35"/>
      <c r="BC335" s="50"/>
      <c r="BD335" s="50"/>
      <c r="BE335" s="78"/>
      <c r="BF335" s="35"/>
      <c r="BG335" s="36"/>
      <c r="BH335" s="35"/>
      <c r="BI335" s="35"/>
      <c r="BJ335" s="76"/>
      <c r="BK335" s="76"/>
      <c r="BL335" s="76"/>
      <c r="BM335" s="76"/>
      <c r="BN335" s="39">
        <f t="shared" si="34"/>
        <v>0</v>
      </c>
      <c r="BO335" s="36"/>
      <c r="BP335" s="40"/>
      <c r="BQ335" s="40"/>
      <c r="BR335" s="40"/>
      <c r="BS335" s="40"/>
      <c r="BT335" s="40"/>
      <c r="BU335" s="40"/>
      <c r="BV335" s="40"/>
      <c r="BW335" s="40"/>
      <c r="BX335" s="40"/>
      <c r="BY335" s="40"/>
      <c r="BZ335" s="40"/>
      <c r="CA335" s="40"/>
      <c r="CB335" s="155"/>
      <c r="CC335" s="155"/>
      <c r="CD335" s="155"/>
      <c r="CE335" s="155"/>
      <c r="CF335" s="155"/>
      <c r="CG335" s="155"/>
    </row>
    <row r="336" spans="1:85" customFormat="1" ht="20.100000000000001" customHeight="1">
      <c r="A336" s="155"/>
      <c r="B336" s="155"/>
      <c r="C336" s="155"/>
      <c r="D336" s="274"/>
      <c r="E336" s="274"/>
      <c r="F336" s="274"/>
      <c r="G336" s="53"/>
      <c r="H336" s="155"/>
      <c r="I336" s="36"/>
      <c r="J336" s="36"/>
      <c r="K336" s="36"/>
      <c r="L336" s="36"/>
      <c r="M336" s="155"/>
      <c r="N336" s="155"/>
      <c r="O336" s="155"/>
      <c r="P336" s="155"/>
      <c r="Q336" s="101"/>
      <c r="R336" s="101"/>
      <c r="S336" s="101"/>
      <c r="T336" s="103"/>
      <c r="U336" s="101"/>
      <c r="V336" s="123"/>
      <c r="W336" s="36"/>
      <c r="X336" s="35"/>
      <c r="Y336" s="155"/>
      <c r="Z336" s="155"/>
      <c r="AA336" s="155"/>
      <c r="AB336" s="155"/>
      <c r="AC336" s="155"/>
      <c r="AD336" s="155"/>
      <c r="AE336" s="155"/>
      <c r="AF336" s="155"/>
      <c r="AG336" s="155"/>
      <c r="AH336" s="36"/>
      <c r="AI336" s="35"/>
      <c r="AJ336" s="35"/>
      <c r="AK336" s="155"/>
      <c r="AL336" s="72" t="s">
        <v>189</v>
      </c>
      <c r="AM336" s="72" t="s">
        <v>1025</v>
      </c>
      <c r="AN336" s="48">
        <v>44012</v>
      </c>
      <c r="AO336" s="49">
        <v>12953</v>
      </c>
      <c r="AP336" s="72" t="s">
        <v>982</v>
      </c>
      <c r="AQ336" s="48">
        <v>44197</v>
      </c>
      <c r="AR336" s="48">
        <v>44561</v>
      </c>
      <c r="AS336" s="31"/>
      <c r="AT336" s="32"/>
      <c r="AU336" s="50"/>
      <c r="AV336" s="36"/>
      <c r="AW336" s="78"/>
      <c r="AX336" s="78"/>
      <c r="AY336" s="33"/>
      <c r="AZ336" s="34"/>
      <c r="BA336" s="35"/>
      <c r="BB336" s="35"/>
      <c r="BC336" s="50"/>
      <c r="BD336" s="50"/>
      <c r="BE336" s="78"/>
      <c r="BF336" s="35"/>
      <c r="BG336" s="36"/>
      <c r="BH336" s="35"/>
      <c r="BI336" s="35"/>
      <c r="BJ336" s="76"/>
      <c r="BK336" s="76"/>
      <c r="BL336" s="76"/>
      <c r="BM336" s="76"/>
      <c r="BN336" s="39">
        <f t="shared" si="34"/>
        <v>0</v>
      </c>
      <c r="BO336" s="36"/>
      <c r="BP336" s="40"/>
      <c r="BQ336" s="40"/>
      <c r="BR336" s="40"/>
      <c r="BS336" s="40"/>
      <c r="BT336" s="40"/>
      <c r="BU336" s="40"/>
      <c r="BV336" s="40"/>
      <c r="BW336" s="40"/>
      <c r="BX336" s="40"/>
      <c r="BY336" s="40"/>
      <c r="BZ336" s="40"/>
      <c r="CA336" s="40"/>
      <c r="CB336" s="155"/>
      <c r="CC336" s="155"/>
      <c r="CD336" s="155"/>
      <c r="CE336" s="155"/>
      <c r="CF336" s="155"/>
      <c r="CG336" s="155"/>
    </row>
    <row r="337" spans="1:85" customFormat="1" ht="20.100000000000001" customHeight="1">
      <c r="A337" s="155"/>
      <c r="B337" s="155"/>
      <c r="C337" s="155"/>
      <c r="D337" s="274"/>
      <c r="E337" s="274"/>
      <c r="F337" s="274"/>
      <c r="G337" s="53"/>
      <c r="H337" s="155"/>
      <c r="I337" s="36"/>
      <c r="J337" s="36"/>
      <c r="K337" s="36"/>
      <c r="L337" s="36"/>
      <c r="M337" s="155"/>
      <c r="N337" s="155"/>
      <c r="O337" s="155"/>
      <c r="P337" s="155"/>
      <c r="Q337" s="101"/>
      <c r="R337" s="101"/>
      <c r="S337" s="101"/>
      <c r="T337" s="103"/>
      <c r="U337" s="101"/>
      <c r="V337" s="123"/>
      <c r="W337" s="36"/>
      <c r="X337" s="35"/>
      <c r="Y337" s="155"/>
      <c r="Z337" s="155"/>
      <c r="AA337" s="155"/>
      <c r="AB337" s="155"/>
      <c r="AC337" s="155"/>
      <c r="AD337" s="155"/>
      <c r="AE337" s="155"/>
      <c r="AF337" s="155"/>
      <c r="AG337" s="155"/>
      <c r="AH337" s="36"/>
      <c r="AI337" s="35"/>
      <c r="AJ337" s="35"/>
      <c r="AK337" s="155"/>
      <c r="AL337" s="72" t="s">
        <v>189</v>
      </c>
      <c r="AM337" s="72" t="s">
        <v>1026</v>
      </c>
      <c r="AN337" s="48">
        <v>44559</v>
      </c>
      <c r="AO337" s="49">
        <v>13206</v>
      </c>
      <c r="AP337" s="72" t="s">
        <v>869</v>
      </c>
      <c r="AQ337" s="72" t="s">
        <v>192</v>
      </c>
      <c r="AR337" s="72" t="s">
        <v>193</v>
      </c>
      <c r="AS337" s="31"/>
      <c r="AT337" s="32"/>
      <c r="AU337" s="50"/>
      <c r="AV337" s="50">
        <f>AW337/BI330</f>
        <v>0.16744958184227865</v>
      </c>
      <c r="AW337" s="78">
        <v>26290.080000000002</v>
      </c>
      <c r="AX337" s="78"/>
      <c r="AY337" s="33"/>
      <c r="AZ337" s="34"/>
      <c r="BA337" s="35"/>
      <c r="BB337" s="35"/>
      <c r="BC337" s="50"/>
      <c r="BD337" s="50"/>
      <c r="BE337" s="78"/>
      <c r="BF337" s="35"/>
      <c r="BG337" s="36"/>
      <c r="BH337" s="35"/>
      <c r="BI337" s="35">
        <f>BI330+AW337</f>
        <v>183293.03999999998</v>
      </c>
      <c r="BJ337" s="76"/>
      <c r="BK337" s="76"/>
      <c r="BL337" s="76"/>
      <c r="BM337" s="76"/>
      <c r="BN337" s="39">
        <f t="shared" si="34"/>
        <v>0</v>
      </c>
      <c r="BO337" s="36"/>
      <c r="BP337" s="40"/>
      <c r="BQ337" s="40"/>
      <c r="BR337" s="40"/>
      <c r="BS337" s="40"/>
      <c r="BT337" s="40"/>
      <c r="BU337" s="40"/>
      <c r="BV337" s="40"/>
      <c r="BW337" s="40"/>
      <c r="BX337" s="40"/>
      <c r="BY337" s="40"/>
      <c r="BZ337" s="40"/>
      <c r="CA337" s="40"/>
      <c r="CB337" s="155"/>
      <c r="CC337" s="155"/>
      <c r="CD337" s="155"/>
      <c r="CE337" s="155"/>
      <c r="CF337" s="155"/>
      <c r="CG337" s="155"/>
    </row>
    <row r="338" spans="1:85" customFormat="1" ht="20.100000000000001" customHeight="1">
      <c r="A338" s="155"/>
      <c r="B338" s="155"/>
      <c r="C338" s="155"/>
      <c r="D338" s="274"/>
      <c r="E338" s="274"/>
      <c r="F338" s="274"/>
      <c r="G338" s="53"/>
      <c r="H338" s="155"/>
      <c r="I338" s="36"/>
      <c r="J338" s="36"/>
      <c r="K338" s="36"/>
      <c r="L338" s="36"/>
      <c r="M338" s="155"/>
      <c r="N338" s="155"/>
      <c r="O338" s="155"/>
      <c r="P338" s="155"/>
      <c r="Q338" s="101"/>
      <c r="R338" s="101"/>
      <c r="S338" s="101"/>
      <c r="T338" s="103"/>
      <c r="U338" s="101"/>
      <c r="V338" s="123"/>
      <c r="W338" s="36"/>
      <c r="X338" s="35"/>
      <c r="Y338" s="155"/>
      <c r="Z338" s="155"/>
      <c r="AA338" s="155"/>
      <c r="AB338" s="155"/>
      <c r="AC338" s="155"/>
      <c r="AD338" s="155"/>
      <c r="AE338" s="155"/>
      <c r="AF338" s="155"/>
      <c r="AG338" s="155"/>
      <c r="AH338" s="36"/>
      <c r="AI338" s="35"/>
      <c r="AJ338" s="35"/>
      <c r="AK338" s="155"/>
      <c r="AL338" s="72" t="s">
        <v>189</v>
      </c>
      <c r="AM338" s="72" t="s">
        <v>1027</v>
      </c>
      <c r="AN338" s="48">
        <v>44921</v>
      </c>
      <c r="AO338" s="49">
        <v>13455</v>
      </c>
      <c r="AP338" s="72" t="s">
        <v>869</v>
      </c>
      <c r="AQ338" s="72" t="s">
        <v>196</v>
      </c>
      <c r="AR338" s="72" t="s">
        <v>197</v>
      </c>
      <c r="AS338" s="31"/>
      <c r="AT338" s="32"/>
      <c r="AU338" s="50"/>
      <c r="AV338" s="50">
        <f>AW338/BI337</f>
        <v>6.6126897126044734E-2</v>
      </c>
      <c r="AW338" s="78">
        <v>12120.6</v>
      </c>
      <c r="AX338" s="78"/>
      <c r="AY338" s="33"/>
      <c r="AZ338" s="34"/>
      <c r="BA338" s="35"/>
      <c r="BB338" s="35"/>
      <c r="BC338" s="50"/>
      <c r="BD338" s="50"/>
      <c r="BE338" s="78"/>
      <c r="BF338" s="35"/>
      <c r="BG338" s="36"/>
      <c r="BH338" s="35"/>
      <c r="BI338" s="35">
        <f>BI337+AW338</f>
        <v>195413.63999999998</v>
      </c>
      <c r="BJ338" s="76"/>
      <c r="BK338" s="76"/>
      <c r="BL338" s="76"/>
      <c r="BM338" s="76"/>
      <c r="BN338" s="39">
        <f t="shared" si="34"/>
        <v>0</v>
      </c>
      <c r="BO338" s="36"/>
      <c r="BP338" s="40"/>
      <c r="BQ338" s="40"/>
      <c r="BR338" s="40"/>
      <c r="BS338" s="40"/>
      <c r="BT338" s="40"/>
      <c r="BU338" s="40"/>
      <c r="BV338" s="40"/>
      <c r="BW338" s="40"/>
      <c r="BX338" s="40"/>
      <c r="BY338" s="40"/>
      <c r="BZ338" s="40"/>
      <c r="CA338" s="40"/>
      <c r="CB338" s="155"/>
      <c r="CC338" s="155"/>
      <c r="CD338" s="155"/>
      <c r="CE338" s="155"/>
      <c r="CF338" s="155"/>
      <c r="CG338" s="155"/>
    </row>
    <row r="339" spans="1:85" customFormat="1" ht="20.100000000000001" customHeight="1">
      <c r="A339" s="155"/>
      <c r="B339" s="155"/>
      <c r="C339" s="155"/>
      <c r="D339" s="274"/>
      <c r="E339" s="274"/>
      <c r="F339" s="274"/>
      <c r="G339" s="53"/>
      <c r="H339" s="155"/>
      <c r="I339" s="36"/>
      <c r="J339" s="36"/>
      <c r="K339" s="36"/>
      <c r="L339" s="36"/>
      <c r="M339" s="155"/>
      <c r="N339" s="155"/>
      <c r="O339" s="155"/>
      <c r="P339" s="155"/>
      <c r="Q339" s="101"/>
      <c r="R339" s="101"/>
      <c r="S339" s="101"/>
      <c r="T339" s="103"/>
      <c r="U339" s="101"/>
      <c r="V339" s="123"/>
      <c r="W339" s="36"/>
      <c r="X339" s="35"/>
      <c r="Y339" s="155"/>
      <c r="Z339" s="155"/>
      <c r="AA339" s="155"/>
      <c r="AB339" s="155"/>
      <c r="AC339" s="155"/>
      <c r="AD339" s="155"/>
      <c r="AE339" s="155"/>
      <c r="AF339" s="155"/>
      <c r="AG339" s="155"/>
      <c r="AH339" s="36"/>
      <c r="AI339" s="35"/>
      <c r="AJ339" s="35"/>
      <c r="AK339" s="155"/>
      <c r="AL339" s="72" t="s">
        <v>1010</v>
      </c>
      <c r="AM339" s="72" t="s">
        <v>998</v>
      </c>
      <c r="AN339" s="48">
        <v>45281</v>
      </c>
      <c r="AO339" s="49">
        <v>13691</v>
      </c>
      <c r="AP339" s="72" t="s">
        <v>621</v>
      </c>
      <c r="AQ339" s="72" t="s">
        <v>1028</v>
      </c>
      <c r="AR339" s="72" t="s">
        <v>204</v>
      </c>
      <c r="AS339" s="31"/>
      <c r="AT339" s="32"/>
      <c r="AU339" s="50"/>
      <c r="AV339" s="50"/>
      <c r="AW339" s="78"/>
      <c r="AX339" s="78"/>
      <c r="AY339" s="33"/>
      <c r="AZ339" s="34"/>
      <c r="BA339" s="35"/>
      <c r="BB339" s="35"/>
      <c r="BC339" s="50"/>
      <c r="BD339" s="50"/>
      <c r="BE339" s="78"/>
      <c r="BF339" s="35"/>
      <c r="BG339" s="36"/>
      <c r="BH339" s="35"/>
      <c r="BI339" s="35"/>
      <c r="BJ339" s="76"/>
      <c r="BK339" s="76"/>
      <c r="BL339" s="76"/>
      <c r="BM339" s="76"/>
      <c r="BN339" s="39">
        <f t="shared" si="34"/>
        <v>0</v>
      </c>
      <c r="BO339" s="36"/>
      <c r="BP339" s="40"/>
      <c r="BQ339" s="40"/>
      <c r="BR339" s="40"/>
      <c r="BS339" s="40"/>
      <c r="BT339" s="40"/>
      <c r="BU339" s="40"/>
      <c r="BV339" s="40"/>
      <c r="BW339" s="40"/>
      <c r="BX339" s="40"/>
      <c r="BY339" s="40"/>
      <c r="BZ339" s="40"/>
      <c r="CA339" s="40"/>
      <c r="CB339" s="155"/>
      <c r="CC339" s="155"/>
      <c r="CD339" s="155"/>
      <c r="CE339" s="155"/>
      <c r="CF339" s="155"/>
      <c r="CG339" s="155"/>
    </row>
    <row r="340" spans="1:85" customFormat="1" ht="20.100000000000001" customHeight="1">
      <c r="A340" s="155"/>
      <c r="B340" s="155"/>
      <c r="C340" s="155"/>
      <c r="D340" s="274"/>
      <c r="E340" s="274"/>
      <c r="F340" s="274"/>
      <c r="G340" s="53"/>
      <c r="H340" s="155"/>
      <c r="I340" s="36"/>
      <c r="J340" s="36"/>
      <c r="K340" s="36"/>
      <c r="L340" s="36"/>
      <c r="M340" s="155"/>
      <c r="N340" s="155"/>
      <c r="O340" s="155"/>
      <c r="P340" s="155"/>
      <c r="Q340" s="101"/>
      <c r="R340" s="101"/>
      <c r="S340" s="101"/>
      <c r="T340" s="103"/>
      <c r="U340" s="101"/>
      <c r="V340" s="123"/>
      <c r="W340" s="36"/>
      <c r="X340" s="35"/>
      <c r="Y340" s="155"/>
      <c r="Z340" s="155"/>
      <c r="AA340" s="155"/>
      <c r="AB340" s="155"/>
      <c r="AC340" s="155"/>
      <c r="AD340" s="155"/>
      <c r="AE340" s="155"/>
      <c r="AF340" s="155"/>
      <c r="AG340" s="155"/>
      <c r="AH340" s="36"/>
      <c r="AI340" s="35"/>
      <c r="AJ340" s="35"/>
      <c r="AK340" s="155"/>
      <c r="AL340" s="72" t="s">
        <v>1010</v>
      </c>
      <c r="AM340" s="72" t="s">
        <v>999</v>
      </c>
      <c r="AN340" s="48">
        <v>45653</v>
      </c>
      <c r="AO340" s="49">
        <v>13952</v>
      </c>
      <c r="AP340" s="72" t="s">
        <v>621</v>
      </c>
      <c r="AQ340" s="72" t="s">
        <v>206</v>
      </c>
      <c r="AR340" s="72" t="s">
        <v>207</v>
      </c>
      <c r="AS340" s="31"/>
      <c r="AT340" s="32"/>
      <c r="AU340" s="50"/>
      <c r="AV340" s="50"/>
      <c r="AW340" s="78"/>
      <c r="AX340" s="78"/>
      <c r="AY340" s="33"/>
      <c r="AZ340" s="34"/>
      <c r="BA340" s="35"/>
      <c r="BB340" s="35"/>
      <c r="BC340" s="50"/>
      <c r="BD340" s="50"/>
      <c r="BE340" s="78"/>
      <c r="BF340" s="35"/>
      <c r="BG340" s="36"/>
      <c r="BH340" s="35"/>
      <c r="BI340" s="35"/>
      <c r="BJ340" s="76"/>
      <c r="BK340" s="76"/>
      <c r="BL340" s="76"/>
      <c r="BM340" s="76"/>
      <c r="BN340" s="39"/>
      <c r="BO340" s="36"/>
      <c r="BP340" s="40"/>
      <c r="BQ340" s="40"/>
      <c r="BR340" s="40"/>
      <c r="BS340" s="40"/>
      <c r="BT340" s="40"/>
      <c r="BU340" s="40"/>
      <c r="BV340" s="40"/>
      <c r="BW340" s="40"/>
      <c r="BX340" s="40"/>
      <c r="BY340" s="40"/>
      <c r="BZ340" s="40"/>
      <c r="CA340" s="40"/>
      <c r="CB340" s="155"/>
      <c r="CC340" s="155"/>
      <c r="CD340" s="155"/>
      <c r="CE340" s="155"/>
      <c r="CF340" s="155"/>
      <c r="CG340" s="155"/>
    </row>
    <row r="341" spans="1:85" customFormat="1" ht="20.100000000000001" customHeight="1">
      <c r="A341" s="162"/>
      <c r="B341" s="162"/>
      <c r="C341" s="162"/>
      <c r="D341" s="276"/>
      <c r="E341" s="276"/>
      <c r="F341" s="276"/>
      <c r="G341" s="47"/>
      <c r="H341" s="162"/>
      <c r="I341" s="36"/>
      <c r="J341" s="36"/>
      <c r="K341" s="36"/>
      <c r="L341" s="36"/>
      <c r="M341" s="162"/>
      <c r="N341" s="162"/>
      <c r="O341" s="162"/>
      <c r="P341" s="162"/>
      <c r="Q341" s="101"/>
      <c r="R341" s="101"/>
      <c r="S341" s="101"/>
      <c r="T341" s="103"/>
      <c r="U341" s="101"/>
      <c r="V341" s="123"/>
      <c r="W341" s="36"/>
      <c r="X341" s="35"/>
      <c r="Y341" s="162"/>
      <c r="Z341" s="162"/>
      <c r="AA341" s="162"/>
      <c r="AB341" s="162"/>
      <c r="AC341" s="162"/>
      <c r="AD341" s="162"/>
      <c r="AE341" s="162"/>
      <c r="AF341" s="162"/>
      <c r="AG341" s="162"/>
      <c r="AH341" s="36"/>
      <c r="AI341" s="35"/>
      <c r="AJ341" s="35"/>
      <c r="AK341" s="162"/>
      <c r="AL341" s="72" t="s">
        <v>1010</v>
      </c>
      <c r="AM341" s="72" t="s">
        <v>1001</v>
      </c>
      <c r="AN341" s="48">
        <v>46008</v>
      </c>
      <c r="AO341" s="49">
        <v>13952</v>
      </c>
      <c r="AP341" s="72" t="s">
        <v>621</v>
      </c>
      <c r="AQ341" s="72" t="s">
        <v>210</v>
      </c>
      <c r="AR341" s="72" t="s">
        <v>215</v>
      </c>
      <c r="AS341" s="31"/>
      <c r="AT341" s="32"/>
      <c r="AU341" s="50"/>
      <c r="AV341" s="50"/>
      <c r="AW341" s="78"/>
      <c r="AX341" s="78"/>
      <c r="AY341" s="33"/>
      <c r="AZ341" s="34"/>
      <c r="BA341" s="35"/>
      <c r="BB341" s="35"/>
      <c r="BC341" s="50"/>
      <c r="BD341" s="50">
        <f>BE341/BI338</f>
        <v>4.9111208408993509E-2</v>
      </c>
      <c r="BE341" s="78">
        <f>BI341-BI338</f>
        <v>9597.0000000000291</v>
      </c>
      <c r="BF341" s="35"/>
      <c r="BG341" s="36"/>
      <c r="BH341" s="35"/>
      <c r="BI341" s="42">
        <f>17084.22*12</f>
        <v>205010.64</v>
      </c>
      <c r="BJ341" s="76"/>
      <c r="BK341" s="76"/>
      <c r="BL341" s="76"/>
      <c r="BM341" s="76"/>
      <c r="BN341" s="39">
        <f t="shared" ref="BN341:BN356" si="35">BJ341+BL341</f>
        <v>0</v>
      </c>
      <c r="BO341" s="36"/>
      <c r="BP341" s="40"/>
      <c r="BQ341" s="40"/>
      <c r="BR341" s="40"/>
      <c r="BS341" s="40"/>
      <c r="BT341" s="40"/>
      <c r="BU341" s="40"/>
      <c r="BV341" s="40"/>
      <c r="BW341" s="40"/>
      <c r="BX341" s="40"/>
      <c r="BY341" s="40"/>
      <c r="BZ341" s="40"/>
      <c r="CA341" s="40"/>
      <c r="CB341" s="162"/>
      <c r="CC341" s="162"/>
      <c r="CD341" s="162"/>
      <c r="CE341" s="162"/>
      <c r="CF341" s="162"/>
      <c r="CG341" s="162"/>
    </row>
    <row r="342" spans="1:85" customFormat="1" ht="20.100000000000001" customHeight="1">
      <c r="A342" s="170">
        <v>93</v>
      </c>
      <c r="B342" s="154" t="s">
        <v>1029</v>
      </c>
      <c r="C342" s="170"/>
      <c r="D342" s="273" t="s">
        <v>724</v>
      </c>
      <c r="E342" s="273" t="s">
        <v>180</v>
      </c>
      <c r="F342" s="273" t="s">
        <v>1030</v>
      </c>
      <c r="G342" s="154"/>
      <c r="H342" s="157"/>
      <c r="I342" s="36"/>
      <c r="J342" s="36"/>
      <c r="K342" s="36"/>
      <c r="L342" s="36"/>
      <c r="M342" s="154" t="s">
        <v>725</v>
      </c>
      <c r="N342" s="154" t="s">
        <v>970</v>
      </c>
      <c r="O342" s="157">
        <v>11137</v>
      </c>
      <c r="P342" s="157">
        <v>11137</v>
      </c>
      <c r="Q342" s="101"/>
      <c r="R342" s="101"/>
      <c r="S342" s="101"/>
      <c r="T342" s="139"/>
      <c r="U342" s="101"/>
      <c r="V342" s="101"/>
      <c r="W342" s="36"/>
      <c r="X342" s="35"/>
      <c r="Y342" s="163" t="s">
        <v>1031</v>
      </c>
      <c r="Z342" s="154" t="s">
        <v>1032</v>
      </c>
      <c r="AA342" s="154" t="s">
        <v>1033</v>
      </c>
      <c r="AB342" s="161">
        <v>41530</v>
      </c>
      <c r="AC342" s="163" t="s">
        <v>1034</v>
      </c>
      <c r="AD342" s="161">
        <v>41530</v>
      </c>
      <c r="AE342" s="161">
        <v>41639</v>
      </c>
      <c r="AF342" s="163" t="s">
        <v>453</v>
      </c>
      <c r="AG342" s="154" t="s">
        <v>946</v>
      </c>
      <c r="AH342" s="36"/>
      <c r="AI342" s="35"/>
      <c r="AJ342" s="35"/>
      <c r="AK342" s="172">
        <v>19800</v>
      </c>
      <c r="AL342" s="72"/>
      <c r="AM342" s="72"/>
      <c r="AN342" s="49"/>
      <c r="AO342" s="72"/>
      <c r="AP342" s="36"/>
      <c r="AQ342" s="36"/>
      <c r="AR342" s="48"/>
      <c r="AS342" s="31"/>
      <c r="AT342" s="32"/>
      <c r="AU342" s="50"/>
      <c r="AV342" s="36"/>
      <c r="AW342" s="78"/>
      <c r="AX342" s="78"/>
      <c r="AY342" s="33"/>
      <c r="AZ342" s="34"/>
      <c r="BA342" s="35"/>
      <c r="BB342" s="35"/>
      <c r="BC342" s="48"/>
      <c r="BD342" s="78"/>
      <c r="BE342" s="78"/>
      <c r="BF342" s="35"/>
      <c r="BG342" s="36"/>
      <c r="BH342" s="35"/>
      <c r="BI342" s="35"/>
      <c r="BJ342" s="136">
        <f>200088.8+15821.25+15821.25+5273.75+5273.75+21095+5273.75+5273.75+10547.52+5273.76+10547.52+5273.76+5273.69+63285+5273.75+5273.75+5273.75+5273.75+5273.75+5273.75+5273.75+5273.75+5273.75+5273.75+5273.75+5273.75+63285+63285+63285+67157.04</f>
        <v>694419.59000000008</v>
      </c>
      <c r="BK342" s="136">
        <f>67157.04</f>
        <v>67157.039999999994</v>
      </c>
      <c r="BL342" s="136">
        <f>11467.26+5733.63+5733.63+5733.63</f>
        <v>28668.15</v>
      </c>
      <c r="BM342" s="136"/>
      <c r="BN342" s="39">
        <f t="shared" si="35"/>
        <v>723087.74000000011</v>
      </c>
      <c r="BO342" s="36"/>
      <c r="BP342" s="49"/>
      <c r="BQ342" s="48"/>
      <c r="BR342" s="49"/>
      <c r="BS342" s="48"/>
      <c r="BT342" s="36"/>
      <c r="BU342" s="40"/>
      <c r="BV342" s="40"/>
      <c r="BW342" s="40"/>
      <c r="BX342" s="40"/>
      <c r="BY342" s="40"/>
      <c r="BZ342" s="40"/>
      <c r="CA342" s="40"/>
      <c r="CB342" s="154" t="s">
        <v>1035</v>
      </c>
      <c r="CC342" s="157">
        <v>13991</v>
      </c>
      <c r="CD342" s="154" t="s">
        <v>1022</v>
      </c>
      <c r="CE342" s="157">
        <v>716812</v>
      </c>
      <c r="CF342" s="154" t="s">
        <v>1023</v>
      </c>
      <c r="CG342" s="157">
        <v>703209</v>
      </c>
    </row>
    <row r="343" spans="1:85" customFormat="1" ht="20.100000000000001" customHeight="1">
      <c r="A343" s="155"/>
      <c r="B343" s="155"/>
      <c r="C343" s="155"/>
      <c r="D343" s="274"/>
      <c r="E343" s="274"/>
      <c r="F343" s="274"/>
      <c r="G343" s="155"/>
      <c r="H343" s="155"/>
      <c r="I343" s="36"/>
      <c r="J343" s="36"/>
      <c r="K343" s="36"/>
      <c r="L343" s="36"/>
      <c r="M343" s="155"/>
      <c r="N343" s="155"/>
      <c r="O343" s="155"/>
      <c r="P343" s="155"/>
      <c r="Q343" s="101"/>
      <c r="R343" s="101"/>
      <c r="S343" s="101"/>
      <c r="T343" s="139"/>
      <c r="U343" s="101"/>
      <c r="V343" s="101"/>
      <c r="W343" s="36"/>
      <c r="X343" s="35"/>
      <c r="Y343" s="155"/>
      <c r="Z343" s="155"/>
      <c r="AA343" s="155"/>
      <c r="AB343" s="155"/>
      <c r="AC343" s="155"/>
      <c r="AD343" s="155"/>
      <c r="AE343" s="155"/>
      <c r="AF343" s="155"/>
      <c r="AG343" s="155"/>
      <c r="AH343" s="36"/>
      <c r="AI343" s="35"/>
      <c r="AJ343" s="35"/>
      <c r="AK343" s="155"/>
      <c r="AL343" s="36" t="s">
        <v>978</v>
      </c>
      <c r="AM343" s="72" t="s">
        <v>190</v>
      </c>
      <c r="AN343" s="48">
        <v>41631</v>
      </c>
      <c r="AO343" s="49">
        <v>11221</v>
      </c>
      <c r="AP343" s="72" t="s">
        <v>982</v>
      </c>
      <c r="AQ343" s="48">
        <v>41640</v>
      </c>
      <c r="AR343" s="48">
        <v>42004</v>
      </c>
      <c r="AS343" s="31"/>
      <c r="AT343" s="32"/>
      <c r="AU343" s="50"/>
      <c r="AV343" s="36"/>
      <c r="AW343" s="78"/>
      <c r="AX343" s="78"/>
      <c r="AY343" s="33"/>
      <c r="AZ343" s="34"/>
      <c r="BA343" s="35"/>
      <c r="BB343" s="35"/>
      <c r="BC343" s="37"/>
      <c r="BD343" s="78"/>
      <c r="BE343" s="78"/>
      <c r="BF343" s="35"/>
      <c r="BG343" s="36"/>
      <c r="BH343" s="35"/>
      <c r="BI343" s="35">
        <f>5500*12</f>
        <v>66000</v>
      </c>
      <c r="BJ343" s="80"/>
      <c r="BK343" s="80"/>
      <c r="BL343" s="80"/>
      <c r="BM343" s="80"/>
      <c r="BN343" s="39">
        <f t="shared" si="35"/>
        <v>0</v>
      </c>
      <c r="BO343" s="36"/>
      <c r="BP343" s="49"/>
      <c r="BQ343" s="48"/>
      <c r="BR343" s="49"/>
      <c r="BS343" s="48"/>
      <c r="BT343" s="36"/>
      <c r="BU343" s="40"/>
      <c r="BV343" s="40"/>
      <c r="BW343" s="40"/>
      <c r="BX343" s="40"/>
      <c r="BY343" s="40"/>
      <c r="BZ343" s="40"/>
      <c r="CA343" s="40"/>
      <c r="CB343" s="155"/>
      <c r="CC343" s="155"/>
      <c r="CD343" s="155"/>
      <c r="CE343" s="155"/>
      <c r="CF343" s="155"/>
      <c r="CG343" s="155"/>
    </row>
    <row r="344" spans="1:85" customFormat="1" ht="27.95" customHeight="1">
      <c r="A344" s="155"/>
      <c r="B344" s="155"/>
      <c r="C344" s="155"/>
      <c r="D344" s="274"/>
      <c r="E344" s="274"/>
      <c r="F344" s="274"/>
      <c r="G344" s="155"/>
      <c r="H344" s="155"/>
      <c r="I344" s="36"/>
      <c r="J344" s="36"/>
      <c r="K344" s="36"/>
      <c r="L344" s="36"/>
      <c r="M344" s="155"/>
      <c r="N344" s="155"/>
      <c r="O344" s="155"/>
      <c r="P344" s="155"/>
      <c r="Q344" s="101"/>
      <c r="R344" s="101"/>
      <c r="S344" s="101"/>
      <c r="T344" s="139"/>
      <c r="U344" s="101"/>
      <c r="V344" s="101"/>
      <c r="W344" s="36"/>
      <c r="X344" s="35"/>
      <c r="Y344" s="155"/>
      <c r="Z344" s="155"/>
      <c r="AA344" s="155"/>
      <c r="AB344" s="155"/>
      <c r="AC344" s="155"/>
      <c r="AD344" s="155"/>
      <c r="AE344" s="155"/>
      <c r="AF344" s="155"/>
      <c r="AG344" s="155"/>
      <c r="AH344" s="36"/>
      <c r="AI344" s="35"/>
      <c r="AJ344" s="35"/>
      <c r="AK344" s="155"/>
      <c r="AL344" s="72" t="s">
        <v>993</v>
      </c>
      <c r="AM344" s="72" t="s">
        <v>190</v>
      </c>
      <c r="AN344" s="48">
        <v>41981</v>
      </c>
      <c r="AO344" s="49">
        <v>11454</v>
      </c>
      <c r="AP344" s="72" t="s">
        <v>1036</v>
      </c>
      <c r="AQ344" s="48">
        <v>41895</v>
      </c>
      <c r="AR344" s="48">
        <v>42004</v>
      </c>
      <c r="AS344" s="31"/>
      <c r="AT344" s="32"/>
      <c r="AU344" s="50"/>
      <c r="AV344" s="36"/>
      <c r="AW344" s="78"/>
      <c r="AX344" s="78"/>
      <c r="AY344" s="33"/>
      <c r="AZ344" s="34"/>
      <c r="BA344" s="35"/>
      <c r="BB344" s="35"/>
      <c r="BC344" s="37"/>
      <c r="BD344" s="50">
        <f>BE344/BI343</f>
        <v>1.4654242424242426E-2</v>
      </c>
      <c r="BE344" s="78">
        <f>(268.66*3)+161.2</f>
        <v>967.18000000000006</v>
      </c>
      <c r="BF344" s="35"/>
      <c r="BG344" s="36"/>
      <c r="BH344" s="35"/>
      <c r="BI344" s="35">
        <f>BI343+BE344</f>
        <v>66967.179999999993</v>
      </c>
      <c r="BJ344" s="80"/>
      <c r="BK344" s="80"/>
      <c r="BL344" s="80"/>
      <c r="BM344" s="80"/>
      <c r="BN344" s="39">
        <f t="shared" si="35"/>
        <v>0</v>
      </c>
      <c r="BO344" s="36"/>
      <c r="BP344" s="49"/>
      <c r="BQ344" s="48"/>
      <c r="BR344" s="49"/>
      <c r="BS344" s="48"/>
      <c r="BT344" s="36"/>
      <c r="BU344" s="40"/>
      <c r="BV344" s="40"/>
      <c r="BW344" s="40"/>
      <c r="BX344" s="40"/>
      <c r="BY344" s="40"/>
      <c r="BZ344" s="40"/>
      <c r="CA344" s="40"/>
      <c r="CB344" s="155"/>
      <c r="CC344" s="155"/>
      <c r="CD344" s="155"/>
      <c r="CE344" s="155"/>
      <c r="CF344" s="155"/>
      <c r="CG344" s="155"/>
    </row>
    <row r="345" spans="1:85" customFormat="1" ht="20.100000000000001" customHeight="1">
      <c r="A345" s="155"/>
      <c r="B345" s="155"/>
      <c r="C345" s="155"/>
      <c r="D345" s="274"/>
      <c r="E345" s="274"/>
      <c r="F345" s="274"/>
      <c r="G345" s="155"/>
      <c r="H345" s="155"/>
      <c r="I345" s="36"/>
      <c r="J345" s="36"/>
      <c r="K345" s="36"/>
      <c r="L345" s="36"/>
      <c r="M345" s="155"/>
      <c r="N345" s="155"/>
      <c r="O345" s="155"/>
      <c r="P345" s="155"/>
      <c r="Q345" s="101"/>
      <c r="R345" s="101"/>
      <c r="S345" s="101"/>
      <c r="T345" s="139"/>
      <c r="U345" s="101"/>
      <c r="V345" s="101"/>
      <c r="W345" s="36"/>
      <c r="X345" s="35"/>
      <c r="Y345" s="155"/>
      <c r="Z345" s="155"/>
      <c r="AA345" s="155"/>
      <c r="AB345" s="155"/>
      <c r="AC345" s="155"/>
      <c r="AD345" s="155"/>
      <c r="AE345" s="155"/>
      <c r="AF345" s="155"/>
      <c r="AG345" s="155"/>
      <c r="AH345" s="36"/>
      <c r="AI345" s="35"/>
      <c r="AJ345" s="35"/>
      <c r="AK345" s="155"/>
      <c r="AL345" s="36" t="s">
        <v>978</v>
      </c>
      <c r="AM345" s="72" t="s">
        <v>194</v>
      </c>
      <c r="AN345" s="48">
        <v>41999</v>
      </c>
      <c r="AO345" s="49">
        <v>11479</v>
      </c>
      <c r="AP345" s="72" t="s">
        <v>982</v>
      </c>
      <c r="AQ345" s="48">
        <v>42005</v>
      </c>
      <c r="AR345" s="48">
        <v>42369</v>
      </c>
      <c r="AS345" s="31"/>
      <c r="AT345" s="32"/>
      <c r="AU345" s="50"/>
      <c r="AV345" s="36"/>
      <c r="AW345" s="78"/>
      <c r="AX345" s="78"/>
      <c r="AY345" s="33"/>
      <c r="AZ345" s="34"/>
      <c r="BA345" s="35"/>
      <c r="BB345" s="35"/>
      <c r="BC345" s="37"/>
      <c r="BD345" s="50"/>
      <c r="BE345" s="78"/>
      <c r="BF345" s="35"/>
      <c r="BG345" s="36"/>
      <c r="BH345" s="35"/>
      <c r="BI345" s="35">
        <f>5768.66*12</f>
        <v>69223.92</v>
      </c>
      <c r="BJ345" s="80"/>
      <c r="BK345" s="80"/>
      <c r="BL345" s="80"/>
      <c r="BM345" s="80"/>
      <c r="BN345" s="39">
        <f t="shared" si="35"/>
        <v>0</v>
      </c>
      <c r="BO345" s="36"/>
      <c r="BP345" s="49"/>
      <c r="BQ345" s="48"/>
      <c r="BR345" s="49"/>
      <c r="BS345" s="48"/>
      <c r="BT345" s="36"/>
      <c r="BU345" s="40"/>
      <c r="BV345" s="40"/>
      <c r="BW345" s="40"/>
      <c r="BX345" s="40"/>
      <c r="BY345" s="40"/>
      <c r="BZ345" s="40"/>
      <c r="CA345" s="40"/>
      <c r="CB345" s="155"/>
      <c r="CC345" s="155"/>
      <c r="CD345" s="155"/>
      <c r="CE345" s="155"/>
      <c r="CF345" s="155"/>
      <c r="CG345" s="155"/>
    </row>
    <row r="346" spans="1:85" customFormat="1" ht="27.95" customHeight="1">
      <c r="A346" s="155"/>
      <c r="B346" s="155"/>
      <c r="C346" s="155"/>
      <c r="D346" s="274"/>
      <c r="E346" s="274"/>
      <c r="F346" s="274"/>
      <c r="G346" s="155"/>
      <c r="H346" s="155"/>
      <c r="I346" s="36"/>
      <c r="J346" s="36"/>
      <c r="K346" s="36"/>
      <c r="L346" s="36"/>
      <c r="M346" s="155"/>
      <c r="N346" s="155"/>
      <c r="O346" s="155"/>
      <c r="P346" s="155"/>
      <c r="Q346" s="101"/>
      <c r="R346" s="101"/>
      <c r="S346" s="101"/>
      <c r="T346" s="139"/>
      <c r="U346" s="101"/>
      <c r="V346" s="101"/>
      <c r="W346" s="36"/>
      <c r="X346" s="35"/>
      <c r="Y346" s="155"/>
      <c r="Z346" s="155"/>
      <c r="AA346" s="155"/>
      <c r="AB346" s="155"/>
      <c r="AC346" s="155"/>
      <c r="AD346" s="155"/>
      <c r="AE346" s="155"/>
      <c r="AF346" s="155"/>
      <c r="AG346" s="155"/>
      <c r="AH346" s="36"/>
      <c r="AI346" s="35"/>
      <c r="AJ346" s="35"/>
      <c r="AK346" s="155"/>
      <c r="AL346" s="72" t="s">
        <v>993</v>
      </c>
      <c r="AM346" s="72" t="s">
        <v>459</v>
      </c>
      <c r="AN346" s="48">
        <v>42300</v>
      </c>
      <c r="AO346" s="49">
        <v>11479</v>
      </c>
      <c r="AP346" s="72" t="s">
        <v>1036</v>
      </c>
      <c r="AQ346" s="48">
        <v>42260</v>
      </c>
      <c r="AR346" s="48">
        <v>42369</v>
      </c>
      <c r="AS346" s="31"/>
      <c r="AT346" s="32"/>
      <c r="AU346" s="50"/>
      <c r="AV346" s="36"/>
      <c r="AW346" s="78"/>
      <c r="AX346" s="78"/>
      <c r="AY346" s="33"/>
      <c r="AZ346" s="34"/>
      <c r="BA346" s="35"/>
      <c r="BB346" s="35"/>
      <c r="BC346" s="37"/>
      <c r="BD346" s="50">
        <f>BE346/BI345</f>
        <v>2.2661241952203807E-2</v>
      </c>
      <c r="BE346" s="78">
        <f>(435.75*3)+261.45</f>
        <v>1568.7</v>
      </c>
      <c r="BF346" s="35"/>
      <c r="BG346" s="36"/>
      <c r="BH346" s="35"/>
      <c r="BI346" s="35">
        <f>BI345+BE346</f>
        <v>70792.62</v>
      </c>
      <c r="BJ346" s="80"/>
      <c r="BK346" s="80"/>
      <c r="BL346" s="80"/>
      <c r="BM346" s="80"/>
      <c r="BN346" s="39">
        <f t="shared" si="35"/>
        <v>0</v>
      </c>
      <c r="BO346" s="36"/>
      <c r="BP346" s="49"/>
      <c r="BQ346" s="48"/>
      <c r="BR346" s="49"/>
      <c r="BS346" s="48"/>
      <c r="BT346" s="36"/>
      <c r="BU346" s="40"/>
      <c r="BV346" s="40"/>
      <c r="BW346" s="40"/>
      <c r="BX346" s="40"/>
      <c r="BY346" s="40"/>
      <c r="BZ346" s="40"/>
      <c r="CA346" s="40"/>
      <c r="CB346" s="155"/>
      <c r="CC346" s="155"/>
      <c r="CD346" s="155"/>
      <c r="CE346" s="155"/>
      <c r="CF346" s="155"/>
      <c r="CG346" s="155"/>
    </row>
    <row r="347" spans="1:85" customFormat="1" ht="20.100000000000001" customHeight="1">
      <c r="A347" s="155"/>
      <c r="B347" s="155"/>
      <c r="C347" s="155"/>
      <c r="D347" s="274"/>
      <c r="E347" s="274"/>
      <c r="F347" s="274"/>
      <c r="G347" s="155"/>
      <c r="H347" s="155"/>
      <c r="I347" s="36"/>
      <c r="J347" s="36"/>
      <c r="K347" s="36"/>
      <c r="L347" s="36"/>
      <c r="M347" s="155"/>
      <c r="N347" s="155"/>
      <c r="O347" s="155"/>
      <c r="P347" s="155"/>
      <c r="Q347" s="101"/>
      <c r="R347" s="101"/>
      <c r="S347" s="101"/>
      <c r="T347" s="139"/>
      <c r="U347" s="101"/>
      <c r="V347" s="101"/>
      <c r="W347" s="36"/>
      <c r="X347" s="35"/>
      <c r="Y347" s="155"/>
      <c r="Z347" s="155"/>
      <c r="AA347" s="155"/>
      <c r="AB347" s="155"/>
      <c r="AC347" s="155"/>
      <c r="AD347" s="155"/>
      <c r="AE347" s="155"/>
      <c r="AF347" s="155"/>
      <c r="AG347" s="155"/>
      <c r="AH347" s="36"/>
      <c r="AI347" s="35"/>
      <c r="AJ347" s="35"/>
      <c r="AK347" s="155"/>
      <c r="AL347" s="36" t="s">
        <v>978</v>
      </c>
      <c r="AM347" s="72" t="s">
        <v>202</v>
      </c>
      <c r="AN347" s="48">
        <v>42300</v>
      </c>
      <c r="AO347" s="49">
        <v>11723</v>
      </c>
      <c r="AP347" s="72" t="s">
        <v>982</v>
      </c>
      <c r="AQ347" s="48">
        <v>42370</v>
      </c>
      <c r="AR347" s="48">
        <v>42735</v>
      </c>
      <c r="AS347" s="31"/>
      <c r="AT347" s="32"/>
      <c r="AU347" s="50"/>
      <c r="AV347" s="36"/>
      <c r="AW347" s="78"/>
      <c r="AX347" s="78"/>
      <c r="AY347" s="33"/>
      <c r="AZ347" s="34"/>
      <c r="BA347" s="35"/>
      <c r="BB347" s="35"/>
      <c r="BC347" s="37"/>
      <c r="BD347" s="78"/>
      <c r="BE347" s="78"/>
      <c r="BF347" s="35"/>
      <c r="BG347" s="36"/>
      <c r="BH347" s="35"/>
      <c r="BI347" s="35"/>
      <c r="BJ347" s="80"/>
      <c r="BK347" s="80"/>
      <c r="BL347" s="80"/>
      <c r="BM347" s="80"/>
      <c r="BN347" s="39">
        <f t="shared" si="35"/>
        <v>0</v>
      </c>
      <c r="BO347" s="36"/>
      <c r="BP347" s="49"/>
      <c r="BQ347" s="48"/>
      <c r="BR347" s="49"/>
      <c r="BS347" s="48"/>
      <c r="BT347" s="36"/>
      <c r="BU347" s="40"/>
      <c r="BV347" s="40"/>
      <c r="BW347" s="40"/>
      <c r="BX347" s="40"/>
      <c r="BY347" s="40"/>
      <c r="BZ347" s="40"/>
      <c r="CA347" s="40"/>
      <c r="CB347" s="155"/>
      <c r="CC347" s="155"/>
      <c r="CD347" s="155"/>
      <c r="CE347" s="155"/>
      <c r="CF347" s="155"/>
      <c r="CG347" s="155"/>
    </row>
    <row r="348" spans="1:85" customFormat="1" ht="20.100000000000001" customHeight="1">
      <c r="A348" s="155"/>
      <c r="B348" s="155"/>
      <c r="C348" s="155"/>
      <c r="D348" s="274"/>
      <c r="E348" s="274"/>
      <c r="F348" s="274"/>
      <c r="G348" s="155"/>
      <c r="H348" s="155"/>
      <c r="I348" s="36"/>
      <c r="J348" s="36"/>
      <c r="K348" s="36"/>
      <c r="L348" s="36"/>
      <c r="M348" s="155"/>
      <c r="N348" s="155"/>
      <c r="O348" s="155"/>
      <c r="P348" s="155"/>
      <c r="Q348" s="101"/>
      <c r="R348" s="101"/>
      <c r="S348" s="101"/>
      <c r="T348" s="139"/>
      <c r="U348" s="101"/>
      <c r="V348" s="101"/>
      <c r="W348" s="36"/>
      <c r="X348" s="35"/>
      <c r="Y348" s="155"/>
      <c r="Z348" s="155"/>
      <c r="AA348" s="155"/>
      <c r="AB348" s="155"/>
      <c r="AC348" s="155"/>
      <c r="AD348" s="155"/>
      <c r="AE348" s="155"/>
      <c r="AF348" s="155"/>
      <c r="AG348" s="155"/>
      <c r="AH348" s="36"/>
      <c r="AI348" s="35"/>
      <c r="AJ348" s="35"/>
      <c r="AK348" s="155"/>
      <c r="AL348" s="36" t="s">
        <v>978</v>
      </c>
      <c r="AM348" s="72" t="s">
        <v>205</v>
      </c>
      <c r="AN348" s="48">
        <v>42732</v>
      </c>
      <c r="AO348" s="49">
        <v>12038</v>
      </c>
      <c r="AP348" s="72" t="s">
        <v>982</v>
      </c>
      <c r="AQ348" s="48">
        <v>42736</v>
      </c>
      <c r="AR348" s="48">
        <v>43100</v>
      </c>
      <c r="AS348" s="31"/>
      <c r="AT348" s="32"/>
      <c r="AU348" s="50"/>
      <c r="AV348" s="36"/>
      <c r="AW348" s="78"/>
      <c r="AX348" s="78"/>
      <c r="AY348" s="33"/>
      <c r="AZ348" s="34"/>
      <c r="BA348" s="35"/>
      <c r="BB348" s="35"/>
      <c r="BC348" s="37"/>
      <c r="BD348" s="78"/>
      <c r="BE348" s="78"/>
      <c r="BF348" s="35"/>
      <c r="BG348" s="36"/>
      <c r="BH348" s="35"/>
      <c r="BI348" s="35">
        <f>6204.41*12</f>
        <v>74452.92</v>
      </c>
      <c r="BJ348" s="80"/>
      <c r="BK348" s="80"/>
      <c r="BL348" s="80"/>
      <c r="BM348" s="80"/>
      <c r="BN348" s="39">
        <f t="shared" si="35"/>
        <v>0</v>
      </c>
      <c r="BO348" s="36"/>
      <c r="BP348" s="49"/>
      <c r="BQ348" s="48"/>
      <c r="BR348" s="49"/>
      <c r="BS348" s="48"/>
      <c r="BT348" s="36"/>
      <c r="BU348" s="40"/>
      <c r="BV348" s="40"/>
      <c r="BW348" s="40"/>
      <c r="BX348" s="40"/>
      <c r="BY348" s="40"/>
      <c r="BZ348" s="40"/>
      <c r="CA348" s="40"/>
      <c r="CB348" s="155"/>
      <c r="CC348" s="155"/>
      <c r="CD348" s="155"/>
      <c r="CE348" s="155"/>
      <c r="CF348" s="155"/>
      <c r="CG348" s="155"/>
    </row>
    <row r="349" spans="1:85" customFormat="1" ht="27.95" customHeight="1">
      <c r="A349" s="155"/>
      <c r="B349" s="155"/>
      <c r="C349" s="155"/>
      <c r="D349" s="274"/>
      <c r="E349" s="274"/>
      <c r="F349" s="274"/>
      <c r="G349" s="155"/>
      <c r="H349" s="155"/>
      <c r="I349" s="36"/>
      <c r="J349" s="36"/>
      <c r="K349" s="36"/>
      <c r="L349" s="36"/>
      <c r="M349" s="155"/>
      <c r="N349" s="155"/>
      <c r="O349" s="155"/>
      <c r="P349" s="155"/>
      <c r="Q349" s="101"/>
      <c r="R349" s="101"/>
      <c r="S349" s="101"/>
      <c r="T349" s="139"/>
      <c r="U349" s="101"/>
      <c r="V349" s="101"/>
      <c r="W349" s="36"/>
      <c r="X349" s="35"/>
      <c r="Y349" s="155"/>
      <c r="Z349" s="155"/>
      <c r="AA349" s="155"/>
      <c r="AB349" s="155"/>
      <c r="AC349" s="155"/>
      <c r="AD349" s="155"/>
      <c r="AE349" s="155"/>
      <c r="AF349" s="155"/>
      <c r="AG349" s="155"/>
      <c r="AH349" s="36"/>
      <c r="AI349" s="35"/>
      <c r="AJ349" s="35"/>
      <c r="AK349" s="155"/>
      <c r="AL349" s="72" t="s">
        <v>993</v>
      </c>
      <c r="AM349" s="72" t="s">
        <v>520</v>
      </c>
      <c r="AN349" s="48">
        <v>42955</v>
      </c>
      <c r="AO349" s="49">
        <v>12145</v>
      </c>
      <c r="AP349" s="72" t="s">
        <v>1037</v>
      </c>
      <c r="AQ349" s="48">
        <v>42917</v>
      </c>
      <c r="AR349" s="48">
        <v>43100</v>
      </c>
      <c r="AS349" s="31"/>
      <c r="AT349" s="32"/>
      <c r="AU349" s="50"/>
      <c r="AV349" s="50">
        <f>AX349/BI348</f>
        <v>7.499987911824009E-2</v>
      </c>
      <c r="AW349" s="78"/>
      <c r="AX349" s="78">
        <v>5583.96</v>
      </c>
      <c r="AY349" s="33"/>
      <c r="AZ349" s="34"/>
      <c r="BA349" s="35"/>
      <c r="BB349" s="35"/>
      <c r="BC349" s="37"/>
      <c r="BD349" s="78"/>
      <c r="BE349" s="78"/>
      <c r="BF349" s="35"/>
      <c r="BG349" s="36"/>
      <c r="BH349" s="35"/>
      <c r="BI349" s="42">
        <f>BI348-AX349</f>
        <v>68868.959999999992</v>
      </c>
      <c r="BJ349" s="80"/>
      <c r="BK349" s="80"/>
      <c r="BL349" s="80"/>
      <c r="BM349" s="80"/>
      <c r="BN349" s="39">
        <f t="shared" si="35"/>
        <v>0</v>
      </c>
      <c r="BO349" s="36"/>
      <c r="BP349" s="49"/>
      <c r="BQ349" s="48"/>
      <c r="BR349" s="49"/>
      <c r="BS349" s="48"/>
      <c r="BT349" s="36"/>
      <c r="BU349" s="40"/>
      <c r="BV349" s="40"/>
      <c r="BW349" s="40"/>
      <c r="BX349" s="40"/>
      <c r="BY349" s="40"/>
      <c r="BZ349" s="40"/>
      <c r="CA349" s="40"/>
      <c r="CB349" s="155"/>
      <c r="CC349" s="155"/>
      <c r="CD349" s="155"/>
      <c r="CE349" s="155"/>
      <c r="CF349" s="155"/>
      <c r="CG349" s="155"/>
    </row>
    <row r="350" spans="1:85" customFormat="1" ht="20.100000000000001" customHeight="1">
      <c r="A350" s="155"/>
      <c r="B350" s="155"/>
      <c r="C350" s="155"/>
      <c r="D350" s="274"/>
      <c r="E350" s="274"/>
      <c r="F350" s="274"/>
      <c r="G350" s="155"/>
      <c r="H350" s="155"/>
      <c r="I350" s="36"/>
      <c r="J350" s="36"/>
      <c r="K350" s="36"/>
      <c r="L350" s="36"/>
      <c r="M350" s="155"/>
      <c r="N350" s="155"/>
      <c r="O350" s="155"/>
      <c r="P350" s="155"/>
      <c r="Q350" s="101"/>
      <c r="R350" s="101"/>
      <c r="S350" s="101"/>
      <c r="T350" s="139"/>
      <c r="U350" s="101"/>
      <c r="V350" s="101"/>
      <c r="W350" s="36"/>
      <c r="X350" s="35"/>
      <c r="Y350" s="155"/>
      <c r="Z350" s="155"/>
      <c r="AA350" s="155"/>
      <c r="AB350" s="155"/>
      <c r="AC350" s="155"/>
      <c r="AD350" s="155"/>
      <c r="AE350" s="155"/>
      <c r="AF350" s="155"/>
      <c r="AG350" s="155"/>
      <c r="AH350" s="36"/>
      <c r="AI350" s="35"/>
      <c r="AJ350" s="35"/>
      <c r="AK350" s="155"/>
      <c r="AL350" s="36" t="s">
        <v>978</v>
      </c>
      <c r="AM350" s="72" t="s">
        <v>208</v>
      </c>
      <c r="AN350" s="48">
        <v>43092</v>
      </c>
      <c r="AO350" s="49">
        <v>11137</v>
      </c>
      <c r="AP350" s="72" t="s">
        <v>982</v>
      </c>
      <c r="AQ350" s="48">
        <v>43101</v>
      </c>
      <c r="AR350" s="48">
        <v>43465</v>
      </c>
      <c r="AS350" s="31"/>
      <c r="AT350" s="32"/>
      <c r="AU350" s="50"/>
      <c r="AV350" s="50"/>
      <c r="AW350" s="78"/>
      <c r="AX350" s="78"/>
      <c r="AY350" s="33"/>
      <c r="AZ350" s="34"/>
      <c r="BA350" s="35"/>
      <c r="BB350" s="35"/>
      <c r="BC350" s="37"/>
      <c r="BD350" s="78"/>
      <c r="BE350" s="78"/>
      <c r="BF350" s="35"/>
      <c r="BG350" s="36"/>
      <c r="BH350" s="35"/>
      <c r="BI350" s="35"/>
      <c r="BJ350" s="80"/>
      <c r="BK350" s="80"/>
      <c r="BL350" s="80"/>
      <c r="BM350" s="80"/>
      <c r="BN350" s="39">
        <f t="shared" si="35"/>
        <v>0</v>
      </c>
      <c r="BO350" s="36"/>
      <c r="BP350" s="49"/>
      <c r="BQ350" s="48"/>
      <c r="BR350" s="49"/>
      <c r="BS350" s="48"/>
      <c r="BT350" s="36"/>
      <c r="BU350" s="40"/>
      <c r="BV350" s="40"/>
      <c r="BW350" s="40"/>
      <c r="BX350" s="40"/>
      <c r="BY350" s="40"/>
      <c r="BZ350" s="40"/>
      <c r="CA350" s="40"/>
      <c r="CB350" s="155"/>
      <c r="CC350" s="155"/>
      <c r="CD350" s="155"/>
      <c r="CE350" s="155"/>
      <c r="CF350" s="155"/>
      <c r="CG350" s="155"/>
    </row>
    <row r="351" spans="1:85" customFormat="1" ht="20.100000000000001" customHeight="1">
      <c r="A351" s="155"/>
      <c r="B351" s="155"/>
      <c r="C351" s="155"/>
      <c r="D351" s="274"/>
      <c r="E351" s="274"/>
      <c r="F351" s="274"/>
      <c r="G351" s="155"/>
      <c r="H351" s="155"/>
      <c r="I351" s="36"/>
      <c r="J351" s="36"/>
      <c r="K351" s="36"/>
      <c r="L351" s="36"/>
      <c r="M351" s="155"/>
      <c r="N351" s="155"/>
      <c r="O351" s="155"/>
      <c r="P351" s="155"/>
      <c r="Q351" s="101"/>
      <c r="R351" s="101"/>
      <c r="S351" s="101"/>
      <c r="T351" s="139"/>
      <c r="U351" s="101"/>
      <c r="V351" s="101"/>
      <c r="W351" s="36"/>
      <c r="X351" s="35"/>
      <c r="Y351" s="155"/>
      <c r="Z351" s="155"/>
      <c r="AA351" s="155"/>
      <c r="AB351" s="155"/>
      <c r="AC351" s="155"/>
      <c r="AD351" s="155"/>
      <c r="AE351" s="155"/>
      <c r="AF351" s="155"/>
      <c r="AG351" s="155"/>
      <c r="AH351" s="36"/>
      <c r="AI351" s="35"/>
      <c r="AJ351" s="35"/>
      <c r="AK351" s="155"/>
      <c r="AL351" s="36" t="s">
        <v>978</v>
      </c>
      <c r="AM351" s="72" t="s">
        <v>212</v>
      </c>
      <c r="AN351" s="48">
        <v>43461</v>
      </c>
      <c r="AO351" s="49">
        <v>12457</v>
      </c>
      <c r="AP351" s="72" t="s">
        <v>982</v>
      </c>
      <c r="AQ351" s="48">
        <v>43466</v>
      </c>
      <c r="AR351" s="48">
        <v>43830</v>
      </c>
      <c r="AS351" s="31"/>
      <c r="AT351" s="32"/>
      <c r="AU351" s="50"/>
      <c r="AV351" s="50"/>
      <c r="AW351" s="78"/>
      <c r="AX351" s="78"/>
      <c r="AY351" s="33"/>
      <c r="AZ351" s="34"/>
      <c r="BA351" s="35"/>
      <c r="BB351" s="35"/>
      <c r="BC351" s="37"/>
      <c r="BD351" s="78"/>
      <c r="BE351" s="78"/>
      <c r="BF351" s="35"/>
      <c r="BG351" s="36"/>
      <c r="BH351" s="35"/>
      <c r="BI351" s="35"/>
      <c r="BJ351" s="80"/>
      <c r="BK351" s="80"/>
      <c r="BL351" s="80"/>
      <c r="BM351" s="80"/>
      <c r="BN351" s="39">
        <f t="shared" si="35"/>
        <v>0</v>
      </c>
      <c r="BO351" s="36"/>
      <c r="BP351" s="49"/>
      <c r="BQ351" s="48"/>
      <c r="BR351" s="49"/>
      <c r="BS351" s="48"/>
      <c r="BT351" s="36"/>
      <c r="BU351" s="40"/>
      <c r="BV351" s="40"/>
      <c r="BW351" s="40"/>
      <c r="BX351" s="40"/>
      <c r="BY351" s="40"/>
      <c r="BZ351" s="40"/>
      <c r="CA351" s="40"/>
      <c r="CB351" s="155"/>
      <c r="CC351" s="155"/>
      <c r="CD351" s="155"/>
      <c r="CE351" s="155"/>
      <c r="CF351" s="155"/>
      <c r="CG351" s="155"/>
    </row>
    <row r="352" spans="1:85" customFormat="1" ht="20.100000000000001" customHeight="1">
      <c r="A352" s="155"/>
      <c r="B352" s="155"/>
      <c r="C352" s="155"/>
      <c r="D352" s="274"/>
      <c r="E352" s="274"/>
      <c r="F352" s="274"/>
      <c r="G352" s="155"/>
      <c r="H352" s="155"/>
      <c r="I352" s="36"/>
      <c r="J352" s="36"/>
      <c r="K352" s="36"/>
      <c r="L352" s="36"/>
      <c r="M352" s="155"/>
      <c r="N352" s="155"/>
      <c r="O352" s="155"/>
      <c r="P352" s="155"/>
      <c r="Q352" s="101"/>
      <c r="R352" s="101"/>
      <c r="S352" s="101"/>
      <c r="T352" s="139"/>
      <c r="U352" s="101"/>
      <c r="V352" s="101"/>
      <c r="W352" s="36"/>
      <c r="X352" s="35"/>
      <c r="Y352" s="155"/>
      <c r="Z352" s="155"/>
      <c r="AA352" s="155"/>
      <c r="AB352" s="155"/>
      <c r="AC352" s="155"/>
      <c r="AD352" s="155"/>
      <c r="AE352" s="155"/>
      <c r="AF352" s="155"/>
      <c r="AG352" s="155"/>
      <c r="AH352" s="36"/>
      <c r="AI352" s="35"/>
      <c r="AJ352" s="35"/>
      <c r="AK352" s="155"/>
      <c r="AL352" s="36" t="s">
        <v>978</v>
      </c>
      <c r="AM352" s="72" t="s">
        <v>987</v>
      </c>
      <c r="AN352" s="293">
        <v>43831</v>
      </c>
      <c r="AO352" s="294">
        <v>12723</v>
      </c>
      <c r="AP352" s="72" t="s">
        <v>982</v>
      </c>
      <c r="AQ352" s="48">
        <v>43831</v>
      </c>
      <c r="AR352" s="48">
        <v>44196</v>
      </c>
      <c r="AS352" s="31"/>
      <c r="AT352" s="32"/>
      <c r="AU352" s="50"/>
      <c r="AV352" s="50"/>
      <c r="AW352" s="78"/>
      <c r="AX352" s="78"/>
      <c r="AY352" s="33"/>
      <c r="AZ352" s="34"/>
      <c r="BA352" s="35"/>
      <c r="BB352" s="35"/>
      <c r="BC352" s="37"/>
      <c r="BD352" s="78"/>
      <c r="BE352" s="78"/>
      <c r="BF352" s="35"/>
      <c r="BG352" s="36"/>
      <c r="BH352" s="35"/>
      <c r="BI352" s="35"/>
      <c r="BJ352" s="80"/>
      <c r="BK352" s="80"/>
      <c r="BL352" s="80"/>
      <c r="BM352" s="80"/>
      <c r="BN352" s="39">
        <f t="shared" si="35"/>
        <v>0</v>
      </c>
      <c r="BO352" s="36"/>
      <c r="BP352" s="49"/>
      <c r="BQ352" s="48"/>
      <c r="BR352" s="49"/>
      <c r="BS352" s="48"/>
      <c r="BT352" s="36"/>
      <c r="BU352" s="40"/>
      <c r="BV352" s="40"/>
      <c r="BW352" s="40"/>
      <c r="BX352" s="40"/>
      <c r="BY352" s="40"/>
      <c r="BZ352" s="40"/>
      <c r="CA352" s="40"/>
      <c r="CB352" s="155"/>
      <c r="CC352" s="155"/>
      <c r="CD352" s="155"/>
      <c r="CE352" s="155"/>
      <c r="CF352" s="155"/>
      <c r="CG352" s="155"/>
    </row>
    <row r="353" spans="1:85" customFormat="1" ht="20.100000000000001" customHeight="1">
      <c r="A353" s="155"/>
      <c r="B353" s="155"/>
      <c r="C353" s="155"/>
      <c r="D353" s="274"/>
      <c r="E353" s="274"/>
      <c r="F353" s="274"/>
      <c r="G353" s="155"/>
      <c r="H353" s="155"/>
      <c r="I353" s="36"/>
      <c r="J353" s="36"/>
      <c r="K353" s="36"/>
      <c r="L353" s="36"/>
      <c r="M353" s="155"/>
      <c r="N353" s="155"/>
      <c r="O353" s="155"/>
      <c r="P353" s="155"/>
      <c r="Q353" s="101"/>
      <c r="R353" s="101"/>
      <c r="S353" s="101"/>
      <c r="T353" s="139"/>
      <c r="U353" s="101"/>
      <c r="V353" s="101"/>
      <c r="W353" s="36"/>
      <c r="X353" s="35"/>
      <c r="Y353" s="155"/>
      <c r="Z353" s="155"/>
      <c r="AA353" s="155"/>
      <c r="AB353" s="155"/>
      <c r="AC353" s="155"/>
      <c r="AD353" s="155"/>
      <c r="AE353" s="155"/>
      <c r="AF353" s="155"/>
      <c r="AG353" s="155"/>
      <c r="AH353" s="36"/>
      <c r="AI353" s="35"/>
      <c r="AJ353" s="35"/>
      <c r="AK353" s="155"/>
      <c r="AL353" s="36" t="s">
        <v>978</v>
      </c>
      <c r="AM353" s="72" t="s">
        <v>990</v>
      </c>
      <c r="AN353" s="293">
        <v>44197</v>
      </c>
      <c r="AO353" s="294">
        <v>12946</v>
      </c>
      <c r="AP353" s="72" t="s">
        <v>982</v>
      </c>
      <c r="AQ353" s="48">
        <v>44197</v>
      </c>
      <c r="AR353" s="48">
        <v>44561</v>
      </c>
      <c r="AS353" s="31"/>
      <c r="AT353" s="32"/>
      <c r="AU353" s="50"/>
      <c r="AV353" s="50"/>
      <c r="AW353" s="78"/>
      <c r="AX353" s="78"/>
      <c r="AY353" s="33"/>
      <c r="AZ353" s="34"/>
      <c r="BA353" s="35"/>
      <c r="BB353" s="35"/>
      <c r="BC353" s="37"/>
      <c r="BD353" s="78"/>
      <c r="BE353" s="78"/>
      <c r="BF353" s="35"/>
      <c r="BG353" s="36"/>
      <c r="BH353" s="35"/>
      <c r="BI353" s="35"/>
      <c r="BJ353" s="80"/>
      <c r="BK353" s="80"/>
      <c r="BL353" s="80"/>
      <c r="BM353" s="80"/>
      <c r="BN353" s="39">
        <f t="shared" si="35"/>
        <v>0</v>
      </c>
      <c r="BO353" s="36"/>
      <c r="BP353" s="49"/>
      <c r="BQ353" s="48"/>
      <c r="BR353" s="49"/>
      <c r="BS353" s="48"/>
      <c r="BT353" s="36"/>
      <c r="BU353" s="40"/>
      <c r="BV353" s="40"/>
      <c r="BW353" s="40"/>
      <c r="BX353" s="40"/>
      <c r="BY353" s="40"/>
      <c r="BZ353" s="40"/>
      <c r="CA353" s="40"/>
      <c r="CB353" s="155"/>
      <c r="CC353" s="155"/>
      <c r="CD353" s="155"/>
      <c r="CE353" s="155"/>
      <c r="CF353" s="155"/>
      <c r="CG353" s="155"/>
    </row>
    <row r="354" spans="1:85" customFormat="1" ht="20.100000000000001" customHeight="1">
      <c r="A354" s="155"/>
      <c r="B354" s="155"/>
      <c r="C354" s="155"/>
      <c r="D354" s="274"/>
      <c r="E354" s="274"/>
      <c r="F354" s="274"/>
      <c r="G354" s="155"/>
      <c r="H354" s="155"/>
      <c r="I354" s="36"/>
      <c r="J354" s="36"/>
      <c r="K354" s="36"/>
      <c r="L354" s="36"/>
      <c r="M354" s="155"/>
      <c r="N354" s="155"/>
      <c r="O354" s="155"/>
      <c r="P354" s="155"/>
      <c r="Q354" s="101"/>
      <c r="R354" s="101"/>
      <c r="S354" s="101"/>
      <c r="T354" s="139"/>
      <c r="U354" s="101"/>
      <c r="V354" s="101"/>
      <c r="W354" s="36"/>
      <c r="X354" s="35"/>
      <c r="Y354" s="155"/>
      <c r="Z354" s="155"/>
      <c r="AA354" s="155"/>
      <c r="AB354" s="155"/>
      <c r="AC354" s="155"/>
      <c r="AD354" s="155"/>
      <c r="AE354" s="155"/>
      <c r="AF354" s="155"/>
      <c r="AG354" s="155"/>
      <c r="AH354" s="36"/>
      <c r="AI354" s="35"/>
      <c r="AJ354" s="35"/>
      <c r="AK354" s="155"/>
      <c r="AL354" s="36" t="s">
        <v>978</v>
      </c>
      <c r="AM354" s="72" t="s">
        <v>992</v>
      </c>
      <c r="AN354" s="293">
        <v>44547</v>
      </c>
      <c r="AO354" s="294">
        <v>13191</v>
      </c>
      <c r="AP354" s="72" t="s">
        <v>228</v>
      </c>
      <c r="AQ354" s="72" t="s">
        <v>192</v>
      </c>
      <c r="AR354" s="72" t="s">
        <v>193</v>
      </c>
      <c r="AS354" s="31"/>
      <c r="AT354" s="32"/>
      <c r="AU354" s="50"/>
      <c r="AV354" s="50"/>
      <c r="AW354" s="78"/>
      <c r="AX354" s="78"/>
      <c r="AY354" s="33"/>
      <c r="AZ354" s="34"/>
      <c r="BA354" s="35"/>
      <c r="BB354" s="35"/>
      <c r="BC354" s="37"/>
      <c r="BD354" s="78"/>
      <c r="BE354" s="78"/>
      <c r="BF354" s="35"/>
      <c r="BG354" s="36"/>
      <c r="BH354" s="35"/>
      <c r="BI354" s="35"/>
      <c r="BJ354" s="80"/>
      <c r="BK354" s="80"/>
      <c r="BL354" s="80"/>
      <c r="BM354" s="80"/>
      <c r="BN354" s="39">
        <f t="shared" si="35"/>
        <v>0</v>
      </c>
      <c r="BO354" s="36"/>
      <c r="BP354" s="49"/>
      <c r="BQ354" s="48"/>
      <c r="BR354" s="49"/>
      <c r="BS354" s="48"/>
      <c r="BT354" s="36"/>
      <c r="BU354" s="40"/>
      <c r="BV354" s="40"/>
      <c r="BW354" s="40"/>
      <c r="BX354" s="40"/>
      <c r="BY354" s="40"/>
      <c r="BZ354" s="40"/>
      <c r="CA354" s="40"/>
      <c r="CB354" s="155"/>
      <c r="CC354" s="155"/>
      <c r="CD354" s="155"/>
      <c r="CE354" s="155"/>
      <c r="CF354" s="155"/>
      <c r="CG354" s="155"/>
    </row>
    <row r="355" spans="1:85" customFormat="1" ht="20.100000000000001" customHeight="1">
      <c r="A355" s="155"/>
      <c r="B355" s="155"/>
      <c r="C355" s="155"/>
      <c r="D355" s="274"/>
      <c r="E355" s="274"/>
      <c r="F355" s="274"/>
      <c r="G355" s="155"/>
      <c r="H355" s="155"/>
      <c r="I355" s="36"/>
      <c r="J355" s="36"/>
      <c r="K355" s="36"/>
      <c r="L355" s="36"/>
      <c r="M355" s="155"/>
      <c r="N355" s="155"/>
      <c r="O355" s="155"/>
      <c r="P355" s="155"/>
      <c r="Q355" s="101"/>
      <c r="R355" s="101"/>
      <c r="S355" s="101"/>
      <c r="T355" s="139"/>
      <c r="U355" s="101"/>
      <c r="V355" s="101"/>
      <c r="W355" s="36"/>
      <c r="X355" s="35"/>
      <c r="Y355" s="155"/>
      <c r="Z355" s="155"/>
      <c r="AA355" s="155"/>
      <c r="AB355" s="155"/>
      <c r="AC355" s="155"/>
      <c r="AD355" s="155"/>
      <c r="AE355" s="155"/>
      <c r="AF355" s="155"/>
      <c r="AG355" s="155"/>
      <c r="AH355" s="36"/>
      <c r="AI355" s="35"/>
      <c r="AJ355" s="35"/>
      <c r="AK355" s="155"/>
      <c r="AL355" s="36" t="s">
        <v>978</v>
      </c>
      <c r="AM355" s="72" t="s">
        <v>994</v>
      </c>
      <c r="AN355" s="293">
        <v>44908</v>
      </c>
      <c r="AO355" s="294">
        <v>13432</v>
      </c>
      <c r="AP355" s="72" t="s">
        <v>228</v>
      </c>
      <c r="AQ355" s="72" t="s">
        <v>196</v>
      </c>
      <c r="AR355" s="72" t="s">
        <v>197</v>
      </c>
      <c r="AS355" s="31"/>
      <c r="AT355" s="32"/>
      <c r="AU355" s="50"/>
      <c r="AV355" s="50"/>
      <c r="AW355" s="78"/>
      <c r="AX355" s="78"/>
      <c r="AY355" s="33"/>
      <c r="AZ355" s="34"/>
      <c r="BA355" s="35"/>
      <c r="BB355" s="35"/>
      <c r="BC355" s="37"/>
      <c r="BD355" s="78"/>
      <c r="BE355" s="78"/>
      <c r="BF355" s="35"/>
      <c r="BG355" s="36"/>
      <c r="BH355" s="35"/>
      <c r="BI355" s="35"/>
      <c r="BJ355" s="80"/>
      <c r="BK355" s="80"/>
      <c r="BL355" s="80"/>
      <c r="BM355" s="80"/>
      <c r="BN355" s="39">
        <f t="shared" si="35"/>
        <v>0</v>
      </c>
      <c r="BO355" s="36"/>
      <c r="BP355" s="49"/>
      <c r="BQ355" s="48"/>
      <c r="BR355" s="49"/>
      <c r="BS355" s="48"/>
      <c r="BT355" s="36"/>
      <c r="BU355" s="40"/>
      <c r="BV355" s="40"/>
      <c r="BW355" s="40"/>
      <c r="BX355" s="40"/>
      <c r="BY355" s="40"/>
      <c r="BZ355" s="40"/>
      <c r="CA355" s="40"/>
      <c r="CB355" s="155"/>
      <c r="CC355" s="155"/>
      <c r="CD355" s="155"/>
      <c r="CE355" s="155"/>
      <c r="CF355" s="155"/>
      <c r="CG355" s="155"/>
    </row>
    <row r="356" spans="1:85" customFormat="1" ht="20.100000000000001" customHeight="1">
      <c r="A356" s="155"/>
      <c r="B356" s="155"/>
      <c r="C356" s="155"/>
      <c r="D356" s="274"/>
      <c r="E356" s="274"/>
      <c r="F356" s="274"/>
      <c r="G356" s="155"/>
      <c r="H356" s="155"/>
      <c r="I356" s="36"/>
      <c r="J356" s="36"/>
      <c r="K356" s="36"/>
      <c r="L356" s="36"/>
      <c r="M356" s="155"/>
      <c r="N356" s="155"/>
      <c r="O356" s="155"/>
      <c r="P356" s="155"/>
      <c r="Q356" s="101"/>
      <c r="R356" s="101"/>
      <c r="S356" s="101"/>
      <c r="T356" s="139"/>
      <c r="U356" s="101"/>
      <c r="V356" s="101"/>
      <c r="W356" s="36"/>
      <c r="X356" s="35"/>
      <c r="Y356" s="155"/>
      <c r="Z356" s="155"/>
      <c r="AA356" s="155"/>
      <c r="AB356" s="155"/>
      <c r="AC356" s="155"/>
      <c r="AD356" s="155"/>
      <c r="AE356" s="155"/>
      <c r="AF356" s="155"/>
      <c r="AG356" s="155"/>
      <c r="AH356" s="36"/>
      <c r="AI356" s="35"/>
      <c r="AJ356" s="35"/>
      <c r="AK356" s="155"/>
      <c r="AL356" s="36" t="s">
        <v>978</v>
      </c>
      <c r="AM356" s="72" t="s">
        <v>996</v>
      </c>
      <c r="AN356" s="293">
        <v>45279</v>
      </c>
      <c r="AO356" s="294">
        <v>13686</v>
      </c>
      <c r="AP356" s="72" t="s">
        <v>228</v>
      </c>
      <c r="AQ356" s="72" t="s">
        <v>203</v>
      </c>
      <c r="AR356" s="72" t="s">
        <v>204</v>
      </c>
      <c r="AS356" s="31"/>
      <c r="AT356" s="32"/>
      <c r="AU356" s="50"/>
      <c r="AV356" s="50"/>
      <c r="AW356" s="78"/>
      <c r="AX356" s="78"/>
      <c r="AY356" s="33"/>
      <c r="AZ356" s="34"/>
      <c r="BA356" s="35"/>
      <c r="BB356" s="35"/>
      <c r="BC356" s="37"/>
      <c r="BD356" s="78"/>
      <c r="BE356" s="78"/>
      <c r="BF356" s="35"/>
      <c r="BG356" s="36"/>
      <c r="BH356" s="35"/>
      <c r="BI356" s="35"/>
      <c r="BJ356" s="80"/>
      <c r="BK356" s="80"/>
      <c r="BL356" s="80"/>
      <c r="BM356" s="80"/>
      <c r="BN356" s="39">
        <f t="shared" si="35"/>
        <v>0</v>
      </c>
      <c r="BO356" s="36"/>
      <c r="BP356" s="49"/>
      <c r="BQ356" s="48"/>
      <c r="BR356" s="49"/>
      <c r="BS356" s="48"/>
      <c r="BT356" s="36"/>
      <c r="BU356" s="40"/>
      <c r="BV356" s="40"/>
      <c r="BW356" s="40"/>
      <c r="BX356" s="40"/>
      <c r="BY356" s="40"/>
      <c r="BZ356" s="40"/>
      <c r="CA356" s="40"/>
      <c r="CB356" s="155"/>
      <c r="CC356" s="155"/>
      <c r="CD356" s="155"/>
      <c r="CE356" s="155"/>
      <c r="CF356" s="155"/>
      <c r="CG356" s="155"/>
    </row>
    <row r="357" spans="1:85" customFormat="1" ht="27.95" customHeight="1">
      <c r="A357" s="155"/>
      <c r="B357" s="155"/>
      <c r="C357" s="155"/>
      <c r="D357" s="274"/>
      <c r="E357" s="274"/>
      <c r="F357" s="274"/>
      <c r="G357" s="155"/>
      <c r="H357" s="155"/>
      <c r="I357" s="36"/>
      <c r="J357" s="36"/>
      <c r="K357" s="36"/>
      <c r="L357" s="36"/>
      <c r="M357" s="155"/>
      <c r="N357" s="155"/>
      <c r="O357" s="155"/>
      <c r="P357" s="155"/>
      <c r="Q357" s="101"/>
      <c r="R357" s="101"/>
      <c r="S357" s="101"/>
      <c r="T357" s="139"/>
      <c r="U357" s="101"/>
      <c r="V357" s="101"/>
      <c r="W357" s="36"/>
      <c r="X357" s="35"/>
      <c r="Y357" s="155"/>
      <c r="Z357" s="155"/>
      <c r="AA357" s="155"/>
      <c r="AB357" s="155"/>
      <c r="AC357" s="155"/>
      <c r="AD357" s="155"/>
      <c r="AE357" s="155"/>
      <c r="AF357" s="155"/>
      <c r="AG357" s="155"/>
      <c r="AH357" s="36"/>
      <c r="AI357" s="35"/>
      <c r="AJ357" s="35"/>
      <c r="AK357" s="155"/>
      <c r="AL357" s="36" t="s">
        <v>978</v>
      </c>
      <c r="AM357" s="72" t="s">
        <v>997</v>
      </c>
      <c r="AN357" s="293">
        <v>45645</v>
      </c>
      <c r="AO357" s="294">
        <v>13932</v>
      </c>
      <c r="AP357" s="72" t="s">
        <v>1038</v>
      </c>
      <c r="AQ357" s="72" t="s">
        <v>206</v>
      </c>
      <c r="AR357" s="72" t="s">
        <v>207</v>
      </c>
      <c r="AS357" s="31"/>
      <c r="AT357" s="32"/>
      <c r="AU357" s="50"/>
      <c r="AV357" s="50"/>
      <c r="AW357" s="78"/>
      <c r="AX357" s="78"/>
      <c r="AY357" s="33"/>
      <c r="AZ357" s="34"/>
      <c r="BA357" s="35"/>
      <c r="BB357" s="35"/>
      <c r="BC357" s="37"/>
      <c r="BD357" s="78"/>
      <c r="BE357" s="78"/>
      <c r="BF357" s="35"/>
      <c r="BG357" s="36"/>
      <c r="BH357" s="35"/>
      <c r="BI357" s="35"/>
      <c r="BJ357" s="80"/>
      <c r="BK357" s="80"/>
      <c r="BL357" s="80"/>
      <c r="BM357" s="80"/>
      <c r="BN357" s="39"/>
      <c r="BO357" s="36"/>
      <c r="BP357" s="49"/>
      <c r="BQ357" s="48"/>
      <c r="BR357" s="49"/>
      <c r="BS357" s="48"/>
      <c r="BT357" s="36"/>
      <c r="BU357" s="40"/>
      <c r="BV357" s="40"/>
      <c r="BW357" s="40"/>
      <c r="BX357" s="40"/>
      <c r="BY357" s="40"/>
      <c r="BZ357" s="40"/>
      <c r="CA357" s="40"/>
      <c r="CB357" s="155"/>
      <c r="CC357" s="155"/>
      <c r="CD357" s="155"/>
      <c r="CE357" s="155"/>
      <c r="CF357" s="155"/>
      <c r="CG357" s="155"/>
    </row>
    <row r="358" spans="1:85" customFormat="1" ht="27.95" customHeight="1">
      <c r="A358" s="162"/>
      <c r="B358" s="162"/>
      <c r="C358" s="162"/>
      <c r="D358" s="276"/>
      <c r="E358" s="276"/>
      <c r="F358" s="276"/>
      <c r="G358" s="162"/>
      <c r="H358" s="162"/>
      <c r="I358" s="36"/>
      <c r="J358" s="36"/>
      <c r="K358" s="36"/>
      <c r="L358" s="36"/>
      <c r="M358" s="162"/>
      <c r="N358" s="162"/>
      <c r="O358" s="162"/>
      <c r="P358" s="162"/>
      <c r="Q358" s="101"/>
      <c r="R358" s="101"/>
      <c r="S358" s="101"/>
      <c r="T358" s="139"/>
      <c r="U358" s="101"/>
      <c r="V358" s="101"/>
      <c r="W358" s="36"/>
      <c r="X358" s="35"/>
      <c r="Y358" s="162"/>
      <c r="Z358" s="162"/>
      <c r="AA358" s="162"/>
      <c r="AB358" s="162"/>
      <c r="AC358" s="162"/>
      <c r="AD358" s="162"/>
      <c r="AE358" s="162"/>
      <c r="AF358" s="162"/>
      <c r="AG358" s="162"/>
      <c r="AH358" s="36"/>
      <c r="AI358" s="35"/>
      <c r="AJ358" s="35"/>
      <c r="AK358" s="162"/>
      <c r="AL358" s="36" t="s">
        <v>978</v>
      </c>
      <c r="AM358" s="72" t="s">
        <v>998</v>
      </c>
      <c r="AN358" s="293">
        <v>46021</v>
      </c>
      <c r="AO358" s="294">
        <v>14181</v>
      </c>
      <c r="AP358" s="72" t="s">
        <v>1038</v>
      </c>
      <c r="AQ358" s="72" t="s">
        <v>210</v>
      </c>
      <c r="AR358" s="72" t="s">
        <v>215</v>
      </c>
      <c r="AS358" s="31"/>
      <c r="AT358" s="32"/>
      <c r="AU358" s="50"/>
      <c r="AV358" s="36"/>
      <c r="AW358" s="78"/>
      <c r="AX358" s="78"/>
      <c r="AY358" s="33"/>
      <c r="AZ358" s="34"/>
      <c r="BA358" s="35"/>
      <c r="BB358" s="35"/>
      <c r="BC358" s="37"/>
      <c r="BD358" s="50">
        <f>BE358/BI349</f>
        <v>8.1261863109302085E-2</v>
      </c>
      <c r="BE358" s="78">
        <v>5596.42</v>
      </c>
      <c r="BF358" s="35"/>
      <c r="BG358" s="36"/>
      <c r="BH358" s="35"/>
      <c r="BI358" s="42">
        <f>5733.63*12</f>
        <v>68803.56</v>
      </c>
      <c r="BJ358" s="80"/>
      <c r="BK358" s="80"/>
      <c r="BL358" s="80"/>
      <c r="BM358" s="80"/>
      <c r="BN358" s="39">
        <f t="shared" ref="BN358:BN373" si="36">BJ358+BL358</f>
        <v>0</v>
      </c>
      <c r="BO358" s="36"/>
      <c r="BP358" s="49"/>
      <c r="BQ358" s="48"/>
      <c r="BR358" s="49"/>
      <c r="BS358" s="48"/>
      <c r="BT358" s="36"/>
      <c r="BU358" s="40"/>
      <c r="BV358" s="40"/>
      <c r="BW358" s="40"/>
      <c r="BX358" s="40"/>
      <c r="BY358" s="40"/>
      <c r="BZ358" s="40"/>
      <c r="CA358" s="40"/>
      <c r="CB358" s="162"/>
      <c r="CC358" s="162"/>
      <c r="CD358" s="162"/>
      <c r="CE358" s="162"/>
      <c r="CF358" s="162"/>
      <c r="CG358" s="162"/>
    </row>
    <row r="359" spans="1:85" customFormat="1" ht="24.95" customHeight="1">
      <c r="A359" s="170">
        <v>94</v>
      </c>
      <c r="B359" s="154" t="s">
        <v>1039</v>
      </c>
      <c r="C359" s="154"/>
      <c r="D359" s="273" t="s">
        <v>724</v>
      </c>
      <c r="E359" s="273" t="s">
        <v>180</v>
      </c>
      <c r="F359" s="273" t="s">
        <v>1040</v>
      </c>
      <c r="G359" s="44"/>
      <c r="H359" s="157"/>
      <c r="I359" s="36"/>
      <c r="J359" s="36"/>
      <c r="K359" s="36"/>
      <c r="L359" s="36"/>
      <c r="M359" s="154" t="s">
        <v>725</v>
      </c>
      <c r="N359" s="154" t="s">
        <v>1041</v>
      </c>
      <c r="O359" s="157">
        <v>11387</v>
      </c>
      <c r="P359" s="157">
        <v>11387</v>
      </c>
      <c r="Q359" s="101"/>
      <c r="R359" s="101"/>
      <c r="S359" s="101"/>
      <c r="T359" s="103"/>
      <c r="U359" s="101"/>
      <c r="V359" s="123"/>
      <c r="W359" s="36"/>
      <c r="X359" s="35"/>
      <c r="Y359" s="163" t="s">
        <v>1042</v>
      </c>
      <c r="Z359" s="154" t="s">
        <v>1043</v>
      </c>
      <c r="AA359" s="154" t="s">
        <v>1044</v>
      </c>
      <c r="AB359" s="161">
        <v>41890</v>
      </c>
      <c r="AC359" s="154">
        <v>11396</v>
      </c>
      <c r="AD359" s="161">
        <v>41890</v>
      </c>
      <c r="AE359" s="161">
        <v>42004</v>
      </c>
      <c r="AF359" s="163" t="s">
        <v>453</v>
      </c>
      <c r="AG359" s="154" t="s">
        <v>185</v>
      </c>
      <c r="AH359" s="36"/>
      <c r="AI359" s="35"/>
      <c r="AJ359" s="35"/>
      <c r="AK359" s="172">
        <v>56500</v>
      </c>
      <c r="AL359" s="72"/>
      <c r="AM359" s="72"/>
      <c r="AN359" s="48"/>
      <c r="AO359" s="49"/>
      <c r="AP359" s="72"/>
      <c r="AQ359" s="48"/>
      <c r="AR359" s="48"/>
      <c r="AS359" s="31"/>
      <c r="AT359" s="32"/>
      <c r="AU359" s="50"/>
      <c r="AV359" s="36"/>
      <c r="AW359" s="78"/>
      <c r="AX359" s="78"/>
      <c r="AY359" s="33"/>
      <c r="AZ359" s="34"/>
      <c r="BA359" s="35"/>
      <c r="BB359" s="35"/>
      <c r="BC359" s="78"/>
      <c r="BD359" s="78"/>
      <c r="BE359" s="78"/>
      <c r="BF359" s="35"/>
      <c r="BG359" s="36"/>
      <c r="BH359" s="35"/>
      <c r="BI359" s="95">
        <f>AK359</f>
        <v>56500</v>
      </c>
      <c r="BJ359" s="76">
        <f>470028.09+16133.07+48399.21+16133.07+32266.14+16133.07+16133.07+32266.14+48399.21+16133.07+16133.07+32266.14+16133.07+16133.07+16133.07+16133.07+16133.07+193596.84+16133.07+16133.07+16133.07+48399.21+16133.07+16133.07+16133.07+16133.07+16133.07+16133.07+193596.84+193596.84+193596.84+193596.84</f>
        <v>2002669.7400000002</v>
      </c>
      <c r="BK359" s="76">
        <f>193596.84</f>
        <v>193596.84</v>
      </c>
      <c r="BL359" s="76">
        <f>16133.07+16133.07+16133.07+32266.14</f>
        <v>80665.350000000006</v>
      </c>
      <c r="BM359" s="76"/>
      <c r="BN359" s="39"/>
      <c r="BO359" s="36"/>
      <c r="BP359" s="40"/>
      <c r="BQ359" s="40"/>
      <c r="BR359" s="40"/>
      <c r="BS359" s="40"/>
      <c r="BT359" s="40"/>
      <c r="BU359" s="40"/>
      <c r="BV359" s="40"/>
      <c r="BW359" s="40"/>
      <c r="BX359" s="40"/>
      <c r="BY359" s="40"/>
      <c r="BZ359" s="40"/>
      <c r="CA359" s="40"/>
      <c r="CB359" s="154" t="s">
        <v>1045</v>
      </c>
      <c r="CC359" s="157">
        <v>13991</v>
      </c>
      <c r="CD359" s="154" t="s">
        <v>1022</v>
      </c>
      <c r="CE359" s="157">
        <v>716812</v>
      </c>
      <c r="CF359" s="154" t="s">
        <v>1046</v>
      </c>
      <c r="CG359" s="157">
        <v>716341</v>
      </c>
    </row>
    <row r="360" spans="1:85" customFormat="1" ht="24.95" customHeight="1">
      <c r="A360" s="155"/>
      <c r="B360" s="155"/>
      <c r="C360" s="155"/>
      <c r="D360" s="274"/>
      <c r="E360" s="274"/>
      <c r="F360" s="274"/>
      <c r="G360" s="53"/>
      <c r="H360" s="155"/>
      <c r="I360" s="36"/>
      <c r="J360" s="36"/>
      <c r="K360" s="36"/>
      <c r="L360" s="36"/>
      <c r="M360" s="155"/>
      <c r="N360" s="155"/>
      <c r="O360" s="155"/>
      <c r="P360" s="155"/>
      <c r="Q360" s="101"/>
      <c r="R360" s="101"/>
      <c r="S360" s="101"/>
      <c r="T360" s="103"/>
      <c r="U360" s="101"/>
      <c r="V360" s="123"/>
      <c r="W360" s="36"/>
      <c r="X360" s="35"/>
      <c r="Y360" s="155"/>
      <c r="Z360" s="155"/>
      <c r="AA360" s="155"/>
      <c r="AB360" s="155"/>
      <c r="AC360" s="155"/>
      <c r="AD360" s="155"/>
      <c r="AE360" s="155"/>
      <c r="AF360" s="155"/>
      <c r="AG360" s="155"/>
      <c r="AH360" s="36"/>
      <c r="AI360" s="35"/>
      <c r="AJ360" s="35"/>
      <c r="AK360" s="155"/>
      <c r="AL360" s="36" t="s">
        <v>978</v>
      </c>
      <c r="AM360" s="72" t="s">
        <v>190</v>
      </c>
      <c r="AN360" s="48">
        <v>41989</v>
      </c>
      <c r="AO360" s="49">
        <v>11478</v>
      </c>
      <c r="AP360" s="72" t="s">
        <v>1047</v>
      </c>
      <c r="AQ360" s="48">
        <v>42005</v>
      </c>
      <c r="AR360" s="48">
        <v>42369</v>
      </c>
      <c r="AS360" s="31"/>
      <c r="AT360" s="32"/>
      <c r="AU360" s="50"/>
      <c r="AV360" s="36"/>
      <c r="AW360" s="78"/>
      <c r="AX360" s="78"/>
      <c r="AY360" s="33"/>
      <c r="AZ360" s="34"/>
      <c r="BA360" s="35"/>
      <c r="BB360" s="35"/>
      <c r="BC360" s="78"/>
      <c r="BD360" s="78"/>
      <c r="BE360" s="78"/>
      <c r="BF360" s="35"/>
      <c r="BG360" s="36"/>
      <c r="BH360" s="35"/>
      <c r="BI360" s="35">
        <f>14125*4+14125*8</f>
        <v>169500</v>
      </c>
      <c r="BJ360" s="76"/>
      <c r="BK360" s="76"/>
      <c r="BL360" s="76"/>
      <c r="BM360" s="76"/>
      <c r="BN360" s="39">
        <f t="shared" si="36"/>
        <v>0</v>
      </c>
      <c r="BO360" s="36"/>
      <c r="BP360" s="40"/>
      <c r="BQ360" s="40"/>
      <c r="BR360" s="40"/>
      <c r="BS360" s="40"/>
      <c r="BT360" s="40"/>
      <c r="BU360" s="40"/>
      <c r="BV360" s="40"/>
      <c r="BW360" s="40"/>
      <c r="BX360" s="40"/>
      <c r="BY360" s="40"/>
      <c r="BZ360" s="40"/>
      <c r="CA360" s="40"/>
      <c r="CB360" s="155"/>
      <c r="CC360" s="155"/>
      <c r="CD360" s="155"/>
      <c r="CE360" s="155"/>
      <c r="CF360" s="155"/>
      <c r="CG360" s="155"/>
    </row>
    <row r="361" spans="1:85" customFormat="1" ht="24.95" customHeight="1">
      <c r="A361" s="155"/>
      <c r="B361" s="155"/>
      <c r="C361" s="155"/>
      <c r="D361" s="274"/>
      <c r="E361" s="274"/>
      <c r="F361" s="274"/>
      <c r="G361" s="53"/>
      <c r="H361" s="155"/>
      <c r="I361" s="36"/>
      <c r="J361" s="36"/>
      <c r="K361" s="36"/>
      <c r="L361" s="36"/>
      <c r="M361" s="155"/>
      <c r="N361" s="155"/>
      <c r="O361" s="155"/>
      <c r="P361" s="155"/>
      <c r="Q361" s="101"/>
      <c r="R361" s="101"/>
      <c r="S361" s="101"/>
      <c r="T361" s="103"/>
      <c r="U361" s="101"/>
      <c r="V361" s="123"/>
      <c r="W361" s="36"/>
      <c r="X361" s="35"/>
      <c r="Y361" s="155"/>
      <c r="Z361" s="155"/>
      <c r="AA361" s="155"/>
      <c r="AB361" s="155"/>
      <c r="AC361" s="155"/>
      <c r="AD361" s="155"/>
      <c r="AE361" s="155"/>
      <c r="AF361" s="155"/>
      <c r="AG361" s="155"/>
      <c r="AH361" s="36"/>
      <c r="AI361" s="35"/>
      <c r="AJ361" s="35"/>
      <c r="AK361" s="155"/>
      <c r="AL361" s="72" t="s">
        <v>1048</v>
      </c>
      <c r="AM361" s="72" t="s">
        <v>190</v>
      </c>
      <c r="AN361" s="48">
        <v>42346</v>
      </c>
      <c r="AO361" s="49">
        <v>11663</v>
      </c>
      <c r="AP361" s="72" t="s">
        <v>1049</v>
      </c>
      <c r="AQ361" s="48">
        <v>42005</v>
      </c>
      <c r="AR361" s="48">
        <v>42369</v>
      </c>
      <c r="AS361" s="31"/>
      <c r="AT361" s="32"/>
      <c r="AU361" s="50">
        <f>AW361/BI360</f>
        <v>2.5179351032448376E-2</v>
      </c>
      <c r="AV361" s="36"/>
      <c r="AW361" s="78">
        <v>4267.8999999999996</v>
      </c>
      <c r="AX361" s="78"/>
      <c r="AY361" s="33"/>
      <c r="AZ361" s="34"/>
      <c r="BA361" s="35"/>
      <c r="BB361" s="35"/>
      <c r="BC361" s="78"/>
      <c r="BD361" s="78"/>
      <c r="BE361" s="78"/>
      <c r="BF361" s="35"/>
      <c r="BG361" s="36"/>
      <c r="BH361" s="35"/>
      <c r="BI361" s="35">
        <f>BI360+AW361</f>
        <v>173767.9</v>
      </c>
      <c r="BJ361" s="76"/>
      <c r="BK361" s="76"/>
      <c r="BL361" s="76"/>
      <c r="BM361" s="76"/>
      <c r="BN361" s="39">
        <f t="shared" si="36"/>
        <v>0</v>
      </c>
      <c r="BO361" s="36"/>
      <c r="BP361" s="40"/>
      <c r="BQ361" s="40"/>
      <c r="BR361" s="40"/>
      <c r="BS361" s="40"/>
      <c r="BT361" s="40"/>
      <c r="BU361" s="40"/>
      <c r="BV361" s="40"/>
      <c r="BW361" s="40"/>
      <c r="BX361" s="40"/>
      <c r="BY361" s="40"/>
      <c r="BZ361" s="40"/>
      <c r="CA361" s="40"/>
      <c r="CB361" s="155"/>
      <c r="CC361" s="155"/>
      <c r="CD361" s="155"/>
      <c r="CE361" s="155"/>
      <c r="CF361" s="155"/>
      <c r="CG361" s="155"/>
    </row>
    <row r="362" spans="1:85" customFormat="1" ht="24.95" customHeight="1">
      <c r="A362" s="155"/>
      <c r="B362" s="155"/>
      <c r="C362" s="155"/>
      <c r="D362" s="274"/>
      <c r="E362" s="274"/>
      <c r="F362" s="274"/>
      <c r="G362" s="53"/>
      <c r="H362" s="155"/>
      <c r="I362" s="36"/>
      <c r="J362" s="36"/>
      <c r="K362" s="36"/>
      <c r="L362" s="36"/>
      <c r="M362" s="155"/>
      <c r="N362" s="155"/>
      <c r="O362" s="155"/>
      <c r="P362" s="155"/>
      <c r="Q362" s="101"/>
      <c r="R362" s="101"/>
      <c r="S362" s="101"/>
      <c r="T362" s="103"/>
      <c r="U362" s="101"/>
      <c r="V362" s="123"/>
      <c r="W362" s="36"/>
      <c r="X362" s="35"/>
      <c r="Y362" s="155"/>
      <c r="Z362" s="155"/>
      <c r="AA362" s="155"/>
      <c r="AB362" s="155"/>
      <c r="AC362" s="155"/>
      <c r="AD362" s="155"/>
      <c r="AE362" s="155"/>
      <c r="AF362" s="155"/>
      <c r="AG362" s="155"/>
      <c r="AH362" s="36"/>
      <c r="AI362" s="35"/>
      <c r="AJ362" s="35"/>
      <c r="AK362" s="155"/>
      <c r="AL362" s="36" t="s">
        <v>978</v>
      </c>
      <c r="AM362" s="72" t="s">
        <v>194</v>
      </c>
      <c r="AN362" s="48">
        <v>42367</v>
      </c>
      <c r="AO362" s="49">
        <v>11719</v>
      </c>
      <c r="AP362" s="72" t="s">
        <v>1047</v>
      </c>
      <c r="AQ362" s="48">
        <v>42370</v>
      </c>
      <c r="AR362" s="48">
        <v>42735</v>
      </c>
      <c r="AS362" s="31"/>
      <c r="AT362" s="32"/>
      <c r="AU362" s="50"/>
      <c r="AV362" s="36"/>
      <c r="AW362" s="78"/>
      <c r="AX362" s="78"/>
      <c r="AY362" s="33"/>
      <c r="AZ362" s="34"/>
      <c r="BA362" s="35"/>
      <c r="BB362" s="35"/>
      <c r="BC362" s="78"/>
      <c r="BD362" s="78"/>
      <c r="BE362" s="78"/>
      <c r="BF362" s="35"/>
      <c r="BG362" s="36"/>
      <c r="BH362" s="35"/>
      <c r="BI362" s="35"/>
      <c r="BJ362" s="76"/>
      <c r="BK362" s="76"/>
      <c r="BL362" s="76"/>
      <c r="BM362" s="76"/>
      <c r="BN362" s="39">
        <f t="shared" si="36"/>
        <v>0</v>
      </c>
      <c r="BO362" s="36"/>
      <c r="BP362" s="40"/>
      <c r="BQ362" s="40"/>
      <c r="BR362" s="40"/>
      <c r="BS362" s="40"/>
      <c r="BT362" s="40"/>
      <c r="BU362" s="40"/>
      <c r="BV362" s="40"/>
      <c r="BW362" s="40"/>
      <c r="BX362" s="40"/>
      <c r="BY362" s="40"/>
      <c r="BZ362" s="40"/>
      <c r="CA362" s="40"/>
      <c r="CB362" s="155"/>
      <c r="CC362" s="155"/>
      <c r="CD362" s="155"/>
      <c r="CE362" s="155"/>
      <c r="CF362" s="155"/>
      <c r="CG362" s="155"/>
    </row>
    <row r="363" spans="1:85" customFormat="1" ht="24.95" customHeight="1">
      <c r="A363" s="155"/>
      <c r="B363" s="155"/>
      <c r="C363" s="155"/>
      <c r="D363" s="274"/>
      <c r="E363" s="274"/>
      <c r="F363" s="274"/>
      <c r="G363" s="53"/>
      <c r="H363" s="155"/>
      <c r="I363" s="36"/>
      <c r="J363" s="36"/>
      <c r="K363" s="36"/>
      <c r="L363" s="36"/>
      <c r="M363" s="155"/>
      <c r="N363" s="155"/>
      <c r="O363" s="155"/>
      <c r="P363" s="155"/>
      <c r="Q363" s="101"/>
      <c r="R363" s="101"/>
      <c r="S363" s="101"/>
      <c r="T363" s="103"/>
      <c r="U363" s="101"/>
      <c r="V363" s="123"/>
      <c r="W363" s="36"/>
      <c r="X363" s="35"/>
      <c r="Y363" s="155"/>
      <c r="Z363" s="155"/>
      <c r="AA363" s="155"/>
      <c r="AB363" s="155"/>
      <c r="AC363" s="155"/>
      <c r="AD363" s="155"/>
      <c r="AE363" s="155"/>
      <c r="AF363" s="155"/>
      <c r="AG363" s="155"/>
      <c r="AH363" s="36"/>
      <c r="AI363" s="35"/>
      <c r="AJ363" s="35"/>
      <c r="AK363" s="155"/>
      <c r="AL363" s="36" t="s">
        <v>978</v>
      </c>
      <c r="AM363" s="72" t="s">
        <v>202</v>
      </c>
      <c r="AN363" s="48">
        <v>42733</v>
      </c>
      <c r="AO363" s="49">
        <v>11984</v>
      </c>
      <c r="AP363" s="72" t="s">
        <v>1047</v>
      </c>
      <c r="AQ363" s="48">
        <v>42736</v>
      </c>
      <c r="AR363" s="48">
        <v>43100</v>
      </c>
      <c r="AS363" s="31"/>
      <c r="AT363" s="32"/>
      <c r="AU363" s="50"/>
      <c r="AV363" s="36"/>
      <c r="AW363" s="78"/>
      <c r="AX363" s="78"/>
      <c r="AY363" s="33"/>
      <c r="AZ363" s="34"/>
      <c r="BA363" s="35"/>
      <c r="BB363" s="35"/>
      <c r="BC363" s="78"/>
      <c r="BD363" s="78"/>
      <c r="BE363" s="78"/>
      <c r="BF363" s="35"/>
      <c r="BG363" s="36"/>
      <c r="BH363" s="35"/>
      <c r="BI363" s="35"/>
      <c r="BJ363" s="76"/>
      <c r="BK363" s="76"/>
      <c r="BL363" s="76"/>
      <c r="BM363" s="76"/>
      <c r="BN363" s="39">
        <f t="shared" si="36"/>
        <v>0</v>
      </c>
      <c r="BO363" s="36"/>
      <c r="BP363" s="40"/>
      <c r="BQ363" s="40"/>
      <c r="BR363" s="40"/>
      <c r="BS363" s="40"/>
      <c r="BT363" s="40"/>
      <c r="BU363" s="40"/>
      <c r="BV363" s="40"/>
      <c r="BW363" s="40"/>
      <c r="BX363" s="40"/>
      <c r="BY363" s="40"/>
      <c r="BZ363" s="40"/>
      <c r="CA363" s="40"/>
      <c r="CB363" s="155"/>
      <c r="CC363" s="155"/>
      <c r="CD363" s="155"/>
      <c r="CE363" s="155"/>
      <c r="CF363" s="155"/>
      <c r="CG363" s="155"/>
    </row>
    <row r="364" spans="1:85" customFormat="1" ht="24.95" customHeight="1">
      <c r="A364" s="155"/>
      <c r="B364" s="155"/>
      <c r="C364" s="155"/>
      <c r="D364" s="274"/>
      <c r="E364" s="274"/>
      <c r="F364" s="274"/>
      <c r="G364" s="53"/>
      <c r="H364" s="155"/>
      <c r="I364" s="36"/>
      <c r="J364" s="36"/>
      <c r="K364" s="36"/>
      <c r="L364" s="36"/>
      <c r="M364" s="155"/>
      <c r="N364" s="155"/>
      <c r="O364" s="155"/>
      <c r="P364" s="155"/>
      <c r="Q364" s="101"/>
      <c r="R364" s="101"/>
      <c r="S364" s="101"/>
      <c r="T364" s="103"/>
      <c r="U364" s="101"/>
      <c r="V364" s="123"/>
      <c r="W364" s="36"/>
      <c r="X364" s="35"/>
      <c r="Y364" s="155"/>
      <c r="Z364" s="155"/>
      <c r="AA364" s="155"/>
      <c r="AB364" s="155"/>
      <c r="AC364" s="155"/>
      <c r="AD364" s="155"/>
      <c r="AE364" s="155"/>
      <c r="AF364" s="155"/>
      <c r="AG364" s="155"/>
      <c r="AH364" s="36"/>
      <c r="AI364" s="35"/>
      <c r="AJ364" s="35"/>
      <c r="AK364" s="155"/>
      <c r="AL364" s="36" t="s">
        <v>189</v>
      </c>
      <c r="AM364" s="72" t="s">
        <v>1050</v>
      </c>
      <c r="AN364" s="48">
        <v>43096</v>
      </c>
      <c r="AO364" s="49">
        <v>12214</v>
      </c>
      <c r="AP364" s="72" t="s">
        <v>1047</v>
      </c>
      <c r="AQ364" s="48">
        <v>43101</v>
      </c>
      <c r="AR364" s="48">
        <v>43465</v>
      </c>
      <c r="AS364" s="31"/>
      <c r="AT364" s="32"/>
      <c r="AU364" s="50"/>
      <c r="AV364" s="36"/>
      <c r="AW364" s="78"/>
      <c r="AX364" s="78"/>
      <c r="AY364" s="33"/>
      <c r="AZ364" s="34"/>
      <c r="BA364" s="35"/>
      <c r="BB364" s="35"/>
      <c r="BC364" s="78"/>
      <c r="BD364" s="78"/>
      <c r="BE364" s="78"/>
      <c r="BF364" s="35"/>
      <c r="BG364" s="36"/>
      <c r="BH364" s="35"/>
      <c r="BI364" s="42">
        <f>16133.07*12</f>
        <v>193596.84</v>
      </c>
      <c r="BJ364" s="76"/>
      <c r="BK364" s="76"/>
      <c r="BL364" s="76"/>
      <c r="BM364" s="76"/>
      <c r="BN364" s="39">
        <f t="shared" si="36"/>
        <v>0</v>
      </c>
      <c r="BO364" s="36"/>
      <c r="BP364" s="40"/>
      <c r="BQ364" s="40"/>
      <c r="BR364" s="40"/>
      <c r="BS364" s="40"/>
      <c r="BT364" s="40"/>
      <c r="BU364" s="40"/>
      <c r="BV364" s="40"/>
      <c r="BW364" s="40"/>
      <c r="BX364" s="40"/>
      <c r="BY364" s="40"/>
      <c r="BZ364" s="40"/>
      <c r="CA364" s="40"/>
      <c r="CB364" s="155"/>
      <c r="CC364" s="155"/>
      <c r="CD364" s="155"/>
      <c r="CE364" s="155"/>
      <c r="CF364" s="155"/>
      <c r="CG364" s="155"/>
    </row>
    <row r="365" spans="1:85" customFormat="1" ht="24.95" customHeight="1">
      <c r="A365" s="155"/>
      <c r="B365" s="155"/>
      <c r="C365" s="155"/>
      <c r="D365" s="274"/>
      <c r="E365" s="274"/>
      <c r="F365" s="274"/>
      <c r="G365" s="53"/>
      <c r="H365" s="155"/>
      <c r="I365" s="36"/>
      <c r="J365" s="36"/>
      <c r="K365" s="36"/>
      <c r="L365" s="36"/>
      <c r="M365" s="155"/>
      <c r="N365" s="155"/>
      <c r="O365" s="155"/>
      <c r="P365" s="155"/>
      <c r="Q365" s="101"/>
      <c r="R365" s="101"/>
      <c r="S365" s="101"/>
      <c r="T365" s="103"/>
      <c r="U365" s="101"/>
      <c r="V365" s="123"/>
      <c r="W365" s="36"/>
      <c r="X365" s="35"/>
      <c r="Y365" s="155"/>
      <c r="Z365" s="155"/>
      <c r="AA365" s="155"/>
      <c r="AB365" s="155"/>
      <c r="AC365" s="155"/>
      <c r="AD365" s="155"/>
      <c r="AE365" s="155"/>
      <c r="AF365" s="155"/>
      <c r="AG365" s="155"/>
      <c r="AH365" s="36"/>
      <c r="AI365" s="35"/>
      <c r="AJ365" s="35"/>
      <c r="AK365" s="155"/>
      <c r="AL365" s="36" t="s">
        <v>189</v>
      </c>
      <c r="AM365" s="72" t="s">
        <v>1051</v>
      </c>
      <c r="AN365" s="48">
        <v>43452</v>
      </c>
      <c r="AO365" s="49">
        <v>12457</v>
      </c>
      <c r="AP365" s="72" t="s">
        <v>1047</v>
      </c>
      <c r="AQ365" s="48">
        <v>43466</v>
      </c>
      <c r="AR365" s="48">
        <v>43830</v>
      </c>
      <c r="AS365" s="31"/>
      <c r="AT365" s="32"/>
      <c r="AU365" s="50"/>
      <c r="AV365" s="36"/>
      <c r="AW365" s="78"/>
      <c r="AX365" s="78"/>
      <c r="AY365" s="33"/>
      <c r="AZ365" s="34"/>
      <c r="BA365" s="35"/>
      <c r="BB365" s="35"/>
      <c r="BC365" s="78"/>
      <c r="BD365" s="78"/>
      <c r="BE365" s="78"/>
      <c r="BF365" s="35"/>
      <c r="BG365" s="36"/>
      <c r="BH365" s="35"/>
      <c r="BI365" s="35"/>
      <c r="BJ365" s="76"/>
      <c r="BK365" s="76"/>
      <c r="BL365" s="76"/>
      <c r="BM365" s="76"/>
      <c r="BN365" s="39">
        <f t="shared" si="36"/>
        <v>0</v>
      </c>
      <c r="BO365" s="36"/>
      <c r="BP365" s="40"/>
      <c r="BQ365" s="40"/>
      <c r="BR365" s="40"/>
      <c r="BS365" s="40"/>
      <c r="BT365" s="40"/>
      <c r="BU365" s="40"/>
      <c r="BV365" s="40"/>
      <c r="BW365" s="40"/>
      <c r="BX365" s="40"/>
      <c r="BY365" s="40"/>
      <c r="BZ365" s="40"/>
      <c r="CA365" s="40"/>
      <c r="CB365" s="155"/>
      <c r="CC365" s="155"/>
      <c r="CD365" s="155"/>
      <c r="CE365" s="155"/>
      <c r="CF365" s="155"/>
      <c r="CG365" s="155"/>
    </row>
    <row r="366" spans="1:85" customFormat="1" ht="24.95" customHeight="1">
      <c r="A366" s="155"/>
      <c r="B366" s="155"/>
      <c r="C366" s="155"/>
      <c r="D366" s="274"/>
      <c r="E366" s="274"/>
      <c r="F366" s="274"/>
      <c r="G366" s="53"/>
      <c r="H366" s="155"/>
      <c r="I366" s="36"/>
      <c r="J366" s="36"/>
      <c r="K366" s="36"/>
      <c r="L366" s="36"/>
      <c r="M366" s="155"/>
      <c r="N366" s="155"/>
      <c r="O366" s="155"/>
      <c r="P366" s="155"/>
      <c r="Q366" s="101"/>
      <c r="R366" s="101"/>
      <c r="S366" s="101"/>
      <c r="T366" s="103"/>
      <c r="U366" s="101"/>
      <c r="V366" s="123"/>
      <c r="W366" s="36"/>
      <c r="X366" s="35"/>
      <c r="Y366" s="155"/>
      <c r="Z366" s="155"/>
      <c r="AA366" s="155"/>
      <c r="AB366" s="155"/>
      <c r="AC366" s="155"/>
      <c r="AD366" s="155"/>
      <c r="AE366" s="155"/>
      <c r="AF366" s="155"/>
      <c r="AG366" s="155"/>
      <c r="AH366" s="36"/>
      <c r="AI366" s="35"/>
      <c r="AJ366" s="35"/>
      <c r="AK366" s="155"/>
      <c r="AL366" s="36" t="s">
        <v>189</v>
      </c>
      <c r="AM366" s="72" t="s">
        <v>1052</v>
      </c>
      <c r="AN366" s="48">
        <v>43829</v>
      </c>
      <c r="AO366" s="49">
        <v>12715</v>
      </c>
      <c r="AP366" s="72" t="s">
        <v>1053</v>
      </c>
      <c r="AQ366" s="48">
        <v>43831</v>
      </c>
      <c r="AR366" s="48">
        <v>44013</v>
      </c>
      <c r="AS366" s="31"/>
      <c r="AT366" s="32"/>
      <c r="AU366" s="50"/>
      <c r="AV366" s="36"/>
      <c r="AW366" s="78"/>
      <c r="AX366" s="78"/>
      <c r="AY366" s="33"/>
      <c r="AZ366" s="34"/>
      <c r="BA366" s="35"/>
      <c r="BB366" s="35"/>
      <c r="BC366" s="78"/>
      <c r="BD366" s="78"/>
      <c r="BE366" s="78"/>
      <c r="BF366" s="35"/>
      <c r="BG366" s="36"/>
      <c r="BH366" s="35"/>
      <c r="BI366" s="35"/>
      <c r="BJ366" s="76"/>
      <c r="BK366" s="76"/>
      <c r="BL366" s="76"/>
      <c r="BM366" s="76"/>
      <c r="BN366" s="39">
        <f t="shared" si="36"/>
        <v>0</v>
      </c>
      <c r="BO366" s="36"/>
      <c r="BP366" s="40"/>
      <c r="BQ366" s="40"/>
      <c r="BR366" s="40"/>
      <c r="BS366" s="40"/>
      <c r="BT366" s="40"/>
      <c r="BU366" s="40"/>
      <c r="BV366" s="40"/>
      <c r="BW366" s="40"/>
      <c r="BX366" s="40"/>
      <c r="BY366" s="40"/>
      <c r="BZ366" s="40"/>
      <c r="CA366" s="40"/>
      <c r="CB366" s="155"/>
      <c r="CC366" s="155"/>
      <c r="CD366" s="155"/>
      <c r="CE366" s="155"/>
      <c r="CF366" s="155"/>
      <c r="CG366" s="155"/>
    </row>
    <row r="367" spans="1:85" customFormat="1" ht="24.95" customHeight="1">
      <c r="A367" s="155"/>
      <c r="B367" s="155"/>
      <c r="C367" s="155"/>
      <c r="D367" s="274"/>
      <c r="E367" s="274"/>
      <c r="F367" s="274"/>
      <c r="G367" s="53"/>
      <c r="H367" s="155"/>
      <c r="I367" s="36"/>
      <c r="J367" s="36"/>
      <c r="K367" s="36"/>
      <c r="L367" s="36"/>
      <c r="M367" s="155"/>
      <c r="N367" s="155"/>
      <c r="O367" s="155"/>
      <c r="P367" s="155"/>
      <c r="Q367" s="101"/>
      <c r="R367" s="101"/>
      <c r="S367" s="101"/>
      <c r="T367" s="103"/>
      <c r="U367" s="101"/>
      <c r="V367" s="123"/>
      <c r="W367" s="36"/>
      <c r="X367" s="35"/>
      <c r="Y367" s="155"/>
      <c r="Z367" s="155"/>
      <c r="AA367" s="155"/>
      <c r="AB367" s="155"/>
      <c r="AC367" s="155"/>
      <c r="AD367" s="155"/>
      <c r="AE367" s="155"/>
      <c r="AF367" s="155"/>
      <c r="AG367" s="155"/>
      <c r="AH367" s="36"/>
      <c r="AI367" s="35"/>
      <c r="AJ367" s="35"/>
      <c r="AK367" s="155"/>
      <c r="AL367" s="36" t="s">
        <v>189</v>
      </c>
      <c r="AM367" s="72" t="s">
        <v>1054</v>
      </c>
      <c r="AN367" s="48">
        <v>44012</v>
      </c>
      <c r="AO367" s="49">
        <v>12832</v>
      </c>
      <c r="AP367" s="72" t="s">
        <v>1053</v>
      </c>
      <c r="AQ367" s="48">
        <v>44014</v>
      </c>
      <c r="AR367" s="48">
        <v>44196</v>
      </c>
      <c r="AS367" s="31"/>
      <c r="AT367" s="32"/>
      <c r="AU367" s="50"/>
      <c r="AV367" s="36"/>
      <c r="AW367" s="78"/>
      <c r="AX367" s="78"/>
      <c r="AY367" s="33"/>
      <c r="AZ367" s="34"/>
      <c r="BA367" s="35"/>
      <c r="BB367" s="35"/>
      <c r="BC367" s="78"/>
      <c r="BD367" s="78"/>
      <c r="BE367" s="78"/>
      <c r="BF367" s="35"/>
      <c r="BG367" s="36"/>
      <c r="BH367" s="35"/>
      <c r="BI367" s="35"/>
      <c r="BJ367" s="76"/>
      <c r="BK367" s="76"/>
      <c r="BL367" s="76"/>
      <c r="BM367" s="76"/>
      <c r="BN367" s="39">
        <f t="shared" si="36"/>
        <v>0</v>
      </c>
      <c r="BO367" s="36"/>
      <c r="BP367" s="40"/>
      <c r="BQ367" s="40"/>
      <c r="BR367" s="40"/>
      <c r="BS367" s="40"/>
      <c r="BT367" s="40"/>
      <c r="BU367" s="40"/>
      <c r="BV367" s="40"/>
      <c r="BW367" s="40"/>
      <c r="BX367" s="40"/>
      <c r="BY367" s="40"/>
      <c r="BZ367" s="40"/>
      <c r="CA367" s="40"/>
      <c r="CB367" s="155"/>
      <c r="CC367" s="155"/>
      <c r="CD367" s="155"/>
      <c r="CE367" s="155"/>
      <c r="CF367" s="155"/>
      <c r="CG367" s="155"/>
    </row>
    <row r="368" spans="1:85" customFormat="1" ht="24.95" customHeight="1">
      <c r="A368" s="155"/>
      <c r="B368" s="155"/>
      <c r="C368" s="155"/>
      <c r="D368" s="274"/>
      <c r="E368" s="274"/>
      <c r="F368" s="274"/>
      <c r="G368" s="53"/>
      <c r="H368" s="155"/>
      <c r="I368" s="36"/>
      <c r="J368" s="36"/>
      <c r="K368" s="36"/>
      <c r="L368" s="36"/>
      <c r="M368" s="155"/>
      <c r="N368" s="155"/>
      <c r="O368" s="155"/>
      <c r="P368" s="155"/>
      <c r="Q368" s="101"/>
      <c r="R368" s="101"/>
      <c r="S368" s="101"/>
      <c r="T368" s="103"/>
      <c r="U368" s="101"/>
      <c r="V368" s="123"/>
      <c r="W368" s="36"/>
      <c r="X368" s="35"/>
      <c r="Y368" s="155"/>
      <c r="Z368" s="155"/>
      <c r="AA368" s="155"/>
      <c r="AB368" s="155"/>
      <c r="AC368" s="155"/>
      <c r="AD368" s="155"/>
      <c r="AE368" s="155"/>
      <c r="AF368" s="155"/>
      <c r="AG368" s="155"/>
      <c r="AH368" s="36"/>
      <c r="AI368" s="35"/>
      <c r="AJ368" s="35"/>
      <c r="AK368" s="155"/>
      <c r="AL368" s="36" t="s">
        <v>189</v>
      </c>
      <c r="AM368" s="72" t="s">
        <v>1055</v>
      </c>
      <c r="AN368" s="48">
        <v>44197</v>
      </c>
      <c r="AO368" s="49">
        <v>12947</v>
      </c>
      <c r="AP368" s="72" t="s">
        <v>1047</v>
      </c>
      <c r="AQ368" s="48">
        <v>44197</v>
      </c>
      <c r="AR368" s="48">
        <v>44561</v>
      </c>
      <c r="AS368" s="31"/>
      <c r="AT368" s="32"/>
      <c r="AU368" s="50"/>
      <c r="AV368" s="36"/>
      <c r="AW368" s="78"/>
      <c r="AX368" s="78"/>
      <c r="AY368" s="33"/>
      <c r="AZ368" s="34"/>
      <c r="BA368" s="35"/>
      <c r="BB368" s="35"/>
      <c r="BC368" s="78"/>
      <c r="BD368" s="78"/>
      <c r="BE368" s="78"/>
      <c r="BF368" s="35"/>
      <c r="BG368" s="36"/>
      <c r="BH368" s="35"/>
      <c r="BI368" s="35"/>
      <c r="BJ368" s="76"/>
      <c r="BK368" s="76"/>
      <c r="BL368" s="76"/>
      <c r="BM368" s="76"/>
      <c r="BN368" s="39">
        <f t="shared" si="36"/>
        <v>0</v>
      </c>
      <c r="BO368" s="36"/>
      <c r="BP368" s="40"/>
      <c r="BQ368" s="40"/>
      <c r="BR368" s="40"/>
      <c r="BS368" s="40"/>
      <c r="BT368" s="40"/>
      <c r="BU368" s="40"/>
      <c r="BV368" s="40"/>
      <c r="BW368" s="40"/>
      <c r="BX368" s="40"/>
      <c r="BY368" s="40"/>
      <c r="BZ368" s="40"/>
      <c r="CA368" s="40"/>
      <c r="CB368" s="155"/>
      <c r="CC368" s="155"/>
      <c r="CD368" s="155"/>
      <c r="CE368" s="155"/>
      <c r="CF368" s="155"/>
      <c r="CG368" s="155"/>
    </row>
    <row r="369" spans="1:85" customFormat="1" ht="24.95" customHeight="1">
      <c r="A369" s="155"/>
      <c r="B369" s="155"/>
      <c r="C369" s="155"/>
      <c r="D369" s="274"/>
      <c r="E369" s="274"/>
      <c r="F369" s="274"/>
      <c r="G369" s="53"/>
      <c r="H369" s="155"/>
      <c r="I369" s="36"/>
      <c r="J369" s="36"/>
      <c r="K369" s="36"/>
      <c r="L369" s="36"/>
      <c r="M369" s="155"/>
      <c r="N369" s="155"/>
      <c r="O369" s="155"/>
      <c r="P369" s="155"/>
      <c r="Q369" s="101"/>
      <c r="R369" s="101"/>
      <c r="S369" s="101"/>
      <c r="T369" s="103"/>
      <c r="U369" s="101"/>
      <c r="V369" s="123"/>
      <c r="W369" s="36"/>
      <c r="X369" s="35"/>
      <c r="Y369" s="155"/>
      <c r="Z369" s="155"/>
      <c r="AA369" s="155"/>
      <c r="AB369" s="155"/>
      <c r="AC369" s="155"/>
      <c r="AD369" s="155"/>
      <c r="AE369" s="155"/>
      <c r="AF369" s="155"/>
      <c r="AG369" s="155"/>
      <c r="AH369" s="36"/>
      <c r="AI369" s="35"/>
      <c r="AJ369" s="35"/>
      <c r="AK369" s="155"/>
      <c r="AL369" s="36" t="s">
        <v>189</v>
      </c>
      <c r="AM369" s="72" t="s">
        <v>1056</v>
      </c>
      <c r="AN369" s="48">
        <v>44257</v>
      </c>
      <c r="AO369" s="49">
        <v>12992</v>
      </c>
      <c r="AP369" s="72" t="s">
        <v>1057</v>
      </c>
      <c r="AQ369" s="48">
        <v>44197</v>
      </c>
      <c r="AR369" s="48">
        <v>44561</v>
      </c>
      <c r="AS369" s="31"/>
      <c r="AT369" s="32"/>
      <c r="AU369" s="50"/>
      <c r="AV369" s="36"/>
      <c r="AW369" s="78"/>
      <c r="AX369" s="78"/>
      <c r="AY369" s="33"/>
      <c r="AZ369" s="34"/>
      <c r="BA369" s="35"/>
      <c r="BB369" s="35"/>
      <c r="BC369" s="78"/>
      <c r="BD369" s="78"/>
      <c r="BE369" s="78"/>
      <c r="BF369" s="35"/>
      <c r="BG369" s="36"/>
      <c r="BH369" s="35"/>
      <c r="BI369" s="35"/>
      <c r="BJ369" s="76"/>
      <c r="BK369" s="76"/>
      <c r="BL369" s="76"/>
      <c r="BM369" s="76"/>
      <c r="BN369" s="39">
        <f t="shared" si="36"/>
        <v>0</v>
      </c>
      <c r="BO369" s="36"/>
      <c r="BP369" s="40"/>
      <c r="BQ369" s="40"/>
      <c r="BR369" s="40"/>
      <c r="BS369" s="40"/>
      <c r="BT369" s="40"/>
      <c r="BU369" s="40"/>
      <c r="BV369" s="40"/>
      <c r="BW369" s="40"/>
      <c r="BX369" s="40"/>
      <c r="BY369" s="40"/>
      <c r="BZ369" s="40"/>
      <c r="CA369" s="40"/>
      <c r="CB369" s="155"/>
      <c r="CC369" s="155"/>
      <c r="CD369" s="155"/>
      <c r="CE369" s="155"/>
      <c r="CF369" s="155"/>
      <c r="CG369" s="155"/>
    </row>
    <row r="370" spans="1:85" customFormat="1" ht="24.95" customHeight="1">
      <c r="A370" s="155"/>
      <c r="B370" s="155"/>
      <c r="C370" s="155"/>
      <c r="D370" s="274"/>
      <c r="E370" s="274"/>
      <c r="F370" s="274"/>
      <c r="G370" s="53"/>
      <c r="H370" s="155"/>
      <c r="I370" s="36"/>
      <c r="J370" s="36"/>
      <c r="K370" s="36"/>
      <c r="L370" s="36"/>
      <c r="M370" s="155"/>
      <c r="N370" s="155"/>
      <c r="O370" s="155"/>
      <c r="P370" s="155"/>
      <c r="Q370" s="101"/>
      <c r="R370" s="101"/>
      <c r="S370" s="101"/>
      <c r="T370" s="103"/>
      <c r="U370" s="101"/>
      <c r="V370" s="123"/>
      <c r="W370" s="36"/>
      <c r="X370" s="35"/>
      <c r="Y370" s="155"/>
      <c r="Z370" s="155"/>
      <c r="AA370" s="155"/>
      <c r="AB370" s="155"/>
      <c r="AC370" s="155"/>
      <c r="AD370" s="155"/>
      <c r="AE370" s="155"/>
      <c r="AF370" s="155"/>
      <c r="AG370" s="155"/>
      <c r="AH370" s="36"/>
      <c r="AI370" s="35"/>
      <c r="AJ370" s="35"/>
      <c r="AK370" s="155"/>
      <c r="AL370" s="36" t="s">
        <v>189</v>
      </c>
      <c r="AM370" s="72" t="s">
        <v>1058</v>
      </c>
      <c r="AN370" s="48">
        <v>44287</v>
      </c>
      <c r="AO370" s="49">
        <v>13024</v>
      </c>
      <c r="AP370" s="72" t="s">
        <v>1047</v>
      </c>
      <c r="AQ370" s="48">
        <v>44287</v>
      </c>
      <c r="AR370" s="48">
        <v>44651</v>
      </c>
      <c r="AS370" s="31"/>
      <c r="AT370" s="32"/>
      <c r="AU370" s="50"/>
      <c r="AV370" s="36"/>
      <c r="AW370" s="78"/>
      <c r="AX370" s="78"/>
      <c r="AY370" s="33"/>
      <c r="AZ370" s="34"/>
      <c r="BA370" s="35"/>
      <c r="BB370" s="35"/>
      <c r="BC370" s="78"/>
      <c r="BD370" s="78"/>
      <c r="BE370" s="78"/>
      <c r="BF370" s="35"/>
      <c r="BG370" s="36"/>
      <c r="BH370" s="35"/>
      <c r="BI370" s="35"/>
      <c r="BJ370" s="76"/>
      <c r="BK370" s="76"/>
      <c r="BL370" s="76"/>
      <c r="BM370" s="76"/>
      <c r="BN370" s="39">
        <f t="shared" si="36"/>
        <v>0</v>
      </c>
      <c r="BO370" s="36"/>
      <c r="BP370" s="40"/>
      <c r="BQ370" s="40"/>
      <c r="BR370" s="40"/>
      <c r="BS370" s="40"/>
      <c r="BT370" s="40"/>
      <c r="BU370" s="40"/>
      <c r="BV370" s="40"/>
      <c r="BW370" s="40"/>
      <c r="BX370" s="40"/>
      <c r="BY370" s="40"/>
      <c r="BZ370" s="40"/>
      <c r="CA370" s="40"/>
      <c r="CB370" s="155"/>
      <c r="CC370" s="155"/>
      <c r="CD370" s="155"/>
      <c r="CE370" s="155"/>
      <c r="CF370" s="155"/>
      <c r="CG370" s="155"/>
    </row>
    <row r="371" spans="1:85" customFormat="1" ht="24.95" customHeight="1">
      <c r="A371" s="155"/>
      <c r="B371" s="155"/>
      <c r="C371" s="155"/>
      <c r="D371" s="274"/>
      <c r="E371" s="274"/>
      <c r="F371" s="274"/>
      <c r="G371" s="53"/>
      <c r="H371" s="155"/>
      <c r="I371" s="36"/>
      <c r="J371" s="36"/>
      <c r="K371" s="36"/>
      <c r="L371" s="36"/>
      <c r="M371" s="155"/>
      <c r="N371" s="155"/>
      <c r="O371" s="155"/>
      <c r="P371" s="155"/>
      <c r="Q371" s="101"/>
      <c r="R371" s="101"/>
      <c r="S371" s="101"/>
      <c r="T371" s="103"/>
      <c r="U371" s="101"/>
      <c r="V371" s="123"/>
      <c r="W371" s="36"/>
      <c r="X371" s="35"/>
      <c r="Y371" s="155"/>
      <c r="Z371" s="155"/>
      <c r="AA371" s="155"/>
      <c r="AB371" s="155"/>
      <c r="AC371" s="155"/>
      <c r="AD371" s="155"/>
      <c r="AE371" s="155"/>
      <c r="AF371" s="155"/>
      <c r="AG371" s="155"/>
      <c r="AH371" s="36"/>
      <c r="AI371" s="35"/>
      <c r="AJ371" s="35"/>
      <c r="AK371" s="155"/>
      <c r="AL371" s="36" t="s">
        <v>189</v>
      </c>
      <c r="AM371" s="72" t="s">
        <v>1059</v>
      </c>
      <c r="AN371" s="48">
        <v>44643</v>
      </c>
      <c r="AO371" s="49">
        <v>13255</v>
      </c>
      <c r="AP371" s="72" t="s">
        <v>1047</v>
      </c>
      <c r="AQ371" s="48">
        <v>44652</v>
      </c>
      <c r="AR371" s="48">
        <v>45016</v>
      </c>
      <c r="AS371" s="31"/>
      <c r="AT371" s="32"/>
      <c r="AU371" s="50"/>
      <c r="AV371" s="36"/>
      <c r="AW371" s="78"/>
      <c r="AX371" s="78"/>
      <c r="AY371" s="33"/>
      <c r="AZ371" s="34"/>
      <c r="BA371" s="35"/>
      <c r="BB371" s="35"/>
      <c r="BC371" s="78"/>
      <c r="BD371" s="78"/>
      <c r="BE371" s="78"/>
      <c r="BF371" s="35"/>
      <c r="BG371" s="36"/>
      <c r="BH371" s="35"/>
      <c r="BI371" s="35"/>
      <c r="BJ371" s="76"/>
      <c r="BK371" s="76"/>
      <c r="BL371" s="76"/>
      <c r="BM371" s="76"/>
      <c r="BN371" s="39">
        <f t="shared" si="36"/>
        <v>0</v>
      </c>
      <c r="BO371" s="36"/>
      <c r="BP371" s="40"/>
      <c r="BQ371" s="40"/>
      <c r="BR371" s="40"/>
      <c r="BS371" s="40"/>
      <c r="BT371" s="40"/>
      <c r="BU371" s="40"/>
      <c r="BV371" s="40"/>
      <c r="BW371" s="40"/>
      <c r="BX371" s="40"/>
      <c r="BY371" s="40"/>
      <c r="BZ371" s="40"/>
      <c r="CA371" s="40"/>
      <c r="CB371" s="155"/>
      <c r="CC371" s="155"/>
      <c r="CD371" s="155"/>
      <c r="CE371" s="155"/>
      <c r="CF371" s="155"/>
      <c r="CG371" s="155"/>
    </row>
    <row r="372" spans="1:85" customFormat="1" ht="24.95" customHeight="1">
      <c r="A372" s="155"/>
      <c r="B372" s="155"/>
      <c r="C372" s="155"/>
      <c r="D372" s="274"/>
      <c r="E372" s="274"/>
      <c r="F372" s="274"/>
      <c r="G372" s="53"/>
      <c r="H372" s="155"/>
      <c r="I372" s="36"/>
      <c r="J372" s="36"/>
      <c r="K372" s="36"/>
      <c r="L372" s="36"/>
      <c r="M372" s="155"/>
      <c r="N372" s="155"/>
      <c r="O372" s="155"/>
      <c r="P372" s="155"/>
      <c r="Q372" s="101"/>
      <c r="R372" s="101"/>
      <c r="S372" s="101"/>
      <c r="T372" s="103"/>
      <c r="U372" s="101"/>
      <c r="V372" s="123"/>
      <c r="W372" s="36"/>
      <c r="X372" s="35"/>
      <c r="Y372" s="155"/>
      <c r="Z372" s="155"/>
      <c r="AA372" s="155"/>
      <c r="AB372" s="155"/>
      <c r="AC372" s="155"/>
      <c r="AD372" s="155"/>
      <c r="AE372" s="155"/>
      <c r="AF372" s="155"/>
      <c r="AG372" s="155"/>
      <c r="AH372" s="36"/>
      <c r="AI372" s="35"/>
      <c r="AJ372" s="35"/>
      <c r="AK372" s="155"/>
      <c r="AL372" s="36" t="s">
        <v>189</v>
      </c>
      <c r="AM372" s="72" t="s">
        <v>1060</v>
      </c>
      <c r="AN372" s="48">
        <v>45016</v>
      </c>
      <c r="AO372" s="49">
        <v>13506</v>
      </c>
      <c r="AP372" s="72" t="s">
        <v>637</v>
      </c>
      <c r="AQ372" s="48">
        <v>45017</v>
      </c>
      <c r="AR372" s="48">
        <v>45382</v>
      </c>
      <c r="AS372" s="31"/>
      <c r="AT372" s="32"/>
      <c r="AU372" s="50"/>
      <c r="AV372" s="36"/>
      <c r="AW372" s="78"/>
      <c r="AX372" s="78"/>
      <c r="AY372" s="33"/>
      <c r="AZ372" s="34"/>
      <c r="BA372" s="35"/>
      <c r="BB372" s="35"/>
      <c r="BC372" s="78"/>
      <c r="BD372" s="78"/>
      <c r="BE372" s="78"/>
      <c r="BF372" s="35"/>
      <c r="BG372" s="36"/>
      <c r="BH372" s="35"/>
      <c r="BI372" s="35"/>
      <c r="BJ372" s="76"/>
      <c r="BK372" s="76"/>
      <c r="BL372" s="76"/>
      <c r="BM372" s="76"/>
      <c r="BN372" s="39">
        <f t="shared" si="36"/>
        <v>0</v>
      </c>
      <c r="BO372" s="36"/>
      <c r="BP372" s="40"/>
      <c r="BQ372" s="40"/>
      <c r="BR372" s="40"/>
      <c r="BS372" s="40"/>
      <c r="BT372" s="40"/>
      <c r="BU372" s="40"/>
      <c r="BV372" s="40"/>
      <c r="BW372" s="40"/>
      <c r="BX372" s="40"/>
      <c r="BY372" s="40"/>
      <c r="BZ372" s="40"/>
      <c r="CA372" s="40"/>
      <c r="CB372" s="155"/>
      <c r="CC372" s="155"/>
      <c r="CD372" s="155"/>
      <c r="CE372" s="155"/>
      <c r="CF372" s="155"/>
      <c r="CG372" s="155"/>
    </row>
    <row r="373" spans="1:85" customFormat="1" ht="24.95" customHeight="1">
      <c r="A373" s="155"/>
      <c r="B373" s="155"/>
      <c r="C373" s="155"/>
      <c r="D373" s="274"/>
      <c r="E373" s="274"/>
      <c r="F373" s="274"/>
      <c r="G373" s="53"/>
      <c r="H373" s="155"/>
      <c r="I373" s="36"/>
      <c r="J373" s="36"/>
      <c r="K373" s="36"/>
      <c r="L373" s="36"/>
      <c r="M373" s="155"/>
      <c r="N373" s="155"/>
      <c r="O373" s="155"/>
      <c r="P373" s="155"/>
      <c r="Q373" s="101"/>
      <c r="R373" s="101"/>
      <c r="S373" s="101"/>
      <c r="T373" s="103"/>
      <c r="U373" s="101"/>
      <c r="V373" s="123"/>
      <c r="W373" s="36"/>
      <c r="X373" s="35"/>
      <c r="Y373" s="155"/>
      <c r="Z373" s="155"/>
      <c r="AA373" s="155"/>
      <c r="AB373" s="155"/>
      <c r="AC373" s="155"/>
      <c r="AD373" s="155"/>
      <c r="AE373" s="155"/>
      <c r="AF373" s="155"/>
      <c r="AG373" s="155"/>
      <c r="AH373" s="36"/>
      <c r="AI373" s="35"/>
      <c r="AJ373" s="35"/>
      <c r="AK373" s="155"/>
      <c r="AL373" s="36" t="s">
        <v>189</v>
      </c>
      <c r="AM373" s="72" t="s">
        <v>1061</v>
      </c>
      <c r="AN373" s="48">
        <v>45738</v>
      </c>
      <c r="AO373" s="49">
        <v>13743</v>
      </c>
      <c r="AP373" s="72" t="s">
        <v>637</v>
      </c>
      <c r="AQ373" s="48">
        <v>45383</v>
      </c>
      <c r="AR373" s="48">
        <v>45747</v>
      </c>
      <c r="AS373" s="31"/>
      <c r="AT373" s="32"/>
      <c r="AU373" s="50"/>
      <c r="AV373" s="36"/>
      <c r="AW373" s="78"/>
      <c r="AX373" s="78"/>
      <c r="AY373" s="33"/>
      <c r="AZ373" s="34"/>
      <c r="BA373" s="35"/>
      <c r="BB373" s="35"/>
      <c r="BC373" s="78"/>
      <c r="BD373" s="78"/>
      <c r="BE373" s="78"/>
      <c r="BF373" s="35"/>
      <c r="BG373" s="36"/>
      <c r="BH373" s="35"/>
      <c r="BI373" s="35"/>
      <c r="BJ373" s="76"/>
      <c r="BK373" s="76"/>
      <c r="BL373" s="76"/>
      <c r="BM373" s="76"/>
      <c r="BN373" s="39">
        <f t="shared" si="36"/>
        <v>0</v>
      </c>
      <c r="BO373" s="36"/>
      <c r="BP373" s="40"/>
      <c r="BQ373" s="40"/>
      <c r="BR373" s="40"/>
      <c r="BS373" s="40"/>
      <c r="BT373" s="40"/>
      <c r="BU373" s="40"/>
      <c r="BV373" s="40"/>
      <c r="BW373" s="40"/>
      <c r="BX373" s="40"/>
      <c r="BY373" s="40"/>
      <c r="BZ373" s="40"/>
      <c r="CA373" s="40"/>
      <c r="CB373" s="155"/>
      <c r="CC373" s="155"/>
      <c r="CD373" s="155"/>
      <c r="CE373" s="155"/>
      <c r="CF373" s="155"/>
      <c r="CG373" s="155"/>
    </row>
    <row r="374" spans="1:85" customFormat="1" ht="24.95" customHeight="1">
      <c r="A374" s="155"/>
      <c r="B374" s="155"/>
      <c r="C374" s="155"/>
      <c r="D374" s="274"/>
      <c r="E374" s="274"/>
      <c r="F374" s="274"/>
      <c r="G374" s="53"/>
      <c r="H374" s="155"/>
      <c r="I374" s="36"/>
      <c r="J374" s="36"/>
      <c r="K374" s="36"/>
      <c r="L374" s="36"/>
      <c r="M374" s="155"/>
      <c r="N374" s="155"/>
      <c r="O374" s="155"/>
      <c r="P374" s="155"/>
      <c r="Q374" s="101"/>
      <c r="R374" s="101"/>
      <c r="S374" s="101"/>
      <c r="T374" s="103"/>
      <c r="U374" s="101"/>
      <c r="V374" s="123"/>
      <c r="W374" s="36"/>
      <c r="X374" s="35"/>
      <c r="Y374" s="155"/>
      <c r="Z374" s="155"/>
      <c r="AA374" s="155"/>
      <c r="AB374" s="155"/>
      <c r="AC374" s="155"/>
      <c r="AD374" s="155"/>
      <c r="AE374" s="155"/>
      <c r="AF374" s="155"/>
      <c r="AG374" s="155"/>
      <c r="AH374" s="36"/>
      <c r="AI374" s="35"/>
      <c r="AJ374" s="35"/>
      <c r="AK374" s="155"/>
      <c r="AL374" s="36" t="s">
        <v>189</v>
      </c>
      <c r="AM374" s="72" t="s">
        <v>1062</v>
      </c>
      <c r="AN374" s="48">
        <v>45744</v>
      </c>
      <c r="AO374" s="49">
        <v>13994</v>
      </c>
      <c r="AP374" s="72" t="s">
        <v>637</v>
      </c>
      <c r="AQ374" s="48">
        <v>45748</v>
      </c>
      <c r="AR374" s="48">
        <v>46112</v>
      </c>
      <c r="AS374" s="31"/>
      <c r="AT374" s="32"/>
      <c r="AU374" s="50"/>
      <c r="AV374" s="36"/>
      <c r="AW374" s="78"/>
      <c r="AX374" s="78"/>
      <c r="AY374" s="33"/>
      <c r="AZ374" s="34"/>
      <c r="BA374" s="35"/>
      <c r="BB374" s="35"/>
      <c r="BC374" s="78"/>
      <c r="BD374" s="78"/>
      <c r="BE374" s="78"/>
      <c r="BF374" s="35"/>
      <c r="BG374" s="36"/>
      <c r="BH374" s="35"/>
      <c r="BI374" s="35"/>
      <c r="BJ374" s="76"/>
      <c r="BK374" s="76"/>
      <c r="BL374" s="76"/>
      <c r="BM374" s="76"/>
      <c r="BN374" s="39"/>
      <c r="BO374" s="36"/>
      <c r="BP374" s="40"/>
      <c r="BQ374" s="40"/>
      <c r="BR374" s="40"/>
      <c r="BS374" s="40"/>
      <c r="BT374" s="40"/>
      <c r="BU374" s="40"/>
      <c r="BV374" s="40"/>
      <c r="BW374" s="40"/>
      <c r="BX374" s="40"/>
      <c r="BY374" s="40"/>
      <c r="BZ374" s="40"/>
      <c r="CA374" s="40"/>
      <c r="CB374" s="155"/>
      <c r="CC374" s="155"/>
      <c r="CD374" s="155"/>
      <c r="CE374" s="155"/>
      <c r="CF374" s="155"/>
      <c r="CG374" s="155"/>
    </row>
    <row r="375" spans="1:85" customFormat="1" ht="24.95" customHeight="1">
      <c r="A375" s="162"/>
      <c r="B375" s="162"/>
      <c r="C375" s="162"/>
      <c r="D375" s="276"/>
      <c r="E375" s="276"/>
      <c r="F375" s="276"/>
      <c r="G375" s="47"/>
      <c r="H375" s="162"/>
      <c r="I375" s="36"/>
      <c r="J375" s="36"/>
      <c r="K375" s="36"/>
      <c r="L375" s="36"/>
      <c r="M375" s="162"/>
      <c r="N375" s="162"/>
      <c r="O375" s="162"/>
      <c r="P375" s="162"/>
      <c r="Q375" s="101"/>
      <c r="R375" s="101"/>
      <c r="S375" s="101"/>
      <c r="T375" s="103"/>
      <c r="U375" s="101"/>
      <c r="V375" s="123"/>
      <c r="W375" s="36"/>
      <c r="X375" s="35"/>
      <c r="Y375" s="162"/>
      <c r="Z375" s="162"/>
      <c r="AA375" s="162"/>
      <c r="AB375" s="162"/>
      <c r="AC375" s="162"/>
      <c r="AD375" s="162"/>
      <c r="AE375" s="162"/>
      <c r="AF375" s="162"/>
      <c r="AG375" s="162"/>
      <c r="AH375" s="36"/>
      <c r="AI375" s="35"/>
      <c r="AJ375" s="35"/>
      <c r="AK375" s="162"/>
      <c r="AL375" s="36" t="s">
        <v>189</v>
      </c>
      <c r="AM375" s="72" t="s">
        <v>1063</v>
      </c>
      <c r="AN375" s="48">
        <v>46107</v>
      </c>
      <c r="AO375" s="49">
        <v>14240</v>
      </c>
      <c r="AP375" s="72" t="s">
        <v>637</v>
      </c>
      <c r="AQ375" s="48">
        <v>46113</v>
      </c>
      <c r="AR375" s="48">
        <v>46477</v>
      </c>
      <c r="AS375" s="31"/>
      <c r="AT375" s="32"/>
      <c r="AU375" s="50"/>
      <c r="AV375" s="36"/>
      <c r="AW375" s="78"/>
      <c r="AX375" s="78"/>
      <c r="AY375" s="33"/>
      <c r="AZ375" s="34"/>
      <c r="BA375" s="35"/>
      <c r="BB375" s="35"/>
      <c r="BC375" s="78"/>
      <c r="BD375" s="78"/>
      <c r="BE375" s="78"/>
      <c r="BF375" s="35"/>
      <c r="BG375" s="36"/>
      <c r="BH375" s="35"/>
      <c r="BI375" s="35"/>
      <c r="BJ375" s="76"/>
      <c r="BK375" s="76"/>
      <c r="BL375" s="76"/>
      <c r="BM375" s="76"/>
      <c r="BN375" s="39">
        <f t="shared" ref="BN375:BN402" si="37">BJ375+BL375</f>
        <v>0</v>
      </c>
      <c r="BO375" s="36"/>
      <c r="BP375" s="40"/>
      <c r="BQ375" s="40"/>
      <c r="BR375" s="40"/>
      <c r="BS375" s="40"/>
      <c r="BT375" s="40"/>
      <c r="BU375" s="40"/>
      <c r="BV375" s="40"/>
      <c r="BW375" s="40"/>
      <c r="BX375" s="40"/>
      <c r="BY375" s="40"/>
      <c r="BZ375" s="40"/>
      <c r="CA375" s="40"/>
      <c r="CB375" s="162"/>
      <c r="CC375" s="162"/>
      <c r="CD375" s="162"/>
      <c r="CE375" s="162"/>
      <c r="CF375" s="162"/>
      <c r="CG375" s="162"/>
    </row>
    <row r="376" spans="1:85" customFormat="1" ht="24.95" customHeight="1">
      <c r="A376" s="170">
        <v>95</v>
      </c>
      <c r="B376" s="154" t="s">
        <v>1064</v>
      </c>
      <c r="C376" s="154"/>
      <c r="D376" s="273" t="s">
        <v>724</v>
      </c>
      <c r="E376" s="273" t="s">
        <v>180</v>
      </c>
      <c r="F376" s="273" t="s">
        <v>1065</v>
      </c>
      <c r="G376" s="44"/>
      <c r="H376" s="157"/>
      <c r="I376" s="36"/>
      <c r="J376" s="36"/>
      <c r="K376" s="36"/>
      <c r="L376" s="36"/>
      <c r="M376" s="154" t="s">
        <v>725</v>
      </c>
      <c r="N376" s="154" t="s">
        <v>1066</v>
      </c>
      <c r="O376" s="157">
        <v>11444</v>
      </c>
      <c r="P376" s="154">
        <v>11444</v>
      </c>
      <c r="Q376" s="36"/>
      <c r="R376" s="36"/>
      <c r="S376" s="36"/>
      <c r="T376" s="49"/>
      <c r="U376" s="36"/>
      <c r="V376" s="123"/>
      <c r="W376" s="36"/>
      <c r="X376" s="35"/>
      <c r="Y376" s="163" t="s">
        <v>1067</v>
      </c>
      <c r="Z376" s="154" t="s">
        <v>1068</v>
      </c>
      <c r="AA376" s="154" t="s">
        <v>1069</v>
      </c>
      <c r="AB376" s="161">
        <v>41981</v>
      </c>
      <c r="AC376" s="154"/>
      <c r="AD376" s="161">
        <v>41981</v>
      </c>
      <c r="AE376" s="161">
        <v>42345</v>
      </c>
      <c r="AF376" s="163" t="s">
        <v>453</v>
      </c>
      <c r="AG376" s="154" t="s">
        <v>185</v>
      </c>
      <c r="AH376" s="36"/>
      <c r="AI376" s="35"/>
      <c r="AJ376" s="35"/>
      <c r="AK376" s="172">
        <v>120000</v>
      </c>
      <c r="AL376" s="36"/>
      <c r="AM376" s="72"/>
      <c r="AN376" s="48"/>
      <c r="AO376" s="49"/>
      <c r="AP376" s="72"/>
      <c r="AQ376" s="48"/>
      <c r="AR376" s="48"/>
      <c r="AS376" s="31"/>
      <c r="AT376" s="32"/>
      <c r="AU376" s="50"/>
      <c r="AV376" s="36"/>
      <c r="AW376" s="78"/>
      <c r="AX376" s="78"/>
      <c r="AY376" s="33"/>
      <c r="AZ376" s="34"/>
      <c r="BA376" s="35"/>
      <c r="BB376" s="35"/>
      <c r="BC376" s="78"/>
      <c r="BD376" s="78"/>
      <c r="BE376" s="78"/>
      <c r="BF376" s="35"/>
      <c r="BG376" s="36"/>
      <c r="BH376" s="35"/>
      <c r="BI376" s="95">
        <f>AK376</f>
        <v>120000</v>
      </c>
      <c r="BJ376" s="76">
        <f>377088.62+22137.46+33206.19+33206.19+11068.73+11068.73*3+11068.73+11068.73+11068.73+22137.46+44274.92+132824.76+157443.53+166934.88+166934.88+175133.28</f>
        <v>1408803.28</v>
      </c>
      <c r="BK376" s="76">
        <f>160538.84+14594.44</f>
        <v>175133.28</v>
      </c>
      <c r="BL376" s="76">
        <f>29188.88+14594.44+14594.44+16383.59</f>
        <v>74761.350000000006</v>
      </c>
      <c r="BM376" s="76"/>
      <c r="BN376" s="39"/>
      <c r="BO376" s="47"/>
      <c r="BP376" s="106"/>
      <c r="BQ376" s="40"/>
      <c r="BR376" s="40"/>
      <c r="BS376" s="40"/>
      <c r="BT376" s="40"/>
      <c r="BU376" s="40"/>
      <c r="BV376" s="40"/>
      <c r="BW376" s="40"/>
      <c r="BX376" s="40"/>
      <c r="BY376" s="40"/>
      <c r="BZ376" s="40"/>
      <c r="CA376" s="40"/>
      <c r="CB376" s="154" t="s">
        <v>1070</v>
      </c>
      <c r="CC376" s="157">
        <v>14023</v>
      </c>
      <c r="CD376" s="154" t="s">
        <v>1071</v>
      </c>
      <c r="CE376" s="157">
        <v>543251</v>
      </c>
      <c r="CF376" s="154" t="s">
        <v>1072</v>
      </c>
      <c r="CG376" s="157">
        <v>702875</v>
      </c>
    </row>
    <row r="377" spans="1:85" customFormat="1" ht="24.95" customHeight="1">
      <c r="A377" s="155"/>
      <c r="B377" s="155"/>
      <c r="C377" s="155"/>
      <c r="D377" s="274"/>
      <c r="E377" s="274"/>
      <c r="F377" s="274"/>
      <c r="G377" s="53"/>
      <c r="H377" s="155"/>
      <c r="I377" s="36"/>
      <c r="J377" s="36"/>
      <c r="K377" s="36"/>
      <c r="L377" s="36"/>
      <c r="M377" s="155"/>
      <c r="N377" s="155"/>
      <c r="O377" s="155"/>
      <c r="P377" s="155"/>
      <c r="Q377" s="36"/>
      <c r="R377" s="36"/>
      <c r="S377" s="36"/>
      <c r="T377" s="49"/>
      <c r="U377" s="36"/>
      <c r="V377" s="123"/>
      <c r="W377" s="36"/>
      <c r="X377" s="35"/>
      <c r="Y377" s="155"/>
      <c r="Z377" s="155"/>
      <c r="AA377" s="155"/>
      <c r="AB377" s="155"/>
      <c r="AC377" s="155"/>
      <c r="AD377" s="155"/>
      <c r="AE377" s="155"/>
      <c r="AF377" s="155"/>
      <c r="AG377" s="155"/>
      <c r="AH377" s="36"/>
      <c r="AI377" s="35"/>
      <c r="AJ377" s="35"/>
      <c r="AK377" s="155"/>
      <c r="AL377" s="36" t="s">
        <v>978</v>
      </c>
      <c r="AM377" s="72" t="s">
        <v>199</v>
      </c>
      <c r="AN377" s="48">
        <v>42345</v>
      </c>
      <c r="AO377" s="49">
        <v>11706</v>
      </c>
      <c r="AP377" s="72" t="s">
        <v>1073</v>
      </c>
      <c r="AQ377" s="48">
        <v>42346</v>
      </c>
      <c r="AR377" s="48">
        <v>42711</v>
      </c>
      <c r="AS377" s="31"/>
      <c r="AT377" s="32"/>
      <c r="AU377" s="50">
        <f>AW377/BI376</f>
        <v>0.106873</v>
      </c>
      <c r="AV377" s="36"/>
      <c r="AW377" s="78">
        <v>12824.76</v>
      </c>
      <c r="AX377" s="78"/>
      <c r="AY377" s="33"/>
      <c r="AZ377" s="34"/>
      <c r="BA377" s="35"/>
      <c r="BB377" s="35"/>
      <c r="BC377" s="78"/>
      <c r="BD377" s="78"/>
      <c r="BE377" s="78"/>
      <c r="BF377" s="35"/>
      <c r="BG377" s="36"/>
      <c r="BH377" s="35"/>
      <c r="BI377" s="95">
        <f>BI376+AW377</f>
        <v>132824.76</v>
      </c>
      <c r="BJ377" s="76"/>
      <c r="BK377" s="76"/>
      <c r="BL377" s="76"/>
      <c r="BM377" s="76"/>
      <c r="BN377" s="39">
        <f t="shared" si="37"/>
        <v>0</v>
      </c>
      <c r="BO377" s="47"/>
      <c r="BP377" s="106"/>
      <c r="BQ377" s="40"/>
      <c r="BR377" s="40"/>
      <c r="BS377" s="40"/>
      <c r="BT377" s="40"/>
      <c r="BU377" s="40"/>
      <c r="BV377" s="40"/>
      <c r="BW377" s="40"/>
      <c r="BX377" s="40"/>
      <c r="BY377" s="40"/>
      <c r="BZ377" s="40"/>
      <c r="CA377" s="40"/>
      <c r="CB377" s="155"/>
      <c r="CC377" s="155"/>
      <c r="CD377" s="155"/>
      <c r="CE377" s="155"/>
      <c r="CF377" s="155"/>
      <c r="CG377" s="155"/>
    </row>
    <row r="378" spans="1:85" customFormat="1" ht="24.95" customHeight="1">
      <c r="A378" s="155"/>
      <c r="B378" s="155"/>
      <c r="C378" s="155"/>
      <c r="D378" s="274"/>
      <c r="E378" s="274"/>
      <c r="F378" s="274"/>
      <c r="G378" s="53"/>
      <c r="H378" s="155"/>
      <c r="I378" s="36"/>
      <c r="J378" s="36"/>
      <c r="K378" s="36"/>
      <c r="L378" s="36"/>
      <c r="M378" s="155"/>
      <c r="N378" s="155"/>
      <c r="O378" s="155"/>
      <c r="P378" s="155"/>
      <c r="Q378" s="36"/>
      <c r="R378" s="36"/>
      <c r="S378" s="36"/>
      <c r="T378" s="49"/>
      <c r="U378" s="36"/>
      <c r="V378" s="123"/>
      <c r="W378" s="36"/>
      <c r="X378" s="35"/>
      <c r="Y378" s="155"/>
      <c r="Z378" s="155"/>
      <c r="AA378" s="155"/>
      <c r="AB378" s="155"/>
      <c r="AC378" s="155"/>
      <c r="AD378" s="155"/>
      <c r="AE378" s="155"/>
      <c r="AF378" s="155"/>
      <c r="AG378" s="155"/>
      <c r="AH378" s="36"/>
      <c r="AI378" s="35"/>
      <c r="AJ378" s="35"/>
      <c r="AK378" s="155"/>
      <c r="AL378" s="36" t="s">
        <v>978</v>
      </c>
      <c r="AM378" s="72" t="s">
        <v>459</v>
      </c>
      <c r="AN378" s="48">
        <v>42733</v>
      </c>
      <c r="AO378" s="49">
        <v>11984</v>
      </c>
      <c r="AP378" s="72" t="s">
        <v>1053</v>
      </c>
      <c r="AQ378" s="48">
        <v>42712</v>
      </c>
      <c r="AR378" s="48">
        <v>42893</v>
      </c>
      <c r="AS378" s="31"/>
      <c r="AT378" s="32"/>
      <c r="AU378" s="50"/>
      <c r="AV378" s="36"/>
      <c r="AW378" s="78"/>
      <c r="AX378" s="78"/>
      <c r="AY378" s="33"/>
      <c r="AZ378" s="34"/>
      <c r="BA378" s="35"/>
      <c r="BB378" s="35"/>
      <c r="BC378" s="78"/>
      <c r="BD378" s="78"/>
      <c r="BE378" s="78"/>
      <c r="BF378" s="35"/>
      <c r="BG378" s="36"/>
      <c r="BH378" s="35"/>
      <c r="BI378" s="35"/>
      <c r="BJ378" s="76"/>
      <c r="BK378" s="76"/>
      <c r="BL378" s="76"/>
      <c r="BM378" s="76"/>
      <c r="BN378" s="39">
        <f t="shared" si="37"/>
        <v>0</v>
      </c>
      <c r="BO378" s="47"/>
      <c r="BP378" s="106"/>
      <c r="BQ378" s="40"/>
      <c r="BR378" s="40"/>
      <c r="BS378" s="40"/>
      <c r="BT378" s="40"/>
      <c r="BU378" s="40"/>
      <c r="BV378" s="40"/>
      <c r="BW378" s="40"/>
      <c r="BX378" s="40"/>
      <c r="BY378" s="40"/>
      <c r="BZ378" s="40"/>
      <c r="CA378" s="40"/>
      <c r="CB378" s="155"/>
      <c r="CC378" s="155"/>
      <c r="CD378" s="155"/>
      <c r="CE378" s="155"/>
      <c r="CF378" s="155"/>
      <c r="CG378" s="155"/>
    </row>
    <row r="379" spans="1:85" customFormat="1" ht="24.95" customHeight="1">
      <c r="A379" s="155"/>
      <c r="B379" s="155"/>
      <c r="C379" s="155"/>
      <c r="D379" s="274"/>
      <c r="E379" s="274"/>
      <c r="F379" s="274"/>
      <c r="G379" s="53"/>
      <c r="H379" s="155"/>
      <c r="I379" s="36"/>
      <c r="J379" s="36"/>
      <c r="K379" s="36"/>
      <c r="L379" s="36"/>
      <c r="M379" s="155"/>
      <c r="N379" s="155"/>
      <c r="O379" s="155"/>
      <c r="P379" s="155"/>
      <c r="Q379" s="36"/>
      <c r="R379" s="36"/>
      <c r="S379" s="36"/>
      <c r="T379" s="49"/>
      <c r="U379" s="36"/>
      <c r="V379" s="123"/>
      <c r="W379" s="36"/>
      <c r="X379" s="35"/>
      <c r="Y379" s="155"/>
      <c r="Z379" s="155"/>
      <c r="AA379" s="155"/>
      <c r="AB379" s="155"/>
      <c r="AC379" s="155"/>
      <c r="AD379" s="155"/>
      <c r="AE379" s="155"/>
      <c r="AF379" s="155"/>
      <c r="AG379" s="155"/>
      <c r="AH379" s="36"/>
      <c r="AI379" s="35"/>
      <c r="AJ379" s="35"/>
      <c r="AK379" s="155"/>
      <c r="AL379" s="36" t="s">
        <v>978</v>
      </c>
      <c r="AM379" s="72" t="s">
        <v>520</v>
      </c>
      <c r="AN379" s="48">
        <v>42880</v>
      </c>
      <c r="AO379" s="49">
        <v>12113</v>
      </c>
      <c r="AP379" s="72" t="s">
        <v>1053</v>
      </c>
      <c r="AQ379" s="48">
        <v>42894</v>
      </c>
      <c r="AR379" s="48">
        <v>43076</v>
      </c>
      <c r="AS379" s="31"/>
      <c r="AT379" s="32"/>
      <c r="AU379" s="50"/>
      <c r="AV379" s="36"/>
      <c r="AW379" s="78"/>
      <c r="AX379" s="78"/>
      <c r="AY379" s="33"/>
      <c r="AZ379" s="34"/>
      <c r="BA379" s="35"/>
      <c r="BB379" s="35"/>
      <c r="BC379" s="78"/>
      <c r="BD379" s="78"/>
      <c r="BE379" s="78"/>
      <c r="BF379" s="35"/>
      <c r="BG379" s="36"/>
      <c r="BH379" s="35"/>
      <c r="BI379" s="35"/>
      <c r="BJ379" s="76"/>
      <c r="BK379" s="76"/>
      <c r="BL379" s="76"/>
      <c r="BM379" s="76"/>
      <c r="BN379" s="39">
        <f t="shared" si="37"/>
        <v>0</v>
      </c>
      <c r="BO379" s="47"/>
      <c r="BP379" s="106"/>
      <c r="BQ379" s="40"/>
      <c r="BR379" s="40"/>
      <c r="BS379" s="40"/>
      <c r="BT379" s="40"/>
      <c r="BU379" s="40"/>
      <c r="BV379" s="40"/>
      <c r="BW379" s="40"/>
      <c r="BX379" s="40"/>
      <c r="BY379" s="40"/>
      <c r="BZ379" s="40"/>
      <c r="CA379" s="40"/>
      <c r="CB379" s="155"/>
      <c r="CC379" s="155"/>
      <c r="CD379" s="155"/>
      <c r="CE379" s="155"/>
      <c r="CF379" s="155"/>
      <c r="CG379" s="155"/>
    </row>
    <row r="380" spans="1:85" customFormat="1" ht="24.95" customHeight="1">
      <c r="A380" s="155"/>
      <c r="B380" s="155"/>
      <c r="C380" s="155"/>
      <c r="D380" s="274"/>
      <c r="E380" s="274"/>
      <c r="F380" s="274"/>
      <c r="G380" s="53"/>
      <c r="H380" s="155"/>
      <c r="I380" s="36"/>
      <c r="J380" s="36"/>
      <c r="K380" s="36"/>
      <c r="L380" s="36"/>
      <c r="M380" s="155"/>
      <c r="N380" s="155"/>
      <c r="O380" s="155"/>
      <c r="P380" s="155"/>
      <c r="Q380" s="36"/>
      <c r="R380" s="36"/>
      <c r="S380" s="36"/>
      <c r="T380" s="49"/>
      <c r="U380" s="36"/>
      <c r="V380" s="123"/>
      <c r="W380" s="36"/>
      <c r="X380" s="35"/>
      <c r="Y380" s="155"/>
      <c r="Z380" s="155"/>
      <c r="AA380" s="155"/>
      <c r="AB380" s="155"/>
      <c r="AC380" s="155"/>
      <c r="AD380" s="155"/>
      <c r="AE380" s="155"/>
      <c r="AF380" s="155"/>
      <c r="AG380" s="155"/>
      <c r="AH380" s="36"/>
      <c r="AI380" s="35"/>
      <c r="AJ380" s="35"/>
      <c r="AK380" s="155"/>
      <c r="AL380" s="36" t="s">
        <v>189</v>
      </c>
      <c r="AM380" s="72" t="s">
        <v>1050</v>
      </c>
      <c r="AN380" s="48">
        <v>43068</v>
      </c>
      <c r="AO380" s="49">
        <v>12230</v>
      </c>
      <c r="AP380" s="72" t="s">
        <v>1074</v>
      </c>
      <c r="AQ380" s="48">
        <v>43077</v>
      </c>
      <c r="AR380" s="48">
        <v>43441</v>
      </c>
      <c r="AS380" s="31"/>
      <c r="AT380" s="32"/>
      <c r="AU380" s="50"/>
      <c r="AV380" s="36"/>
      <c r="AW380" s="78"/>
      <c r="AX380" s="78"/>
      <c r="AY380" s="33"/>
      <c r="AZ380" s="34"/>
      <c r="BA380" s="35"/>
      <c r="BB380" s="35"/>
      <c r="BC380" s="78"/>
      <c r="BD380" s="78"/>
      <c r="BE380" s="78"/>
      <c r="BF380" s="35"/>
      <c r="BG380" s="36"/>
      <c r="BH380" s="35"/>
      <c r="BI380" s="35"/>
      <c r="BJ380" s="76"/>
      <c r="BK380" s="76"/>
      <c r="BL380" s="76"/>
      <c r="BM380" s="76"/>
      <c r="BN380" s="39">
        <f t="shared" si="37"/>
        <v>0</v>
      </c>
      <c r="BO380" s="47"/>
      <c r="BP380" s="106"/>
      <c r="BQ380" s="40"/>
      <c r="BR380" s="40"/>
      <c r="BS380" s="40"/>
      <c r="BT380" s="40"/>
      <c r="BU380" s="40"/>
      <c r="BV380" s="40"/>
      <c r="BW380" s="40"/>
      <c r="BX380" s="40"/>
      <c r="BY380" s="40"/>
      <c r="BZ380" s="40"/>
      <c r="CA380" s="40"/>
      <c r="CB380" s="155"/>
      <c r="CC380" s="155"/>
      <c r="CD380" s="155"/>
      <c r="CE380" s="155"/>
      <c r="CF380" s="155"/>
      <c r="CG380" s="155"/>
    </row>
    <row r="381" spans="1:85" customFormat="1" ht="24.95" customHeight="1">
      <c r="A381" s="155"/>
      <c r="B381" s="155"/>
      <c r="C381" s="155"/>
      <c r="D381" s="274"/>
      <c r="E381" s="274"/>
      <c r="F381" s="274"/>
      <c r="G381" s="53"/>
      <c r="H381" s="155"/>
      <c r="I381" s="36"/>
      <c r="J381" s="36"/>
      <c r="K381" s="36"/>
      <c r="L381" s="36"/>
      <c r="M381" s="155"/>
      <c r="N381" s="155"/>
      <c r="O381" s="155"/>
      <c r="P381" s="155"/>
      <c r="Q381" s="36"/>
      <c r="R381" s="36"/>
      <c r="S381" s="36"/>
      <c r="T381" s="49"/>
      <c r="U381" s="36"/>
      <c r="V381" s="123"/>
      <c r="W381" s="36"/>
      <c r="X381" s="35"/>
      <c r="Y381" s="155"/>
      <c r="Z381" s="155"/>
      <c r="AA381" s="155"/>
      <c r="AB381" s="155"/>
      <c r="AC381" s="155"/>
      <c r="AD381" s="155"/>
      <c r="AE381" s="155"/>
      <c r="AF381" s="155"/>
      <c r="AG381" s="155"/>
      <c r="AH381" s="36"/>
      <c r="AI381" s="35"/>
      <c r="AJ381" s="35"/>
      <c r="AK381" s="155"/>
      <c r="AL381" s="36" t="s">
        <v>189</v>
      </c>
      <c r="AM381" s="72" t="s">
        <v>1051</v>
      </c>
      <c r="AN381" s="48">
        <v>43460</v>
      </c>
      <c r="AO381" s="49">
        <v>12460</v>
      </c>
      <c r="AP381" s="72" t="s">
        <v>1074</v>
      </c>
      <c r="AQ381" s="48">
        <v>43442</v>
      </c>
      <c r="AR381" s="48">
        <v>43806</v>
      </c>
      <c r="AS381" s="31"/>
      <c r="AT381" s="32"/>
      <c r="AU381" s="50"/>
      <c r="AV381" s="36"/>
      <c r="AW381" s="78"/>
      <c r="AX381" s="78"/>
      <c r="AY381" s="33"/>
      <c r="AZ381" s="34"/>
      <c r="BA381" s="35"/>
      <c r="BB381" s="35"/>
      <c r="BC381" s="78"/>
      <c r="BD381" s="78"/>
      <c r="BE381" s="78"/>
      <c r="BF381" s="35"/>
      <c r="BG381" s="36"/>
      <c r="BH381" s="35"/>
      <c r="BI381" s="35"/>
      <c r="BJ381" s="76"/>
      <c r="BK381" s="76"/>
      <c r="BL381" s="76"/>
      <c r="BM381" s="76"/>
      <c r="BN381" s="39">
        <f t="shared" si="37"/>
        <v>0</v>
      </c>
      <c r="BO381" s="47"/>
      <c r="BP381" s="106"/>
      <c r="BQ381" s="40"/>
      <c r="BR381" s="40"/>
      <c r="BS381" s="40"/>
      <c r="BT381" s="40"/>
      <c r="BU381" s="40"/>
      <c r="BV381" s="40"/>
      <c r="BW381" s="40"/>
      <c r="BX381" s="40"/>
      <c r="BY381" s="40"/>
      <c r="BZ381" s="40"/>
      <c r="CA381" s="40"/>
      <c r="CB381" s="155"/>
      <c r="CC381" s="155"/>
      <c r="CD381" s="155"/>
      <c r="CE381" s="155"/>
      <c r="CF381" s="155"/>
      <c r="CG381" s="155"/>
    </row>
    <row r="382" spans="1:85" customFormat="1" ht="24.95" customHeight="1">
      <c r="A382" s="155"/>
      <c r="B382" s="155"/>
      <c r="C382" s="155"/>
      <c r="D382" s="274"/>
      <c r="E382" s="274"/>
      <c r="F382" s="274"/>
      <c r="G382" s="53"/>
      <c r="H382" s="155"/>
      <c r="I382" s="36"/>
      <c r="J382" s="36"/>
      <c r="K382" s="36"/>
      <c r="L382" s="36"/>
      <c r="M382" s="155"/>
      <c r="N382" s="155"/>
      <c r="O382" s="155"/>
      <c r="P382" s="155"/>
      <c r="Q382" s="36"/>
      <c r="R382" s="36"/>
      <c r="S382" s="36"/>
      <c r="T382" s="49"/>
      <c r="U382" s="36"/>
      <c r="V382" s="123"/>
      <c r="W382" s="36"/>
      <c r="X382" s="35"/>
      <c r="Y382" s="155"/>
      <c r="Z382" s="155"/>
      <c r="AA382" s="155"/>
      <c r="AB382" s="155"/>
      <c r="AC382" s="155"/>
      <c r="AD382" s="155"/>
      <c r="AE382" s="155"/>
      <c r="AF382" s="155"/>
      <c r="AG382" s="155"/>
      <c r="AH382" s="36"/>
      <c r="AI382" s="35"/>
      <c r="AJ382" s="35"/>
      <c r="AK382" s="155"/>
      <c r="AL382" s="36" t="s">
        <v>189</v>
      </c>
      <c r="AM382" s="72" t="s">
        <v>1052</v>
      </c>
      <c r="AN382" s="48">
        <v>43757</v>
      </c>
      <c r="AO382" s="49">
        <v>12694</v>
      </c>
      <c r="AP382" s="72" t="s">
        <v>868</v>
      </c>
      <c r="AQ382" s="48">
        <v>43442</v>
      </c>
      <c r="AR382" s="48">
        <v>43806</v>
      </c>
      <c r="AS382" s="31"/>
      <c r="AT382" s="32"/>
      <c r="AU382" s="50"/>
      <c r="AV382" s="36"/>
      <c r="AW382" s="78"/>
      <c r="AX382" s="78"/>
      <c r="AY382" s="33"/>
      <c r="AZ382" s="34"/>
      <c r="BA382" s="35"/>
      <c r="BB382" s="35"/>
      <c r="BC382" s="78"/>
      <c r="BD382" s="78"/>
      <c r="BE382" s="78"/>
      <c r="BF382" s="35"/>
      <c r="BG382" s="36"/>
      <c r="BH382" s="35"/>
      <c r="BI382" s="35"/>
      <c r="BJ382" s="76"/>
      <c r="BK382" s="76"/>
      <c r="BL382" s="76"/>
      <c r="BM382" s="76"/>
      <c r="BN382" s="39">
        <f t="shared" si="37"/>
        <v>0</v>
      </c>
      <c r="BO382" s="47"/>
      <c r="BP382" s="106"/>
      <c r="BQ382" s="40"/>
      <c r="BR382" s="40"/>
      <c r="BS382" s="40"/>
      <c r="BT382" s="40"/>
      <c r="BU382" s="40"/>
      <c r="BV382" s="40"/>
      <c r="BW382" s="40"/>
      <c r="BX382" s="40"/>
      <c r="BY382" s="40"/>
      <c r="BZ382" s="40"/>
      <c r="CA382" s="40"/>
      <c r="CB382" s="155"/>
      <c r="CC382" s="155"/>
      <c r="CD382" s="155"/>
      <c r="CE382" s="155"/>
      <c r="CF382" s="155"/>
      <c r="CG382" s="155"/>
    </row>
    <row r="383" spans="1:85" customFormat="1" ht="24.95" customHeight="1">
      <c r="A383" s="155"/>
      <c r="B383" s="155"/>
      <c r="C383" s="155"/>
      <c r="D383" s="274"/>
      <c r="E383" s="274"/>
      <c r="F383" s="274"/>
      <c r="G383" s="53"/>
      <c r="H383" s="155"/>
      <c r="I383" s="36"/>
      <c r="J383" s="36"/>
      <c r="K383" s="36"/>
      <c r="L383" s="36"/>
      <c r="M383" s="155"/>
      <c r="N383" s="155"/>
      <c r="O383" s="155"/>
      <c r="P383" s="155"/>
      <c r="Q383" s="36"/>
      <c r="R383" s="36"/>
      <c r="S383" s="36"/>
      <c r="T383" s="49"/>
      <c r="U383" s="36"/>
      <c r="V383" s="123"/>
      <c r="W383" s="36"/>
      <c r="X383" s="35"/>
      <c r="Y383" s="155"/>
      <c r="Z383" s="155"/>
      <c r="AA383" s="155"/>
      <c r="AB383" s="155"/>
      <c r="AC383" s="155"/>
      <c r="AD383" s="155"/>
      <c r="AE383" s="155"/>
      <c r="AF383" s="155"/>
      <c r="AG383" s="155"/>
      <c r="AH383" s="36"/>
      <c r="AI383" s="35"/>
      <c r="AJ383" s="35"/>
      <c r="AK383" s="155"/>
      <c r="AL383" s="36" t="s">
        <v>189</v>
      </c>
      <c r="AM383" s="72" t="s">
        <v>1054</v>
      </c>
      <c r="AN383" s="48">
        <v>43805</v>
      </c>
      <c r="AO383" s="49">
        <v>12736</v>
      </c>
      <c r="AP383" s="72" t="s">
        <v>1074</v>
      </c>
      <c r="AQ383" s="48">
        <v>43807</v>
      </c>
      <c r="AR383" s="48">
        <v>44172</v>
      </c>
      <c r="AS383" s="31"/>
      <c r="AT383" s="32"/>
      <c r="AU383" s="50"/>
      <c r="AV383" s="36"/>
      <c r="AW383" s="78"/>
      <c r="AX383" s="78"/>
      <c r="AY383" s="33"/>
      <c r="AZ383" s="34"/>
      <c r="BA383" s="35"/>
      <c r="BB383" s="35"/>
      <c r="BC383" s="78"/>
      <c r="BD383" s="78"/>
      <c r="BE383" s="78"/>
      <c r="BF383" s="35"/>
      <c r="BG383" s="36"/>
      <c r="BH383" s="35"/>
      <c r="BI383" s="35"/>
      <c r="BJ383" s="76"/>
      <c r="BK383" s="76"/>
      <c r="BL383" s="76"/>
      <c r="BM383" s="76"/>
      <c r="BN383" s="39">
        <f t="shared" si="37"/>
        <v>0</v>
      </c>
      <c r="BO383" s="47"/>
      <c r="BP383" s="106"/>
      <c r="BQ383" s="40"/>
      <c r="BR383" s="40"/>
      <c r="BS383" s="40"/>
      <c r="BT383" s="40"/>
      <c r="BU383" s="40"/>
      <c r="BV383" s="40"/>
      <c r="BW383" s="40"/>
      <c r="BX383" s="40"/>
      <c r="BY383" s="40"/>
      <c r="BZ383" s="40"/>
      <c r="CA383" s="40"/>
      <c r="CB383" s="155"/>
      <c r="CC383" s="155"/>
      <c r="CD383" s="155"/>
      <c r="CE383" s="155"/>
      <c r="CF383" s="155"/>
      <c r="CG383" s="155"/>
    </row>
    <row r="384" spans="1:85" customFormat="1" ht="24.95" customHeight="1">
      <c r="A384" s="155"/>
      <c r="B384" s="155"/>
      <c r="C384" s="155"/>
      <c r="D384" s="274"/>
      <c r="E384" s="274"/>
      <c r="F384" s="274"/>
      <c r="G384" s="53"/>
      <c r="H384" s="155"/>
      <c r="I384" s="36"/>
      <c r="J384" s="36"/>
      <c r="K384" s="36"/>
      <c r="L384" s="36"/>
      <c r="M384" s="155"/>
      <c r="N384" s="155"/>
      <c r="O384" s="155"/>
      <c r="P384" s="155"/>
      <c r="Q384" s="36"/>
      <c r="R384" s="36"/>
      <c r="S384" s="36"/>
      <c r="T384" s="49"/>
      <c r="U384" s="36"/>
      <c r="V384" s="123"/>
      <c r="W384" s="36"/>
      <c r="X384" s="35"/>
      <c r="Y384" s="155"/>
      <c r="Z384" s="155"/>
      <c r="AA384" s="155"/>
      <c r="AB384" s="155"/>
      <c r="AC384" s="155"/>
      <c r="AD384" s="155"/>
      <c r="AE384" s="155"/>
      <c r="AF384" s="155"/>
      <c r="AG384" s="155"/>
      <c r="AH384" s="36"/>
      <c r="AI384" s="35"/>
      <c r="AJ384" s="35"/>
      <c r="AK384" s="155"/>
      <c r="AL384" s="36" t="s">
        <v>189</v>
      </c>
      <c r="AM384" s="72" t="s">
        <v>1055</v>
      </c>
      <c r="AN384" s="48">
        <v>44182</v>
      </c>
      <c r="AO384" s="49">
        <v>12947</v>
      </c>
      <c r="AP384" s="72" t="s">
        <v>1074</v>
      </c>
      <c r="AQ384" s="72" t="s">
        <v>1075</v>
      </c>
      <c r="AR384" s="72" t="s">
        <v>1076</v>
      </c>
      <c r="AS384" s="31"/>
      <c r="AT384" s="32"/>
      <c r="AU384" s="50"/>
      <c r="AV384" s="36"/>
      <c r="AW384" s="78"/>
      <c r="AX384" s="78"/>
      <c r="AY384" s="33"/>
      <c r="AZ384" s="34"/>
      <c r="BA384" s="35"/>
      <c r="BB384" s="35"/>
      <c r="BC384" s="78"/>
      <c r="BD384" s="78"/>
      <c r="BE384" s="78"/>
      <c r="BF384" s="35"/>
      <c r="BG384" s="36"/>
      <c r="BH384" s="35"/>
      <c r="BI384" s="35"/>
      <c r="BJ384" s="76"/>
      <c r="BK384" s="76"/>
      <c r="BL384" s="76"/>
      <c r="BM384" s="76"/>
      <c r="BN384" s="39">
        <f t="shared" si="37"/>
        <v>0</v>
      </c>
      <c r="BO384" s="47"/>
      <c r="BP384" s="106"/>
      <c r="BQ384" s="40"/>
      <c r="BR384" s="40"/>
      <c r="BS384" s="40"/>
      <c r="BT384" s="40"/>
      <c r="BU384" s="40"/>
      <c r="BV384" s="40"/>
      <c r="BW384" s="40"/>
      <c r="BX384" s="40"/>
      <c r="BY384" s="40"/>
      <c r="BZ384" s="40"/>
      <c r="CA384" s="40"/>
      <c r="CB384" s="155"/>
      <c r="CC384" s="155"/>
      <c r="CD384" s="155"/>
      <c r="CE384" s="155"/>
      <c r="CF384" s="155"/>
      <c r="CG384" s="155"/>
    </row>
    <row r="385" spans="1:85" customFormat="1" ht="24.95" customHeight="1">
      <c r="A385" s="155"/>
      <c r="B385" s="155"/>
      <c r="C385" s="155"/>
      <c r="D385" s="274"/>
      <c r="E385" s="274"/>
      <c r="F385" s="274"/>
      <c r="G385" s="53"/>
      <c r="H385" s="155"/>
      <c r="I385" s="36"/>
      <c r="J385" s="36"/>
      <c r="K385" s="36"/>
      <c r="L385" s="36"/>
      <c r="M385" s="155"/>
      <c r="N385" s="155"/>
      <c r="O385" s="155"/>
      <c r="P385" s="155"/>
      <c r="Q385" s="36"/>
      <c r="R385" s="36"/>
      <c r="S385" s="36"/>
      <c r="T385" s="49"/>
      <c r="U385" s="36"/>
      <c r="V385" s="123"/>
      <c r="W385" s="36"/>
      <c r="X385" s="35"/>
      <c r="Y385" s="155"/>
      <c r="Z385" s="155"/>
      <c r="AA385" s="155"/>
      <c r="AB385" s="155"/>
      <c r="AC385" s="155"/>
      <c r="AD385" s="155"/>
      <c r="AE385" s="155"/>
      <c r="AF385" s="155"/>
      <c r="AG385" s="155"/>
      <c r="AH385" s="36"/>
      <c r="AI385" s="35"/>
      <c r="AJ385" s="35"/>
      <c r="AK385" s="155"/>
      <c r="AL385" s="36" t="s">
        <v>189</v>
      </c>
      <c r="AM385" s="72" t="s">
        <v>1056</v>
      </c>
      <c r="AN385" s="48">
        <v>44536</v>
      </c>
      <c r="AO385" s="49">
        <v>13181</v>
      </c>
      <c r="AP385" s="72" t="s">
        <v>1077</v>
      </c>
      <c r="AQ385" s="72" t="s">
        <v>1076</v>
      </c>
      <c r="AR385" s="72" t="s">
        <v>1078</v>
      </c>
      <c r="AS385" s="31"/>
      <c r="AT385" s="32"/>
      <c r="AU385" s="50">
        <f>AW385/BI377</f>
        <v>0.1788515936335966</v>
      </c>
      <c r="AV385" s="36"/>
      <c r="AW385" s="78">
        <v>23755.919999999998</v>
      </c>
      <c r="AX385" s="78"/>
      <c r="AY385" s="33"/>
      <c r="AZ385" s="34"/>
      <c r="BA385" s="35"/>
      <c r="BB385" s="35"/>
      <c r="BC385" s="78"/>
      <c r="BD385" s="78"/>
      <c r="BE385" s="78"/>
      <c r="BF385" s="35"/>
      <c r="BG385" s="36"/>
      <c r="BH385" s="35"/>
      <c r="BI385" s="95">
        <f>BI377+AW385</f>
        <v>156580.68</v>
      </c>
      <c r="BJ385" s="76"/>
      <c r="BK385" s="76"/>
      <c r="BL385" s="76"/>
      <c r="BM385" s="76"/>
      <c r="BN385" s="39">
        <f t="shared" si="37"/>
        <v>0</v>
      </c>
      <c r="BO385" s="47"/>
      <c r="BP385" s="106"/>
      <c r="BQ385" s="40"/>
      <c r="BR385" s="40"/>
      <c r="BS385" s="40"/>
      <c r="BT385" s="40"/>
      <c r="BU385" s="40"/>
      <c r="BV385" s="40"/>
      <c r="BW385" s="40"/>
      <c r="BX385" s="40"/>
      <c r="BY385" s="40"/>
      <c r="BZ385" s="40"/>
      <c r="CA385" s="40"/>
      <c r="CB385" s="155"/>
      <c r="CC385" s="155"/>
      <c r="CD385" s="155"/>
      <c r="CE385" s="155"/>
      <c r="CF385" s="155"/>
      <c r="CG385" s="155"/>
    </row>
    <row r="386" spans="1:85" customFormat="1" ht="24.95" customHeight="1">
      <c r="A386" s="155"/>
      <c r="B386" s="155"/>
      <c r="C386" s="155"/>
      <c r="D386" s="274"/>
      <c r="E386" s="274"/>
      <c r="F386" s="274"/>
      <c r="G386" s="53"/>
      <c r="H386" s="155"/>
      <c r="I386" s="36"/>
      <c r="J386" s="36"/>
      <c r="K386" s="36"/>
      <c r="L386" s="36"/>
      <c r="M386" s="155"/>
      <c r="N386" s="155"/>
      <c r="O386" s="155"/>
      <c r="P386" s="155"/>
      <c r="Q386" s="36"/>
      <c r="R386" s="36"/>
      <c r="S386" s="36"/>
      <c r="T386" s="49"/>
      <c r="U386" s="36"/>
      <c r="V386" s="123"/>
      <c r="W386" s="36"/>
      <c r="X386" s="35"/>
      <c r="Y386" s="155"/>
      <c r="Z386" s="155"/>
      <c r="AA386" s="155"/>
      <c r="AB386" s="155"/>
      <c r="AC386" s="155"/>
      <c r="AD386" s="155"/>
      <c r="AE386" s="155"/>
      <c r="AF386" s="155"/>
      <c r="AG386" s="155"/>
      <c r="AH386" s="36"/>
      <c r="AI386" s="35"/>
      <c r="AJ386" s="35"/>
      <c r="AK386" s="155"/>
      <c r="AL386" s="36" t="s">
        <v>189</v>
      </c>
      <c r="AM386" s="72" t="s">
        <v>1058</v>
      </c>
      <c r="AN386" s="48">
        <v>44901</v>
      </c>
      <c r="AO386" s="49">
        <v>13431</v>
      </c>
      <c r="AP386" s="72" t="s">
        <v>1077</v>
      </c>
      <c r="AQ386" s="72" t="s">
        <v>1079</v>
      </c>
      <c r="AR386" s="72" t="s">
        <v>1080</v>
      </c>
      <c r="AS386" s="31"/>
      <c r="AT386" s="32"/>
      <c r="AU386" s="50">
        <f>AW386/BI385</f>
        <v>6.6126932134922406E-2</v>
      </c>
      <c r="AV386" s="36"/>
      <c r="AW386" s="78">
        <v>10354.200000000001</v>
      </c>
      <c r="AX386" s="78"/>
      <c r="AY386" s="33"/>
      <c r="AZ386" s="34"/>
      <c r="BA386" s="35"/>
      <c r="BB386" s="35"/>
      <c r="BC386" s="78"/>
      <c r="BD386" s="78"/>
      <c r="BE386" s="78"/>
      <c r="BF386" s="35"/>
      <c r="BG386" s="36"/>
      <c r="BH386" s="35"/>
      <c r="BI386" s="95">
        <f>BI385+AW386</f>
        <v>166934.88</v>
      </c>
      <c r="BJ386" s="76"/>
      <c r="BK386" s="76"/>
      <c r="BL386" s="76"/>
      <c r="BM386" s="76"/>
      <c r="BN386" s="39">
        <f t="shared" si="37"/>
        <v>0</v>
      </c>
      <c r="BO386" s="47"/>
      <c r="BP386" s="106"/>
      <c r="BQ386" s="40"/>
      <c r="BR386" s="40"/>
      <c r="BS386" s="40"/>
      <c r="BT386" s="40"/>
      <c r="BU386" s="40"/>
      <c r="BV386" s="40"/>
      <c r="BW386" s="40"/>
      <c r="BX386" s="40"/>
      <c r="BY386" s="40"/>
      <c r="BZ386" s="40"/>
      <c r="CA386" s="40"/>
      <c r="CB386" s="155"/>
      <c r="CC386" s="155"/>
      <c r="CD386" s="155"/>
      <c r="CE386" s="155"/>
      <c r="CF386" s="155"/>
      <c r="CG386" s="155"/>
    </row>
    <row r="387" spans="1:85" customFormat="1" ht="24.95" customHeight="1">
      <c r="A387" s="155"/>
      <c r="B387" s="155"/>
      <c r="C387" s="155"/>
      <c r="D387" s="274"/>
      <c r="E387" s="274"/>
      <c r="F387" s="274"/>
      <c r="G387" s="53"/>
      <c r="H387" s="155"/>
      <c r="I387" s="36"/>
      <c r="J387" s="36"/>
      <c r="K387" s="36"/>
      <c r="L387" s="36"/>
      <c r="M387" s="155"/>
      <c r="N387" s="155"/>
      <c r="O387" s="155"/>
      <c r="P387" s="155"/>
      <c r="Q387" s="36"/>
      <c r="R387" s="36"/>
      <c r="S387" s="36"/>
      <c r="T387" s="49"/>
      <c r="U387" s="36"/>
      <c r="V387" s="123"/>
      <c r="W387" s="36"/>
      <c r="X387" s="35"/>
      <c r="Y387" s="155"/>
      <c r="Z387" s="155"/>
      <c r="AA387" s="155"/>
      <c r="AB387" s="155"/>
      <c r="AC387" s="155"/>
      <c r="AD387" s="155"/>
      <c r="AE387" s="155"/>
      <c r="AF387" s="155"/>
      <c r="AG387" s="155"/>
      <c r="AH387" s="36"/>
      <c r="AI387" s="35"/>
      <c r="AJ387" s="35"/>
      <c r="AK387" s="155"/>
      <c r="AL387" s="36" t="s">
        <v>189</v>
      </c>
      <c r="AM387" s="72" t="s">
        <v>1026</v>
      </c>
      <c r="AN387" s="48">
        <v>45252</v>
      </c>
      <c r="AO387" s="49">
        <v>13660</v>
      </c>
      <c r="AP387" s="72" t="s">
        <v>621</v>
      </c>
      <c r="AQ387" s="48">
        <v>45267</v>
      </c>
      <c r="AR387" s="48">
        <v>45632</v>
      </c>
      <c r="AS387" s="31"/>
      <c r="AT387" s="32"/>
      <c r="AU387" s="50"/>
      <c r="AV387" s="36"/>
      <c r="AW387" s="78"/>
      <c r="AX387" s="78"/>
      <c r="AY387" s="33"/>
      <c r="AZ387" s="34"/>
      <c r="BA387" s="35"/>
      <c r="BB387" s="35"/>
      <c r="BC387" s="78"/>
      <c r="BD387" s="78"/>
      <c r="BE387" s="78"/>
      <c r="BF387" s="35"/>
      <c r="BG387" s="36"/>
      <c r="BH387" s="35"/>
      <c r="BI387" s="97"/>
      <c r="BJ387" s="76"/>
      <c r="BK387" s="76"/>
      <c r="BL387" s="76"/>
      <c r="BM387" s="76"/>
      <c r="BN387" s="39">
        <f t="shared" si="37"/>
        <v>0</v>
      </c>
      <c r="BO387" s="47"/>
      <c r="BP387" s="106"/>
      <c r="BQ387" s="40"/>
      <c r="BR387" s="40"/>
      <c r="BS387" s="40"/>
      <c r="BT387" s="40"/>
      <c r="BU387" s="40"/>
      <c r="BV387" s="40"/>
      <c r="BW387" s="40"/>
      <c r="BX387" s="40"/>
      <c r="BY387" s="40"/>
      <c r="BZ387" s="40"/>
      <c r="CA387" s="40"/>
      <c r="CB387" s="155"/>
      <c r="CC387" s="155"/>
      <c r="CD387" s="155"/>
      <c r="CE387" s="155"/>
      <c r="CF387" s="155"/>
      <c r="CG387" s="155"/>
    </row>
    <row r="388" spans="1:85" customFormat="1" ht="24.95" customHeight="1">
      <c r="A388" s="155"/>
      <c r="B388" s="155"/>
      <c r="C388" s="155"/>
      <c r="D388" s="274"/>
      <c r="E388" s="274"/>
      <c r="F388" s="274"/>
      <c r="G388" s="53"/>
      <c r="H388" s="155"/>
      <c r="I388" s="36"/>
      <c r="J388" s="36"/>
      <c r="K388" s="36"/>
      <c r="L388" s="36"/>
      <c r="M388" s="155"/>
      <c r="N388" s="155"/>
      <c r="O388" s="155"/>
      <c r="P388" s="155"/>
      <c r="Q388" s="36"/>
      <c r="R388" s="36"/>
      <c r="S388" s="36"/>
      <c r="T388" s="49"/>
      <c r="U388" s="36"/>
      <c r="V388" s="123"/>
      <c r="W388" s="36"/>
      <c r="X388" s="35"/>
      <c r="Y388" s="155"/>
      <c r="Z388" s="155"/>
      <c r="AA388" s="155"/>
      <c r="AB388" s="155"/>
      <c r="AC388" s="155"/>
      <c r="AD388" s="155"/>
      <c r="AE388" s="155"/>
      <c r="AF388" s="155"/>
      <c r="AG388" s="155"/>
      <c r="AH388" s="36"/>
      <c r="AI388" s="35"/>
      <c r="AJ388" s="35"/>
      <c r="AK388" s="155"/>
      <c r="AL388" s="36" t="s">
        <v>189</v>
      </c>
      <c r="AM388" s="72" t="s">
        <v>1027</v>
      </c>
      <c r="AN388" s="48">
        <v>45634</v>
      </c>
      <c r="AO388" s="49">
        <v>13923</v>
      </c>
      <c r="AP388" s="72" t="s">
        <v>1077</v>
      </c>
      <c r="AQ388" s="48">
        <v>45633</v>
      </c>
      <c r="AR388" s="48">
        <v>45997</v>
      </c>
      <c r="AS388" s="31"/>
      <c r="AT388" s="32"/>
      <c r="AU388" s="50">
        <f>AW388/BI385</f>
        <v>5.2358950031383182E-2</v>
      </c>
      <c r="AV388" s="36"/>
      <c r="AW388" s="78">
        <v>8198.4</v>
      </c>
      <c r="AX388" s="78"/>
      <c r="AY388" s="33"/>
      <c r="AZ388" s="34"/>
      <c r="BA388" s="35"/>
      <c r="BB388" s="35"/>
      <c r="BC388" s="78"/>
      <c r="BD388" s="78"/>
      <c r="BE388" s="78"/>
      <c r="BF388" s="35"/>
      <c r="BG388" s="36"/>
      <c r="BH388" s="35"/>
      <c r="BI388" s="140">
        <f>14594.44*12</f>
        <v>175133.28</v>
      </c>
      <c r="BJ388" s="76"/>
      <c r="BK388" s="76"/>
      <c r="BL388" s="76"/>
      <c r="BM388" s="76"/>
      <c r="BN388" s="39">
        <f t="shared" si="37"/>
        <v>0</v>
      </c>
      <c r="BO388" s="47"/>
      <c r="BP388" s="106"/>
      <c r="BQ388" s="40"/>
      <c r="BR388" s="40"/>
      <c r="BS388" s="40"/>
      <c r="BT388" s="40"/>
      <c r="BU388" s="40"/>
      <c r="BV388" s="40"/>
      <c r="BW388" s="40"/>
      <c r="BX388" s="40"/>
      <c r="BY388" s="40"/>
      <c r="BZ388" s="40"/>
      <c r="CA388" s="40"/>
      <c r="CB388" s="155"/>
      <c r="CC388" s="155"/>
      <c r="CD388" s="155"/>
      <c r="CE388" s="155"/>
      <c r="CF388" s="155"/>
      <c r="CG388" s="155"/>
    </row>
    <row r="389" spans="1:85" customFormat="1" ht="24.95" customHeight="1">
      <c r="A389" s="155"/>
      <c r="B389" s="155"/>
      <c r="C389" s="155"/>
      <c r="D389" s="274"/>
      <c r="E389" s="274"/>
      <c r="F389" s="274"/>
      <c r="G389" s="53"/>
      <c r="H389" s="155"/>
      <c r="I389" s="36"/>
      <c r="J389" s="36"/>
      <c r="K389" s="36"/>
      <c r="L389" s="36"/>
      <c r="M389" s="155"/>
      <c r="N389" s="155"/>
      <c r="O389" s="155"/>
      <c r="P389" s="155"/>
      <c r="Q389" s="36"/>
      <c r="R389" s="36"/>
      <c r="S389" s="36"/>
      <c r="T389" s="49"/>
      <c r="U389" s="36"/>
      <c r="V389" s="123"/>
      <c r="W389" s="36"/>
      <c r="X389" s="35"/>
      <c r="Y389" s="155"/>
      <c r="Z389" s="155"/>
      <c r="AA389" s="155"/>
      <c r="AB389" s="155"/>
      <c r="AC389" s="155"/>
      <c r="AD389" s="155"/>
      <c r="AE389" s="155"/>
      <c r="AF389" s="155"/>
      <c r="AG389" s="155"/>
      <c r="AH389" s="36"/>
      <c r="AI389" s="35"/>
      <c r="AJ389" s="35"/>
      <c r="AK389" s="155"/>
      <c r="AL389" s="36" t="s">
        <v>189</v>
      </c>
      <c r="AM389" s="72" t="s">
        <v>1081</v>
      </c>
      <c r="AN389" s="48">
        <v>45999</v>
      </c>
      <c r="AO389" s="49"/>
      <c r="AP389" s="72" t="s">
        <v>621</v>
      </c>
      <c r="AQ389" s="48">
        <v>45999</v>
      </c>
      <c r="AR389" s="48">
        <v>46363</v>
      </c>
      <c r="AS389" s="31"/>
      <c r="AT389" s="32"/>
      <c r="AU389" s="50">
        <f>AW389/BI388</f>
        <v>2.4518241193221529E-2</v>
      </c>
      <c r="AV389" s="36"/>
      <c r="AW389" s="78">
        <v>4293.96</v>
      </c>
      <c r="AX389" s="78"/>
      <c r="AY389" s="33"/>
      <c r="AZ389" s="34"/>
      <c r="BA389" s="35"/>
      <c r="BB389" s="35"/>
      <c r="BC389" s="78"/>
      <c r="BD389" s="78"/>
      <c r="BE389" s="78"/>
      <c r="BF389" s="35"/>
      <c r="BG389" s="36"/>
      <c r="BH389" s="35"/>
      <c r="BI389" s="141">
        <f>BI388+AW389</f>
        <v>179427.24</v>
      </c>
      <c r="BJ389" s="76"/>
      <c r="BK389" s="76"/>
      <c r="BL389" s="76"/>
      <c r="BM389" s="76"/>
      <c r="BN389" s="39">
        <f t="shared" si="37"/>
        <v>0</v>
      </c>
      <c r="BO389" s="47"/>
      <c r="BP389" s="106"/>
      <c r="BQ389" s="40"/>
      <c r="BR389" s="40"/>
      <c r="BS389" s="40"/>
      <c r="BT389" s="40"/>
      <c r="BU389" s="40"/>
      <c r="BV389" s="40"/>
      <c r="BW389" s="40"/>
      <c r="BX389" s="40"/>
      <c r="BY389" s="40"/>
      <c r="BZ389" s="40"/>
      <c r="CA389" s="40"/>
      <c r="CB389" s="155"/>
      <c r="CC389" s="155"/>
      <c r="CD389" s="155"/>
      <c r="CE389" s="155"/>
      <c r="CF389" s="155"/>
      <c r="CG389" s="155"/>
    </row>
    <row r="390" spans="1:85" customFormat="1" ht="24.95" customHeight="1">
      <c r="A390" s="162"/>
      <c r="B390" s="162"/>
      <c r="C390" s="162"/>
      <c r="D390" s="276"/>
      <c r="E390" s="276"/>
      <c r="F390" s="276"/>
      <c r="G390" s="47"/>
      <c r="H390" s="162"/>
      <c r="I390" s="36"/>
      <c r="J390" s="36"/>
      <c r="K390" s="36"/>
      <c r="L390" s="36"/>
      <c r="M390" s="162"/>
      <c r="N390" s="162"/>
      <c r="O390" s="162"/>
      <c r="P390" s="162"/>
      <c r="Q390" s="36"/>
      <c r="R390" s="36"/>
      <c r="S390" s="36"/>
      <c r="T390" s="49"/>
      <c r="U390" s="36"/>
      <c r="V390" s="123"/>
      <c r="W390" s="36"/>
      <c r="X390" s="35"/>
      <c r="Y390" s="162"/>
      <c r="Z390" s="162"/>
      <c r="AA390" s="162"/>
      <c r="AB390" s="162"/>
      <c r="AC390" s="162"/>
      <c r="AD390" s="162"/>
      <c r="AE390" s="162"/>
      <c r="AF390" s="162"/>
      <c r="AG390" s="162"/>
      <c r="AH390" s="36"/>
      <c r="AI390" s="35"/>
      <c r="AJ390" s="35"/>
      <c r="AK390" s="162"/>
      <c r="AL390" s="36"/>
      <c r="AM390" s="72"/>
      <c r="AN390" s="48"/>
      <c r="AO390" s="49"/>
      <c r="AP390" s="72"/>
      <c r="AQ390" s="48"/>
      <c r="AR390" s="48"/>
      <c r="AS390" s="31"/>
      <c r="AT390" s="32"/>
      <c r="AU390" s="50"/>
      <c r="AV390" s="36"/>
      <c r="AW390" s="78"/>
      <c r="AX390" s="78"/>
      <c r="AY390" s="33"/>
      <c r="AZ390" s="34"/>
      <c r="BA390" s="35"/>
      <c r="BB390" s="35"/>
      <c r="BC390" s="78"/>
      <c r="BD390" s="78"/>
      <c r="BE390" s="78"/>
      <c r="BF390" s="35"/>
      <c r="BG390" s="36"/>
      <c r="BH390" s="35"/>
      <c r="BI390" s="141"/>
      <c r="BJ390" s="76"/>
      <c r="BK390" s="76"/>
      <c r="BL390" s="76"/>
      <c r="BM390" s="76"/>
      <c r="BN390" s="39">
        <f t="shared" si="37"/>
        <v>0</v>
      </c>
      <c r="BO390" s="47"/>
      <c r="BP390" s="106"/>
      <c r="BQ390" s="40"/>
      <c r="BR390" s="40"/>
      <c r="BS390" s="40"/>
      <c r="BT390" s="40"/>
      <c r="BU390" s="40"/>
      <c r="BV390" s="40"/>
      <c r="BW390" s="40"/>
      <c r="BX390" s="40"/>
      <c r="BY390" s="40"/>
      <c r="BZ390" s="40"/>
      <c r="CA390" s="40"/>
      <c r="CB390" s="162"/>
      <c r="CC390" s="162"/>
      <c r="CD390" s="162"/>
      <c r="CE390" s="162"/>
      <c r="CF390" s="162"/>
      <c r="CG390" s="162"/>
    </row>
    <row r="391" spans="1:85" customFormat="1" ht="24.95" customHeight="1">
      <c r="A391" s="170">
        <v>96</v>
      </c>
      <c r="B391" s="154" t="s">
        <v>1082</v>
      </c>
      <c r="C391" s="154"/>
      <c r="D391" s="273" t="s">
        <v>724</v>
      </c>
      <c r="E391" s="273" t="s">
        <v>180</v>
      </c>
      <c r="F391" s="273" t="s">
        <v>1083</v>
      </c>
      <c r="G391" s="44"/>
      <c r="H391" s="157"/>
      <c r="I391" s="36"/>
      <c r="J391" s="36"/>
      <c r="K391" s="36"/>
      <c r="L391" s="36"/>
      <c r="M391" s="154" t="s">
        <v>725</v>
      </c>
      <c r="N391" s="154" t="s">
        <v>970</v>
      </c>
      <c r="O391" s="157">
        <v>11551</v>
      </c>
      <c r="P391" s="157">
        <v>11551</v>
      </c>
      <c r="Q391" s="101"/>
      <c r="R391" s="101"/>
      <c r="S391" s="101"/>
      <c r="T391" s="139"/>
      <c r="U391" s="101"/>
      <c r="V391" s="101"/>
      <c r="W391" s="36"/>
      <c r="X391" s="35"/>
      <c r="Y391" s="163" t="s">
        <v>1084</v>
      </c>
      <c r="Z391" s="154" t="s">
        <v>1085</v>
      </c>
      <c r="AA391" s="154" t="s">
        <v>863</v>
      </c>
      <c r="AB391" s="161">
        <v>42072</v>
      </c>
      <c r="AC391" s="154">
        <v>11551</v>
      </c>
      <c r="AD391" s="161">
        <v>42072</v>
      </c>
      <c r="AE391" s="161">
        <v>42369</v>
      </c>
      <c r="AF391" s="163" t="s">
        <v>453</v>
      </c>
      <c r="AG391" s="154" t="s">
        <v>185</v>
      </c>
      <c r="AH391" s="36"/>
      <c r="AI391" s="35"/>
      <c r="AJ391" s="35"/>
      <c r="AK391" s="172">
        <v>29300</v>
      </c>
      <c r="AL391" s="72"/>
      <c r="AM391" s="72"/>
      <c r="AN391" s="48"/>
      <c r="AO391" s="49"/>
      <c r="AP391" s="72"/>
      <c r="AQ391" s="48"/>
      <c r="AR391" s="48"/>
      <c r="AS391" s="31"/>
      <c r="AT391" s="32"/>
      <c r="AU391" s="50"/>
      <c r="AV391" s="36"/>
      <c r="AW391" s="78"/>
      <c r="AX391" s="78"/>
      <c r="AY391" s="33"/>
      <c r="AZ391" s="34"/>
      <c r="BA391" s="35"/>
      <c r="BB391" s="35"/>
      <c r="BC391" s="78"/>
      <c r="BD391" s="78"/>
      <c r="BE391" s="78"/>
      <c r="BF391" s="35"/>
      <c r="BG391" s="36"/>
      <c r="BH391" s="35"/>
      <c r="BI391" s="96">
        <f>AK391</f>
        <v>29300</v>
      </c>
      <c r="BJ391" s="76">
        <f>75452.4+10088.1+3362.7+3362.7+3362.7+3362.7+3362.7+3362.7+6725.4+3362.7+10088.1+3362.7+3362.7+6725.4+40352.4+40352.4+42255.55+42602.88+42602.88+45209.52</f>
        <v>392719.33</v>
      </c>
      <c r="BK391" s="76">
        <f>45209.52</f>
        <v>45209.52</v>
      </c>
      <c r="BL391" s="76">
        <f>11302.38+3767.49+3767.46</f>
        <v>18837.329999999998</v>
      </c>
      <c r="BM391" s="76"/>
      <c r="BN391" s="39">
        <f t="shared" si="37"/>
        <v>411556.66000000003</v>
      </c>
      <c r="BO391" s="36"/>
      <c r="BP391" s="49"/>
      <c r="BQ391" s="48"/>
      <c r="BR391" s="49"/>
      <c r="BS391" s="48"/>
      <c r="BT391" s="36"/>
      <c r="BU391" s="40"/>
      <c r="BV391" s="40"/>
      <c r="BW391" s="40"/>
      <c r="BX391" s="40"/>
      <c r="BY391" s="40"/>
      <c r="BZ391" s="40"/>
      <c r="CA391" s="40"/>
      <c r="CB391" s="154" t="s">
        <v>1086</v>
      </c>
      <c r="CC391" s="157">
        <v>13991</v>
      </c>
      <c r="CD391" s="154" t="s">
        <v>1087</v>
      </c>
      <c r="CE391" s="157">
        <v>716812</v>
      </c>
      <c r="CF391" s="273" t="s">
        <v>1142</v>
      </c>
      <c r="CG391" s="157">
        <v>703209</v>
      </c>
    </row>
    <row r="392" spans="1:85" customFormat="1" ht="24.95" customHeight="1">
      <c r="A392" s="155"/>
      <c r="B392" s="155"/>
      <c r="C392" s="155"/>
      <c r="D392" s="274"/>
      <c r="E392" s="274"/>
      <c r="F392" s="274"/>
      <c r="G392" s="53"/>
      <c r="H392" s="155"/>
      <c r="I392" s="36"/>
      <c r="J392" s="36"/>
      <c r="K392" s="36"/>
      <c r="L392" s="36"/>
      <c r="M392" s="155"/>
      <c r="N392" s="155"/>
      <c r="O392" s="155"/>
      <c r="P392" s="155"/>
      <c r="Q392" s="101"/>
      <c r="R392" s="101"/>
      <c r="S392" s="101"/>
      <c r="T392" s="139"/>
      <c r="U392" s="101"/>
      <c r="V392" s="101"/>
      <c r="W392" s="36"/>
      <c r="X392" s="35"/>
      <c r="Y392" s="155"/>
      <c r="Z392" s="155"/>
      <c r="AA392" s="155"/>
      <c r="AB392" s="155"/>
      <c r="AC392" s="155"/>
      <c r="AD392" s="155"/>
      <c r="AE392" s="155"/>
      <c r="AF392" s="155"/>
      <c r="AG392" s="155"/>
      <c r="AH392" s="36"/>
      <c r="AI392" s="35"/>
      <c r="AJ392" s="35"/>
      <c r="AK392" s="155"/>
      <c r="AL392" s="36" t="s">
        <v>978</v>
      </c>
      <c r="AM392" s="72" t="s">
        <v>190</v>
      </c>
      <c r="AN392" s="48">
        <v>42368</v>
      </c>
      <c r="AO392" s="49">
        <v>11741</v>
      </c>
      <c r="AP392" s="72" t="s">
        <v>1088</v>
      </c>
      <c r="AQ392" s="48">
        <v>42370</v>
      </c>
      <c r="AR392" s="48">
        <v>42735</v>
      </c>
      <c r="AS392" s="31"/>
      <c r="AT392" s="32"/>
      <c r="AU392" s="50"/>
      <c r="AV392" s="36"/>
      <c r="AW392" s="78"/>
      <c r="AX392" s="78"/>
      <c r="AY392" s="33"/>
      <c r="AZ392" s="34"/>
      <c r="BA392" s="35"/>
      <c r="BB392" s="35"/>
      <c r="BC392" s="78"/>
      <c r="BD392" s="78"/>
      <c r="BE392" s="78"/>
      <c r="BF392" s="35"/>
      <c r="BG392" s="36"/>
      <c r="BH392" s="35"/>
      <c r="BI392" s="35"/>
      <c r="BJ392" s="76"/>
      <c r="BK392" s="76"/>
      <c r="BL392" s="76"/>
      <c r="BM392" s="76"/>
      <c r="BN392" s="39">
        <f t="shared" si="37"/>
        <v>0</v>
      </c>
      <c r="BO392" s="47"/>
      <c r="BP392" s="105"/>
      <c r="BQ392" s="48"/>
      <c r="BR392" s="49"/>
      <c r="BS392" s="48"/>
      <c r="BT392" s="36"/>
      <c r="BU392" s="40"/>
      <c r="BV392" s="40"/>
      <c r="BW392" s="40"/>
      <c r="BX392" s="40"/>
      <c r="BY392" s="40"/>
      <c r="BZ392" s="40"/>
      <c r="CA392" s="40"/>
      <c r="CB392" s="155"/>
      <c r="CC392" s="155"/>
      <c r="CD392" s="155"/>
      <c r="CE392" s="155"/>
      <c r="CF392" s="155"/>
      <c r="CG392" s="155"/>
    </row>
    <row r="393" spans="1:85" customFormat="1" ht="24.95" customHeight="1">
      <c r="A393" s="155"/>
      <c r="B393" s="155"/>
      <c r="C393" s="155"/>
      <c r="D393" s="274"/>
      <c r="E393" s="274"/>
      <c r="F393" s="274"/>
      <c r="G393" s="53"/>
      <c r="H393" s="155"/>
      <c r="I393" s="36"/>
      <c r="J393" s="36"/>
      <c r="K393" s="36"/>
      <c r="L393" s="36"/>
      <c r="M393" s="155"/>
      <c r="N393" s="155"/>
      <c r="O393" s="155"/>
      <c r="P393" s="155"/>
      <c r="Q393" s="101"/>
      <c r="R393" s="101"/>
      <c r="S393" s="101"/>
      <c r="T393" s="139"/>
      <c r="U393" s="101"/>
      <c r="V393" s="101"/>
      <c r="W393" s="36"/>
      <c r="X393" s="35"/>
      <c r="Y393" s="155"/>
      <c r="Z393" s="155"/>
      <c r="AA393" s="155"/>
      <c r="AB393" s="155"/>
      <c r="AC393" s="155"/>
      <c r="AD393" s="155"/>
      <c r="AE393" s="155"/>
      <c r="AF393" s="155"/>
      <c r="AG393" s="155"/>
      <c r="AH393" s="36"/>
      <c r="AI393" s="35"/>
      <c r="AJ393" s="35"/>
      <c r="AK393" s="155"/>
      <c r="AL393" s="72" t="s">
        <v>1089</v>
      </c>
      <c r="AM393" s="72" t="s">
        <v>190</v>
      </c>
      <c r="AN393" s="48">
        <v>42436</v>
      </c>
      <c r="AO393" s="49">
        <v>11763</v>
      </c>
      <c r="AP393" s="72" t="s">
        <v>1036</v>
      </c>
      <c r="AQ393" s="48">
        <v>42370</v>
      </c>
      <c r="AR393" s="48">
        <v>42735</v>
      </c>
      <c r="AS393" s="31"/>
      <c r="AT393" s="32"/>
      <c r="AU393" s="50"/>
      <c r="AV393" s="36"/>
      <c r="AW393" s="78"/>
      <c r="AX393" s="78"/>
      <c r="AY393" s="33"/>
      <c r="AZ393" s="34"/>
      <c r="BA393" s="35"/>
      <c r="BB393" s="35"/>
      <c r="BC393" s="48">
        <v>42438</v>
      </c>
      <c r="BD393" s="100">
        <f>BE393/BI391</f>
        <v>0.12048737201365187</v>
      </c>
      <c r="BE393" s="78">
        <f>362.7*9+265.98</f>
        <v>3530.2799999999997</v>
      </c>
      <c r="BF393" s="35"/>
      <c r="BG393" s="36"/>
      <c r="BH393" s="35"/>
      <c r="BI393" s="78">
        <f>BI391+BE393</f>
        <v>32830.28</v>
      </c>
      <c r="BJ393" s="76"/>
      <c r="BK393" s="76"/>
      <c r="BL393" s="76"/>
      <c r="BM393" s="76"/>
      <c r="BN393" s="39">
        <f t="shared" si="37"/>
        <v>0</v>
      </c>
      <c r="BO393" s="47"/>
      <c r="BP393" s="105"/>
      <c r="BQ393" s="48"/>
      <c r="BR393" s="49"/>
      <c r="BS393" s="48"/>
      <c r="BT393" s="36"/>
      <c r="BU393" s="40"/>
      <c r="BV393" s="40"/>
      <c r="BW393" s="40"/>
      <c r="BX393" s="40"/>
      <c r="BY393" s="40"/>
      <c r="BZ393" s="40"/>
      <c r="CA393" s="40"/>
      <c r="CB393" s="155"/>
      <c r="CC393" s="155"/>
      <c r="CD393" s="155"/>
      <c r="CE393" s="155"/>
      <c r="CF393" s="155"/>
      <c r="CG393" s="155"/>
    </row>
    <row r="394" spans="1:85" customFormat="1" ht="24.95" customHeight="1">
      <c r="A394" s="155"/>
      <c r="B394" s="155"/>
      <c r="C394" s="155"/>
      <c r="D394" s="274"/>
      <c r="E394" s="274"/>
      <c r="F394" s="274"/>
      <c r="G394" s="53"/>
      <c r="H394" s="155"/>
      <c r="I394" s="36"/>
      <c r="J394" s="36"/>
      <c r="K394" s="36"/>
      <c r="L394" s="36"/>
      <c r="M394" s="155"/>
      <c r="N394" s="155"/>
      <c r="O394" s="155"/>
      <c r="P394" s="155"/>
      <c r="Q394" s="101"/>
      <c r="R394" s="101"/>
      <c r="S394" s="101"/>
      <c r="T394" s="139"/>
      <c r="U394" s="101"/>
      <c r="V394" s="101"/>
      <c r="W394" s="36"/>
      <c r="X394" s="35"/>
      <c r="Y394" s="155"/>
      <c r="Z394" s="155"/>
      <c r="AA394" s="155"/>
      <c r="AB394" s="155"/>
      <c r="AC394" s="155"/>
      <c r="AD394" s="155"/>
      <c r="AE394" s="155"/>
      <c r="AF394" s="155"/>
      <c r="AG394" s="155"/>
      <c r="AH394" s="36"/>
      <c r="AI394" s="35"/>
      <c r="AJ394" s="35"/>
      <c r="AK394" s="155"/>
      <c r="AL394" s="36" t="s">
        <v>978</v>
      </c>
      <c r="AM394" s="72" t="s">
        <v>194</v>
      </c>
      <c r="AN394" s="48">
        <v>42733</v>
      </c>
      <c r="AO394" s="49">
        <v>11984</v>
      </c>
      <c r="AP394" s="72" t="s">
        <v>1088</v>
      </c>
      <c r="AQ394" s="48">
        <v>42736</v>
      </c>
      <c r="AR394" s="48">
        <v>43100</v>
      </c>
      <c r="AS394" s="31"/>
      <c r="AT394" s="32"/>
      <c r="AU394" s="50"/>
      <c r="AV394" s="36"/>
      <c r="AW394" s="78"/>
      <c r="AX394" s="78"/>
      <c r="AY394" s="33"/>
      <c r="AZ394" s="34"/>
      <c r="BA394" s="35"/>
      <c r="BB394" s="35"/>
      <c r="BC394" s="78"/>
      <c r="BD394" s="78"/>
      <c r="BE394" s="78"/>
      <c r="BF394" s="35"/>
      <c r="BG394" s="36"/>
      <c r="BH394" s="35"/>
      <c r="BI394" s="42">
        <f>3362.7*12</f>
        <v>40352.399999999994</v>
      </c>
      <c r="BJ394" s="76"/>
      <c r="BK394" s="76"/>
      <c r="BL394" s="76"/>
      <c r="BM394" s="76"/>
      <c r="BN394" s="39">
        <f t="shared" si="37"/>
        <v>0</v>
      </c>
      <c r="BO394" s="47"/>
      <c r="BP394" s="105"/>
      <c r="BQ394" s="48"/>
      <c r="BR394" s="49"/>
      <c r="BS394" s="48"/>
      <c r="BT394" s="36"/>
      <c r="BU394" s="40"/>
      <c r="BV394" s="40"/>
      <c r="BW394" s="40"/>
      <c r="BX394" s="40"/>
      <c r="BY394" s="40"/>
      <c r="BZ394" s="40"/>
      <c r="CA394" s="40"/>
      <c r="CB394" s="155"/>
      <c r="CC394" s="155"/>
      <c r="CD394" s="155"/>
      <c r="CE394" s="155"/>
      <c r="CF394" s="155"/>
      <c r="CG394" s="155"/>
    </row>
    <row r="395" spans="1:85" customFormat="1" ht="24.95" customHeight="1">
      <c r="A395" s="155"/>
      <c r="B395" s="155"/>
      <c r="C395" s="155"/>
      <c r="D395" s="274"/>
      <c r="E395" s="274"/>
      <c r="F395" s="274"/>
      <c r="G395" s="53"/>
      <c r="H395" s="155"/>
      <c r="I395" s="36"/>
      <c r="J395" s="36"/>
      <c r="K395" s="36"/>
      <c r="L395" s="36"/>
      <c r="M395" s="155"/>
      <c r="N395" s="155"/>
      <c r="O395" s="155"/>
      <c r="P395" s="155"/>
      <c r="Q395" s="101"/>
      <c r="R395" s="101"/>
      <c r="S395" s="101"/>
      <c r="T395" s="139"/>
      <c r="U395" s="101"/>
      <c r="V395" s="101"/>
      <c r="W395" s="36"/>
      <c r="X395" s="35"/>
      <c r="Y395" s="155"/>
      <c r="Z395" s="155"/>
      <c r="AA395" s="155"/>
      <c r="AB395" s="155"/>
      <c r="AC395" s="155"/>
      <c r="AD395" s="155"/>
      <c r="AE395" s="155"/>
      <c r="AF395" s="155"/>
      <c r="AG395" s="155"/>
      <c r="AH395" s="36"/>
      <c r="AI395" s="35"/>
      <c r="AJ395" s="35"/>
      <c r="AK395" s="155"/>
      <c r="AL395" s="36" t="s">
        <v>978</v>
      </c>
      <c r="AM395" s="72" t="s">
        <v>202</v>
      </c>
      <c r="AN395" s="48">
        <v>43096</v>
      </c>
      <c r="AO395" s="49">
        <v>12214</v>
      </c>
      <c r="AP395" s="72" t="s">
        <v>1088</v>
      </c>
      <c r="AQ395" s="48">
        <v>43101</v>
      </c>
      <c r="AR395" s="48">
        <v>43465</v>
      </c>
      <c r="AS395" s="31"/>
      <c r="AT395" s="32"/>
      <c r="AU395" s="50"/>
      <c r="AV395" s="36"/>
      <c r="AW395" s="78"/>
      <c r="AX395" s="78"/>
      <c r="AY395" s="33"/>
      <c r="AZ395" s="34"/>
      <c r="BA395" s="35"/>
      <c r="BB395" s="35"/>
      <c r="BC395" s="78"/>
      <c r="BD395" s="78"/>
      <c r="BE395" s="78"/>
      <c r="BF395" s="35"/>
      <c r="BG395" s="36"/>
      <c r="BH395" s="35"/>
      <c r="BI395" s="35"/>
      <c r="BJ395" s="76"/>
      <c r="BK395" s="76"/>
      <c r="BL395" s="76"/>
      <c r="BM395" s="76"/>
      <c r="BN395" s="39">
        <f t="shared" si="37"/>
        <v>0</v>
      </c>
      <c r="BO395" s="47"/>
      <c r="BP395" s="105"/>
      <c r="BQ395" s="48"/>
      <c r="BR395" s="49"/>
      <c r="BS395" s="48"/>
      <c r="BT395" s="36"/>
      <c r="BU395" s="40"/>
      <c r="BV395" s="40"/>
      <c r="BW395" s="40"/>
      <c r="BX395" s="40"/>
      <c r="BY395" s="40"/>
      <c r="BZ395" s="40"/>
      <c r="CA395" s="40"/>
      <c r="CB395" s="155"/>
      <c r="CC395" s="155"/>
      <c r="CD395" s="155"/>
      <c r="CE395" s="155"/>
      <c r="CF395" s="155"/>
      <c r="CG395" s="155"/>
    </row>
    <row r="396" spans="1:85" customFormat="1" ht="24.95" customHeight="1">
      <c r="A396" s="155"/>
      <c r="B396" s="155"/>
      <c r="C396" s="155"/>
      <c r="D396" s="274"/>
      <c r="E396" s="274"/>
      <c r="F396" s="274"/>
      <c r="G396" s="53"/>
      <c r="H396" s="155"/>
      <c r="I396" s="36"/>
      <c r="J396" s="36"/>
      <c r="K396" s="36"/>
      <c r="L396" s="36"/>
      <c r="M396" s="155"/>
      <c r="N396" s="155"/>
      <c r="O396" s="155"/>
      <c r="P396" s="155"/>
      <c r="Q396" s="101"/>
      <c r="R396" s="101"/>
      <c r="S396" s="101"/>
      <c r="T396" s="139"/>
      <c r="U396" s="101"/>
      <c r="V396" s="101"/>
      <c r="W396" s="36"/>
      <c r="X396" s="35"/>
      <c r="Y396" s="155"/>
      <c r="Z396" s="155"/>
      <c r="AA396" s="155"/>
      <c r="AB396" s="155"/>
      <c r="AC396" s="155"/>
      <c r="AD396" s="155"/>
      <c r="AE396" s="155"/>
      <c r="AF396" s="155"/>
      <c r="AG396" s="155"/>
      <c r="AH396" s="36"/>
      <c r="AI396" s="35"/>
      <c r="AJ396" s="35"/>
      <c r="AK396" s="155"/>
      <c r="AL396" s="36" t="s">
        <v>978</v>
      </c>
      <c r="AM396" s="72" t="s">
        <v>205</v>
      </c>
      <c r="AN396" s="48">
        <v>43463</v>
      </c>
      <c r="AO396" s="49">
        <v>12457</v>
      </c>
      <c r="AP396" s="72" t="s">
        <v>1088</v>
      </c>
      <c r="AQ396" s="48">
        <v>43466</v>
      </c>
      <c r="AR396" s="48">
        <v>43830</v>
      </c>
      <c r="AS396" s="31"/>
      <c r="AT396" s="32"/>
      <c r="AU396" s="50"/>
      <c r="AV396" s="36"/>
      <c r="AW396" s="78"/>
      <c r="AX396" s="78"/>
      <c r="AY396" s="33"/>
      <c r="AZ396" s="34"/>
      <c r="BA396" s="35"/>
      <c r="BB396" s="35"/>
      <c r="BC396" s="78"/>
      <c r="BD396" s="78"/>
      <c r="BE396" s="78"/>
      <c r="BF396" s="35"/>
      <c r="BG396" s="36"/>
      <c r="BH396" s="35"/>
      <c r="BI396" s="35"/>
      <c r="BJ396" s="76"/>
      <c r="BK396" s="76"/>
      <c r="BL396" s="76"/>
      <c r="BM396" s="76"/>
      <c r="BN396" s="39">
        <f t="shared" si="37"/>
        <v>0</v>
      </c>
      <c r="BO396" s="47"/>
      <c r="BP396" s="105"/>
      <c r="BQ396" s="48"/>
      <c r="BR396" s="49"/>
      <c r="BS396" s="48"/>
      <c r="BT396" s="36"/>
      <c r="BU396" s="40"/>
      <c r="BV396" s="40"/>
      <c r="BW396" s="40"/>
      <c r="BX396" s="40"/>
      <c r="BY396" s="40"/>
      <c r="BZ396" s="40"/>
      <c r="CA396" s="40"/>
      <c r="CB396" s="155"/>
      <c r="CC396" s="155"/>
      <c r="CD396" s="155"/>
      <c r="CE396" s="155"/>
      <c r="CF396" s="155"/>
      <c r="CG396" s="155"/>
    </row>
    <row r="397" spans="1:85" customFormat="1" ht="24.95" customHeight="1">
      <c r="A397" s="155"/>
      <c r="B397" s="155"/>
      <c r="C397" s="155"/>
      <c r="D397" s="274"/>
      <c r="E397" s="274"/>
      <c r="F397" s="274"/>
      <c r="G397" s="53"/>
      <c r="H397" s="155"/>
      <c r="I397" s="36"/>
      <c r="J397" s="36"/>
      <c r="K397" s="36"/>
      <c r="L397" s="36"/>
      <c r="M397" s="155"/>
      <c r="N397" s="155"/>
      <c r="O397" s="155"/>
      <c r="P397" s="155"/>
      <c r="Q397" s="101"/>
      <c r="R397" s="101"/>
      <c r="S397" s="101"/>
      <c r="T397" s="139"/>
      <c r="U397" s="101"/>
      <c r="V397" s="101"/>
      <c r="W397" s="36"/>
      <c r="X397" s="35"/>
      <c r="Y397" s="155"/>
      <c r="Z397" s="155"/>
      <c r="AA397" s="155"/>
      <c r="AB397" s="155"/>
      <c r="AC397" s="155"/>
      <c r="AD397" s="155"/>
      <c r="AE397" s="155"/>
      <c r="AF397" s="155"/>
      <c r="AG397" s="155"/>
      <c r="AH397" s="36"/>
      <c r="AI397" s="35"/>
      <c r="AJ397" s="35"/>
      <c r="AK397" s="155"/>
      <c r="AL397" s="36" t="s">
        <v>978</v>
      </c>
      <c r="AM397" s="72" t="s">
        <v>208</v>
      </c>
      <c r="AN397" s="48">
        <v>43804</v>
      </c>
      <c r="AO397" s="49">
        <v>12694</v>
      </c>
      <c r="AP397" s="72" t="s">
        <v>1090</v>
      </c>
      <c r="AQ397" s="48">
        <v>43466</v>
      </c>
      <c r="AR397" s="48">
        <v>43830</v>
      </c>
      <c r="AS397" s="31"/>
      <c r="AT397" s="32"/>
      <c r="AU397" s="50"/>
      <c r="AV397" s="36"/>
      <c r="AW397" s="78"/>
      <c r="AX397" s="78"/>
      <c r="AY397" s="33"/>
      <c r="AZ397" s="34"/>
      <c r="BA397" s="35"/>
      <c r="BB397" s="35"/>
      <c r="BC397" s="78"/>
      <c r="BD397" s="78"/>
      <c r="BE397" s="78"/>
      <c r="BF397" s="35"/>
      <c r="BG397" s="36"/>
      <c r="BH397" s="35"/>
      <c r="BI397" s="35"/>
      <c r="BJ397" s="76"/>
      <c r="BK397" s="76"/>
      <c r="BL397" s="76"/>
      <c r="BM397" s="76"/>
      <c r="BN397" s="39">
        <f t="shared" si="37"/>
        <v>0</v>
      </c>
      <c r="BO397" s="47"/>
      <c r="BP397" s="105"/>
      <c r="BQ397" s="48"/>
      <c r="BR397" s="49"/>
      <c r="BS397" s="48"/>
      <c r="BT397" s="36"/>
      <c r="BU397" s="40"/>
      <c r="BV397" s="40"/>
      <c r="BW397" s="40"/>
      <c r="BX397" s="40"/>
      <c r="BY397" s="40"/>
      <c r="BZ397" s="40"/>
      <c r="CA397" s="40"/>
      <c r="CB397" s="155"/>
      <c r="CC397" s="155"/>
      <c r="CD397" s="155"/>
      <c r="CE397" s="155"/>
      <c r="CF397" s="155"/>
      <c r="CG397" s="155"/>
    </row>
    <row r="398" spans="1:85" customFormat="1" ht="24.95" customHeight="1">
      <c r="A398" s="155"/>
      <c r="B398" s="155"/>
      <c r="C398" s="155"/>
      <c r="D398" s="274"/>
      <c r="E398" s="274"/>
      <c r="F398" s="274"/>
      <c r="G398" s="53"/>
      <c r="H398" s="155"/>
      <c r="I398" s="36"/>
      <c r="J398" s="36"/>
      <c r="K398" s="36"/>
      <c r="L398" s="36"/>
      <c r="M398" s="155"/>
      <c r="N398" s="155"/>
      <c r="O398" s="155"/>
      <c r="P398" s="155"/>
      <c r="Q398" s="101"/>
      <c r="R398" s="101"/>
      <c r="S398" s="101"/>
      <c r="T398" s="139"/>
      <c r="U398" s="101"/>
      <c r="V398" s="101"/>
      <c r="W398" s="36"/>
      <c r="X398" s="35"/>
      <c r="Y398" s="155"/>
      <c r="Z398" s="155"/>
      <c r="AA398" s="155"/>
      <c r="AB398" s="155"/>
      <c r="AC398" s="155"/>
      <c r="AD398" s="155"/>
      <c r="AE398" s="155"/>
      <c r="AF398" s="155"/>
      <c r="AG398" s="155"/>
      <c r="AH398" s="36"/>
      <c r="AI398" s="35"/>
      <c r="AJ398" s="35"/>
      <c r="AK398" s="155"/>
      <c r="AL398" s="36" t="s">
        <v>978</v>
      </c>
      <c r="AM398" s="72" t="s">
        <v>212</v>
      </c>
      <c r="AN398" s="48">
        <v>43831</v>
      </c>
      <c r="AO398" s="49">
        <v>12723</v>
      </c>
      <c r="AP398" s="72" t="s">
        <v>1091</v>
      </c>
      <c r="AQ398" s="48">
        <v>43831</v>
      </c>
      <c r="AR398" s="48">
        <v>44013</v>
      </c>
      <c r="AS398" s="31"/>
      <c r="AT398" s="32"/>
      <c r="AU398" s="50"/>
      <c r="AV398" s="36"/>
      <c r="AW398" s="78"/>
      <c r="AX398" s="78"/>
      <c r="AY398" s="33"/>
      <c r="AZ398" s="34"/>
      <c r="BA398" s="35"/>
      <c r="BB398" s="35"/>
      <c r="BC398" s="78"/>
      <c r="BD398" s="78"/>
      <c r="BE398" s="78"/>
      <c r="BF398" s="35"/>
      <c r="BG398" s="36"/>
      <c r="BH398" s="35"/>
      <c r="BI398" s="35"/>
      <c r="BJ398" s="76"/>
      <c r="BK398" s="76"/>
      <c r="BL398" s="76"/>
      <c r="BM398" s="76"/>
      <c r="BN398" s="39">
        <f t="shared" si="37"/>
        <v>0</v>
      </c>
      <c r="BO398" s="47"/>
      <c r="BP398" s="105"/>
      <c r="BQ398" s="48"/>
      <c r="BR398" s="49"/>
      <c r="BS398" s="48"/>
      <c r="BT398" s="36"/>
      <c r="BU398" s="40"/>
      <c r="BV398" s="40"/>
      <c r="BW398" s="40"/>
      <c r="BX398" s="40"/>
      <c r="BY398" s="40"/>
      <c r="BZ398" s="40"/>
      <c r="CA398" s="40"/>
      <c r="CB398" s="155"/>
      <c r="CC398" s="155"/>
      <c r="CD398" s="155"/>
      <c r="CE398" s="155"/>
      <c r="CF398" s="155"/>
      <c r="CG398" s="155"/>
    </row>
    <row r="399" spans="1:85" customFormat="1" ht="24.95" customHeight="1">
      <c r="A399" s="155"/>
      <c r="B399" s="155"/>
      <c r="C399" s="155"/>
      <c r="D399" s="274"/>
      <c r="E399" s="274"/>
      <c r="F399" s="274"/>
      <c r="G399" s="53"/>
      <c r="H399" s="155"/>
      <c r="I399" s="36"/>
      <c r="J399" s="36"/>
      <c r="K399" s="36"/>
      <c r="L399" s="36"/>
      <c r="M399" s="155"/>
      <c r="N399" s="155"/>
      <c r="O399" s="155"/>
      <c r="P399" s="155"/>
      <c r="Q399" s="101"/>
      <c r="R399" s="101"/>
      <c r="S399" s="101"/>
      <c r="T399" s="139"/>
      <c r="U399" s="101"/>
      <c r="V399" s="101"/>
      <c r="W399" s="36"/>
      <c r="X399" s="35"/>
      <c r="Y399" s="155"/>
      <c r="Z399" s="155"/>
      <c r="AA399" s="155"/>
      <c r="AB399" s="155"/>
      <c r="AC399" s="155"/>
      <c r="AD399" s="155"/>
      <c r="AE399" s="155"/>
      <c r="AF399" s="155"/>
      <c r="AG399" s="155"/>
      <c r="AH399" s="36"/>
      <c r="AI399" s="35"/>
      <c r="AJ399" s="35"/>
      <c r="AK399" s="155"/>
      <c r="AL399" s="36" t="s">
        <v>978</v>
      </c>
      <c r="AM399" s="72" t="s">
        <v>987</v>
      </c>
      <c r="AN399" s="48" t="s">
        <v>1092</v>
      </c>
      <c r="AO399" s="49">
        <v>12953</v>
      </c>
      <c r="AP399" s="72" t="s">
        <v>1088</v>
      </c>
      <c r="AQ399" s="48">
        <v>44197</v>
      </c>
      <c r="AR399" s="48">
        <v>44561</v>
      </c>
      <c r="AS399" s="31"/>
      <c r="AT399" s="32"/>
      <c r="AU399" s="50"/>
      <c r="AV399" s="36"/>
      <c r="AW399" s="78"/>
      <c r="AX399" s="78"/>
      <c r="AY399" s="33"/>
      <c r="AZ399" s="34"/>
      <c r="BA399" s="35"/>
      <c r="BB399" s="35"/>
      <c r="BC399" s="78"/>
      <c r="BD399" s="78"/>
      <c r="BE399" s="78"/>
      <c r="BF399" s="35"/>
      <c r="BG399" s="36"/>
      <c r="BH399" s="35"/>
      <c r="BI399" s="35"/>
      <c r="BJ399" s="76"/>
      <c r="BK399" s="76"/>
      <c r="BL399" s="76"/>
      <c r="BM399" s="76"/>
      <c r="BN399" s="39">
        <f t="shared" si="37"/>
        <v>0</v>
      </c>
      <c r="BO399" s="47"/>
      <c r="BP399" s="105"/>
      <c r="BQ399" s="48"/>
      <c r="BR399" s="49"/>
      <c r="BS399" s="48"/>
      <c r="BT399" s="36"/>
      <c r="BU399" s="40"/>
      <c r="BV399" s="40"/>
      <c r="BW399" s="40"/>
      <c r="BX399" s="40"/>
      <c r="BY399" s="40"/>
      <c r="BZ399" s="40"/>
      <c r="CA399" s="40"/>
      <c r="CB399" s="155"/>
      <c r="CC399" s="155"/>
      <c r="CD399" s="155"/>
      <c r="CE399" s="155"/>
      <c r="CF399" s="155"/>
      <c r="CG399" s="155"/>
    </row>
    <row r="400" spans="1:85" customFormat="1" ht="24.95" customHeight="1">
      <c r="A400" s="155"/>
      <c r="B400" s="155"/>
      <c r="C400" s="155"/>
      <c r="D400" s="274"/>
      <c r="E400" s="274"/>
      <c r="F400" s="274"/>
      <c r="G400" s="53"/>
      <c r="H400" s="155"/>
      <c r="I400" s="36"/>
      <c r="J400" s="36"/>
      <c r="K400" s="36"/>
      <c r="L400" s="36"/>
      <c r="M400" s="155"/>
      <c r="N400" s="155"/>
      <c r="O400" s="155"/>
      <c r="P400" s="155"/>
      <c r="Q400" s="101"/>
      <c r="R400" s="101"/>
      <c r="S400" s="101"/>
      <c r="T400" s="139"/>
      <c r="U400" s="101"/>
      <c r="V400" s="101"/>
      <c r="W400" s="36"/>
      <c r="X400" s="35"/>
      <c r="Y400" s="155"/>
      <c r="Z400" s="155"/>
      <c r="AA400" s="155"/>
      <c r="AB400" s="155"/>
      <c r="AC400" s="155"/>
      <c r="AD400" s="155"/>
      <c r="AE400" s="155"/>
      <c r="AF400" s="155"/>
      <c r="AG400" s="155"/>
      <c r="AH400" s="36"/>
      <c r="AI400" s="35"/>
      <c r="AJ400" s="35"/>
      <c r="AK400" s="155"/>
      <c r="AL400" s="36" t="s">
        <v>978</v>
      </c>
      <c r="AM400" s="72" t="s">
        <v>990</v>
      </c>
      <c r="AN400" s="48">
        <v>44541</v>
      </c>
      <c r="AO400" s="49">
        <v>13224</v>
      </c>
      <c r="AP400" s="72" t="s">
        <v>228</v>
      </c>
      <c r="AQ400" s="72" t="s">
        <v>192</v>
      </c>
      <c r="AR400" s="72" t="s">
        <v>193</v>
      </c>
      <c r="AS400" s="31"/>
      <c r="AT400" s="32"/>
      <c r="AU400" s="50"/>
      <c r="AV400" s="36"/>
      <c r="AW400" s="78"/>
      <c r="AX400" s="78"/>
      <c r="AY400" s="33"/>
      <c r="AZ400" s="34"/>
      <c r="BA400" s="35"/>
      <c r="BB400" s="35"/>
      <c r="BC400" s="78"/>
      <c r="BD400" s="78"/>
      <c r="BE400" s="78"/>
      <c r="BF400" s="35"/>
      <c r="BG400" s="36"/>
      <c r="BH400" s="35"/>
      <c r="BI400" s="35"/>
      <c r="BJ400" s="76"/>
      <c r="BK400" s="76"/>
      <c r="BL400" s="76"/>
      <c r="BM400" s="76"/>
      <c r="BN400" s="39">
        <f t="shared" si="37"/>
        <v>0</v>
      </c>
      <c r="BO400" s="47"/>
      <c r="BP400" s="105"/>
      <c r="BQ400" s="48"/>
      <c r="BR400" s="49"/>
      <c r="BS400" s="48"/>
      <c r="BT400" s="36"/>
      <c r="BU400" s="40"/>
      <c r="BV400" s="40"/>
      <c r="BW400" s="40"/>
      <c r="BX400" s="40"/>
      <c r="BY400" s="40"/>
      <c r="BZ400" s="40"/>
      <c r="CA400" s="40"/>
      <c r="CB400" s="155"/>
      <c r="CC400" s="155"/>
      <c r="CD400" s="155"/>
      <c r="CE400" s="155"/>
      <c r="CF400" s="155"/>
      <c r="CG400" s="155"/>
    </row>
    <row r="401" spans="1:85" customFormat="1" ht="24.95" customHeight="1">
      <c r="A401" s="155"/>
      <c r="B401" s="155"/>
      <c r="C401" s="155"/>
      <c r="D401" s="274"/>
      <c r="E401" s="274"/>
      <c r="F401" s="274"/>
      <c r="G401" s="53"/>
      <c r="H401" s="155"/>
      <c r="I401" s="36"/>
      <c r="J401" s="36"/>
      <c r="K401" s="36"/>
      <c r="L401" s="36"/>
      <c r="M401" s="155"/>
      <c r="N401" s="155"/>
      <c r="O401" s="155"/>
      <c r="P401" s="155"/>
      <c r="Q401" s="101"/>
      <c r="R401" s="101"/>
      <c r="S401" s="101"/>
      <c r="T401" s="139"/>
      <c r="U401" s="101"/>
      <c r="V401" s="101"/>
      <c r="W401" s="36"/>
      <c r="X401" s="35"/>
      <c r="Y401" s="155"/>
      <c r="Z401" s="155"/>
      <c r="AA401" s="155"/>
      <c r="AB401" s="155"/>
      <c r="AC401" s="155"/>
      <c r="AD401" s="155"/>
      <c r="AE401" s="155"/>
      <c r="AF401" s="155"/>
      <c r="AG401" s="155"/>
      <c r="AH401" s="36"/>
      <c r="AI401" s="35"/>
      <c r="AJ401" s="35"/>
      <c r="AK401" s="155"/>
      <c r="AL401" s="36" t="s">
        <v>978</v>
      </c>
      <c r="AM401" s="72" t="s">
        <v>992</v>
      </c>
      <c r="AN401" s="48">
        <v>44910</v>
      </c>
      <c r="AO401" s="49">
        <v>13466</v>
      </c>
      <c r="AP401" s="72" t="s">
        <v>228</v>
      </c>
      <c r="AQ401" s="137" t="s">
        <v>196</v>
      </c>
      <c r="AR401" s="137" t="s">
        <v>197</v>
      </c>
      <c r="AS401" s="31"/>
      <c r="AT401" s="32"/>
      <c r="AU401" s="50"/>
      <c r="AV401" s="36"/>
      <c r="AW401" s="78"/>
      <c r="AX401" s="78"/>
      <c r="AY401" s="33"/>
      <c r="AZ401" s="34"/>
      <c r="BA401" s="35"/>
      <c r="BB401" s="35"/>
      <c r="BC401" s="78"/>
      <c r="BD401" s="78"/>
      <c r="BE401" s="78"/>
      <c r="BF401" s="35"/>
      <c r="BG401" s="36"/>
      <c r="BH401" s="35"/>
      <c r="BI401" s="35"/>
      <c r="BJ401" s="76"/>
      <c r="BK401" s="76"/>
      <c r="BL401" s="76"/>
      <c r="BM401" s="76"/>
      <c r="BN401" s="39">
        <f t="shared" si="37"/>
        <v>0</v>
      </c>
      <c r="BO401" s="47"/>
      <c r="BP401" s="105"/>
      <c r="BQ401" s="48"/>
      <c r="BR401" s="49"/>
      <c r="BS401" s="48"/>
      <c r="BT401" s="36"/>
      <c r="BU401" s="40"/>
      <c r="BV401" s="40"/>
      <c r="BW401" s="40"/>
      <c r="BX401" s="40"/>
      <c r="BY401" s="40"/>
      <c r="BZ401" s="40"/>
      <c r="CA401" s="40"/>
      <c r="CB401" s="155"/>
      <c r="CC401" s="155"/>
      <c r="CD401" s="155"/>
      <c r="CE401" s="155"/>
      <c r="CF401" s="155"/>
      <c r="CG401" s="155"/>
    </row>
    <row r="402" spans="1:85" customFormat="1" ht="24.95" customHeight="1">
      <c r="A402" s="155"/>
      <c r="B402" s="155"/>
      <c r="C402" s="155"/>
      <c r="D402" s="274"/>
      <c r="E402" s="274"/>
      <c r="F402" s="274"/>
      <c r="G402" s="53"/>
      <c r="H402" s="155"/>
      <c r="I402" s="36"/>
      <c r="J402" s="36"/>
      <c r="K402" s="36"/>
      <c r="L402" s="36"/>
      <c r="M402" s="155"/>
      <c r="N402" s="155"/>
      <c r="O402" s="155"/>
      <c r="P402" s="155"/>
      <c r="Q402" s="101"/>
      <c r="R402" s="101"/>
      <c r="S402" s="101"/>
      <c r="T402" s="139"/>
      <c r="U402" s="101"/>
      <c r="V402" s="101"/>
      <c r="W402" s="36"/>
      <c r="X402" s="35"/>
      <c r="Y402" s="155"/>
      <c r="Z402" s="155"/>
      <c r="AA402" s="155"/>
      <c r="AB402" s="155"/>
      <c r="AC402" s="155"/>
      <c r="AD402" s="155"/>
      <c r="AE402" s="155"/>
      <c r="AF402" s="155"/>
      <c r="AG402" s="155"/>
      <c r="AH402" s="36"/>
      <c r="AI402" s="35"/>
      <c r="AJ402" s="35"/>
      <c r="AK402" s="155"/>
      <c r="AL402" s="36" t="s">
        <v>1010</v>
      </c>
      <c r="AM402" s="72" t="s">
        <v>1093</v>
      </c>
      <c r="AN402" s="48">
        <v>45250</v>
      </c>
      <c r="AO402" s="49">
        <v>13660</v>
      </c>
      <c r="AP402" s="72" t="s">
        <v>621</v>
      </c>
      <c r="AQ402" s="48">
        <v>45292</v>
      </c>
      <c r="AR402" s="48">
        <v>45657</v>
      </c>
      <c r="AS402" s="31"/>
      <c r="AT402" s="32"/>
      <c r="AU402" s="50"/>
      <c r="AV402" s="36"/>
      <c r="AW402" s="78"/>
      <c r="AX402" s="78"/>
      <c r="AY402" s="33"/>
      <c r="AZ402" s="34"/>
      <c r="BA402" s="35"/>
      <c r="BB402" s="35"/>
      <c r="BC402" s="78"/>
      <c r="BD402" s="78"/>
      <c r="BE402" s="78"/>
      <c r="BF402" s="35"/>
      <c r="BG402" s="36"/>
      <c r="BH402" s="35"/>
      <c r="BI402" s="35"/>
      <c r="BJ402" s="76"/>
      <c r="BK402" s="76"/>
      <c r="BL402" s="76"/>
      <c r="BM402" s="76"/>
      <c r="BN402" s="39">
        <f t="shared" si="37"/>
        <v>0</v>
      </c>
      <c r="BO402" s="47"/>
      <c r="BP402" s="105"/>
      <c r="BQ402" s="48"/>
      <c r="BR402" s="49"/>
      <c r="BS402" s="48"/>
      <c r="BT402" s="36"/>
      <c r="BU402" s="40"/>
      <c r="BV402" s="40"/>
      <c r="BW402" s="40"/>
      <c r="BX402" s="40"/>
      <c r="BY402" s="40"/>
      <c r="BZ402" s="40"/>
      <c r="CA402" s="40"/>
      <c r="CB402" s="155"/>
      <c r="CC402" s="155"/>
      <c r="CD402" s="155"/>
      <c r="CE402" s="155"/>
      <c r="CF402" s="155"/>
      <c r="CG402" s="155"/>
    </row>
    <row r="403" spans="1:85" customFormat="1" ht="24.95" customHeight="1">
      <c r="A403" s="155"/>
      <c r="B403" s="155"/>
      <c r="C403" s="155"/>
      <c r="D403" s="274"/>
      <c r="E403" s="274"/>
      <c r="F403" s="274"/>
      <c r="G403" s="53"/>
      <c r="H403" s="155"/>
      <c r="I403" s="36"/>
      <c r="J403" s="36"/>
      <c r="K403" s="36"/>
      <c r="L403" s="36"/>
      <c r="M403" s="155"/>
      <c r="N403" s="155"/>
      <c r="O403" s="155"/>
      <c r="P403" s="155"/>
      <c r="Q403" s="101"/>
      <c r="R403" s="101"/>
      <c r="S403" s="101"/>
      <c r="T403" s="139"/>
      <c r="U403" s="101"/>
      <c r="V403" s="101"/>
      <c r="W403" s="36"/>
      <c r="X403" s="35"/>
      <c r="Y403" s="155"/>
      <c r="Z403" s="155"/>
      <c r="AA403" s="155"/>
      <c r="AB403" s="155"/>
      <c r="AC403" s="155"/>
      <c r="AD403" s="155"/>
      <c r="AE403" s="155"/>
      <c r="AF403" s="155"/>
      <c r="AG403" s="155"/>
      <c r="AH403" s="36"/>
      <c r="AI403" s="35"/>
      <c r="AJ403" s="35"/>
      <c r="AK403" s="155"/>
      <c r="AL403" s="36" t="s">
        <v>1010</v>
      </c>
      <c r="AM403" s="72" t="s">
        <v>1026</v>
      </c>
      <c r="AN403" s="48">
        <v>45652</v>
      </c>
      <c r="AO403" s="49">
        <v>13939</v>
      </c>
      <c r="AP403" s="72" t="s">
        <v>652</v>
      </c>
      <c r="AQ403" s="48">
        <v>45658</v>
      </c>
      <c r="AR403" s="48">
        <v>46022</v>
      </c>
      <c r="AS403" s="31"/>
      <c r="AT403" s="32"/>
      <c r="AU403" s="50"/>
      <c r="AV403" s="36"/>
      <c r="AW403" s="78"/>
      <c r="AX403" s="78"/>
      <c r="AY403" s="33"/>
      <c r="AZ403" s="34"/>
      <c r="BA403" s="35"/>
      <c r="BB403" s="35"/>
      <c r="BC403" s="78"/>
      <c r="BD403" s="50">
        <f>BE403/BI393</f>
        <v>1.2328862257647521E-2</v>
      </c>
      <c r="BE403" s="78">
        <f>3767.46-3362.7</f>
        <v>404.76000000000022</v>
      </c>
      <c r="BF403" s="35"/>
      <c r="BG403" s="36"/>
      <c r="BH403" s="35"/>
      <c r="BI403" s="97">
        <v>45209.52</v>
      </c>
      <c r="BJ403" s="76"/>
      <c r="BK403" s="76"/>
      <c r="BL403" s="76"/>
      <c r="BM403" s="76"/>
      <c r="BN403" s="39"/>
      <c r="BO403" s="47"/>
      <c r="BP403" s="105"/>
      <c r="BQ403" s="48"/>
      <c r="BR403" s="49"/>
      <c r="BS403" s="48"/>
      <c r="BT403" s="36"/>
      <c r="BU403" s="40"/>
      <c r="BV403" s="40"/>
      <c r="BW403" s="40"/>
      <c r="BX403" s="40"/>
      <c r="BY403" s="40"/>
      <c r="BZ403" s="40"/>
      <c r="CA403" s="40"/>
      <c r="CB403" s="155"/>
      <c r="CC403" s="155"/>
      <c r="CD403" s="155"/>
      <c r="CE403" s="155"/>
      <c r="CF403" s="155"/>
      <c r="CG403" s="155"/>
    </row>
    <row r="404" spans="1:85" customFormat="1" ht="24.95" customHeight="1">
      <c r="A404" s="162"/>
      <c r="B404" s="162"/>
      <c r="C404" s="162"/>
      <c r="D404" s="276"/>
      <c r="E404" s="276"/>
      <c r="F404" s="276"/>
      <c r="G404" s="47"/>
      <c r="H404" s="162"/>
      <c r="I404" s="36"/>
      <c r="J404" s="36"/>
      <c r="K404" s="36"/>
      <c r="L404" s="36"/>
      <c r="M404" s="162"/>
      <c r="N404" s="162"/>
      <c r="O404" s="162"/>
      <c r="P404" s="162"/>
      <c r="Q404" s="101"/>
      <c r="R404" s="101"/>
      <c r="S404" s="101"/>
      <c r="T404" s="139"/>
      <c r="U404" s="101"/>
      <c r="V404" s="101"/>
      <c r="W404" s="36"/>
      <c r="X404" s="35"/>
      <c r="Y404" s="162"/>
      <c r="Z404" s="162"/>
      <c r="AA404" s="162"/>
      <c r="AB404" s="162"/>
      <c r="AC404" s="162"/>
      <c r="AD404" s="162"/>
      <c r="AE404" s="162"/>
      <c r="AF404" s="162"/>
      <c r="AG404" s="162"/>
      <c r="AH404" s="36"/>
      <c r="AI404" s="35"/>
      <c r="AJ404" s="35"/>
      <c r="AK404" s="162"/>
      <c r="AL404" s="36" t="s">
        <v>1010</v>
      </c>
      <c r="AM404" s="72" t="s">
        <v>1027</v>
      </c>
      <c r="AN404" s="48">
        <v>46021</v>
      </c>
      <c r="AO404" s="49"/>
      <c r="AP404" s="72" t="s">
        <v>228</v>
      </c>
      <c r="AQ404" s="48">
        <v>46023</v>
      </c>
      <c r="AR404" s="48">
        <v>46387</v>
      </c>
      <c r="AS404" s="31"/>
      <c r="AT404" s="32"/>
      <c r="AU404" s="50"/>
      <c r="AV404" s="36"/>
      <c r="AW404" s="78"/>
      <c r="AX404" s="78"/>
      <c r="AY404" s="33"/>
      <c r="AZ404" s="34"/>
      <c r="BA404" s="35"/>
      <c r="BB404" s="35"/>
      <c r="BC404" s="78"/>
      <c r="BD404" s="50"/>
      <c r="BE404" s="78"/>
      <c r="BF404" s="35"/>
      <c r="BG404" s="36"/>
      <c r="BH404" s="35"/>
      <c r="BI404" s="42"/>
      <c r="BJ404" s="76"/>
      <c r="BK404" s="76"/>
      <c r="BL404" s="76"/>
      <c r="BM404" s="76"/>
      <c r="BN404" s="39">
        <f t="shared" ref="BN404:BN420" si="38">BJ404+BL404</f>
        <v>0</v>
      </c>
      <c r="BO404" s="47"/>
      <c r="BP404" s="105"/>
      <c r="BQ404" s="48"/>
      <c r="BR404" s="49"/>
      <c r="BS404" s="48"/>
      <c r="BT404" s="36"/>
      <c r="BU404" s="40"/>
      <c r="BV404" s="40"/>
      <c r="BW404" s="40"/>
      <c r="BX404" s="40"/>
      <c r="BY404" s="40"/>
      <c r="BZ404" s="40"/>
      <c r="CA404" s="40"/>
      <c r="CB404" s="162"/>
      <c r="CC404" s="162"/>
      <c r="CD404" s="162"/>
      <c r="CE404" s="162"/>
      <c r="CF404" s="162"/>
      <c r="CG404" s="162"/>
    </row>
    <row r="405" spans="1:85" customFormat="1" ht="60" customHeight="1">
      <c r="A405" s="170">
        <v>97</v>
      </c>
      <c r="B405" s="154" t="s">
        <v>1094</v>
      </c>
      <c r="C405" s="173"/>
      <c r="D405" s="273" t="s">
        <v>409</v>
      </c>
      <c r="E405" s="273" t="s">
        <v>839</v>
      </c>
      <c r="F405" s="273" t="s">
        <v>1095</v>
      </c>
      <c r="G405" s="44"/>
      <c r="H405" s="169"/>
      <c r="I405" s="36"/>
      <c r="J405" s="36"/>
      <c r="K405" s="36"/>
      <c r="L405" s="36"/>
      <c r="M405" s="154" t="s">
        <v>411</v>
      </c>
      <c r="N405" s="154" t="s">
        <v>1096</v>
      </c>
      <c r="O405" s="157">
        <v>13470</v>
      </c>
      <c r="P405" s="157">
        <v>13470</v>
      </c>
      <c r="Q405" s="142"/>
      <c r="R405" s="142"/>
      <c r="S405" s="142"/>
      <c r="T405" s="139"/>
      <c r="U405" s="101"/>
      <c r="V405" s="101"/>
      <c r="W405" s="36"/>
      <c r="X405" s="35"/>
      <c r="Y405" s="163" t="s">
        <v>1097</v>
      </c>
      <c r="Z405" s="154" t="s">
        <v>1098</v>
      </c>
      <c r="AA405" s="154" t="s">
        <v>1099</v>
      </c>
      <c r="AB405" s="161">
        <v>44966</v>
      </c>
      <c r="AC405" s="157">
        <v>13477</v>
      </c>
      <c r="AD405" s="161">
        <v>44966</v>
      </c>
      <c r="AE405" s="161" t="s">
        <v>1100</v>
      </c>
      <c r="AF405" s="72" t="s">
        <v>453</v>
      </c>
      <c r="AG405" s="154" t="s">
        <v>185</v>
      </c>
      <c r="AH405" s="36"/>
      <c r="AI405" s="35"/>
      <c r="AJ405" s="35"/>
      <c r="AK405" s="172" t="s">
        <v>1101</v>
      </c>
      <c r="AL405" s="36"/>
      <c r="AM405" s="72"/>
      <c r="AN405" s="111"/>
      <c r="AO405" s="77"/>
      <c r="AP405" s="98"/>
      <c r="AQ405" s="111"/>
      <c r="AR405" s="111"/>
      <c r="AS405" s="31"/>
      <c r="AT405" s="32"/>
      <c r="AU405" s="50"/>
      <c r="AV405" s="36"/>
      <c r="AW405" s="78"/>
      <c r="AX405" s="78"/>
      <c r="AY405" s="33"/>
      <c r="AZ405" s="34"/>
      <c r="BA405" s="35"/>
      <c r="BB405" s="35"/>
      <c r="BC405" s="78"/>
      <c r="BD405" s="78"/>
      <c r="BE405" s="78"/>
      <c r="BF405" s="35"/>
      <c r="BG405" s="36"/>
      <c r="BH405" s="35"/>
      <c r="BI405" s="78" t="str">
        <f>AK405</f>
        <v>VALOR CONFORME PAGAMENTO MENSAL</v>
      </c>
      <c r="BJ405" s="76">
        <f>1523886.43</f>
        <v>1523886.43</v>
      </c>
      <c r="BK405" s="76">
        <f>1539242.23</f>
        <v>1539242.23</v>
      </c>
      <c r="BL405" s="76">
        <f>1106.62+1083.42+1112.69+27989.23+26582.46+31009.45+43051.02+50505.48+75084.76+60190.85+53489.86+30069.43+32737.61+40089.51+22991.8+1093.16+144395.98+1151.68+161466.58</f>
        <v>805201.59</v>
      </c>
      <c r="BM405" s="76">
        <f>15355.8</f>
        <v>15355.8</v>
      </c>
      <c r="BN405" s="39"/>
      <c r="BO405" s="47"/>
      <c r="BP405" s="105"/>
      <c r="BQ405" s="48"/>
      <c r="BR405" s="49"/>
      <c r="BS405" s="48"/>
      <c r="BT405" s="36"/>
      <c r="BU405" s="40"/>
      <c r="BV405" s="40"/>
      <c r="BW405" s="108"/>
      <c r="BX405" s="40"/>
      <c r="BY405" s="40"/>
      <c r="BZ405" s="40"/>
      <c r="CA405" s="40"/>
      <c r="CB405" s="154" t="s">
        <v>1102</v>
      </c>
      <c r="CC405" s="154">
        <v>13488</v>
      </c>
      <c r="CD405" s="154" t="s">
        <v>687</v>
      </c>
      <c r="CE405" s="157">
        <v>713115</v>
      </c>
      <c r="CF405" s="154" t="s">
        <v>501</v>
      </c>
      <c r="CG405" s="157">
        <v>546038</v>
      </c>
    </row>
    <row r="406" spans="1:85" customFormat="1" ht="60" customHeight="1">
      <c r="A406" s="162"/>
      <c r="B406" s="162"/>
      <c r="C406" s="162"/>
      <c r="D406" s="276"/>
      <c r="E406" s="276"/>
      <c r="F406" s="276"/>
      <c r="G406" s="47"/>
      <c r="H406" s="162"/>
      <c r="I406" s="36"/>
      <c r="J406" s="36"/>
      <c r="K406" s="36"/>
      <c r="L406" s="36"/>
      <c r="M406" s="162"/>
      <c r="N406" s="162"/>
      <c r="O406" s="162"/>
      <c r="P406" s="162"/>
      <c r="Q406" s="142"/>
      <c r="R406" s="142"/>
      <c r="S406" s="142"/>
      <c r="T406" s="139"/>
      <c r="U406" s="101"/>
      <c r="V406" s="101"/>
      <c r="W406" s="36"/>
      <c r="X406" s="35"/>
      <c r="Y406" s="162"/>
      <c r="Z406" s="162"/>
      <c r="AA406" s="162"/>
      <c r="AB406" s="162"/>
      <c r="AC406" s="162"/>
      <c r="AD406" s="162"/>
      <c r="AE406" s="162"/>
      <c r="AF406" s="72" t="s">
        <v>666</v>
      </c>
      <c r="AG406" s="162"/>
      <c r="AH406" s="36"/>
      <c r="AI406" s="35"/>
      <c r="AJ406" s="35"/>
      <c r="AK406" s="162"/>
      <c r="AL406" s="36"/>
      <c r="AM406" s="72"/>
      <c r="AN406" s="111"/>
      <c r="AO406" s="77"/>
      <c r="AP406" s="98"/>
      <c r="AQ406" s="111"/>
      <c r="AR406" s="111"/>
      <c r="AS406" s="31"/>
      <c r="AT406" s="32"/>
      <c r="AU406" s="50"/>
      <c r="AV406" s="36"/>
      <c r="AW406" s="78"/>
      <c r="AX406" s="78"/>
      <c r="AY406" s="33"/>
      <c r="AZ406" s="34"/>
      <c r="BA406" s="35"/>
      <c r="BB406" s="35"/>
      <c r="BC406" s="78"/>
      <c r="BD406" s="78"/>
      <c r="BE406" s="78"/>
      <c r="BF406" s="35"/>
      <c r="BG406" s="36"/>
      <c r="BH406" s="35"/>
      <c r="BI406" s="35"/>
      <c r="BJ406" s="76"/>
      <c r="BK406" s="76"/>
      <c r="BL406" s="76"/>
      <c r="BM406" s="76"/>
      <c r="BN406" s="39">
        <f t="shared" si="38"/>
        <v>0</v>
      </c>
      <c r="BO406" s="47"/>
      <c r="BP406" s="105"/>
      <c r="BQ406" s="48"/>
      <c r="BR406" s="49"/>
      <c r="BS406" s="48"/>
      <c r="BT406" s="36"/>
      <c r="BU406" s="40"/>
      <c r="BV406" s="40"/>
      <c r="BW406" s="108"/>
      <c r="BX406" s="40"/>
      <c r="BY406" s="40"/>
      <c r="BZ406" s="40"/>
      <c r="CA406" s="40"/>
      <c r="CB406" s="162"/>
      <c r="CC406" s="162"/>
      <c r="CD406" s="162"/>
      <c r="CE406" s="162"/>
      <c r="CF406" s="162"/>
      <c r="CG406" s="162"/>
    </row>
    <row r="407" spans="1:85" customFormat="1" ht="60" customHeight="1">
      <c r="A407" s="170">
        <v>98</v>
      </c>
      <c r="B407" s="154" t="s">
        <v>1103</v>
      </c>
      <c r="C407" s="173" t="s">
        <v>1104</v>
      </c>
      <c r="D407" s="273" t="s">
        <v>724</v>
      </c>
      <c r="E407" s="273" t="s">
        <v>839</v>
      </c>
      <c r="F407" s="273" t="s">
        <v>1105</v>
      </c>
      <c r="G407" s="44"/>
      <c r="H407" s="169"/>
      <c r="I407" s="36"/>
      <c r="J407" s="36"/>
      <c r="K407" s="36"/>
      <c r="L407" s="36"/>
      <c r="M407" s="154" t="s">
        <v>725</v>
      </c>
      <c r="N407" s="154" t="s">
        <v>1106</v>
      </c>
      <c r="O407" s="157">
        <v>13123</v>
      </c>
      <c r="P407" s="157">
        <v>13123</v>
      </c>
      <c r="Q407" s="47"/>
      <c r="R407" s="47"/>
      <c r="S407" s="47"/>
      <c r="T407" s="139"/>
      <c r="U407" s="101"/>
      <c r="V407" s="101"/>
      <c r="W407" s="36"/>
      <c r="X407" s="35"/>
      <c r="Y407" s="163" t="s">
        <v>1107</v>
      </c>
      <c r="Z407" s="154" t="s">
        <v>1085</v>
      </c>
      <c r="AA407" s="154" t="s">
        <v>863</v>
      </c>
      <c r="AB407" s="161">
        <v>44417</v>
      </c>
      <c r="AC407" s="157">
        <v>13123</v>
      </c>
      <c r="AD407" s="161">
        <v>44417</v>
      </c>
      <c r="AE407" s="161">
        <v>45147</v>
      </c>
      <c r="AF407" s="163" t="s">
        <v>453</v>
      </c>
      <c r="AG407" s="154" t="s">
        <v>185</v>
      </c>
      <c r="AH407" s="36"/>
      <c r="AI407" s="35"/>
      <c r="AJ407" s="35"/>
      <c r="AK407" s="172">
        <v>240000</v>
      </c>
      <c r="AL407" s="36"/>
      <c r="AM407" s="72"/>
      <c r="AN407" s="143"/>
      <c r="AO407" s="144"/>
      <c r="AP407" s="91"/>
      <c r="AQ407" s="91"/>
      <c r="AR407" s="91"/>
      <c r="AS407" s="31"/>
      <c r="AT407" s="32"/>
      <c r="AU407" s="50"/>
      <c r="AV407" s="36"/>
      <c r="AW407" s="78"/>
      <c r="AX407" s="78"/>
      <c r="AY407" s="33"/>
      <c r="AZ407" s="34"/>
      <c r="BA407" s="35"/>
      <c r="BB407" s="35"/>
      <c r="BC407" s="78"/>
      <c r="BD407" s="78"/>
      <c r="BE407" s="78"/>
      <c r="BF407" s="35"/>
      <c r="BG407" s="36"/>
      <c r="BH407" s="35"/>
      <c r="BI407" s="78">
        <f>AK407</f>
        <v>240000</v>
      </c>
      <c r="BJ407" s="172">
        <f>240000+251888.63+243823.9+252251.71</f>
        <v>987964.24</v>
      </c>
      <c r="BK407" s="80">
        <f>145353.46+106898.25</f>
        <v>252251.71</v>
      </c>
      <c r="BL407" s="80">
        <f>64138.95+11474.69+21379.65+21379.65</f>
        <v>118372.94</v>
      </c>
      <c r="BM407" s="80"/>
      <c r="BN407" s="39"/>
      <c r="BO407" s="47"/>
      <c r="BP407" s="105"/>
      <c r="BQ407" s="48"/>
      <c r="BR407" s="49"/>
      <c r="BS407" s="48"/>
      <c r="BT407" s="36"/>
      <c r="BU407" s="40"/>
      <c r="BV407" s="40"/>
      <c r="BW407" s="108"/>
      <c r="BX407" s="40"/>
      <c r="BY407" s="40"/>
      <c r="BZ407" s="40"/>
      <c r="CA407" s="40"/>
      <c r="CB407" s="154" t="s">
        <v>1108</v>
      </c>
      <c r="CC407" s="154">
        <v>13128</v>
      </c>
      <c r="CD407" s="154" t="s">
        <v>687</v>
      </c>
      <c r="CE407" s="154">
        <v>713115</v>
      </c>
      <c r="CF407" s="154" t="s">
        <v>1109</v>
      </c>
      <c r="CG407" s="154" t="s">
        <v>1110</v>
      </c>
    </row>
    <row r="408" spans="1:85" customFormat="1" ht="60" customHeight="1">
      <c r="A408" s="155"/>
      <c r="B408" s="155"/>
      <c r="C408" s="155"/>
      <c r="D408" s="274"/>
      <c r="E408" s="274"/>
      <c r="F408" s="274"/>
      <c r="G408" s="53"/>
      <c r="H408" s="155"/>
      <c r="I408" s="36"/>
      <c r="J408" s="36"/>
      <c r="K408" s="36"/>
      <c r="L408" s="36"/>
      <c r="M408" s="155"/>
      <c r="N408" s="155"/>
      <c r="O408" s="155"/>
      <c r="P408" s="155"/>
      <c r="Q408" s="47"/>
      <c r="R408" s="47"/>
      <c r="S408" s="47"/>
      <c r="T408" s="139"/>
      <c r="U408" s="101"/>
      <c r="V408" s="101"/>
      <c r="W408" s="36"/>
      <c r="X408" s="35"/>
      <c r="Y408" s="155"/>
      <c r="Z408" s="155"/>
      <c r="AA408" s="155"/>
      <c r="AB408" s="155"/>
      <c r="AC408" s="155"/>
      <c r="AD408" s="155"/>
      <c r="AE408" s="155"/>
      <c r="AF408" s="155"/>
      <c r="AG408" s="155"/>
      <c r="AH408" s="36"/>
      <c r="AI408" s="35"/>
      <c r="AJ408" s="35"/>
      <c r="AK408" s="155"/>
      <c r="AL408" s="36" t="s">
        <v>618</v>
      </c>
      <c r="AM408" s="72" t="s">
        <v>190</v>
      </c>
      <c r="AN408" s="143">
        <v>45145</v>
      </c>
      <c r="AO408" s="77">
        <v>13593</v>
      </c>
      <c r="AP408" s="98" t="s">
        <v>950</v>
      </c>
      <c r="AQ408" s="98" t="s">
        <v>1111</v>
      </c>
      <c r="AR408" s="98" t="s">
        <v>1112</v>
      </c>
      <c r="AS408" s="31"/>
      <c r="AT408" s="32"/>
      <c r="AU408" s="50"/>
      <c r="AV408" s="36"/>
      <c r="AW408" s="78"/>
      <c r="AX408" s="78"/>
      <c r="AY408" s="33"/>
      <c r="AZ408" s="34"/>
      <c r="BA408" s="35"/>
      <c r="BB408" s="35"/>
      <c r="BC408" s="78"/>
      <c r="BD408" s="78"/>
      <c r="BE408" s="78"/>
      <c r="BF408" s="35"/>
      <c r="BG408" s="36"/>
      <c r="BH408" s="35"/>
      <c r="BI408" s="97"/>
      <c r="BJ408" s="155"/>
      <c r="BK408" s="145"/>
      <c r="BL408" s="145"/>
      <c r="BM408" s="145"/>
      <c r="BN408" s="39">
        <f t="shared" si="38"/>
        <v>0</v>
      </c>
      <c r="BO408" s="47"/>
      <c r="BP408" s="105"/>
      <c r="BQ408" s="48"/>
      <c r="BR408" s="49"/>
      <c r="BS408" s="48"/>
      <c r="BT408" s="36"/>
      <c r="BU408" s="40"/>
      <c r="BV408" s="40"/>
      <c r="BW408" s="108"/>
      <c r="BX408" s="40"/>
      <c r="BY408" s="40"/>
      <c r="BZ408" s="40"/>
      <c r="CA408" s="40"/>
      <c r="CB408" s="155"/>
      <c r="CC408" s="155"/>
      <c r="CD408" s="155"/>
      <c r="CE408" s="155"/>
      <c r="CF408" s="155"/>
      <c r="CG408" s="155"/>
    </row>
    <row r="409" spans="1:85" customFormat="1" ht="60" customHeight="1">
      <c r="A409" s="155"/>
      <c r="B409" s="155"/>
      <c r="C409" s="155"/>
      <c r="D409" s="274"/>
      <c r="E409" s="274"/>
      <c r="F409" s="274"/>
      <c r="G409" s="53"/>
      <c r="H409" s="155"/>
      <c r="I409" s="36"/>
      <c r="J409" s="36"/>
      <c r="K409" s="36"/>
      <c r="L409" s="36"/>
      <c r="M409" s="155"/>
      <c r="N409" s="155"/>
      <c r="O409" s="155"/>
      <c r="P409" s="155"/>
      <c r="Q409" s="47"/>
      <c r="R409" s="47"/>
      <c r="S409" s="47"/>
      <c r="T409" s="139"/>
      <c r="U409" s="101"/>
      <c r="V409" s="101"/>
      <c r="W409" s="36"/>
      <c r="X409" s="35"/>
      <c r="Y409" s="155"/>
      <c r="Z409" s="155"/>
      <c r="AA409" s="155"/>
      <c r="AB409" s="155"/>
      <c r="AC409" s="155"/>
      <c r="AD409" s="155"/>
      <c r="AE409" s="155"/>
      <c r="AF409" s="155"/>
      <c r="AG409" s="155"/>
      <c r="AH409" s="36"/>
      <c r="AI409" s="35"/>
      <c r="AJ409" s="35"/>
      <c r="AK409" s="155"/>
      <c r="AL409" s="36" t="s">
        <v>618</v>
      </c>
      <c r="AM409" s="72" t="s">
        <v>194</v>
      </c>
      <c r="AN409" s="143">
        <v>45514</v>
      </c>
      <c r="AO409" s="77">
        <v>13846</v>
      </c>
      <c r="AP409" s="98" t="s">
        <v>1113</v>
      </c>
      <c r="AQ409" s="98" t="s">
        <v>1114</v>
      </c>
      <c r="AR409" s="98" t="s">
        <v>1115</v>
      </c>
      <c r="AS409" s="31"/>
      <c r="AT409" s="32"/>
      <c r="AU409" s="50"/>
      <c r="AV409" s="36"/>
      <c r="AW409" s="78"/>
      <c r="AX409" s="78"/>
      <c r="AY409" s="33"/>
      <c r="AZ409" s="34"/>
      <c r="BA409" s="35"/>
      <c r="BB409" s="35"/>
      <c r="BC409" s="78"/>
      <c r="BD409" s="50">
        <f>BE409/BI407</f>
        <v>3.8239000000000002E-2</v>
      </c>
      <c r="BE409" s="78">
        <f>764.78*12</f>
        <v>9177.36</v>
      </c>
      <c r="BF409" s="35"/>
      <c r="BG409" s="36"/>
      <c r="BH409" s="35"/>
      <c r="BI409" s="78">
        <f>BI407+BE409</f>
        <v>249177.36</v>
      </c>
      <c r="BJ409" s="155"/>
      <c r="BK409" s="145"/>
      <c r="BL409" s="145"/>
      <c r="BM409" s="145"/>
      <c r="BN409" s="297">
        <f t="shared" si="38"/>
        <v>0</v>
      </c>
      <c r="BO409" s="47"/>
      <c r="BP409" s="105"/>
      <c r="BQ409" s="48"/>
      <c r="BR409" s="49"/>
      <c r="BS409" s="48"/>
      <c r="BT409" s="36"/>
      <c r="BU409" s="40"/>
      <c r="BV409" s="40"/>
      <c r="BW409" s="108"/>
      <c r="BX409" s="40"/>
      <c r="BY409" s="40"/>
      <c r="BZ409" s="40"/>
      <c r="CA409" s="40"/>
      <c r="CB409" s="155"/>
      <c r="CC409" s="155"/>
      <c r="CD409" s="155"/>
      <c r="CE409" s="155"/>
      <c r="CF409" s="155"/>
      <c r="CG409" s="155"/>
    </row>
    <row r="410" spans="1:85" customFormat="1" ht="60" customHeight="1">
      <c r="A410" s="162"/>
      <c r="B410" s="162"/>
      <c r="C410" s="162"/>
      <c r="D410" s="276"/>
      <c r="E410" s="276"/>
      <c r="F410" s="276"/>
      <c r="G410" s="47"/>
      <c r="H410" s="162"/>
      <c r="I410" s="36"/>
      <c r="J410" s="36"/>
      <c r="K410" s="36"/>
      <c r="L410" s="36"/>
      <c r="M410" s="162"/>
      <c r="N410" s="162"/>
      <c r="O410" s="162"/>
      <c r="P410" s="162"/>
      <c r="Q410" s="47"/>
      <c r="R410" s="47"/>
      <c r="S410" s="47"/>
      <c r="T410" s="139"/>
      <c r="U410" s="101"/>
      <c r="V410" s="101"/>
      <c r="W410" s="36"/>
      <c r="X410" s="35"/>
      <c r="Y410" s="162"/>
      <c r="Z410" s="162"/>
      <c r="AA410" s="162"/>
      <c r="AB410" s="162"/>
      <c r="AC410" s="162"/>
      <c r="AD410" s="162"/>
      <c r="AE410" s="162"/>
      <c r="AF410" s="162"/>
      <c r="AG410" s="162"/>
      <c r="AH410" s="36"/>
      <c r="AI410" s="35"/>
      <c r="AJ410" s="35"/>
      <c r="AK410" s="162"/>
      <c r="AL410" s="36" t="s">
        <v>618</v>
      </c>
      <c r="AM410" s="72" t="s">
        <v>202</v>
      </c>
      <c r="AN410" s="143">
        <v>45879</v>
      </c>
      <c r="AO410" s="77">
        <v>14089</v>
      </c>
      <c r="AP410" s="98" t="s">
        <v>637</v>
      </c>
      <c r="AQ410" s="98" t="s">
        <v>1116</v>
      </c>
      <c r="AR410" s="98" t="s">
        <v>1117</v>
      </c>
      <c r="AS410" s="31"/>
      <c r="AT410" s="32"/>
      <c r="AU410" s="50"/>
      <c r="AV410" s="36"/>
      <c r="AW410" s="78"/>
      <c r="AX410" s="78"/>
      <c r="AY410" s="33"/>
      <c r="AZ410" s="34"/>
      <c r="BA410" s="35"/>
      <c r="BB410" s="35"/>
      <c r="BC410" s="78"/>
      <c r="BD410" s="50">
        <f>BE410/BI409</f>
        <v>2.9611197421788239E-2</v>
      </c>
      <c r="BE410" s="78">
        <v>7378.44</v>
      </c>
      <c r="BF410" s="35"/>
      <c r="BG410" s="36"/>
      <c r="BH410" s="35"/>
      <c r="BI410" s="97">
        <f>21379.65*12</f>
        <v>256555.80000000002</v>
      </c>
      <c r="BJ410" s="162"/>
      <c r="BK410" s="146"/>
      <c r="BL410" s="146"/>
      <c r="BM410" s="146"/>
      <c r="BN410" s="297">
        <f t="shared" si="38"/>
        <v>0</v>
      </c>
      <c r="BO410" s="47"/>
      <c r="BP410" s="105"/>
      <c r="BQ410" s="48"/>
      <c r="BR410" s="49"/>
      <c r="BS410" s="48"/>
      <c r="BT410" s="36"/>
      <c r="BU410" s="40"/>
      <c r="BV410" s="40"/>
      <c r="BW410" s="108"/>
      <c r="BX410" s="40"/>
      <c r="BY410" s="40"/>
      <c r="BZ410" s="40"/>
      <c r="CA410" s="40"/>
      <c r="CB410" s="162"/>
      <c r="CC410" s="162"/>
      <c r="CD410" s="162"/>
      <c r="CE410" s="162"/>
      <c r="CF410" s="162"/>
      <c r="CG410" s="162"/>
    </row>
    <row r="411" spans="1:85" customFormat="1" ht="72.75" customHeight="1">
      <c r="A411" s="106">
        <v>99</v>
      </c>
      <c r="B411" s="47" t="s">
        <v>432</v>
      </c>
      <c r="C411" s="131" t="s">
        <v>707</v>
      </c>
      <c r="D411" s="278" t="s">
        <v>218</v>
      </c>
      <c r="E411" s="278"/>
      <c r="F411" s="295" t="s">
        <v>1118</v>
      </c>
      <c r="G411" s="47"/>
      <c r="H411" s="296">
        <v>14124</v>
      </c>
      <c r="I411" s="147">
        <v>45992</v>
      </c>
      <c r="J411" s="48">
        <v>45950</v>
      </c>
      <c r="K411" s="48">
        <v>46315</v>
      </c>
      <c r="L411" s="49">
        <v>14164</v>
      </c>
      <c r="M411" s="53"/>
      <c r="N411" s="53"/>
      <c r="O411" s="88"/>
      <c r="P411" s="88"/>
      <c r="Q411" s="47"/>
      <c r="R411" s="47"/>
      <c r="S411" s="47"/>
      <c r="T411" s="139"/>
      <c r="U411" s="101"/>
      <c r="V411" s="101"/>
      <c r="W411" s="36"/>
      <c r="X411" s="35"/>
      <c r="Y411" s="55" t="s">
        <v>1119</v>
      </c>
      <c r="Z411" s="47" t="s">
        <v>1120</v>
      </c>
      <c r="AA411" s="47" t="s">
        <v>1121</v>
      </c>
      <c r="AB411" s="148">
        <v>46078</v>
      </c>
      <c r="AC411" s="88">
        <v>14215</v>
      </c>
      <c r="AD411" s="149">
        <v>46078</v>
      </c>
      <c r="AE411" s="149">
        <v>46443</v>
      </c>
      <c r="AF411" s="137" t="s">
        <v>538</v>
      </c>
      <c r="AG411" s="53" t="s">
        <v>1122</v>
      </c>
      <c r="AH411" s="36"/>
      <c r="AI411" s="35"/>
      <c r="AJ411" s="35"/>
      <c r="AK411" s="145">
        <v>20435.900000000001</v>
      </c>
      <c r="AL411" s="44"/>
      <c r="AM411" s="98"/>
      <c r="AN411" s="143"/>
      <c r="AO411" s="144"/>
      <c r="AP411" s="91"/>
      <c r="AQ411" s="91"/>
      <c r="AR411" s="91"/>
      <c r="AS411" s="31"/>
      <c r="AT411" s="32"/>
      <c r="AU411" s="86"/>
      <c r="AV411" s="44"/>
      <c r="AW411" s="80"/>
      <c r="AX411" s="80"/>
      <c r="AY411" s="33"/>
      <c r="AZ411" s="34"/>
      <c r="BA411" s="35"/>
      <c r="BB411" s="35"/>
      <c r="BC411" s="80"/>
      <c r="BD411" s="86"/>
      <c r="BE411" s="80"/>
      <c r="BF411" s="35"/>
      <c r="BG411" s="36"/>
      <c r="BH411" s="35"/>
      <c r="BI411" s="97">
        <f t="shared" ref="BI411:BI412" si="39">AK411</f>
        <v>20435.900000000001</v>
      </c>
      <c r="BJ411" s="145"/>
      <c r="BK411" s="145"/>
      <c r="BL411" s="145">
        <v>20435.900000000001</v>
      </c>
      <c r="BM411" s="145"/>
      <c r="BN411" s="297">
        <f t="shared" si="38"/>
        <v>20435.900000000001</v>
      </c>
      <c r="BO411" s="47"/>
      <c r="BP411" s="105"/>
      <c r="BQ411" s="48"/>
      <c r="BR411" s="49"/>
      <c r="BS411" s="48"/>
      <c r="BT411" s="36"/>
      <c r="BU411" s="40"/>
      <c r="BV411" s="40"/>
      <c r="BW411" s="108"/>
      <c r="BX411" s="40"/>
      <c r="BY411" s="40"/>
      <c r="BZ411" s="40"/>
      <c r="CA411" s="40"/>
      <c r="CB411" s="53" t="s">
        <v>1123</v>
      </c>
      <c r="CC411" s="88">
        <v>14213</v>
      </c>
      <c r="CD411" s="44" t="s">
        <v>719</v>
      </c>
      <c r="CE411" s="44">
        <v>712841</v>
      </c>
      <c r="CF411" s="44" t="s">
        <v>720</v>
      </c>
      <c r="CG411" s="44" t="s">
        <v>721</v>
      </c>
    </row>
    <row r="412" spans="1:85" customFormat="1" ht="20.100000000000001" customHeight="1">
      <c r="A412" s="170">
        <v>100</v>
      </c>
      <c r="B412" s="171" t="s">
        <v>1124</v>
      </c>
      <c r="C412" s="165" t="s">
        <v>1124</v>
      </c>
      <c r="D412" s="273" t="s">
        <v>1125</v>
      </c>
      <c r="E412" s="273" t="s">
        <v>180</v>
      </c>
      <c r="F412" s="273" t="s">
        <v>1126</v>
      </c>
      <c r="G412" s="36"/>
      <c r="H412" s="169"/>
      <c r="I412" s="36"/>
      <c r="J412" s="36"/>
      <c r="K412" s="36"/>
      <c r="L412" s="36"/>
      <c r="M412" s="154" t="s">
        <v>411</v>
      </c>
      <c r="N412" s="154" t="s">
        <v>1127</v>
      </c>
      <c r="O412" s="157">
        <v>13406</v>
      </c>
      <c r="P412" s="157">
        <v>13408</v>
      </c>
      <c r="Q412" s="47"/>
      <c r="R412" s="47"/>
      <c r="S412" s="47"/>
      <c r="T412" s="139"/>
      <c r="U412" s="101"/>
      <c r="V412" s="101"/>
      <c r="W412" s="36"/>
      <c r="X412" s="35"/>
      <c r="Y412" s="163" t="s">
        <v>1128</v>
      </c>
      <c r="Z412" s="165" t="s">
        <v>1129</v>
      </c>
      <c r="AA412" s="165" t="s">
        <v>1130</v>
      </c>
      <c r="AB412" s="166">
        <v>44889</v>
      </c>
      <c r="AC412" s="157">
        <v>13416</v>
      </c>
      <c r="AD412" s="161">
        <v>44889</v>
      </c>
      <c r="AE412" s="161">
        <v>44926</v>
      </c>
      <c r="AF412" s="163" t="s">
        <v>453</v>
      </c>
      <c r="AG412" s="154" t="s">
        <v>185</v>
      </c>
      <c r="AH412" s="36"/>
      <c r="AI412" s="35"/>
      <c r="AJ412" s="35"/>
      <c r="AK412" s="164">
        <v>231000</v>
      </c>
      <c r="AL412" s="44"/>
      <c r="AM412" s="98"/>
      <c r="AN412" s="111"/>
      <c r="AO412" s="77"/>
      <c r="AP412" s="98"/>
      <c r="AQ412" s="111"/>
      <c r="AR412" s="111"/>
      <c r="AS412" s="31"/>
      <c r="AT412" s="32"/>
      <c r="AU412" s="86"/>
      <c r="AV412" s="44"/>
      <c r="AW412" s="80"/>
      <c r="AX412" s="80"/>
      <c r="AY412" s="33"/>
      <c r="AZ412" s="34"/>
      <c r="BA412" s="35"/>
      <c r="BB412" s="35"/>
      <c r="BC412" s="80"/>
      <c r="BD412" s="80"/>
      <c r="BE412" s="80"/>
      <c r="BF412" s="35"/>
      <c r="BG412" s="36"/>
      <c r="BH412" s="35"/>
      <c r="BI412" s="42">
        <f t="shared" si="39"/>
        <v>231000</v>
      </c>
      <c r="BJ412" s="76">
        <f>19810.65+92714.68+95598.87+48346.45</f>
        <v>256470.64999999997</v>
      </c>
      <c r="BK412" s="76">
        <f>48346.45</f>
        <v>48346.45</v>
      </c>
      <c r="BL412" s="76"/>
      <c r="BM412" s="76"/>
      <c r="BN412" s="297">
        <f t="shared" si="38"/>
        <v>256470.64999999997</v>
      </c>
      <c r="BO412" s="47"/>
      <c r="BP412" s="105"/>
      <c r="BQ412" s="48"/>
      <c r="BR412" s="49"/>
      <c r="BS412" s="48"/>
      <c r="BT412" s="36"/>
      <c r="BU412" s="40"/>
      <c r="BV412" s="40"/>
      <c r="BW412" s="108"/>
      <c r="BX412" s="40"/>
      <c r="BY412" s="40"/>
      <c r="BZ412" s="40"/>
      <c r="CA412" s="40"/>
      <c r="CB412" s="154" t="s">
        <v>1131</v>
      </c>
      <c r="CC412" s="154">
        <v>13424</v>
      </c>
      <c r="CD412" s="154" t="s">
        <v>687</v>
      </c>
      <c r="CE412" s="157">
        <v>713115</v>
      </c>
      <c r="CF412" s="154" t="s">
        <v>1132</v>
      </c>
      <c r="CG412" s="154" t="s">
        <v>1133</v>
      </c>
    </row>
    <row r="413" spans="1:85" customFormat="1" ht="24.75" customHeight="1">
      <c r="A413" s="155"/>
      <c r="B413" s="155"/>
      <c r="C413" s="155"/>
      <c r="D413" s="274"/>
      <c r="E413" s="274"/>
      <c r="F413" s="274"/>
      <c r="G413" s="36"/>
      <c r="H413" s="155"/>
      <c r="I413" s="36"/>
      <c r="J413" s="36"/>
      <c r="K413" s="36"/>
      <c r="L413" s="36"/>
      <c r="M413" s="155"/>
      <c r="N413" s="155"/>
      <c r="O413" s="155"/>
      <c r="P413" s="155"/>
      <c r="Q413" s="47"/>
      <c r="R413" s="47"/>
      <c r="S413" s="47"/>
      <c r="T413" s="139"/>
      <c r="U413" s="101"/>
      <c r="V413" s="101"/>
      <c r="W413" s="36"/>
      <c r="X413" s="35"/>
      <c r="Y413" s="155"/>
      <c r="Z413" s="155"/>
      <c r="AA413" s="155"/>
      <c r="AB413" s="167"/>
      <c r="AC413" s="155"/>
      <c r="AD413" s="155"/>
      <c r="AE413" s="155"/>
      <c r="AF413" s="155"/>
      <c r="AG413" s="155"/>
      <c r="AH413" s="36"/>
      <c r="AI413" s="35"/>
      <c r="AJ413" s="35"/>
      <c r="AK413" s="155"/>
      <c r="AL413" s="36" t="s">
        <v>978</v>
      </c>
      <c r="AM413" s="72" t="s">
        <v>190</v>
      </c>
      <c r="AN413" s="48">
        <v>44958</v>
      </c>
      <c r="AO413" s="49">
        <v>13485</v>
      </c>
      <c r="AP413" s="72" t="s">
        <v>1134</v>
      </c>
      <c r="AQ413" s="48">
        <v>44958</v>
      </c>
      <c r="AR413" s="48">
        <v>45046</v>
      </c>
      <c r="AS413" s="31"/>
      <c r="AT413" s="32"/>
      <c r="AU413" s="86"/>
      <c r="AV413" s="44"/>
      <c r="AW413" s="80"/>
      <c r="AX413" s="80"/>
      <c r="AY413" s="33"/>
      <c r="AZ413" s="34"/>
      <c r="BA413" s="35"/>
      <c r="BB413" s="35"/>
      <c r="BC413" s="80"/>
      <c r="BD413" s="80"/>
      <c r="BE413" s="80"/>
      <c r="BF413" s="35"/>
      <c r="BG413" s="36"/>
      <c r="BH413" s="35"/>
      <c r="BI413" s="35"/>
      <c r="BJ413" s="76"/>
      <c r="BK413" s="76"/>
      <c r="BL413" s="76"/>
      <c r="BM413" s="76"/>
      <c r="BN413" s="297">
        <f t="shared" si="38"/>
        <v>0</v>
      </c>
      <c r="BO413" s="47"/>
      <c r="BP413" s="105"/>
      <c r="BQ413" s="48"/>
      <c r="BR413" s="49"/>
      <c r="BS413" s="48"/>
      <c r="BT413" s="36"/>
      <c r="BU413" s="40"/>
      <c r="BV413" s="40"/>
      <c r="BW413" s="108"/>
      <c r="BX413" s="40"/>
      <c r="BY413" s="40"/>
      <c r="BZ413" s="40"/>
      <c r="CA413" s="40"/>
      <c r="CB413" s="155"/>
      <c r="CC413" s="155"/>
      <c r="CD413" s="155"/>
      <c r="CE413" s="155"/>
      <c r="CF413" s="155"/>
      <c r="CG413" s="155"/>
    </row>
    <row r="414" spans="1:85" customFormat="1" ht="27.95" customHeight="1">
      <c r="A414" s="155"/>
      <c r="B414" s="155"/>
      <c r="C414" s="155"/>
      <c r="D414" s="274"/>
      <c r="E414" s="274"/>
      <c r="F414" s="274"/>
      <c r="G414" s="36"/>
      <c r="H414" s="155"/>
      <c r="I414" s="36"/>
      <c r="J414" s="36"/>
      <c r="K414" s="36"/>
      <c r="L414" s="36"/>
      <c r="M414" s="155"/>
      <c r="N414" s="155"/>
      <c r="O414" s="155"/>
      <c r="P414" s="155"/>
      <c r="Q414" s="47"/>
      <c r="R414" s="47"/>
      <c r="S414" s="47"/>
      <c r="T414" s="139"/>
      <c r="U414" s="101"/>
      <c r="V414" s="101"/>
      <c r="W414" s="36"/>
      <c r="X414" s="35"/>
      <c r="Y414" s="155"/>
      <c r="Z414" s="155"/>
      <c r="AA414" s="155"/>
      <c r="AB414" s="167"/>
      <c r="AC414" s="155"/>
      <c r="AD414" s="155"/>
      <c r="AE414" s="155"/>
      <c r="AF414" s="155"/>
      <c r="AG414" s="155"/>
      <c r="AH414" s="36"/>
      <c r="AI414" s="35"/>
      <c r="AJ414" s="35"/>
      <c r="AK414" s="155"/>
      <c r="AL414" s="47" t="s">
        <v>632</v>
      </c>
      <c r="AM414" s="72" t="s">
        <v>190</v>
      </c>
      <c r="AN414" s="48">
        <v>45089</v>
      </c>
      <c r="AO414" s="49">
        <v>13555</v>
      </c>
      <c r="AP414" s="72" t="s">
        <v>1135</v>
      </c>
      <c r="AQ414" s="48">
        <v>45047</v>
      </c>
      <c r="AR414" s="48">
        <v>45138</v>
      </c>
      <c r="AS414" s="31"/>
      <c r="AT414" s="32"/>
      <c r="AU414" s="86"/>
      <c r="AV414" s="44"/>
      <c r="AW414" s="80"/>
      <c r="AX414" s="80"/>
      <c r="AY414" s="33"/>
      <c r="AZ414" s="34"/>
      <c r="BA414" s="35"/>
      <c r="BB414" s="35"/>
      <c r="BC414" s="80"/>
      <c r="BD414" s="80"/>
      <c r="BE414" s="80"/>
      <c r="BF414" s="35"/>
      <c r="BG414" s="36"/>
      <c r="BH414" s="35"/>
      <c r="BI414" s="35"/>
      <c r="BJ414" s="76"/>
      <c r="BK414" s="76"/>
      <c r="BL414" s="76"/>
      <c r="BM414" s="76"/>
      <c r="BN414" s="297">
        <f t="shared" si="38"/>
        <v>0</v>
      </c>
      <c r="BO414" s="47"/>
      <c r="BP414" s="105"/>
      <c r="BQ414" s="48"/>
      <c r="BR414" s="49"/>
      <c r="BS414" s="48"/>
      <c r="BT414" s="36"/>
      <c r="BU414" s="40"/>
      <c r="BV414" s="40"/>
      <c r="BW414" s="108"/>
      <c r="BX414" s="40"/>
      <c r="BY414" s="40"/>
      <c r="BZ414" s="40"/>
      <c r="CA414" s="40"/>
      <c r="CB414" s="155"/>
      <c r="CC414" s="155"/>
      <c r="CD414" s="155"/>
      <c r="CE414" s="155"/>
      <c r="CF414" s="155"/>
      <c r="CG414" s="155"/>
    </row>
    <row r="415" spans="1:85" customFormat="1" ht="20.100000000000001" customHeight="1">
      <c r="A415" s="155"/>
      <c r="B415" s="155"/>
      <c r="C415" s="155"/>
      <c r="D415" s="274"/>
      <c r="E415" s="274"/>
      <c r="F415" s="274"/>
      <c r="G415" s="36"/>
      <c r="H415" s="155"/>
      <c r="I415" s="36"/>
      <c r="J415" s="36"/>
      <c r="K415" s="36"/>
      <c r="L415" s="36"/>
      <c r="M415" s="155"/>
      <c r="N415" s="155"/>
      <c r="O415" s="155"/>
      <c r="P415" s="155"/>
      <c r="Q415" s="47"/>
      <c r="R415" s="47"/>
      <c r="S415" s="47"/>
      <c r="T415" s="139"/>
      <c r="U415" s="101"/>
      <c r="V415" s="101"/>
      <c r="W415" s="36"/>
      <c r="X415" s="35"/>
      <c r="Y415" s="155"/>
      <c r="Z415" s="155"/>
      <c r="AA415" s="155"/>
      <c r="AB415" s="167"/>
      <c r="AC415" s="155"/>
      <c r="AD415" s="155"/>
      <c r="AE415" s="155"/>
      <c r="AF415" s="155"/>
      <c r="AG415" s="155"/>
      <c r="AH415" s="36"/>
      <c r="AI415" s="35"/>
      <c r="AJ415" s="35"/>
      <c r="AK415" s="155"/>
      <c r="AL415" s="47" t="s">
        <v>618</v>
      </c>
      <c r="AM415" s="72" t="s">
        <v>194</v>
      </c>
      <c r="AN415" s="48">
        <v>45042</v>
      </c>
      <c r="AO415" s="49">
        <v>13547</v>
      </c>
      <c r="AP415" s="72" t="s">
        <v>1136</v>
      </c>
      <c r="AQ415" s="48">
        <v>45047</v>
      </c>
      <c r="AR415" s="48">
        <v>45137</v>
      </c>
      <c r="AS415" s="31"/>
      <c r="AT415" s="32"/>
      <c r="AU415" s="86"/>
      <c r="AV415" s="44"/>
      <c r="AW415" s="80"/>
      <c r="AX415" s="80"/>
      <c r="AY415" s="33"/>
      <c r="AZ415" s="34"/>
      <c r="BA415" s="35"/>
      <c r="BB415" s="35"/>
      <c r="BC415" s="80"/>
      <c r="BD415" s="80"/>
      <c r="BE415" s="80"/>
      <c r="BF415" s="35"/>
      <c r="BG415" s="36"/>
      <c r="BH415" s="35"/>
      <c r="BI415" s="35"/>
      <c r="BJ415" s="76"/>
      <c r="BK415" s="76"/>
      <c r="BL415" s="76"/>
      <c r="BM415" s="76"/>
      <c r="BN415" s="297">
        <f t="shared" si="38"/>
        <v>0</v>
      </c>
      <c r="BO415" s="47"/>
      <c r="BP415" s="105"/>
      <c r="BQ415" s="48"/>
      <c r="BR415" s="49"/>
      <c r="BS415" s="48"/>
      <c r="BT415" s="36"/>
      <c r="BU415" s="40"/>
      <c r="BV415" s="40"/>
      <c r="BW415" s="108"/>
      <c r="BX415" s="40"/>
      <c r="BY415" s="40"/>
      <c r="BZ415" s="40"/>
      <c r="CA415" s="40"/>
      <c r="CB415" s="155"/>
      <c r="CC415" s="155"/>
      <c r="CD415" s="155"/>
      <c r="CE415" s="155"/>
      <c r="CF415" s="155"/>
      <c r="CG415" s="155"/>
    </row>
    <row r="416" spans="1:85" customFormat="1" ht="20.100000000000001" customHeight="1">
      <c r="A416" s="155"/>
      <c r="B416" s="155"/>
      <c r="C416" s="155"/>
      <c r="D416" s="274"/>
      <c r="E416" s="274"/>
      <c r="F416" s="274"/>
      <c r="G416" s="36"/>
      <c r="H416" s="155"/>
      <c r="I416" s="36"/>
      <c r="J416" s="36"/>
      <c r="K416" s="36"/>
      <c r="L416" s="36"/>
      <c r="M416" s="155"/>
      <c r="N416" s="155"/>
      <c r="O416" s="155"/>
      <c r="P416" s="155"/>
      <c r="Q416" s="47"/>
      <c r="R416" s="47"/>
      <c r="S416" s="47"/>
      <c r="T416" s="139"/>
      <c r="U416" s="101"/>
      <c r="V416" s="101"/>
      <c r="W416" s="36"/>
      <c r="X416" s="35"/>
      <c r="Y416" s="155"/>
      <c r="Z416" s="155"/>
      <c r="AA416" s="155"/>
      <c r="AB416" s="167"/>
      <c r="AC416" s="155"/>
      <c r="AD416" s="155"/>
      <c r="AE416" s="155"/>
      <c r="AF416" s="155"/>
      <c r="AG416" s="155"/>
      <c r="AH416" s="36"/>
      <c r="AI416" s="35"/>
      <c r="AJ416" s="35"/>
      <c r="AK416" s="155"/>
      <c r="AL416" s="47" t="s">
        <v>618</v>
      </c>
      <c r="AM416" s="72" t="s">
        <v>520</v>
      </c>
      <c r="AN416" s="48">
        <v>45138</v>
      </c>
      <c r="AO416" s="49">
        <v>13588</v>
      </c>
      <c r="AP416" s="72" t="s">
        <v>1136</v>
      </c>
      <c r="AQ416" s="48">
        <v>45139</v>
      </c>
      <c r="AR416" s="48">
        <v>45230</v>
      </c>
      <c r="AS416" s="31"/>
      <c r="AT416" s="32"/>
      <c r="AU416" s="86"/>
      <c r="AV416" s="44"/>
      <c r="AW416" s="80"/>
      <c r="AX416" s="80"/>
      <c r="AY416" s="33"/>
      <c r="AZ416" s="34"/>
      <c r="BA416" s="35"/>
      <c r="BB416" s="35"/>
      <c r="BC416" s="80"/>
      <c r="BD416" s="80"/>
      <c r="BE416" s="80"/>
      <c r="BF416" s="35"/>
      <c r="BG416" s="36"/>
      <c r="BH416" s="35"/>
      <c r="BI416" s="35"/>
      <c r="BJ416" s="76"/>
      <c r="BK416" s="76"/>
      <c r="BL416" s="76"/>
      <c r="BM416" s="76"/>
      <c r="BN416" s="297">
        <f t="shared" si="38"/>
        <v>0</v>
      </c>
      <c r="BO416" s="47"/>
      <c r="BP416" s="105"/>
      <c r="BQ416" s="48"/>
      <c r="BR416" s="49"/>
      <c r="BS416" s="48"/>
      <c r="BT416" s="36"/>
      <c r="BU416" s="40"/>
      <c r="BV416" s="40"/>
      <c r="BW416" s="108"/>
      <c r="BX416" s="40"/>
      <c r="BY416" s="40"/>
      <c r="BZ416" s="40"/>
      <c r="CA416" s="40"/>
      <c r="CB416" s="155"/>
      <c r="CC416" s="155"/>
      <c r="CD416" s="155"/>
      <c r="CE416" s="155"/>
      <c r="CF416" s="155"/>
      <c r="CG416" s="155"/>
    </row>
    <row r="417" spans="1:85" customFormat="1" ht="20.100000000000001" customHeight="1">
      <c r="A417" s="155"/>
      <c r="B417" s="155"/>
      <c r="C417" s="155"/>
      <c r="D417" s="274"/>
      <c r="E417" s="274"/>
      <c r="F417" s="274"/>
      <c r="G417" s="36"/>
      <c r="H417" s="155"/>
      <c r="I417" s="36"/>
      <c r="J417" s="36"/>
      <c r="K417" s="36"/>
      <c r="L417" s="36"/>
      <c r="M417" s="155"/>
      <c r="N417" s="155"/>
      <c r="O417" s="155"/>
      <c r="P417" s="155"/>
      <c r="Q417" s="47"/>
      <c r="R417" s="47"/>
      <c r="S417" s="47"/>
      <c r="T417" s="139"/>
      <c r="U417" s="101"/>
      <c r="V417" s="101"/>
      <c r="W417" s="36"/>
      <c r="X417" s="35"/>
      <c r="Y417" s="155"/>
      <c r="Z417" s="155"/>
      <c r="AA417" s="155"/>
      <c r="AB417" s="167"/>
      <c r="AC417" s="155"/>
      <c r="AD417" s="155"/>
      <c r="AE417" s="155"/>
      <c r="AF417" s="155"/>
      <c r="AG417" s="155"/>
      <c r="AH417" s="36"/>
      <c r="AI417" s="35"/>
      <c r="AJ417" s="35"/>
      <c r="AK417" s="155"/>
      <c r="AL417" s="47" t="s">
        <v>618</v>
      </c>
      <c r="AM417" s="72" t="s">
        <v>651</v>
      </c>
      <c r="AN417" s="48">
        <v>45230</v>
      </c>
      <c r="AO417" s="49">
        <v>13655</v>
      </c>
      <c r="AP417" s="72" t="s">
        <v>1137</v>
      </c>
      <c r="AQ417" s="48">
        <v>45231</v>
      </c>
      <c r="AR417" s="48">
        <v>45412</v>
      </c>
      <c r="AS417" s="31"/>
      <c r="AT417" s="32"/>
      <c r="AU417" s="86"/>
      <c r="AV417" s="44"/>
      <c r="AW417" s="80"/>
      <c r="AX417" s="80"/>
      <c r="AY417" s="33"/>
      <c r="AZ417" s="34"/>
      <c r="BA417" s="35"/>
      <c r="BB417" s="35"/>
      <c r="BC417" s="80"/>
      <c r="BD417" s="80"/>
      <c r="BE417" s="80"/>
      <c r="BF417" s="35"/>
      <c r="BG417" s="36"/>
      <c r="BH417" s="35"/>
      <c r="BI417" s="35"/>
      <c r="BJ417" s="76"/>
      <c r="BK417" s="76"/>
      <c r="BL417" s="76"/>
      <c r="BM417" s="76"/>
      <c r="BN417" s="297">
        <f t="shared" si="38"/>
        <v>0</v>
      </c>
      <c r="BO417" s="47"/>
      <c r="BP417" s="105"/>
      <c r="BQ417" s="48"/>
      <c r="BR417" s="49"/>
      <c r="BS417" s="48"/>
      <c r="BT417" s="36"/>
      <c r="BU417" s="40"/>
      <c r="BV417" s="40"/>
      <c r="BW417" s="108"/>
      <c r="BX417" s="40"/>
      <c r="BY417" s="40"/>
      <c r="BZ417" s="40"/>
      <c r="CA417" s="40"/>
      <c r="CB417" s="155"/>
      <c r="CC417" s="155"/>
      <c r="CD417" s="155"/>
      <c r="CE417" s="155"/>
      <c r="CF417" s="155"/>
      <c r="CG417" s="155"/>
    </row>
    <row r="418" spans="1:85" customFormat="1" ht="20.100000000000001" customHeight="1">
      <c r="A418" s="155"/>
      <c r="B418" s="155"/>
      <c r="C418" s="155"/>
      <c r="D418" s="274"/>
      <c r="E418" s="274"/>
      <c r="F418" s="274"/>
      <c r="G418" s="36"/>
      <c r="H418" s="155"/>
      <c r="I418" s="36"/>
      <c r="J418" s="36"/>
      <c r="K418" s="36"/>
      <c r="L418" s="36"/>
      <c r="M418" s="155"/>
      <c r="N418" s="155"/>
      <c r="O418" s="155"/>
      <c r="P418" s="155"/>
      <c r="Q418" s="47"/>
      <c r="R418" s="47"/>
      <c r="S418" s="47"/>
      <c r="T418" s="139"/>
      <c r="U418" s="101"/>
      <c r="V418" s="101"/>
      <c r="W418" s="36"/>
      <c r="X418" s="35"/>
      <c r="Y418" s="155"/>
      <c r="Z418" s="155"/>
      <c r="AA418" s="155"/>
      <c r="AB418" s="167"/>
      <c r="AC418" s="155"/>
      <c r="AD418" s="155"/>
      <c r="AE418" s="155"/>
      <c r="AF418" s="155"/>
      <c r="AG418" s="155"/>
      <c r="AH418" s="36"/>
      <c r="AI418" s="35"/>
      <c r="AJ418" s="35"/>
      <c r="AK418" s="155"/>
      <c r="AL418" s="47" t="s">
        <v>618</v>
      </c>
      <c r="AM418" s="72" t="s">
        <v>653</v>
      </c>
      <c r="AN418" s="48">
        <v>45411</v>
      </c>
      <c r="AO418" s="49">
        <v>13769</v>
      </c>
      <c r="AP418" s="72" t="s">
        <v>1137</v>
      </c>
      <c r="AQ418" s="48">
        <v>45413</v>
      </c>
      <c r="AR418" s="48">
        <v>45595</v>
      </c>
      <c r="AS418" s="31"/>
      <c r="AT418" s="32"/>
      <c r="AU418" s="86"/>
      <c r="AV418" s="44"/>
      <c r="AW418" s="80"/>
      <c r="AX418" s="80"/>
      <c r="AY418" s="33"/>
      <c r="AZ418" s="34"/>
      <c r="BA418" s="35"/>
      <c r="BB418" s="35"/>
      <c r="BC418" s="80"/>
      <c r="BD418" s="80"/>
      <c r="BE418" s="80"/>
      <c r="BF418" s="35"/>
      <c r="BG418" s="36"/>
      <c r="BH418" s="35"/>
      <c r="BI418" s="35"/>
      <c r="BJ418" s="76"/>
      <c r="BK418" s="76"/>
      <c r="BL418" s="76"/>
      <c r="BM418" s="76"/>
      <c r="BN418" s="297">
        <f t="shared" si="38"/>
        <v>0</v>
      </c>
      <c r="BO418" s="47"/>
      <c r="BP418" s="105"/>
      <c r="BQ418" s="48"/>
      <c r="BR418" s="49"/>
      <c r="BS418" s="48"/>
      <c r="BT418" s="36"/>
      <c r="BU418" s="40"/>
      <c r="BV418" s="40"/>
      <c r="BW418" s="108"/>
      <c r="BX418" s="40"/>
      <c r="BY418" s="40"/>
      <c r="BZ418" s="40"/>
      <c r="CA418" s="40"/>
      <c r="CB418" s="155"/>
      <c r="CC418" s="155"/>
      <c r="CD418" s="155"/>
      <c r="CE418" s="155"/>
      <c r="CF418" s="155"/>
      <c r="CG418" s="155"/>
    </row>
    <row r="419" spans="1:85" customFormat="1" ht="20.100000000000001" customHeight="1">
      <c r="A419" s="155"/>
      <c r="B419" s="155"/>
      <c r="C419" s="155"/>
      <c r="D419" s="274"/>
      <c r="E419" s="274"/>
      <c r="F419" s="274"/>
      <c r="G419" s="36"/>
      <c r="H419" s="155"/>
      <c r="I419" s="36"/>
      <c r="J419" s="36"/>
      <c r="K419" s="36"/>
      <c r="L419" s="36"/>
      <c r="M419" s="155"/>
      <c r="N419" s="155"/>
      <c r="O419" s="155"/>
      <c r="P419" s="155"/>
      <c r="Q419" s="47"/>
      <c r="R419" s="47"/>
      <c r="S419" s="47"/>
      <c r="T419" s="139"/>
      <c r="U419" s="101"/>
      <c r="V419" s="101"/>
      <c r="W419" s="36"/>
      <c r="X419" s="35"/>
      <c r="Y419" s="155"/>
      <c r="Z419" s="155"/>
      <c r="AA419" s="155"/>
      <c r="AB419" s="167"/>
      <c r="AC419" s="155"/>
      <c r="AD419" s="155"/>
      <c r="AE419" s="155"/>
      <c r="AF419" s="155"/>
      <c r="AG419" s="155"/>
      <c r="AH419" s="36"/>
      <c r="AI419" s="35"/>
      <c r="AJ419" s="35"/>
      <c r="AK419" s="155"/>
      <c r="AL419" s="47" t="s">
        <v>618</v>
      </c>
      <c r="AM419" s="72" t="s">
        <v>870</v>
      </c>
      <c r="AN419" s="48">
        <v>45595</v>
      </c>
      <c r="AO419" s="49">
        <v>13897</v>
      </c>
      <c r="AP419" s="72" t="s">
        <v>637</v>
      </c>
      <c r="AQ419" s="48">
        <v>45596</v>
      </c>
      <c r="AR419" s="48">
        <v>45960</v>
      </c>
      <c r="AS419" s="31"/>
      <c r="AT419" s="32"/>
      <c r="AU419" s="86"/>
      <c r="AV419" s="44"/>
      <c r="AW419" s="80"/>
      <c r="AX419" s="80"/>
      <c r="AY419" s="33"/>
      <c r="AZ419" s="34"/>
      <c r="BA419" s="35"/>
      <c r="BB419" s="35"/>
      <c r="BC419" s="80"/>
      <c r="BD419" s="80"/>
      <c r="BE419" s="80"/>
      <c r="BF419" s="35"/>
      <c r="BG419" s="36"/>
      <c r="BH419" s="35"/>
      <c r="BI419" s="35"/>
      <c r="BJ419" s="76"/>
      <c r="BK419" s="76"/>
      <c r="BL419" s="76"/>
      <c r="BM419" s="76"/>
      <c r="BN419" s="297">
        <f t="shared" si="38"/>
        <v>0</v>
      </c>
      <c r="BO419" s="47"/>
      <c r="BP419" s="105"/>
      <c r="BQ419" s="48"/>
      <c r="BR419" s="49"/>
      <c r="BS419" s="48"/>
      <c r="BT419" s="36"/>
      <c r="BU419" s="40"/>
      <c r="BV419" s="40"/>
      <c r="BW419" s="108"/>
      <c r="BX419" s="40"/>
      <c r="BY419" s="40"/>
      <c r="BZ419" s="40"/>
      <c r="CA419" s="40"/>
      <c r="CB419" s="155"/>
      <c r="CC419" s="155"/>
      <c r="CD419" s="155"/>
      <c r="CE419" s="155"/>
      <c r="CF419" s="155"/>
      <c r="CG419" s="155"/>
    </row>
    <row r="420" spans="1:85" customFormat="1" ht="20.100000000000001" customHeight="1" thickBot="1">
      <c r="A420" s="162"/>
      <c r="B420" s="162"/>
      <c r="C420" s="162"/>
      <c r="D420" s="276"/>
      <c r="E420" s="276"/>
      <c r="F420" s="276"/>
      <c r="G420" s="36"/>
      <c r="H420" s="162"/>
      <c r="I420" s="36"/>
      <c r="J420" s="36"/>
      <c r="K420" s="36"/>
      <c r="L420" s="36"/>
      <c r="M420" s="162"/>
      <c r="N420" s="162"/>
      <c r="O420" s="162"/>
      <c r="P420" s="162"/>
      <c r="Q420" s="47"/>
      <c r="R420" s="47"/>
      <c r="S420" s="47"/>
      <c r="T420" s="139"/>
      <c r="U420" s="101"/>
      <c r="V420" s="101"/>
      <c r="W420" s="36"/>
      <c r="X420" s="35"/>
      <c r="Y420" s="162"/>
      <c r="Z420" s="162"/>
      <c r="AA420" s="162"/>
      <c r="AB420" s="168"/>
      <c r="AC420" s="162"/>
      <c r="AD420" s="162"/>
      <c r="AE420" s="162"/>
      <c r="AF420" s="162"/>
      <c r="AG420" s="156"/>
      <c r="AH420" s="36"/>
      <c r="AI420" s="35"/>
      <c r="AJ420" s="35"/>
      <c r="AK420" s="162"/>
      <c r="AL420" s="47" t="s">
        <v>618</v>
      </c>
      <c r="AM420" s="72" t="s">
        <v>871</v>
      </c>
      <c r="AN420" s="48">
        <v>45961</v>
      </c>
      <c r="AO420" s="49">
        <v>14154</v>
      </c>
      <c r="AP420" s="72" t="s">
        <v>637</v>
      </c>
      <c r="AQ420" s="48">
        <v>45961</v>
      </c>
      <c r="AR420" s="48">
        <v>46325</v>
      </c>
      <c r="AS420" s="31"/>
      <c r="AT420" s="32"/>
      <c r="AU420" s="86"/>
      <c r="AV420" s="44"/>
      <c r="AW420" s="80"/>
      <c r="AX420" s="80"/>
      <c r="AY420" s="33"/>
      <c r="AZ420" s="34"/>
      <c r="BA420" s="35"/>
      <c r="BB420" s="35"/>
      <c r="BC420" s="80"/>
      <c r="BD420" s="80"/>
      <c r="BE420" s="80"/>
      <c r="BF420" s="35"/>
      <c r="BG420" s="36"/>
      <c r="BH420" s="35"/>
      <c r="BI420" s="35"/>
      <c r="BJ420" s="76"/>
      <c r="BK420" s="76"/>
      <c r="BL420" s="76">
        <f>5502.23+11312.46+5502.23+4886.23+5040.23</f>
        <v>32243.379999999997</v>
      </c>
      <c r="BM420" s="76"/>
      <c r="BN420" s="297">
        <f t="shared" si="38"/>
        <v>32243.379999999997</v>
      </c>
      <c r="BO420" s="47"/>
      <c r="BP420" s="105"/>
      <c r="BQ420" s="48"/>
      <c r="BR420" s="49"/>
      <c r="BS420" s="48"/>
      <c r="BT420" s="36"/>
      <c r="BU420" s="40"/>
      <c r="BV420" s="40"/>
      <c r="BW420" s="108"/>
      <c r="BX420" s="40"/>
      <c r="BY420" s="40"/>
      <c r="BZ420" s="40"/>
      <c r="CA420" s="40"/>
      <c r="CB420" s="156"/>
      <c r="CC420" s="156"/>
      <c r="CD420" s="156"/>
      <c r="CE420" s="156"/>
      <c r="CF420" s="156"/>
      <c r="CG420" s="156"/>
    </row>
    <row r="421" spans="1:85" customFormat="1" ht="13.5" customHeight="1" thickBot="1">
      <c r="A421" s="158" t="s">
        <v>1138</v>
      </c>
      <c r="B421" s="159"/>
      <c r="C421" s="159"/>
      <c r="D421" s="159"/>
      <c r="E421" s="159"/>
      <c r="F421" s="159"/>
      <c r="G421" s="159"/>
      <c r="H421" s="159"/>
      <c r="I421" s="159"/>
      <c r="J421" s="159"/>
      <c r="K421" s="159"/>
      <c r="L421" s="159"/>
      <c r="M421" s="159"/>
      <c r="N421" s="159"/>
      <c r="O421" s="159"/>
      <c r="P421" s="159"/>
      <c r="Q421" s="159"/>
      <c r="R421" s="159"/>
      <c r="S421" s="159"/>
      <c r="T421" s="159"/>
      <c r="U421" s="159"/>
      <c r="V421" s="159"/>
      <c r="W421" s="160"/>
      <c r="X421" s="150">
        <f>SUM(X21:X420)</f>
        <v>15763736.840000002</v>
      </c>
      <c r="Y421" s="151"/>
      <c r="Z421" s="151"/>
      <c r="AA421" s="151"/>
      <c r="AB421" s="151"/>
      <c r="AC421" s="151"/>
      <c r="AD421" s="151"/>
      <c r="AE421" s="151"/>
      <c r="AF421" s="151"/>
      <c r="AG421" s="151"/>
      <c r="AH421" s="151"/>
      <c r="AI421" s="150">
        <f>SUM(AI21:AI420)</f>
        <v>0</v>
      </c>
      <c r="AJ421" s="150">
        <f>SUM(AJ21:AJ420)</f>
        <v>0</v>
      </c>
      <c r="AK421" s="150"/>
      <c r="AL421" s="151"/>
      <c r="AM421" s="151"/>
      <c r="AN421" s="151"/>
      <c r="AO421" s="151"/>
      <c r="AP421" s="151"/>
      <c r="AQ421" s="151"/>
      <c r="AR421" s="151"/>
      <c r="AS421" s="151"/>
      <c r="AT421" s="151"/>
      <c r="AU421" s="151"/>
      <c r="AV421" s="151"/>
      <c r="AW421" s="150"/>
      <c r="AX421" s="150">
        <f>SUM(AX21:AX420)</f>
        <v>692450.31</v>
      </c>
      <c r="AY421" s="151"/>
      <c r="AZ421" s="151"/>
      <c r="BA421" s="150">
        <f>SUM(BA21:BA420)</f>
        <v>3785</v>
      </c>
      <c r="BB421" s="150">
        <f>SUM(BB21:BB420)</f>
        <v>2.8077163448775342E-2</v>
      </c>
      <c r="BC421" s="151"/>
      <c r="BD421" s="151"/>
      <c r="BE421" s="150"/>
      <c r="BF421" s="150">
        <f>SUM(BF21:BF420)</f>
        <v>91497</v>
      </c>
      <c r="BG421" s="151"/>
      <c r="BH421" s="150">
        <f>SUM(BH21:BH420)</f>
        <v>24771.359999999964</v>
      </c>
      <c r="BI421" s="150"/>
      <c r="BJ421" s="150"/>
      <c r="BK421" s="150"/>
      <c r="BL421" s="150"/>
      <c r="BM421" s="150">
        <f>SUM(BM22:BM420)</f>
        <v>393236.06</v>
      </c>
      <c r="BN421" s="150"/>
      <c r="BO421" s="152"/>
      <c r="BP421" s="153"/>
      <c r="BQ421" s="153"/>
      <c r="BR421" s="153"/>
      <c r="BS421" s="153"/>
      <c r="BT421" s="153"/>
      <c r="BU421" s="153"/>
      <c r="BV421" s="153"/>
      <c r="BW421" s="150">
        <f t="shared" ref="BW421:BX421" si="40">SUM(BW21:BW420)</f>
        <v>0</v>
      </c>
      <c r="BX421" s="150">
        <f t="shared" si="40"/>
        <v>0</v>
      </c>
      <c r="BY421" s="153"/>
      <c r="BZ421" s="153"/>
      <c r="CA421" s="153"/>
      <c r="CB421" s="36"/>
      <c r="CC421" s="49"/>
      <c r="CD421" s="36"/>
      <c r="CE421" s="36"/>
      <c r="CF421" s="36"/>
      <c r="CG421" s="36"/>
    </row>
    <row r="422" spans="1:85" customFormat="1" ht="15.75" customHeight="1">
      <c r="D422" s="279"/>
      <c r="E422" s="279"/>
      <c r="F422" s="279"/>
    </row>
    <row r="423" spans="1:85" customFormat="1" ht="15.75" customHeight="1">
      <c r="D423" s="279"/>
      <c r="E423" s="279"/>
      <c r="F423" s="279"/>
    </row>
    <row r="424" spans="1:85" customFormat="1" ht="15.75" customHeight="1">
      <c r="D424" s="279"/>
      <c r="E424" s="279"/>
      <c r="F424" s="279"/>
    </row>
    <row r="425" spans="1:85" customFormat="1" ht="15.75" customHeight="1">
      <c r="D425" s="279"/>
      <c r="E425" s="279"/>
      <c r="F425" s="279"/>
    </row>
    <row r="426" spans="1:85" customFormat="1" ht="15.75" customHeight="1">
      <c r="D426" s="279"/>
      <c r="E426" s="279"/>
      <c r="F426" s="279"/>
    </row>
    <row r="427" spans="1:85" customFormat="1" ht="15.75" customHeight="1">
      <c r="D427" s="279"/>
      <c r="E427" s="279"/>
      <c r="F427" s="279"/>
    </row>
    <row r="428" spans="1:85" customFormat="1" ht="15.75" customHeight="1">
      <c r="D428" s="279"/>
      <c r="E428" s="279"/>
      <c r="F428" s="279"/>
    </row>
    <row r="429" spans="1:85" customFormat="1" ht="15.75" customHeight="1">
      <c r="D429" s="279"/>
      <c r="E429" s="279"/>
      <c r="F429" s="279"/>
    </row>
    <row r="430" spans="1:85" customFormat="1" ht="15.75" customHeight="1">
      <c r="D430" s="279"/>
      <c r="E430" s="279"/>
      <c r="F430" s="279"/>
    </row>
    <row r="431" spans="1:85" customFormat="1" ht="15.75" customHeight="1">
      <c r="D431" s="279"/>
      <c r="E431" s="279"/>
      <c r="F431" s="279"/>
    </row>
    <row r="432" spans="1:85" customFormat="1" ht="15.75" customHeight="1">
      <c r="D432" s="279"/>
      <c r="E432" s="279"/>
      <c r="F432" s="279"/>
    </row>
    <row r="433" spans="4:6" customFormat="1" ht="15.75" customHeight="1">
      <c r="D433" s="279"/>
      <c r="E433" s="279"/>
      <c r="F433" s="279"/>
    </row>
    <row r="434" spans="4:6" customFormat="1" ht="15.75" customHeight="1">
      <c r="D434" s="279"/>
      <c r="E434" s="279"/>
      <c r="F434" s="279"/>
    </row>
    <row r="435" spans="4:6" customFormat="1" ht="15.75" customHeight="1">
      <c r="D435" s="279"/>
      <c r="E435" s="279"/>
      <c r="F435" s="279"/>
    </row>
    <row r="436" spans="4:6" customFormat="1" ht="15.75" customHeight="1">
      <c r="D436" s="279"/>
      <c r="E436" s="279"/>
      <c r="F436" s="279"/>
    </row>
    <row r="437" spans="4:6" customFormat="1" ht="15.75" customHeight="1">
      <c r="D437" s="279"/>
      <c r="E437" s="279"/>
      <c r="F437" s="279"/>
    </row>
    <row r="438" spans="4:6" customFormat="1" ht="15.75" customHeight="1">
      <c r="D438" s="279"/>
      <c r="E438" s="279"/>
      <c r="F438" s="279"/>
    </row>
    <row r="439" spans="4:6" customFormat="1" ht="15.75" customHeight="1">
      <c r="D439" s="279"/>
      <c r="E439" s="279"/>
      <c r="F439" s="279"/>
    </row>
    <row r="440" spans="4:6" customFormat="1" ht="15.75" customHeight="1">
      <c r="D440" s="279"/>
      <c r="E440" s="279"/>
      <c r="F440" s="279"/>
    </row>
    <row r="441" spans="4:6" customFormat="1" ht="15.75" customHeight="1">
      <c r="D441" s="279"/>
      <c r="E441" s="279"/>
      <c r="F441" s="279"/>
    </row>
    <row r="442" spans="4:6" customFormat="1" ht="15.75" customHeight="1">
      <c r="D442" s="279"/>
      <c r="E442" s="279"/>
      <c r="F442" s="279"/>
    </row>
    <row r="443" spans="4:6" customFormat="1" ht="15.75" customHeight="1">
      <c r="D443" s="279"/>
      <c r="E443" s="279"/>
      <c r="F443" s="279"/>
    </row>
    <row r="444" spans="4:6" customFormat="1" ht="15.75" customHeight="1">
      <c r="D444" s="279"/>
      <c r="E444" s="279"/>
      <c r="F444" s="279"/>
    </row>
    <row r="445" spans="4:6" customFormat="1" ht="15.75" customHeight="1">
      <c r="D445" s="279"/>
      <c r="E445" s="279"/>
      <c r="F445" s="279"/>
    </row>
    <row r="446" spans="4:6" customFormat="1" ht="15.75" customHeight="1">
      <c r="D446" s="279"/>
      <c r="E446" s="279"/>
      <c r="F446" s="279"/>
    </row>
    <row r="447" spans="4:6" customFormat="1" ht="15.75" customHeight="1">
      <c r="D447" s="279"/>
      <c r="E447" s="279"/>
      <c r="F447" s="279"/>
    </row>
    <row r="448" spans="4:6" customFormat="1" ht="15.75" customHeight="1">
      <c r="D448" s="279"/>
      <c r="E448" s="279"/>
      <c r="F448" s="279"/>
    </row>
    <row r="449" spans="4:6" customFormat="1" ht="15.75" customHeight="1">
      <c r="D449" s="279"/>
      <c r="E449" s="279"/>
      <c r="F449" s="279"/>
    </row>
    <row r="450" spans="4:6" customFormat="1" ht="15.75" customHeight="1">
      <c r="D450" s="279"/>
      <c r="E450" s="279"/>
      <c r="F450" s="279"/>
    </row>
    <row r="451" spans="4:6" customFormat="1" ht="15.75" customHeight="1">
      <c r="D451" s="279"/>
      <c r="E451" s="279"/>
      <c r="F451" s="279"/>
    </row>
    <row r="452" spans="4:6" customFormat="1" ht="15.75" customHeight="1">
      <c r="D452" s="279"/>
      <c r="E452" s="279"/>
      <c r="F452" s="279"/>
    </row>
    <row r="453" spans="4:6" customFormat="1" ht="15.75" customHeight="1">
      <c r="D453" s="279"/>
      <c r="E453" s="279"/>
      <c r="F453" s="279"/>
    </row>
    <row r="454" spans="4:6" customFormat="1" ht="15.75" customHeight="1">
      <c r="D454" s="279"/>
      <c r="E454" s="279"/>
      <c r="F454" s="279"/>
    </row>
    <row r="455" spans="4:6" customFormat="1" ht="15.75" customHeight="1">
      <c r="D455" s="279"/>
      <c r="E455" s="279"/>
      <c r="F455" s="279"/>
    </row>
    <row r="456" spans="4:6" customFormat="1" ht="15.75" customHeight="1">
      <c r="D456" s="279"/>
      <c r="E456" s="279"/>
      <c r="F456" s="279"/>
    </row>
    <row r="457" spans="4:6" customFormat="1" ht="15.75" customHeight="1">
      <c r="D457" s="279"/>
      <c r="E457" s="279"/>
      <c r="F457" s="279"/>
    </row>
    <row r="458" spans="4:6" customFormat="1" ht="15.75" customHeight="1">
      <c r="D458" s="279"/>
      <c r="E458" s="279"/>
      <c r="F458" s="279"/>
    </row>
    <row r="459" spans="4:6" customFormat="1" ht="15.75" customHeight="1">
      <c r="D459" s="279"/>
      <c r="E459" s="279"/>
      <c r="F459" s="279"/>
    </row>
    <row r="460" spans="4:6" customFormat="1" ht="15.75" customHeight="1">
      <c r="D460" s="279"/>
      <c r="E460" s="279"/>
      <c r="F460" s="279"/>
    </row>
    <row r="461" spans="4:6" customFormat="1" ht="15.75" customHeight="1">
      <c r="D461" s="279"/>
      <c r="E461" s="279"/>
      <c r="F461" s="279"/>
    </row>
    <row r="462" spans="4:6" customFormat="1" ht="15.75" customHeight="1">
      <c r="D462" s="279"/>
      <c r="E462" s="279"/>
      <c r="F462" s="279"/>
    </row>
    <row r="463" spans="4:6" customFormat="1" ht="15.75" customHeight="1">
      <c r="D463" s="279"/>
      <c r="E463" s="279"/>
      <c r="F463" s="279"/>
    </row>
    <row r="464" spans="4:6" customFormat="1" ht="15.75" customHeight="1">
      <c r="D464" s="279"/>
      <c r="E464" s="279"/>
      <c r="F464" s="279"/>
    </row>
    <row r="465" spans="4:6" customFormat="1" ht="15.75" customHeight="1">
      <c r="D465" s="279"/>
      <c r="E465" s="279"/>
      <c r="F465" s="279"/>
    </row>
    <row r="466" spans="4:6" customFormat="1" ht="15.75" customHeight="1">
      <c r="D466" s="279"/>
      <c r="E466" s="279"/>
      <c r="F466" s="279"/>
    </row>
    <row r="467" spans="4:6" customFormat="1" ht="15.75" customHeight="1">
      <c r="D467" s="279"/>
      <c r="E467" s="279"/>
      <c r="F467" s="279"/>
    </row>
    <row r="468" spans="4:6" customFormat="1" ht="15.75" customHeight="1">
      <c r="D468" s="279"/>
      <c r="E468" s="279"/>
      <c r="F468" s="279"/>
    </row>
    <row r="469" spans="4:6" customFormat="1" ht="15.75" customHeight="1">
      <c r="D469" s="279"/>
      <c r="E469" s="279"/>
      <c r="F469" s="279"/>
    </row>
    <row r="470" spans="4:6" customFormat="1" ht="15.75" customHeight="1">
      <c r="D470" s="279"/>
      <c r="E470" s="279"/>
      <c r="F470" s="279"/>
    </row>
    <row r="471" spans="4:6" customFormat="1" ht="15.75" customHeight="1">
      <c r="D471" s="279"/>
      <c r="E471" s="279"/>
      <c r="F471" s="279"/>
    </row>
    <row r="472" spans="4:6" customFormat="1" ht="15.75" customHeight="1">
      <c r="D472" s="279"/>
      <c r="E472" s="279"/>
      <c r="F472" s="279"/>
    </row>
    <row r="473" spans="4:6" customFormat="1" ht="15.75" customHeight="1">
      <c r="D473" s="279"/>
      <c r="E473" s="279"/>
      <c r="F473" s="279"/>
    </row>
    <row r="474" spans="4:6" customFormat="1" ht="15.75" customHeight="1">
      <c r="D474" s="279"/>
      <c r="E474" s="279"/>
      <c r="F474" s="279"/>
    </row>
    <row r="475" spans="4:6" customFormat="1" ht="15.75" customHeight="1">
      <c r="D475" s="279"/>
      <c r="E475" s="279"/>
      <c r="F475" s="279"/>
    </row>
    <row r="476" spans="4:6" customFormat="1" ht="15.75" customHeight="1">
      <c r="D476" s="279"/>
      <c r="E476" s="279"/>
      <c r="F476" s="279"/>
    </row>
    <row r="477" spans="4:6" customFormat="1" ht="15.75" customHeight="1">
      <c r="D477" s="279"/>
      <c r="E477" s="279"/>
      <c r="F477" s="279"/>
    </row>
    <row r="478" spans="4:6" customFormat="1" ht="15.75" customHeight="1">
      <c r="D478" s="279"/>
      <c r="E478" s="279"/>
      <c r="F478" s="279"/>
    </row>
    <row r="479" spans="4:6" customFormat="1" ht="15.75" customHeight="1">
      <c r="D479" s="279"/>
      <c r="E479" s="279"/>
      <c r="F479" s="279"/>
    </row>
    <row r="480" spans="4:6" customFormat="1" ht="15.75" customHeight="1">
      <c r="D480" s="279"/>
      <c r="E480" s="279"/>
      <c r="F480" s="279"/>
    </row>
    <row r="481" spans="4:6" customFormat="1" ht="15.75" customHeight="1">
      <c r="D481" s="279"/>
      <c r="E481" s="279"/>
      <c r="F481" s="279"/>
    </row>
    <row r="482" spans="4:6" customFormat="1" ht="15.75" customHeight="1">
      <c r="D482" s="279"/>
      <c r="E482" s="279"/>
      <c r="F482" s="279"/>
    </row>
    <row r="483" spans="4:6" customFormat="1" ht="15.75" customHeight="1">
      <c r="D483" s="279"/>
      <c r="E483" s="279"/>
      <c r="F483" s="279"/>
    </row>
    <row r="484" spans="4:6" customFormat="1" ht="15.75" customHeight="1">
      <c r="D484" s="279"/>
      <c r="E484" s="279"/>
      <c r="F484" s="279"/>
    </row>
    <row r="485" spans="4:6" customFormat="1" ht="15.75" customHeight="1">
      <c r="D485" s="279"/>
      <c r="E485" s="279"/>
      <c r="F485" s="279"/>
    </row>
    <row r="486" spans="4:6" customFormat="1" ht="15.75" customHeight="1">
      <c r="D486" s="279"/>
      <c r="E486" s="279"/>
      <c r="F486" s="279"/>
    </row>
    <row r="487" spans="4:6" customFormat="1" ht="15.75" customHeight="1">
      <c r="D487" s="279"/>
      <c r="E487" s="279"/>
      <c r="F487" s="279"/>
    </row>
    <row r="488" spans="4:6" customFormat="1" ht="15.75" customHeight="1">
      <c r="D488" s="279"/>
      <c r="E488" s="279"/>
      <c r="F488" s="279"/>
    </row>
    <row r="489" spans="4:6" customFormat="1" ht="15.75" customHeight="1">
      <c r="D489" s="279"/>
      <c r="E489" s="279"/>
      <c r="F489" s="279"/>
    </row>
    <row r="490" spans="4:6" customFormat="1" ht="15.75" customHeight="1">
      <c r="D490" s="279"/>
      <c r="E490" s="279"/>
      <c r="F490" s="279"/>
    </row>
    <row r="491" spans="4:6" customFormat="1" ht="15.75" customHeight="1">
      <c r="D491" s="279"/>
      <c r="E491" s="279"/>
      <c r="F491" s="279"/>
    </row>
    <row r="492" spans="4:6" customFormat="1" ht="15.75" customHeight="1">
      <c r="D492" s="279"/>
      <c r="E492" s="279"/>
      <c r="F492" s="279"/>
    </row>
    <row r="493" spans="4:6" customFormat="1" ht="15.75" customHeight="1">
      <c r="D493" s="279"/>
      <c r="E493" s="279"/>
      <c r="F493" s="279"/>
    </row>
    <row r="494" spans="4:6" customFormat="1" ht="15.75" customHeight="1">
      <c r="D494" s="279"/>
      <c r="E494" s="279"/>
      <c r="F494" s="279"/>
    </row>
    <row r="495" spans="4:6" customFormat="1" ht="15.75" customHeight="1">
      <c r="D495" s="279"/>
      <c r="E495" s="279"/>
      <c r="F495" s="279"/>
    </row>
    <row r="496" spans="4:6" customFormat="1" ht="15.75" customHeight="1">
      <c r="D496" s="279"/>
      <c r="E496" s="279"/>
      <c r="F496" s="279"/>
    </row>
    <row r="497" spans="4:6" customFormat="1" ht="15.75" customHeight="1">
      <c r="D497" s="279"/>
      <c r="E497" s="279"/>
      <c r="F497" s="279"/>
    </row>
    <row r="498" spans="4:6" customFormat="1" ht="15.75" customHeight="1">
      <c r="D498" s="279"/>
      <c r="E498" s="279"/>
      <c r="F498" s="279"/>
    </row>
    <row r="499" spans="4:6" customFormat="1" ht="15.75" customHeight="1">
      <c r="D499" s="279"/>
      <c r="E499" s="279"/>
      <c r="F499" s="279"/>
    </row>
    <row r="500" spans="4:6" customFormat="1" ht="15.75" customHeight="1">
      <c r="D500" s="279"/>
      <c r="E500" s="279"/>
      <c r="F500" s="279"/>
    </row>
    <row r="501" spans="4:6" customFormat="1" ht="15.75" customHeight="1">
      <c r="D501" s="279"/>
      <c r="E501" s="279"/>
      <c r="F501" s="279"/>
    </row>
    <row r="502" spans="4:6" customFormat="1" ht="15.75" customHeight="1">
      <c r="D502" s="279"/>
      <c r="E502" s="279"/>
      <c r="F502" s="279"/>
    </row>
    <row r="503" spans="4:6" customFormat="1" ht="15.75" customHeight="1">
      <c r="D503" s="279"/>
      <c r="E503" s="279"/>
      <c r="F503" s="279"/>
    </row>
    <row r="504" spans="4:6" customFormat="1" ht="15.75" customHeight="1">
      <c r="D504" s="279"/>
      <c r="E504" s="279"/>
      <c r="F504" s="279"/>
    </row>
    <row r="505" spans="4:6" customFormat="1" ht="15.75" customHeight="1">
      <c r="D505" s="279"/>
      <c r="E505" s="279"/>
      <c r="F505" s="279"/>
    </row>
    <row r="506" spans="4:6" customFormat="1" ht="15.75" customHeight="1">
      <c r="D506" s="279"/>
      <c r="E506" s="279"/>
      <c r="F506" s="279"/>
    </row>
    <row r="507" spans="4:6" customFormat="1" ht="15.75" customHeight="1">
      <c r="D507" s="279"/>
      <c r="E507" s="279"/>
      <c r="F507" s="279"/>
    </row>
    <row r="508" spans="4:6" customFormat="1" ht="15.75" customHeight="1">
      <c r="D508" s="279"/>
      <c r="E508" s="279"/>
      <c r="F508" s="279"/>
    </row>
    <row r="509" spans="4:6" customFormat="1" ht="15.75" customHeight="1">
      <c r="D509" s="279"/>
      <c r="E509" s="279"/>
      <c r="F509" s="279"/>
    </row>
    <row r="510" spans="4:6" customFormat="1" ht="15.75" customHeight="1">
      <c r="D510" s="279"/>
      <c r="E510" s="279"/>
      <c r="F510" s="279"/>
    </row>
    <row r="511" spans="4:6" customFormat="1" ht="15.75" customHeight="1">
      <c r="D511" s="279"/>
      <c r="E511" s="279"/>
      <c r="F511" s="279"/>
    </row>
    <row r="512" spans="4:6" customFormat="1" ht="15.75" customHeight="1">
      <c r="D512" s="279"/>
      <c r="E512" s="279"/>
      <c r="F512" s="279"/>
    </row>
    <row r="513" spans="4:6" customFormat="1" ht="15.75" customHeight="1">
      <c r="D513" s="279"/>
      <c r="E513" s="279"/>
      <c r="F513" s="279"/>
    </row>
    <row r="514" spans="4:6" customFormat="1" ht="15.75" customHeight="1">
      <c r="D514" s="279"/>
      <c r="E514" s="279"/>
      <c r="F514" s="279"/>
    </row>
    <row r="515" spans="4:6" customFormat="1" ht="15.75" customHeight="1">
      <c r="D515" s="279"/>
      <c r="E515" s="279"/>
      <c r="F515" s="279"/>
    </row>
    <row r="516" spans="4:6" customFormat="1" ht="15.75" customHeight="1">
      <c r="D516" s="279"/>
      <c r="E516" s="279"/>
      <c r="F516" s="279"/>
    </row>
    <row r="517" spans="4:6" customFormat="1" ht="15.75" customHeight="1">
      <c r="D517" s="279"/>
      <c r="E517" s="279"/>
      <c r="F517" s="279"/>
    </row>
    <row r="518" spans="4:6" customFormat="1" ht="15.75" customHeight="1">
      <c r="D518" s="279"/>
      <c r="E518" s="279"/>
      <c r="F518" s="279"/>
    </row>
    <row r="519" spans="4:6" customFormat="1" ht="15.75" customHeight="1">
      <c r="D519" s="279"/>
      <c r="E519" s="279"/>
      <c r="F519" s="279"/>
    </row>
    <row r="520" spans="4:6" customFormat="1" ht="15.75" customHeight="1">
      <c r="D520" s="279"/>
      <c r="E520" s="279"/>
      <c r="F520" s="279"/>
    </row>
    <row r="521" spans="4:6" customFormat="1" ht="15.75" customHeight="1">
      <c r="D521" s="279"/>
      <c r="E521" s="279"/>
      <c r="F521" s="279"/>
    </row>
    <row r="522" spans="4:6" customFormat="1" ht="15.75" customHeight="1">
      <c r="D522" s="279"/>
      <c r="E522" s="279"/>
      <c r="F522" s="279"/>
    </row>
    <row r="523" spans="4:6" customFormat="1" ht="15.75" customHeight="1">
      <c r="D523" s="279"/>
      <c r="E523" s="279"/>
      <c r="F523" s="279"/>
    </row>
    <row r="524" spans="4:6" customFormat="1" ht="15.75" customHeight="1">
      <c r="D524" s="279"/>
      <c r="E524" s="279"/>
      <c r="F524" s="279"/>
    </row>
    <row r="525" spans="4:6" customFormat="1" ht="15.75" customHeight="1">
      <c r="D525" s="279"/>
      <c r="E525" s="279"/>
      <c r="F525" s="279"/>
    </row>
    <row r="526" spans="4:6" customFormat="1" ht="15.75" customHeight="1">
      <c r="D526" s="279"/>
      <c r="E526" s="279"/>
      <c r="F526" s="279"/>
    </row>
    <row r="527" spans="4:6" customFormat="1" ht="15.75" customHeight="1">
      <c r="D527" s="279"/>
      <c r="E527" s="279"/>
      <c r="F527" s="279"/>
    </row>
    <row r="528" spans="4:6" customFormat="1" ht="15.75" customHeight="1">
      <c r="D528" s="279"/>
      <c r="E528" s="279"/>
      <c r="F528" s="279"/>
    </row>
    <row r="529" spans="4:6" customFormat="1" ht="15.75" customHeight="1">
      <c r="D529" s="279"/>
      <c r="E529" s="279"/>
      <c r="F529" s="279"/>
    </row>
    <row r="530" spans="4:6" customFormat="1" ht="15.75" customHeight="1">
      <c r="D530" s="279"/>
      <c r="E530" s="279"/>
      <c r="F530" s="279"/>
    </row>
    <row r="531" spans="4:6" customFormat="1" ht="15.75" customHeight="1">
      <c r="D531" s="279"/>
      <c r="E531" s="279"/>
      <c r="F531" s="279"/>
    </row>
    <row r="532" spans="4:6" customFormat="1" ht="15.75" customHeight="1">
      <c r="D532" s="279"/>
      <c r="E532" s="279"/>
      <c r="F532" s="279"/>
    </row>
    <row r="533" spans="4:6" customFormat="1" ht="15.75" customHeight="1">
      <c r="D533" s="279"/>
      <c r="E533" s="279"/>
      <c r="F533" s="279"/>
    </row>
    <row r="534" spans="4:6" customFormat="1" ht="15.75" customHeight="1">
      <c r="D534" s="279"/>
      <c r="E534" s="279"/>
      <c r="F534" s="279"/>
    </row>
    <row r="535" spans="4:6" customFormat="1" ht="15.75" customHeight="1">
      <c r="D535" s="279"/>
      <c r="E535" s="279"/>
      <c r="F535" s="279"/>
    </row>
    <row r="536" spans="4:6" customFormat="1" ht="15.75" customHeight="1">
      <c r="D536" s="279"/>
      <c r="E536" s="279"/>
      <c r="F536" s="279"/>
    </row>
    <row r="537" spans="4:6" customFormat="1" ht="15.75" customHeight="1">
      <c r="D537" s="279"/>
      <c r="E537" s="279"/>
      <c r="F537" s="279"/>
    </row>
    <row r="538" spans="4:6" customFormat="1" ht="15.75" customHeight="1">
      <c r="D538" s="279"/>
      <c r="E538" s="279"/>
      <c r="F538" s="279"/>
    </row>
    <row r="539" spans="4:6" customFormat="1" ht="15.75" customHeight="1">
      <c r="D539" s="279"/>
      <c r="E539" s="279"/>
      <c r="F539" s="279"/>
    </row>
    <row r="540" spans="4:6" customFormat="1" ht="15.75" customHeight="1">
      <c r="D540" s="279"/>
      <c r="E540" s="279"/>
      <c r="F540" s="279"/>
    </row>
    <row r="541" spans="4:6" customFormat="1" ht="15.75" customHeight="1">
      <c r="D541" s="279"/>
      <c r="E541" s="279"/>
      <c r="F541" s="279"/>
    </row>
    <row r="542" spans="4:6" customFormat="1" ht="15.75" customHeight="1">
      <c r="D542" s="279"/>
      <c r="E542" s="279"/>
      <c r="F542" s="279"/>
    </row>
    <row r="543" spans="4:6" customFormat="1" ht="15.75" customHeight="1">
      <c r="D543" s="279"/>
      <c r="E543" s="279"/>
      <c r="F543" s="279"/>
    </row>
    <row r="544" spans="4:6" customFormat="1" ht="15.75" customHeight="1">
      <c r="D544" s="279"/>
      <c r="E544" s="279"/>
      <c r="F544" s="279"/>
    </row>
    <row r="545" spans="4:6" customFormat="1" ht="15.75" customHeight="1">
      <c r="D545" s="279"/>
      <c r="E545" s="279"/>
      <c r="F545" s="279"/>
    </row>
    <row r="546" spans="4:6" customFormat="1" ht="15.75" customHeight="1">
      <c r="D546" s="279"/>
      <c r="E546" s="279"/>
      <c r="F546" s="279"/>
    </row>
    <row r="547" spans="4:6" customFormat="1" ht="15.75" customHeight="1">
      <c r="D547" s="279"/>
      <c r="E547" s="279"/>
      <c r="F547" s="279"/>
    </row>
    <row r="548" spans="4:6" customFormat="1" ht="15.75" customHeight="1">
      <c r="D548" s="279"/>
      <c r="E548" s="279"/>
      <c r="F548" s="279"/>
    </row>
    <row r="549" spans="4:6" customFormat="1" ht="15.75" customHeight="1">
      <c r="D549" s="279"/>
      <c r="E549" s="279"/>
      <c r="F549" s="279"/>
    </row>
    <row r="550" spans="4:6" customFormat="1" ht="15.75" customHeight="1">
      <c r="D550" s="279"/>
      <c r="E550" s="279"/>
      <c r="F550" s="279"/>
    </row>
    <row r="551" spans="4:6" customFormat="1" ht="15.75" customHeight="1">
      <c r="D551" s="279"/>
      <c r="E551" s="279"/>
      <c r="F551" s="279"/>
    </row>
    <row r="552" spans="4:6" customFormat="1" ht="15.75" customHeight="1">
      <c r="D552" s="279"/>
      <c r="E552" s="279"/>
      <c r="F552" s="279"/>
    </row>
    <row r="553" spans="4:6" customFormat="1" ht="15.75" customHeight="1">
      <c r="D553" s="279"/>
      <c r="E553" s="279"/>
      <c r="F553" s="279"/>
    </row>
    <row r="554" spans="4:6" customFormat="1" ht="15.75" customHeight="1">
      <c r="D554" s="279"/>
      <c r="E554" s="279"/>
      <c r="F554" s="279"/>
    </row>
    <row r="555" spans="4:6" customFormat="1" ht="15.75" customHeight="1">
      <c r="D555" s="279"/>
      <c r="E555" s="279"/>
      <c r="F555" s="279"/>
    </row>
    <row r="556" spans="4:6" customFormat="1" ht="15.75" customHeight="1">
      <c r="D556" s="279"/>
      <c r="E556" s="279"/>
      <c r="F556" s="279"/>
    </row>
    <row r="557" spans="4:6" customFormat="1" ht="15.75" customHeight="1">
      <c r="D557" s="279"/>
      <c r="E557" s="279"/>
      <c r="F557" s="279"/>
    </row>
    <row r="558" spans="4:6" customFormat="1" ht="15.75" customHeight="1">
      <c r="D558" s="279"/>
      <c r="E558" s="279"/>
      <c r="F558" s="279"/>
    </row>
    <row r="559" spans="4:6" customFormat="1" ht="15.75" customHeight="1">
      <c r="D559" s="279"/>
      <c r="E559" s="279"/>
      <c r="F559" s="279"/>
    </row>
    <row r="560" spans="4:6" customFormat="1" ht="15.75" customHeight="1">
      <c r="D560" s="279"/>
      <c r="E560" s="279"/>
      <c r="F560" s="279"/>
    </row>
    <row r="561" spans="4:6" customFormat="1" ht="15.75" customHeight="1">
      <c r="D561" s="279"/>
      <c r="E561" s="279"/>
      <c r="F561" s="279"/>
    </row>
    <row r="562" spans="4:6" customFormat="1" ht="15.75" customHeight="1">
      <c r="D562" s="279"/>
      <c r="E562" s="279"/>
      <c r="F562" s="279"/>
    </row>
    <row r="563" spans="4:6" customFormat="1" ht="15.75" customHeight="1">
      <c r="D563" s="279"/>
      <c r="E563" s="279"/>
      <c r="F563" s="279"/>
    </row>
    <row r="564" spans="4:6" customFormat="1" ht="15.75" customHeight="1">
      <c r="D564" s="279"/>
      <c r="E564" s="279"/>
      <c r="F564" s="279"/>
    </row>
    <row r="565" spans="4:6" customFormat="1" ht="15.75" customHeight="1">
      <c r="D565" s="279"/>
      <c r="E565" s="279"/>
      <c r="F565" s="279"/>
    </row>
    <row r="566" spans="4:6" customFormat="1" ht="15.75" customHeight="1">
      <c r="D566" s="279"/>
      <c r="E566" s="279"/>
      <c r="F566" s="279"/>
    </row>
    <row r="567" spans="4:6" customFormat="1" ht="15.75" customHeight="1">
      <c r="D567" s="279"/>
      <c r="E567" s="279"/>
      <c r="F567" s="279"/>
    </row>
    <row r="568" spans="4:6" customFormat="1" ht="15.75" customHeight="1">
      <c r="D568" s="279"/>
      <c r="E568" s="279"/>
      <c r="F568" s="279"/>
    </row>
    <row r="569" spans="4:6" customFormat="1" ht="15.75" customHeight="1">
      <c r="D569" s="279"/>
      <c r="E569" s="279"/>
      <c r="F569" s="279"/>
    </row>
    <row r="570" spans="4:6" customFormat="1" ht="15.75" customHeight="1">
      <c r="D570" s="279"/>
      <c r="E570" s="279"/>
      <c r="F570" s="279"/>
    </row>
    <row r="571" spans="4:6" customFormat="1" ht="15.75" customHeight="1">
      <c r="D571" s="279"/>
      <c r="E571" s="279"/>
      <c r="F571" s="279"/>
    </row>
    <row r="572" spans="4:6" customFormat="1" ht="15.75" customHeight="1">
      <c r="D572" s="279"/>
      <c r="E572" s="279"/>
      <c r="F572" s="279"/>
    </row>
    <row r="573" spans="4:6" customFormat="1" ht="15.75" customHeight="1">
      <c r="D573" s="279"/>
      <c r="E573" s="279"/>
      <c r="F573" s="279"/>
    </row>
    <row r="574" spans="4:6" customFormat="1" ht="15.75" customHeight="1">
      <c r="D574" s="279"/>
      <c r="E574" s="279"/>
      <c r="F574" s="279"/>
    </row>
    <row r="575" spans="4:6" customFormat="1" ht="15.75" customHeight="1">
      <c r="D575" s="279"/>
      <c r="E575" s="279"/>
      <c r="F575" s="279"/>
    </row>
    <row r="576" spans="4:6" customFormat="1" ht="15.75" customHeight="1">
      <c r="D576" s="279"/>
      <c r="E576" s="279"/>
      <c r="F576" s="279"/>
    </row>
    <row r="577" spans="4:6" customFormat="1" ht="15.75" customHeight="1">
      <c r="D577" s="279"/>
      <c r="E577" s="279"/>
      <c r="F577" s="279"/>
    </row>
    <row r="578" spans="4:6" customFormat="1" ht="15.75" customHeight="1">
      <c r="D578" s="279"/>
      <c r="E578" s="279"/>
      <c r="F578" s="279"/>
    </row>
    <row r="579" spans="4:6" customFormat="1" ht="15.75" customHeight="1">
      <c r="D579" s="279"/>
      <c r="E579" s="279"/>
      <c r="F579" s="279"/>
    </row>
    <row r="580" spans="4:6" customFormat="1" ht="15.75" customHeight="1">
      <c r="D580" s="279"/>
      <c r="E580" s="279"/>
      <c r="F580" s="279"/>
    </row>
    <row r="581" spans="4:6" customFormat="1" ht="15.75" customHeight="1">
      <c r="D581" s="279"/>
      <c r="E581" s="279"/>
      <c r="F581" s="279"/>
    </row>
    <row r="582" spans="4:6" customFormat="1" ht="15.75" customHeight="1">
      <c r="D582" s="279"/>
      <c r="E582" s="279"/>
      <c r="F582" s="279"/>
    </row>
    <row r="583" spans="4:6" customFormat="1" ht="15.75" customHeight="1">
      <c r="D583" s="279"/>
      <c r="E583" s="279"/>
      <c r="F583" s="279"/>
    </row>
    <row r="584" spans="4:6" customFormat="1" ht="15.75" customHeight="1">
      <c r="D584" s="279"/>
      <c r="E584" s="279"/>
      <c r="F584" s="279"/>
    </row>
    <row r="585" spans="4:6" customFormat="1" ht="15.75" customHeight="1">
      <c r="D585" s="279"/>
      <c r="E585" s="279"/>
      <c r="F585" s="279"/>
    </row>
    <row r="586" spans="4:6" customFormat="1" ht="15.75" customHeight="1">
      <c r="D586" s="279"/>
      <c r="E586" s="279"/>
      <c r="F586" s="279"/>
    </row>
    <row r="587" spans="4:6" customFormat="1" ht="15.75" customHeight="1">
      <c r="D587" s="279"/>
      <c r="E587" s="279"/>
      <c r="F587" s="279"/>
    </row>
    <row r="588" spans="4:6" customFormat="1" ht="15.75" customHeight="1">
      <c r="D588" s="279"/>
      <c r="E588" s="279"/>
      <c r="F588" s="279"/>
    </row>
    <row r="589" spans="4:6" customFormat="1" ht="15.75" customHeight="1">
      <c r="D589" s="279"/>
      <c r="E589" s="279"/>
      <c r="F589" s="279"/>
    </row>
    <row r="590" spans="4:6" customFormat="1" ht="15.75" customHeight="1">
      <c r="D590" s="279"/>
      <c r="E590" s="279"/>
      <c r="F590" s="279"/>
    </row>
    <row r="591" spans="4:6" customFormat="1" ht="15.75" customHeight="1">
      <c r="D591" s="279"/>
      <c r="E591" s="279"/>
      <c r="F591" s="279"/>
    </row>
    <row r="592" spans="4:6" customFormat="1" ht="15.75" customHeight="1">
      <c r="D592" s="279"/>
      <c r="E592" s="279"/>
      <c r="F592" s="279"/>
    </row>
    <row r="593" spans="4:6" customFormat="1" ht="15.75" customHeight="1">
      <c r="D593" s="279"/>
      <c r="E593" s="279"/>
      <c r="F593" s="279"/>
    </row>
    <row r="594" spans="4:6" customFormat="1" ht="15.75" customHeight="1">
      <c r="D594" s="279"/>
      <c r="E594" s="279"/>
      <c r="F594" s="279"/>
    </row>
    <row r="595" spans="4:6" customFormat="1" ht="15.75" customHeight="1">
      <c r="D595" s="279"/>
      <c r="E595" s="279"/>
      <c r="F595" s="279"/>
    </row>
    <row r="596" spans="4:6" customFormat="1" ht="15.75" customHeight="1">
      <c r="D596" s="279"/>
      <c r="E596" s="279"/>
      <c r="F596" s="279"/>
    </row>
    <row r="597" spans="4:6" customFormat="1" ht="15.75" customHeight="1">
      <c r="D597" s="279"/>
      <c r="E597" s="279"/>
      <c r="F597" s="279"/>
    </row>
    <row r="598" spans="4:6" customFormat="1" ht="15.75" customHeight="1">
      <c r="D598" s="279"/>
      <c r="E598" s="279"/>
      <c r="F598" s="279"/>
    </row>
    <row r="599" spans="4:6" customFormat="1" ht="15.75" customHeight="1">
      <c r="D599" s="279"/>
      <c r="E599" s="279"/>
      <c r="F599" s="279"/>
    </row>
    <row r="600" spans="4:6" customFormat="1" ht="15.75" customHeight="1">
      <c r="D600" s="279"/>
      <c r="E600" s="279"/>
      <c r="F600" s="279"/>
    </row>
    <row r="601" spans="4:6" customFormat="1" ht="15.75" customHeight="1">
      <c r="D601" s="279"/>
      <c r="E601" s="279"/>
      <c r="F601" s="279"/>
    </row>
    <row r="602" spans="4:6" customFormat="1" ht="15.75" customHeight="1">
      <c r="D602" s="279"/>
      <c r="E602" s="279"/>
      <c r="F602" s="279"/>
    </row>
    <row r="603" spans="4:6" customFormat="1" ht="15.75" customHeight="1">
      <c r="D603" s="279"/>
      <c r="E603" s="279"/>
      <c r="F603" s="279"/>
    </row>
    <row r="604" spans="4:6" customFormat="1" ht="15.75" customHeight="1">
      <c r="D604" s="279"/>
      <c r="E604" s="279"/>
      <c r="F604" s="279"/>
    </row>
    <row r="605" spans="4:6" customFormat="1" ht="15.75" customHeight="1">
      <c r="D605" s="279"/>
      <c r="E605" s="279"/>
      <c r="F605" s="279"/>
    </row>
    <row r="606" spans="4:6" customFormat="1" ht="15.75" customHeight="1">
      <c r="D606" s="279"/>
      <c r="E606" s="279"/>
      <c r="F606" s="279"/>
    </row>
    <row r="607" spans="4:6" customFormat="1" ht="15.75" customHeight="1">
      <c r="D607" s="279"/>
      <c r="E607" s="279"/>
      <c r="F607" s="279"/>
    </row>
    <row r="608" spans="4:6" customFormat="1" ht="15.75" customHeight="1">
      <c r="D608" s="279"/>
      <c r="E608" s="279"/>
      <c r="F608" s="279"/>
    </row>
    <row r="609" spans="4:6" customFormat="1" ht="15.75" customHeight="1">
      <c r="D609" s="279"/>
      <c r="E609" s="279"/>
      <c r="F609" s="279"/>
    </row>
    <row r="610" spans="4:6" customFormat="1" ht="15.75" customHeight="1">
      <c r="D610" s="279"/>
      <c r="E610" s="279"/>
      <c r="F610" s="279"/>
    </row>
    <row r="611" spans="4:6" customFormat="1" ht="15.75" customHeight="1">
      <c r="D611" s="279"/>
      <c r="E611" s="279"/>
      <c r="F611" s="279"/>
    </row>
    <row r="612" spans="4:6" customFormat="1" ht="15.75" customHeight="1">
      <c r="D612" s="279"/>
      <c r="E612" s="279"/>
      <c r="F612" s="279"/>
    </row>
    <row r="613" spans="4:6" customFormat="1" ht="15.75" customHeight="1">
      <c r="D613" s="279"/>
      <c r="E613" s="279"/>
      <c r="F613" s="279"/>
    </row>
    <row r="614" spans="4:6" customFormat="1" ht="15.75" customHeight="1">
      <c r="D614" s="279"/>
      <c r="E614" s="279"/>
      <c r="F614" s="279"/>
    </row>
    <row r="615" spans="4:6" customFormat="1" ht="15.75" customHeight="1">
      <c r="D615" s="279"/>
      <c r="E615" s="279"/>
      <c r="F615" s="279"/>
    </row>
    <row r="616" spans="4:6" customFormat="1" ht="15.75" customHeight="1">
      <c r="D616" s="279"/>
      <c r="E616" s="279"/>
      <c r="F616" s="279"/>
    </row>
    <row r="617" spans="4:6" customFormat="1" ht="15.75" customHeight="1">
      <c r="D617" s="279"/>
      <c r="E617" s="279"/>
      <c r="F617" s="279"/>
    </row>
    <row r="618" spans="4:6" customFormat="1" ht="15.75" customHeight="1">
      <c r="D618" s="279"/>
      <c r="E618" s="279"/>
      <c r="F618" s="279"/>
    </row>
    <row r="619" spans="4:6" customFormat="1" ht="15.75" customHeight="1">
      <c r="D619" s="279"/>
      <c r="E619" s="279"/>
      <c r="F619" s="279"/>
    </row>
    <row r="620" spans="4:6" customFormat="1" ht="15.75" customHeight="1">
      <c r="D620" s="279"/>
      <c r="E620" s="279"/>
      <c r="F620" s="279"/>
    </row>
    <row r="621" spans="4:6" customFormat="1" ht="15.75" customHeight="1">
      <c r="D621" s="279"/>
      <c r="E621" s="279"/>
      <c r="F621" s="279"/>
    </row>
    <row r="622" spans="4:6" customFormat="1" ht="15.75" customHeight="1">
      <c r="D622" s="279"/>
      <c r="E622" s="279"/>
      <c r="F622" s="279"/>
    </row>
    <row r="623" spans="4:6" customFormat="1" ht="15.75" customHeight="1">
      <c r="D623" s="279"/>
      <c r="E623" s="279"/>
      <c r="F623" s="279"/>
    </row>
    <row r="624" spans="4:6" customFormat="1" ht="15.75" customHeight="1">
      <c r="D624" s="279"/>
      <c r="E624" s="279"/>
      <c r="F624" s="279"/>
    </row>
    <row r="625" spans="4:6" customFormat="1" ht="15.75" customHeight="1">
      <c r="D625" s="279"/>
      <c r="E625" s="279"/>
      <c r="F625" s="279"/>
    </row>
    <row r="626" spans="4:6" customFormat="1" ht="15.75" customHeight="1">
      <c r="D626" s="279"/>
      <c r="E626" s="279"/>
      <c r="F626" s="279"/>
    </row>
    <row r="627" spans="4:6" customFormat="1" ht="15.75" customHeight="1">
      <c r="D627" s="279"/>
      <c r="E627" s="279"/>
      <c r="F627" s="279"/>
    </row>
    <row r="628" spans="4:6" customFormat="1" ht="15.75" customHeight="1">
      <c r="D628" s="279"/>
      <c r="E628" s="279"/>
      <c r="F628" s="279"/>
    </row>
    <row r="629" spans="4:6" customFormat="1" ht="15.75" customHeight="1">
      <c r="D629" s="279"/>
      <c r="E629" s="279"/>
      <c r="F629" s="279"/>
    </row>
    <row r="630" spans="4:6" customFormat="1" ht="15.75" customHeight="1">
      <c r="D630" s="279"/>
      <c r="E630" s="279"/>
      <c r="F630" s="279"/>
    </row>
    <row r="631" spans="4:6" customFormat="1" ht="15.75" customHeight="1">
      <c r="D631" s="279"/>
      <c r="E631" s="279"/>
      <c r="F631" s="279"/>
    </row>
    <row r="632" spans="4:6" customFormat="1" ht="15.75" customHeight="1">
      <c r="D632" s="279"/>
      <c r="E632" s="279"/>
      <c r="F632" s="279"/>
    </row>
    <row r="633" spans="4:6" customFormat="1" ht="15.75" customHeight="1">
      <c r="D633" s="279"/>
      <c r="E633" s="279"/>
      <c r="F633" s="279"/>
    </row>
    <row r="634" spans="4:6" customFormat="1" ht="15.75" customHeight="1">
      <c r="D634" s="279"/>
      <c r="E634" s="279"/>
      <c r="F634" s="279"/>
    </row>
    <row r="635" spans="4:6" customFormat="1" ht="15.75" customHeight="1">
      <c r="D635" s="279"/>
      <c r="E635" s="279"/>
      <c r="F635" s="279"/>
    </row>
    <row r="636" spans="4:6" customFormat="1" ht="15.75" customHeight="1">
      <c r="D636" s="279"/>
      <c r="E636" s="279"/>
      <c r="F636" s="279"/>
    </row>
    <row r="637" spans="4:6" customFormat="1" ht="15.75" customHeight="1">
      <c r="D637" s="279"/>
      <c r="E637" s="279"/>
      <c r="F637" s="279"/>
    </row>
    <row r="638" spans="4:6" customFormat="1" ht="15.75" customHeight="1">
      <c r="D638" s="279"/>
      <c r="E638" s="279"/>
      <c r="F638" s="279"/>
    </row>
    <row r="639" spans="4:6" customFormat="1" ht="15.75" customHeight="1">
      <c r="D639" s="279"/>
      <c r="E639" s="279"/>
      <c r="F639" s="279"/>
    </row>
    <row r="640" spans="4:6" customFormat="1" ht="15.75" customHeight="1">
      <c r="D640" s="279"/>
      <c r="E640" s="279"/>
      <c r="F640" s="279"/>
    </row>
    <row r="641" spans="4:6" customFormat="1" ht="15.75" customHeight="1">
      <c r="D641" s="279"/>
      <c r="E641" s="279"/>
      <c r="F641" s="279"/>
    </row>
    <row r="642" spans="4:6" customFormat="1" ht="15.75" customHeight="1">
      <c r="D642" s="279"/>
      <c r="E642" s="279"/>
      <c r="F642" s="279"/>
    </row>
    <row r="643" spans="4:6" customFormat="1" ht="15.75" customHeight="1">
      <c r="D643" s="279"/>
      <c r="E643" s="279"/>
      <c r="F643" s="279"/>
    </row>
    <row r="644" spans="4:6" customFormat="1" ht="15.75" customHeight="1">
      <c r="D644" s="279"/>
      <c r="E644" s="279"/>
      <c r="F644" s="279"/>
    </row>
    <row r="645" spans="4:6" customFormat="1" ht="15.75" customHeight="1">
      <c r="D645" s="279"/>
      <c r="E645" s="279"/>
      <c r="F645" s="279"/>
    </row>
    <row r="646" spans="4:6" customFormat="1" ht="15.75" customHeight="1">
      <c r="D646" s="279"/>
      <c r="E646" s="279"/>
      <c r="F646" s="279"/>
    </row>
    <row r="647" spans="4:6" customFormat="1" ht="15.75" customHeight="1">
      <c r="D647" s="279"/>
      <c r="E647" s="279"/>
      <c r="F647" s="279"/>
    </row>
    <row r="648" spans="4:6" customFormat="1" ht="15.75" customHeight="1">
      <c r="D648" s="279"/>
      <c r="E648" s="279"/>
      <c r="F648" s="279"/>
    </row>
    <row r="649" spans="4:6" customFormat="1" ht="15.75" customHeight="1">
      <c r="D649" s="279"/>
      <c r="E649" s="279"/>
      <c r="F649" s="279"/>
    </row>
    <row r="650" spans="4:6" customFormat="1" ht="15.75" customHeight="1">
      <c r="D650" s="279"/>
      <c r="E650" s="279"/>
      <c r="F650" s="279"/>
    </row>
    <row r="651" spans="4:6" customFormat="1" ht="15.75" customHeight="1">
      <c r="D651" s="279"/>
      <c r="E651" s="279"/>
      <c r="F651" s="279"/>
    </row>
    <row r="652" spans="4:6" customFormat="1" ht="15.75" customHeight="1">
      <c r="D652" s="279"/>
      <c r="E652" s="279"/>
      <c r="F652" s="279"/>
    </row>
    <row r="653" spans="4:6" customFormat="1" ht="15.75" customHeight="1">
      <c r="D653" s="279"/>
      <c r="E653" s="279"/>
      <c r="F653" s="279"/>
    </row>
    <row r="654" spans="4:6" customFormat="1" ht="15.75" customHeight="1">
      <c r="D654" s="279"/>
      <c r="E654" s="279"/>
      <c r="F654" s="279"/>
    </row>
    <row r="655" spans="4:6" customFormat="1" ht="15.75" customHeight="1">
      <c r="D655" s="279"/>
      <c r="E655" s="279"/>
      <c r="F655" s="279"/>
    </row>
    <row r="656" spans="4:6" customFormat="1" ht="15.75" customHeight="1">
      <c r="D656" s="279"/>
      <c r="E656" s="279"/>
      <c r="F656" s="279"/>
    </row>
    <row r="657" spans="4:6" customFormat="1" ht="15.75" customHeight="1">
      <c r="D657" s="279"/>
      <c r="E657" s="279"/>
      <c r="F657" s="279"/>
    </row>
    <row r="658" spans="4:6" customFormat="1" ht="15.75" customHeight="1">
      <c r="D658" s="279"/>
      <c r="E658" s="279"/>
      <c r="F658" s="279"/>
    </row>
    <row r="659" spans="4:6" customFormat="1" ht="15.75" customHeight="1">
      <c r="D659" s="279"/>
      <c r="E659" s="279"/>
      <c r="F659" s="279"/>
    </row>
    <row r="660" spans="4:6" customFormat="1" ht="15.75" customHeight="1">
      <c r="D660" s="279"/>
      <c r="E660" s="279"/>
      <c r="F660" s="279"/>
    </row>
    <row r="661" spans="4:6" customFormat="1" ht="15.75" customHeight="1">
      <c r="D661" s="279"/>
      <c r="E661" s="279"/>
      <c r="F661" s="279"/>
    </row>
    <row r="662" spans="4:6" customFormat="1" ht="15.75" customHeight="1">
      <c r="D662" s="279"/>
      <c r="E662" s="279"/>
      <c r="F662" s="279"/>
    </row>
    <row r="663" spans="4:6" customFormat="1" ht="15.75" customHeight="1">
      <c r="D663" s="279"/>
      <c r="E663" s="279"/>
      <c r="F663" s="279"/>
    </row>
    <row r="664" spans="4:6" customFormat="1" ht="15.75" customHeight="1">
      <c r="D664" s="279"/>
      <c r="E664" s="279"/>
      <c r="F664" s="279"/>
    </row>
    <row r="665" spans="4:6" customFormat="1" ht="15.75" customHeight="1">
      <c r="D665" s="279"/>
      <c r="E665" s="279"/>
      <c r="F665" s="279"/>
    </row>
    <row r="666" spans="4:6" customFormat="1" ht="15.75" customHeight="1">
      <c r="D666" s="279"/>
      <c r="E666" s="279"/>
      <c r="F666" s="279"/>
    </row>
    <row r="667" spans="4:6" customFormat="1" ht="15.75" customHeight="1">
      <c r="D667" s="279"/>
      <c r="E667" s="279"/>
      <c r="F667" s="279"/>
    </row>
    <row r="668" spans="4:6" customFormat="1" ht="15.75" customHeight="1">
      <c r="D668" s="279"/>
      <c r="E668" s="279"/>
      <c r="F668" s="279"/>
    </row>
    <row r="669" spans="4:6" customFormat="1" ht="15.75" customHeight="1">
      <c r="D669" s="279"/>
      <c r="E669" s="279"/>
      <c r="F669" s="279"/>
    </row>
    <row r="670" spans="4:6" customFormat="1" ht="15.75" customHeight="1">
      <c r="D670" s="279"/>
      <c r="E670" s="279"/>
      <c r="F670" s="279"/>
    </row>
    <row r="671" spans="4:6" customFormat="1" ht="15.75" customHeight="1">
      <c r="D671" s="279"/>
      <c r="E671" s="279"/>
      <c r="F671" s="279"/>
    </row>
    <row r="672" spans="4:6" customFormat="1" ht="15.75" customHeight="1">
      <c r="D672" s="279"/>
      <c r="E672" s="279"/>
      <c r="F672" s="279"/>
    </row>
    <row r="673" spans="4:6" customFormat="1" ht="15.75" customHeight="1">
      <c r="D673" s="279"/>
      <c r="E673" s="279"/>
      <c r="F673" s="279"/>
    </row>
    <row r="674" spans="4:6" customFormat="1" ht="15.75" customHeight="1">
      <c r="D674" s="279"/>
      <c r="E674" s="279"/>
      <c r="F674" s="279"/>
    </row>
    <row r="675" spans="4:6" customFormat="1" ht="15.75" customHeight="1">
      <c r="D675" s="279"/>
      <c r="E675" s="279"/>
      <c r="F675" s="279"/>
    </row>
    <row r="676" spans="4:6" customFormat="1" ht="15.75" customHeight="1">
      <c r="D676" s="279"/>
      <c r="E676" s="279"/>
      <c r="F676" s="279"/>
    </row>
    <row r="677" spans="4:6" customFormat="1" ht="15.75" customHeight="1">
      <c r="D677" s="279"/>
      <c r="E677" s="279"/>
      <c r="F677" s="279"/>
    </row>
    <row r="678" spans="4:6" customFormat="1" ht="15.75" customHeight="1">
      <c r="D678" s="279"/>
      <c r="E678" s="279"/>
      <c r="F678" s="279"/>
    </row>
    <row r="679" spans="4:6" customFormat="1" ht="15.75" customHeight="1">
      <c r="D679" s="279"/>
      <c r="E679" s="279"/>
      <c r="F679" s="279"/>
    </row>
    <row r="680" spans="4:6" customFormat="1" ht="15.75" customHeight="1">
      <c r="D680" s="279"/>
      <c r="E680" s="279"/>
      <c r="F680" s="279"/>
    </row>
    <row r="681" spans="4:6" customFormat="1" ht="15.75" customHeight="1">
      <c r="D681" s="279"/>
      <c r="E681" s="279"/>
      <c r="F681" s="279"/>
    </row>
    <row r="682" spans="4:6" customFormat="1" ht="15.75" customHeight="1">
      <c r="D682" s="279"/>
      <c r="E682" s="279"/>
      <c r="F682" s="279"/>
    </row>
    <row r="683" spans="4:6" customFormat="1" ht="15.75" customHeight="1">
      <c r="D683" s="279"/>
      <c r="E683" s="279"/>
      <c r="F683" s="279"/>
    </row>
    <row r="684" spans="4:6" customFormat="1" ht="15.75" customHeight="1">
      <c r="D684" s="279"/>
      <c r="E684" s="279"/>
      <c r="F684" s="279"/>
    </row>
    <row r="685" spans="4:6" customFormat="1" ht="15.75" customHeight="1">
      <c r="D685" s="279"/>
      <c r="E685" s="279"/>
      <c r="F685" s="279"/>
    </row>
    <row r="686" spans="4:6" customFormat="1" ht="15.75" customHeight="1">
      <c r="D686" s="279"/>
      <c r="E686" s="279"/>
      <c r="F686" s="279"/>
    </row>
    <row r="687" spans="4:6" customFormat="1" ht="15.75" customHeight="1">
      <c r="D687" s="279"/>
      <c r="E687" s="279"/>
      <c r="F687" s="279"/>
    </row>
    <row r="688" spans="4:6" customFormat="1" ht="15.75" customHeight="1">
      <c r="D688" s="279"/>
      <c r="E688" s="279"/>
      <c r="F688" s="279"/>
    </row>
    <row r="689" spans="4:6" customFormat="1" ht="15.75" customHeight="1">
      <c r="D689" s="279"/>
      <c r="E689" s="279"/>
      <c r="F689" s="279"/>
    </row>
    <row r="690" spans="4:6" customFormat="1" ht="15.75" customHeight="1">
      <c r="D690" s="279"/>
      <c r="E690" s="279"/>
      <c r="F690" s="279"/>
    </row>
    <row r="691" spans="4:6" customFormat="1" ht="15.75" customHeight="1">
      <c r="D691" s="279"/>
      <c r="E691" s="279"/>
      <c r="F691" s="279"/>
    </row>
    <row r="692" spans="4:6" customFormat="1" ht="15.75" customHeight="1">
      <c r="D692" s="279"/>
      <c r="E692" s="279"/>
      <c r="F692" s="279"/>
    </row>
    <row r="693" spans="4:6" customFormat="1" ht="15.75" customHeight="1">
      <c r="D693" s="279"/>
      <c r="E693" s="279"/>
      <c r="F693" s="279"/>
    </row>
    <row r="694" spans="4:6" customFormat="1" ht="15.75" customHeight="1">
      <c r="D694" s="279"/>
      <c r="E694" s="279"/>
      <c r="F694" s="279"/>
    </row>
    <row r="695" spans="4:6" customFormat="1" ht="15.75" customHeight="1">
      <c r="D695" s="279"/>
      <c r="E695" s="279"/>
      <c r="F695" s="279"/>
    </row>
    <row r="696" spans="4:6" customFormat="1" ht="15.75" customHeight="1">
      <c r="D696" s="279"/>
      <c r="E696" s="279"/>
      <c r="F696" s="279"/>
    </row>
    <row r="697" spans="4:6" customFormat="1" ht="15.75" customHeight="1">
      <c r="D697" s="279"/>
      <c r="E697" s="279"/>
      <c r="F697" s="279"/>
    </row>
    <row r="698" spans="4:6" customFormat="1" ht="15.75" customHeight="1">
      <c r="D698" s="279"/>
      <c r="E698" s="279"/>
      <c r="F698" s="279"/>
    </row>
    <row r="699" spans="4:6" customFormat="1" ht="15.75" customHeight="1">
      <c r="D699" s="279"/>
      <c r="E699" s="279"/>
      <c r="F699" s="279"/>
    </row>
    <row r="700" spans="4:6" customFormat="1" ht="15.75" customHeight="1">
      <c r="D700" s="279"/>
      <c r="E700" s="279"/>
      <c r="F700" s="279"/>
    </row>
    <row r="701" spans="4:6" customFormat="1" ht="15.75" customHeight="1">
      <c r="D701" s="279"/>
      <c r="E701" s="279"/>
      <c r="F701" s="279"/>
    </row>
    <row r="702" spans="4:6" customFormat="1" ht="15.75" customHeight="1">
      <c r="D702" s="279"/>
      <c r="E702" s="279"/>
      <c r="F702" s="279"/>
    </row>
    <row r="703" spans="4:6" customFormat="1" ht="15.75" customHeight="1">
      <c r="D703" s="279"/>
      <c r="E703" s="279"/>
      <c r="F703" s="279"/>
    </row>
    <row r="704" spans="4:6" customFormat="1" ht="15.75" customHeight="1">
      <c r="D704" s="279"/>
      <c r="E704" s="279"/>
      <c r="F704" s="279"/>
    </row>
    <row r="705" spans="4:6" customFormat="1" ht="15.75" customHeight="1">
      <c r="D705" s="279"/>
      <c r="E705" s="279"/>
      <c r="F705" s="279"/>
    </row>
    <row r="706" spans="4:6" customFormat="1" ht="15.75" customHeight="1">
      <c r="D706" s="279"/>
      <c r="E706" s="279"/>
      <c r="F706" s="279"/>
    </row>
    <row r="707" spans="4:6" customFormat="1" ht="15.75" customHeight="1">
      <c r="D707" s="279"/>
      <c r="E707" s="279"/>
      <c r="F707" s="279"/>
    </row>
    <row r="708" spans="4:6" customFormat="1" ht="15.75" customHeight="1">
      <c r="D708" s="279"/>
      <c r="E708" s="279"/>
      <c r="F708" s="279"/>
    </row>
    <row r="709" spans="4:6" customFormat="1" ht="15.75" customHeight="1">
      <c r="D709" s="279"/>
      <c r="E709" s="279"/>
      <c r="F709" s="279"/>
    </row>
    <row r="710" spans="4:6" customFormat="1" ht="15.75" customHeight="1">
      <c r="D710" s="279"/>
      <c r="E710" s="279"/>
      <c r="F710" s="279"/>
    </row>
    <row r="711" spans="4:6" customFormat="1" ht="15.75" customHeight="1">
      <c r="D711" s="279"/>
      <c r="E711" s="279"/>
      <c r="F711" s="279"/>
    </row>
    <row r="712" spans="4:6" customFormat="1" ht="15.75" customHeight="1">
      <c r="D712" s="279"/>
      <c r="E712" s="279"/>
      <c r="F712" s="279"/>
    </row>
    <row r="713" spans="4:6" customFormat="1" ht="15.75" customHeight="1">
      <c r="D713" s="279"/>
      <c r="E713" s="279"/>
      <c r="F713" s="279"/>
    </row>
    <row r="714" spans="4:6" customFormat="1" ht="15.75" customHeight="1">
      <c r="D714" s="279"/>
      <c r="E714" s="279"/>
      <c r="F714" s="279"/>
    </row>
    <row r="715" spans="4:6" customFormat="1" ht="15.75" customHeight="1">
      <c r="D715" s="279"/>
      <c r="E715" s="279"/>
      <c r="F715" s="279"/>
    </row>
    <row r="716" spans="4:6" customFormat="1" ht="15.75" customHeight="1">
      <c r="D716" s="279"/>
      <c r="E716" s="279"/>
      <c r="F716" s="279"/>
    </row>
    <row r="717" spans="4:6" customFormat="1" ht="15.75" customHeight="1">
      <c r="D717" s="279"/>
      <c r="E717" s="279"/>
      <c r="F717" s="279"/>
    </row>
    <row r="718" spans="4:6" customFormat="1" ht="15.75" customHeight="1">
      <c r="D718" s="279"/>
      <c r="E718" s="279"/>
      <c r="F718" s="279"/>
    </row>
    <row r="719" spans="4:6" customFormat="1" ht="15.75" customHeight="1">
      <c r="D719" s="279"/>
      <c r="E719" s="279"/>
      <c r="F719" s="279"/>
    </row>
    <row r="720" spans="4:6" customFormat="1" ht="15.75" customHeight="1">
      <c r="D720" s="279"/>
      <c r="E720" s="279"/>
      <c r="F720" s="279"/>
    </row>
    <row r="721" spans="4:6" customFormat="1" ht="15.75" customHeight="1">
      <c r="D721" s="279"/>
      <c r="E721" s="279"/>
      <c r="F721" s="279"/>
    </row>
    <row r="722" spans="4:6" customFormat="1" ht="15.75" customHeight="1">
      <c r="D722" s="279"/>
      <c r="E722" s="279"/>
      <c r="F722" s="279"/>
    </row>
    <row r="723" spans="4:6" customFormat="1" ht="15.75" customHeight="1">
      <c r="D723" s="279"/>
      <c r="E723" s="279"/>
      <c r="F723" s="279"/>
    </row>
    <row r="724" spans="4:6" customFormat="1" ht="15.75" customHeight="1">
      <c r="D724" s="279"/>
      <c r="E724" s="279"/>
      <c r="F724" s="279"/>
    </row>
    <row r="725" spans="4:6" customFormat="1" ht="15.75" customHeight="1">
      <c r="D725" s="279"/>
      <c r="E725" s="279"/>
      <c r="F725" s="279"/>
    </row>
    <row r="726" spans="4:6" customFormat="1" ht="15.75" customHeight="1">
      <c r="D726" s="279"/>
      <c r="E726" s="279"/>
      <c r="F726" s="279"/>
    </row>
    <row r="727" spans="4:6" customFormat="1" ht="15.75" customHeight="1">
      <c r="D727" s="279"/>
      <c r="E727" s="279"/>
      <c r="F727" s="279"/>
    </row>
    <row r="728" spans="4:6" customFormat="1" ht="15.75" customHeight="1">
      <c r="D728" s="279"/>
      <c r="E728" s="279"/>
      <c r="F728" s="279"/>
    </row>
    <row r="729" spans="4:6" customFormat="1" ht="15.75" customHeight="1">
      <c r="D729" s="279"/>
      <c r="E729" s="279"/>
      <c r="F729" s="279"/>
    </row>
    <row r="730" spans="4:6" customFormat="1" ht="15.75" customHeight="1">
      <c r="D730" s="279"/>
      <c r="E730" s="279"/>
      <c r="F730" s="279"/>
    </row>
    <row r="731" spans="4:6" customFormat="1" ht="15.75" customHeight="1">
      <c r="D731" s="279"/>
      <c r="E731" s="279"/>
      <c r="F731" s="279"/>
    </row>
    <row r="732" spans="4:6" customFormat="1" ht="15.75" customHeight="1">
      <c r="D732" s="279"/>
      <c r="E732" s="279"/>
      <c r="F732" s="279"/>
    </row>
    <row r="733" spans="4:6" customFormat="1" ht="15.75" customHeight="1">
      <c r="D733" s="279"/>
      <c r="E733" s="279"/>
      <c r="F733" s="279"/>
    </row>
    <row r="734" spans="4:6" customFormat="1" ht="15.75" customHeight="1">
      <c r="D734" s="279"/>
      <c r="E734" s="279"/>
      <c r="F734" s="279"/>
    </row>
    <row r="735" spans="4:6" customFormat="1" ht="15.75" customHeight="1">
      <c r="D735" s="279"/>
      <c r="E735" s="279"/>
      <c r="F735" s="279"/>
    </row>
    <row r="736" spans="4:6" customFormat="1" ht="15.75" customHeight="1">
      <c r="D736" s="279"/>
      <c r="E736" s="279"/>
      <c r="F736" s="279"/>
    </row>
    <row r="737" spans="4:6" customFormat="1" ht="15.75" customHeight="1">
      <c r="D737" s="279"/>
      <c r="E737" s="279"/>
      <c r="F737" s="279"/>
    </row>
    <row r="738" spans="4:6" customFormat="1" ht="15.75" customHeight="1">
      <c r="D738" s="279"/>
      <c r="E738" s="279"/>
      <c r="F738" s="279"/>
    </row>
    <row r="739" spans="4:6" customFormat="1" ht="15.75" customHeight="1">
      <c r="D739" s="279"/>
      <c r="E739" s="279"/>
      <c r="F739" s="279"/>
    </row>
    <row r="740" spans="4:6" customFormat="1" ht="15.75" customHeight="1">
      <c r="D740" s="279"/>
      <c r="E740" s="279"/>
      <c r="F740" s="279"/>
    </row>
    <row r="741" spans="4:6" customFormat="1" ht="15.75" customHeight="1">
      <c r="D741" s="279"/>
      <c r="E741" s="279"/>
      <c r="F741" s="279"/>
    </row>
    <row r="742" spans="4:6" customFormat="1" ht="15.75" customHeight="1">
      <c r="D742" s="279"/>
      <c r="E742" s="279"/>
      <c r="F742" s="279"/>
    </row>
    <row r="743" spans="4:6" customFormat="1" ht="15.75" customHeight="1">
      <c r="D743" s="279"/>
      <c r="E743" s="279"/>
      <c r="F743" s="279"/>
    </row>
    <row r="744" spans="4:6" customFormat="1" ht="15.75" customHeight="1">
      <c r="D744" s="279"/>
      <c r="E744" s="279"/>
      <c r="F744" s="279"/>
    </row>
    <row r="745" spans="4:6" customFormat="1" ht="15.75" customHeight="1">
      <c r="D745" s="279"/>
      <c r="E745" s="279"/>
      <c r="F745" s="279"/>
    </row>
    <row r="746" spans="4:6" customFormat="1" ht="15.75" customHeight="1">
      <c r="D746" s="279"/>
      <c r="E746" s="279"/>
      <c r="F746" s="279"/>
    </row>
    <row r="747" spans="4:6" customFormat="1" ht="15.75" customHeight="1">
      <c r="D747" s="279"/>
      <c r="E747" s="279"/>
      <c r="F747" s="279"/>
    </row>
    <row r="748" spans="4:6" customFormat="1" ht="15.75" customHeight="1">
      <c r="D748" s="279"/>
      <c r="E748" s="279"/>
      <c r="F748" s="279"/>
    </row>
    <row r="749" spans="4:6" customFormat="1" ht="15.75" customHeight="1">
      <c r="D749" s="279"/>
      <c r="E749" s="279"/>
      <c r="F749" s="279"/>
    </row>
    <row r="750" spans="4:6" customFormat="1" ht="15.75" customHeight="1">
      <c r="D750" s="279"/>
      <c r="E750" s="279"/>
      <c r="F750" s="279"/>
    </row>
    <row r="751" spans="4:6" customFormat="1" ht="15.75" customHeight="1">
      <c r="D751" s="279"/>
      <c r="E751" s="279"/>
      <c r="F751" s="279"/>
    </row>
    <row r="752" spans="4:6" customFormat="1" ht="15.75" customHeight="1">
      <c r="D752" s="279"/>
      <c r="E752" s="279"/>
      <c r="F752" s="279"/>
    </row>
    <row r="753" spans="4:6" customFormat="1" ht="15.75" customHeight="1">
      <c r="D753" s="279"/>
      <c r="E753" s="279"/>
      <c r="F753" s="279"/>
    </row>
    <row r="754" spans="4:6" customFormat="1" ht="15.75" customHeight="1">
      <c r="D754" s="279"/>
      <c r="E754" s="279"/>
      <c r="F754" s="279"/>
    </row>
    <row r="755" spans="4:6" customFormat="1" ht="15.75" customHeight="1">
      <c r="D755" s="279"/>
      <c r="E755" s="279"/>
      <c r="F755" s="279"/>
    </row>
    <row r="756" spans="4:6" customFormat="1" ht="15.75" customHeight="1">
      <c r="D756" s="279"/>
      <c r="E756" s="279"/>
      <c r="F756" s="279"/>
    </row>
    <row r="757" spans="4:6" customFormat="1" ht="15.75" customHeight="1">
      <c r="D757" s="279"/>
      <c r="E757" s="279"/>
      <c r="F757" s="279"/>
    </row>
    <row r="758" spans="4:6" customFormat="1" ht="15.75" customHeight="1">
      <c r="D758" s="279"/>
      <c r="E758" s="279"/>
      <c r="F758" s="279"/>
    </row>
    <row r="759" spans="4:6" customFormat="1" ht="15.75" customHeight="1">
      <c r="D759" s="279"/>
      <c r="E759" s="279"/>
      <c r="F759" s="279"/>
    </row>
    <row r="760" spans="4:6" customFormat="1" ht="15.75" customHeight="1">
      <c r="D760" s="279"/>
      <c r="E760" s="279"/>
      <c r="F760" s="279"/>
    </row>
    <row r="761" spans="4:6" customFormat="1" ht="15.75" customHeight="1">
      <c r="D761" s="279"/>
      <c r="E761" s="279"/>
      <c r="F761" s="279"/>
    </row>
    <row r="762" spans="4:6" customFormat="1" ht="15.75" customHeight="1">
      <c r="D762" s="279"/>
      <c r="E762" s="279"/>
      <c r="F762" s="279"/>
    </row>
    <row r="763" spans="4:6" customFormat="1" ht="15.75" customHeight="1">
      <c r="D763" s="279"/>
      <c r="E763" s="279"/>
      <c r="F763" s="279"/>
    </row>
    <row r="764" spans="4:6" customFormat="1" ht="15.75" customHeight="1">
      <c r="D764" s="279"/>
      <c r="E764" s="279"/>
      <c r="F764" s="279"/>
    </row>
    <row r="765" spans="4:6" customFormat="1" ht="15.75" customHeight="1">
      <c r="D765" s="279"/>
      <c r="E765" s="279"/>
      <c r="F765" s="279"/>
    </row>
    <row r="766" spans="4:6" customFormat="1" ht="15.75" customHeight="1">
      <c r="D766" s="279"/>
      <c r="E766" s="279"/>
      <c r="F766" s="279"/>
    </row>
    <row r="767" spans="4:6" customFormat="1" ht="15.75" customHeight="1">
      <c r="D767" s="279"/>
      <c r="E767" s="279"/>
      <c r="F767" s="279"/>
    </row>
    <row r="768" spans="4:6" customFormat="1" ht="15.75" customHeight="1">
      <c r="D768" s="279"/>
      <c r="E768" s="279"/>
      <c r="F768" s="279"/>
    </row>
    <row r="769" spans="4:6" customFormat="1" ht="15.75" customHeight="1">
      <c r="D769" s="279"/>
      <c r="E769" s="279"/>
      <c r="F769" s="279"/>
    </row>
    <row r="770" spans="4:6" customFormat="1" ht="15.75" customHeight="1">
      <c r="D770" s="279"/>
      <c r="E770" s="279"/>
      <c r="F770" s="279"/>
    </row>
    <row r="771" spans="4:6" customFormat="1" ht="15.75" customHeight="1">
      <c r="D771" s="279"/>
      <c r="E771" s="279"/>
      <c r="F771" s="279"/>
    </row>
    <row r="772" spans="4:6" customFormat="1" ht="15.75" customHeight="1">
      <c r="D772" s="279"/>
      <c r="E772" s="279"/>
      <c r="F772" s="279"/>
    </row>
    <row r="773" spans="4:6" customFormat="1" ht="15.75" customHeight="1">
      <c r="D773" s="279"/>
      <c r="E773" s="279"/>
      <c r="F773" s="279"/>
    </row>
    <row r="774" spans="4:6" customFormat="1" ht="15.75" customHeight="1">
      <c r="D774" s="279"/>
      <c r="E774" s="279"/>
      <c r="F774" s="279"/>
    </row>
    <row r="775" spans="4:6" customFormat="1" ht="15.75" customHeight="1">
      <c r="D775" s="279"/>
      <c r="E775" s="279"/>
      <c r="F775" s="279"/>
    </row>
    <row r="776" spans="4:6" customFormat="1" ht="15.75" customHeight="1">
      <c r="D776" s="279"/>
      <c r="E776" s="279"/>
      <c r="F776" s="279"/>
    </row>
    <row r="777" spans="4:6" customFormat="1" ht="15.75" customHeight="1">
      <c r="D777" s="279"/>
      <c r="E777" s="279"/>
      <c r="F777" s="279"/>
    </row>
    <row r="778" spans="4:6" customFormat="1" ht="15.75" customHeight="1">
      <c r="D778" s="279"/>
      <c r="E778" s="279"/>
      <c r="F778" s="279"/>
    </row>
    <row r="779" spans="4:6" customFormat="1" ht="15.75" customHeight="1">
      <c r="D779" s="279"/>
      <c r="E779" s="279"/>
      <c r="F779" s="279"/>
    </row>
    <row r="780" spans="4:6" customFormat="1" ht="15.75" customHeight="1">
      <c r="D780" s="279"/>
      <c r="E780" s="279"/>
      <c r="F780" s="279"/>
    </row>
    <row r="781" spans="4:6" customFormat="1" ht="15.75" customHeight="1">
      <c r="D781" s="279"/>
      <c r="E781" s="279"/>
      <c r="F781" s="279"/>
    </row>
    <row r="782" spans="4:6" customFormat="1" ht="15.75" customHeight="1">
      <c r="D782" s="279"/>
      <c r="E782" s="279"/>
      <c r="F782" s="279"/>
    </row>
    <row r="783" spans="4:6" customFormat="1" ht="15.75" customHeight="1">
      <c r="D783" s="279"/>
      <c r="E783" s="279"/>
      <c r="F783" s="279"/>
    </row>
    <row r="784" spans="4:6" customFormat="1" ht="15.75" customHeight="1">
      <c r="D784" s="279"/>
      <c r="E784" s="279"/>
      <c r="F784" s="279"/>
    </row>
    <row r="785" spans="4:6" customFormat="1" ht="15.75" customHeight="1">
      <c r="D785" s="279"/>
      <c r="E785" s="279"/>
      <c r="F785" s="279"/>
    </row>
    <row r="786" spans="4:6" customFormat="1" ht="15.75" customHeight="1">
      <c r="D786" s="279"/>
      <c r="E786" s="279"/>
      <c r="F786" s="279"/>
    </row>
    <row r="787" spans="4:6" customFormat="1" ht="15.75" customHeight="1">
      <c r="D787" s="279"/>
      <c r="E787" s="279"/>
      <c r="F787" s="279"/>
    </row>
    <row r="788" spans="4:6" customFormat="1" ht="15.75" customHeight="1">
      <c r="D788" s="279"/>
      <c r="E788" s="279"/>
      <c r="F788" s="279"/>
    </row>
    <row r="789" spans="4:6" customFormat="1" ht="15.75" customHeight="1">
      <c r="D789" s="279"/>
      <c r="E789" s="279"/>
      <c r="F789" s="279"/>
    </row>
    <row r="790" spans="4:6" customFormat="1" ht="15.75" customHeight="1">
      <c r="D790" s="279"/>
      <c r="E790" s="279"/>
      <c r="F790" s="279"/>
    </row>
    <row r="791" spans="4:6" customFormat="1" ht="15.75" customHeight="1">
      <c r="D791" s="279"/>
      <c r="E791" s="279"/>
      <c r="F791" s="279"/>
    </row>
    <row r="792" spans="4:6" customFormat="1" ht="15.75" customHeight="1">
      <c r="D792" s="279"/>
      <c r="E792" s="279"/>
      <c r="F792" s="279"/>
    </row>
    <row r="793" spans="4:6" customFormat="1" ht="15.75" customHeight="1">
      <c r="D793" s="279"/>
      <c r="E793" s="279"/>
      <c r="F793" s="279"/>
    </row>
    <row r="794" spans="4:6" customFormat="1" ht="15.75" customHeight="1">
      <c r="D794" s="279"/>
      <c r="E794" s="279"/>
      <c r="F794" s="279"/>
    </row>
    <row r="795" spans="4:6" customFormat="1" ht="15.75" customHeight="1">
      <c r="D795" s="279"/>
      <c r="E795" s="279"/>
      <c r="F795" s="279"/>
    </row>
    <row r="796" spans="4:6" customFormat="1" ht="15.75" customHeight="1">
      <c r="D796" s="279"/>
      <c r="E796" s="279"/>
      <c r="F796" s="279"/>
    </row>
    <row r="797" spans="4:6" customFormat="1" ht="15.75" customHeight="1">
      <c r="D797" s="279"/>
      <c r="E797" s="279"/>
      <c r="F797" s="279"/>
    </row>
    <row r="798" spans="4:6" customFormat="1" ht="15.75" customHeight="1">
      <c r="D798" s="279"/>
      <c r="E798" s="279"/>
      <c r="F798" s="279"/>
    </row>
    <row r="799" spans="4:6" customFormat="1" ht="15.75" customHeight="1">
      <c r="D799" s="279"/>
      <c r="E799" s="279"/>
      <c r="F799" s="279"/>
    </row>
    <row r="800" spans="4:6" customFormat="1" ht="15.75" customHeight="1">
      <c r="D800" s="279"/>
      <c r="E800" s="279"/>
      <c r="F800" s="279"/>
    </row>
    <row r="801" spans="4:6" customFormat="1" ht="15.75" customHeight="1">
      <c r="D801" s="279"/>
      <c r="E801" s="279"/>
      <c r="F801" s="279"/>
    </row>
    <row r="802" spans="4:6" customFormat="1" ht="15.75" customHeight="1">
      <c r="D802" s="279"/>
      <c r="E802" s="279"/>
      <c r="F802" s="279"/>
    </row>
    <row r="803" spans="4:6" customFormat="1" ht="15.75" customHeight="1">
      <c r="D803" s="279"/>
      <c r="E803" s="279"/>
      <c r="F803" s="279"/>
    </row>
    <row r="804" spans="4:6" customFormat="1" ht="15.75" customHeight="1">
      <c r="D804" s="279"/>
      <c r="E804" s="279"/>
      <c r="F804" s="279"/>
    </row>
    <row r="805" spans="4:6" customFormat="1" ht="15.75" customHeight="1">
      <c r="D805" s="279"/>
      <c r="E805" s="279"/>
      <c r="F805" s="279"/>
    </row>
    <row r="806" spans="4:6" customFormat="1" ht="15.75" customHeight="1">
      <c r="D806" s="279"/>
      <c r="E806" s="279"/>
      <c r="F806" s="279"/>
    </row>
    <row r="807" spans="4:6" customFormat="1" ht="15.75" customHeight="1">
      <c r="D807" s="279"/>
      <c r="E807" s="279"/>
      <c r="F807" s="279"/>
    </row>
    <row r="808" spans="4:6" customFormat="1" ht="15.75" customHeight="1">
      <c r="D808" s="279"/>
      <c r="E808" s="279"/>
      <c r="F808" s="279"/>
    </row>
    <row r="809" spans="4:6" customFormat="1" ht="15.75" customHeight="1">
      <c r="D809" s="279"/>
      <c r="E809" s="279"/>
      <c r="F809" s="279"/>
    </row>
    <row r="810" spans="4:6" customFormat="1" ht="15.75" customHeight="1">
      <c r="D810" s="279"/>
      <c r="E810" s="279"/>
      <c r="F810" s="279"/>
    </row>
    <row r="811" spans="4:6" customFormat="1" ht="15.75" customHeight="1">
      <c r="D811" s="279"/>
      <c r="E811" s="279"/>
      <c r="F811" s="279"/>
    </row>
    <row r="812" spans="4:6" customFormat="1" ht="15.75" customHeight="1">
      <c r="D812" s="279"/>
      <c r="E812" s="279"/>
      <c r="F812" s="279"/>
    </row>
    <row r="813" spans="4:6" customFormat="1" ht="15.75" customHeight="1">
      <c r="D813" s="279"/>
      <c r="E813" s="279"/>
      <c r="F813" s="279"/>
    </row>
    <row r="814" spans="4:6" customFormat="1" ht="15.75" customHeight="1">
      <c r="D814" s="279"/>
      <c r="E814" s="279"/>
      <c r="F814" s="279"/>
    </row>
    <row r="815" spans="4:6" customFormat="1" ht="15.75" customHeight="1">
      <c r="D815" s="279"/>
      <c r="E815" s="279"/>
      <c r="F815" s="279"/>
    </row>
    <row r="816" spans="4:6" customFormat="1" ht="15.75" customHeight="1">
      <c r="D816" s="279"/>
      <c r="E816" s="279"/>
      <c r="F816" s="279"/>
    </row>
    <row r="817" spans="4:6" customFormat="1" ht="15.75" customHeight="1">
      <c r="D817" s="279"/>
      <c r="E817" s="279"/>
      <c r="F817" s="279"/>
    </row>
    <row r="818" spans="4:6" customFormat="1" ht="15.75" customHeight="1">
      <c r="D818" s="279"/>
      <c r="E818" s="279"/>
      <c r="F818" s="279"/>
    </row>
    <row r="819" spans="4:6" customFormat="1" ht="15.75" customHeight="1">
      <c r="D819" s="279"/>
      <c r="E819" s="279"/>
      <c r="F819" s="279"/>
    </row>
    <row r="820" spans="4:6" customFormat="1" ht="15.75" customHeight="1">
      <c r="D820" s="279"/>
      <c r="E820" s="279"/>
      <c r="F820" s="279"/>
    </row>
    <row r="821" spans="4:6" customFormat="1" ht="15.75" customHeight="1">
      <c r="D821" s="279"/>
      <c r="E821" s="279"/>
      <c r="F821" s="279"/>
    </row>
    <row r="822" spans="4:6" customFormat="1" ht="15.75" customHeight="1">
      <c r="D822" s="279"/>
      <c r="E822" s="279"/>
      <c r="F822" s="279"/>
    </row>
    <row r="823" spans="4:6" customFormat="1" ht="15.75" customHeight="1">
      <c r="D823" s="279"/>
      <c r="E823" s="279"/>
      <c r="F823" s="279"/>
    </row>
    <row r="824" spans="4:6" customFormat="1" ht="15.75" customHeight="1">
      <c r="D824" s="279"/>
      <c r="E824" s="279"/>
      <c r="F824" s="279"/>
    </row>
    <row r="825" spans="4:6" customFormat="1" ht="15.75" customHeight="1">
      <c r="D825" s="279"/>
      <c r="E825" s="279"/>
      <c r="F825" s="279"/>
    </row>
    <row r="826" spans="4:6" customFormat="1" ht="15.75" customHeight="1">
      <c r="D826" s="279"/>
      <c r="E826" s="279"/>
      <c r="F826" s="279"/>
    </row>
    <row r="827" spans="4:6" customFormat="1" ht="15.75" customHeight="1">
      <c r="D827" s="279"/>
      <c r="E827" s="279"/>
      <c r="F827" s="279"/>
    </row>
    <row r="828" spans="4:6" customFormat="1" ht="15.75" customHeight="1">
      <c r="D828" s="279"/>
      <c r="E828" s="279"/>
      <c r="F828" s="279"/>
    </row>
    <row r="829" spans="4:6" customFormat="1" ht="15.75" customHeight="1">
      <c r="D829" s="279"/>
      <c r="E829" s="279"/>
      <c r="F829" s="279"/>
    </row>
    <row r="830" spans="4:6" customFormat="1" ht="15.75" customHeight="1">
      <c r="D830" s="279"/>
      <c r="E830" s="279"/>
      <c r="F830" s="279"/>
    </row>
    <row r="831" spans="4:6" customFormat="1" ht="15.75" customHeight="1">
      <c r="D831" s="279"/>
      <c r="E831" s="279"/>
      <c r="F831" s="279"/>
    </row>
    <row r="832" spans="4:6" customFormat="1" ht="15.75" customHeight="1">
      <c r="D832" s="279"/>
      <c r="E832" s="279"/>
      <c r="F832" s="279"/>
    </row>
    <row r="833" spans="4:6" customFormat="1" ht="15.75" customHeight="1">
      <c r="D833" s="279"/>
      <c r="E833" s="279"/>
      <c r="F833" s="279"/>
    </row>
    <row r="834" spans="4:6" customFormat="1" ht="15.75" customHeight="1">
      <c r="D834" s="279"/>
      <c r="E834" s="279"/>
      <c r="F834" s="279"/>
    </row>
    <row r="835" spans="4:6" customFormat="1" ht="15.75" customHeight="1">
      <c r="D835" s="279"/>
      <c r="E835" s="279"/>
      <c r="F835" s="279"/>
    </row>
    <row r="836" spans="4:6" customFormat="1" ht="15.75" customHeight="1">
      <c r="D836" s="279"/>
      <c r="E836" s="279"/>
      <c r="F836" s="279"/>
    </row>
    <row r="837" spans="4:6" customFormat="1" ht="15.75" customHeight="1">
      <c r="D837" s="279"/>
      <c r="E837" s="279"/>
      <c r="F837" s="279"/>
    </row>
    <row r="838" spans="4:6" customFormat="1" ht="15.75" customHeight="1">
      <c r="D838" s="279"/>
      <c r="E838" s="279"/>
      <c r="F838" s="279"/>
    </row>
    <row r="839" spans="4:6" customFormat="1" ht="15.75" customHeight="1">
      <c r="D839" s="279"/>
      <c r="E839" s="279"/>
      <c r="F839" s="279"/>
    </row>
    <row r="840" spans="4:6" customFormat="1" ht="15.75" customHeight="1">
      <c r="D840" s="279"/>
      <c r="E840" s="279"/>
      <c r="F840" s="279"/>
    </row>
    <row r="841" spans="4:6" customFormat="1" ht="15.75" customHeight="1">
      <c r="D841" s="279"/>
      <c r="E841" s="279"/>
      <c r="F841" s="279"/>
    </row>
    <row r="842" spans="4:6" customFormat="1" ht="15.75" customHeight="1">
      <c r="D842" s="279"/>
      <c r="E842" s="279"/>
      <c r="F842" s="279"/>
    </row>
    <row r="843" spans="4:6" customFormat="1" ht="15.75" customHeight="1">
      <c r="D843" s="279"/>
      <c r="E843" s="279"/>
      <c r="F843" s="279"/>
    </row>
    <row r="844" spans="4:6" customFormat="1" ht="15.75" customHeight="1">
      <c r="D844" s="279"/>
      <c r="E844" s="279"/>
      <c r="F844" s="279"/>
    </row>
    <row r="845" spans="4:6" customFormat="1" ht="15.75" customHeight="1">
      <c r="D845" s="279"/>
      <c r="E845" s="279"/>
      <c r="F845" s="279"/>
    </row>
    <row r="846" spans="4:6" customFormat="1" ht="15.75" customHeight="1">
      <c r="D846" s="279"/>
      <c r="E846" s="279"/>
      <c r="F846" s="279"/>
    </row>
    <row r="847" spans="4:6" customFormat="1" ht="15.75" customHeight="1">
      <c r="D847" s="279"/>
      <c r="E847" s="279"/>
      <c r="F847" s="279"/>
    </row>
    <row r="848" spans="4:6" customFormat="1" ht="15.75" customHeight="1">
      <c r="D848" s="279"/>
      <c r="E848" s="279"/>
      <c r="F848" s="279"/>
    </row>
    <row r="849" spans="4:6" customFormat="1" ht="15.75" customHeight="1">
      <c r="D849" s="279"/>
      <c r="E849" s="279"/>
      <c r="F849" s="279"/>
    </row>
    <row r="850" spans="4:6" customFormat="1" ht="15.75" customHeight="1">
      <c r="D850" s="279"/>
      <c r="E850" s="279"/>
      <c r="F850" s="279"/>
    </row>
    <row r="851" spans="4:6" customFormat="1" ht="15.75" customHeight="1">
      <c r="D851" s="279"/>
      <c r="E851" s="279"/>
      <c r="F851" s="279"/>
    </row>
    <row r="852" spans="4:6" customFormat="1" ht="15.75" customHeight="1">
      <c r="D852" s="279"/>
      <c r="E852" s="279"/>
      <c r="F852" s="279"/>
    </row>
    <row r="853" spans="4:6" customFormat="1" ht="15.75" customHeight="1">
      <c r="D853" s="279"/>
      <c r="E853" s="279"/>
      <c r="F853" s="279"/>
    </row>
    <row r="854" spans="4:6" customFormat="1" ht="15.75" customHeight="1">
      <c r="D854" s="279"/>
      <c r="E854" s="279"/>
      <c r="F854" s="279"/>
    </row>
    <row r="855" spans="4:6" customFormat="1" ht="15.75" customHeight="1">
      <c r="D855" s="279"/>
      <c r="E855" s="279"/>
      <c r="F855" s="279"/>
    </row>
    <row r="856" spans="4:6" customFormat="1" ht="15.75" customHeight="1">
      <c r="D856" s="279"/>
      <c r="E856" s="279"/>
      <c r="F856" s="279"/>
    </row>
    <row r="857" spans="4:6" customFormat="1" ht="15.75" customHeight="1">
      <c r="D857" s="279"/>
      <c r="E857" s="279"/>
      <c r="F857" s="279"/>
    </row>
    <row r="858" spans="4:6" customFormat="1" ht="15.75" customHeight="1">
      <c r="D858" s="279"/>
      <c r="E858" s="279"/>
      <c r="F858" s="279"/>
    </row>
    <row r="859" spans="4:6" customFormat="1" ht="15.75" customHeight="1">
      <c r="D859" s="279"/>
      <c r="E859" s="279"/>
      <c r="F859" s="279"/>
    </row>
    <row r="860" spans="4:6" customFormat="1" ht="15.75" customHeight="1">
      <c r="D860" s="279"/>
      <c r="E860" s="279"/>
      <c r="F860" s="279"/>
    </row>
    <row r="861" spans="4:6" customFormat="1" ht="15.75" customHeight="1">
      <c r="D861" s="279"/>
      <c r="E861" s="279"/>
      <c r="F861" s="279"/>
    </row>
    <row r="862" spans="4:6" customFormat="1" ht="15.75" customHeight="1">
      <c r="D862" s="279"/>
      <c r="E862" s="279"/>
      <c r="F862" s="279"/>
    </row>
    <row r="863" spans="4:6" customFormat="1" ht="15.75" customHeight="1">
      <c r="D863" s="279"/>
      <c r="E863" s="279"/>
      <c r="F863" s="279"/>
    </row>
    <row r="864" spans="4:6" customFormat="1" ht="15.75" customHeight="1">
      <c r="D864" s="279"/>
      <c r="E864" s="279"/>
      <c r="F864" s="279"/>
    </row>
    <row r="865" spans="4:6" customFormat="1" ht="15.75" customHeight="1">
      <c r="D865" s="279"/>
      <c r="E865" s="279"/>
      <c r="F865" s="279"/>
    </row>
    <row r="866" spans="4:6" customFormat="1" ht="15.75" customHeight="1">
      <c r="D866" s="279"/>
      <c r="E866" s="279"/>
      <c r="F866" s="279"/>
    </row>
    <row r="867" spans="4:6" customFormat="1" ht="15.75" customHeight="1">
      <c r="D867" s="279"/>
      <c r="E867" s="279"/>
      <c r="F867" s="279"/>
    </row>
    <row r="868" spans="4:6" customFormat="1" ht="15.75" customHeight="1">
      <c r="D868" s="279"/>
      <c r="E868" s="279"/>
      <c r="F868" s="279"/>
    </row>
    <row r="869" spans="4:6" customFormat="1" ht="15.75" customHeight="1">
      <c r="D869" s="279"/>
      <c r="E869" s="279"/>
      <c r="F869" s="279"/>
    </row>
    <row r="870" spans="4:6" customFormat="1" ht="15.75" customHeight="1">
      <c r="D870" s="279"/>
      <c r="E870" s="279"/>
      <c r="F870" s="279"/>
    </row>
    <row r="871" spans="4:6" customFormat="1" ht="15.75" customHeight="1">
      <c r="D871" s="279"/>
      <c r="E871" s="279"/>
      <c r="F871" s="279"/>
    </row>
    <row r="872" spans="4:6" customFormat="1" ht="15.75" customHeight="1">
      <c r="D872" s="279"/>
      <c r="E872" s="279"/>
      <c r="F872" s="279"/>
    </row>
    <row r="873" spans="4:6" customFormat="1" ht="15.75" customHeight="1">
      <c r="D873" s="279"/>
      <c r="E873" s="279"/>
      <c r="F873" s="279"/>
    </row>
    <row r="874" spans="4:6" customFormat="1" ht="15.75" customHeight="1">
      <c r="D874" s="279"/>
      <c r="E874" s="279"/>
      <c r="F874" s="279"/>
    </row>
    <row r="875" spans="4:6" customFormat="1" ht="15.75" customHeight="1">
      <c r="D875" s="279"/>
      <c r="E875" s="279"/>
      <c r="F875" s="279"/>
    </row>
    <row r="876" spans="4:6" customFormat="1" ht="15.75" customHeight="1">
      <c r="D876" s="279"/>
      <c r="E876" s="279"/>
      <c r="F876" s="279"/>
    </row>
    <row r="877" spans="4:6" customFormat="1" ht="15.75" customHeight="1">
      <c r="D877" s="279"/>
      <c r="E877" s="279"/>
      <c r="F877" s="279"/>
    </row>
    <row r="878" spans="4:6" customFormat="1" ht="15.75" customHeight="1">
      <c r="D878" s="279"/>
      <c r="E878" s="279"/>
      <c r="F878" s="279"/>
    </row>
    <row r="879" spans="4:6" customFormat="1" ht="15.75" customHeight="1">
      <c r="D879" s="279"/>
      <c r="E879" s="279"/>
      <c r="F879" s="279"/>
    </row>
    <row r="880" spans="4:6" customFormat="1" ht="15.75" customHeight="1">
      <c r="D880" s="279"/>
      <c r="E880" s="279"/>
      <c r="F880" s="279"/>
    </row>
    <row r="881" spans="4:6" customFormat="1" ht="15.75" customHeight="1">
      <c r="D881" s="279"/>
      <c r="E881" s="279"/>
      <c r="F881" s="279"/>
    </row>
    <row r="882" spans="4:6" customFormat="1" ht="15.75" customHeight="1">
      <c r="D882" s="279"/>
      <c r="E882" s="279"/>
      <c r="F882" s="279"/>
    </row>
    <row r="883" spans="4:6" customFormat="1" ht="15.75" customHeight="1">
      <c r="D883" s="279"/>
      <c r="E883" s="279"/>
      <c r="F883" s="279"/>
    </row>
    <row r="884" spans="4:6" customFormat="1" ht="15.75" customHeight="1">
      <c r="D884" s="279"/>
      <c r="E884" s="279"/>
      <c r="F884" s="279"/>
    </row>
    <row r="885" spans="4:6" customFormat="1" ht="15.75" customHeight="1">
      <c r="D885" s="279"/>
      <c r="E885" s="279"/>
      <c r="F885" s="279"/>
    </row>
    <row r="886" spans="4:6" customFormat="1" ht="15.75" customHeight="1">
      <c r="D886" s="279"/>
      <c r="E886" s="279"/>
      <c r="F886" s="279"/>
    </row>
    <row r="887" spans="4:6" customFormat="1" ht="15.75" customHeight="1">
      <c r="D887" s="279"/>
      <c r="E887" s="279"/>
      <c r="F887" s="279"/>
    </row>
    <row r="888" spans="4:6" customFormat="1" ht="15.75" customHeight="1">
      <c r="D888" s="279"/>
      <c r="E888" s="279"/>
      <c r="F888" s="279"/>
    </row>
    <row r="889" spans="4:6" customFormat="1" ht="15.75" customHeight="1">
      <c r="D889" s="279"/>
      <c r="E889" s="279"/>
      <c r="F889" s="279"/>
    </row>
    <row r="890" spans="4:6" customFormat="1" ht="15.75" customHeight="1">
      <c r="D890" s="279"/>
      <c r="E890" s="279"/>
      <c r="F890" s="279"/>
    </row>
    <row r="891" spans="4:6" customFormat="1" ht="15.75" customHeight="1">
      <c r="D891" s="279"/>
      <c r="E891" s="279"/>
      <c r="F891" s="279"/>
    </row>
    <row r="892" spans="4:6" customFormat="1" ht="15.75" customHeight="1">
      <c r="D892" s="279"/>
      <c r="E892" s="279"/>
      <c r="F892" s="279"/>
    </row>
    <row r="893" spans="4:6" customFormat="1" ht="15.75" customHeight="1">
      <c r="D893" s="279"/>
      <c r="E893" s="279"/>
      <c r="F893" s="279"/>
    </row>
    <row r="894" spans="4:6" customFormat="1" ht="15.75" customHeight="1">
      <c r="D894" s="279"/>
      <c r="E894" s="279"/>
      <c r="F894" s="279"/>
    </row>
    <row r="895" spans="4:6" customFormat="1" ht="15.75" customHeight="1">
      <c r="D895" s="279"/>
      <c r="E895" s="279"/>
      <c r="F895" s="279"/>
    </row>
    <row r="896" spans="4:6" customFormat="1" ht="15.75" customHeight="1">
      <c r="D896" s="279"/>
      <c r="E896" s="279"/>
      <c r="F896" s="279"/>
    </row>
    <row r="897" spans="4:6" customFormat="1" ht="15.75" customHeight="1">
      <c r="D897" s="279"/>
      <c r="E897" s="279"/>
      <c r="F897" s="279"/>
    </row>
    <row r="898" spans="4:6" customFormat="1" ht="15.75" customHeight="1">
      <c r="D898" s="279"/>
      <c r="E898" s="279"/>
      <c r="F898" s="279"/>
    </row>
    <row r="899" spans="4:6" customFormat="1" ht="15.75" customHeight="1">
      <c r="D899" s="279"/>
      <c r="E899" s="279"/>
      <c r="F899" s="279"/>
    </row>
    <row r="900" spans="4:6" customFormat="1" ht="15.75" customHeight="1">
      <c r="D900" s="279"/>
      <c r="E900" s="279"/>
      <c r="F900" s="279"/>
    </row>
    <row r="901" spans="4:6" customFormat="1" ht="15.75" customHeight="1">
      <c r="D901" s="279"/>
      <c r="E901" s="279"/>
      <c r="F901" s="279"/>
    </row>
    <row r="902" spans="4:6" customFormat="1" ht="15.75" customHeight="1">
      <c r="D902" s="279"/>
      <c r="E902" s="279"/>
      <c r="F902" s="279"/>
    </row>
    <row r="903" spans="4:6" customFormat="1" ht="15.75" customHeight="1">
      <c r="D903" s="279"/>
      <c r="E903" s="279"/>
      <c r="F903" s="279"/>
    </row>
    <row r="904" spans="4:6" customFormat="1" ht="15.75" customHeight="1">
      <c r="D904" s="279"/>
      <c r="E904" s="279"/>
      <c r="F904" s="279"/>
    </row>
    <row r="905" spans="4:6" customFormat="1" ht="15.75" customHeight="1">
      <c r="D905" s="279"/>
      <c r="E905" s="279"/>
      <c r="F905" s="279"/>
    </row>
    <row r="906" spans="4:6" customFormat="1" ht="15.75" customHeight="1">
      <c r="D906" s="279"/>
      <c r="E906" s="279"/>
      <c r="F906" s="279"/>
    </row>
    <row r="907" spans="4:6" customFormat="1" ht="15.75" customHeight="1">
      <c r="D907" s="279"/>
      <c r="E907" s="279"/>
      <c r="F907" s="279"/>
    </row>
    <row r="908" spans="4:6" customFormat="1" ht="15.75" customHeight="1">
      <c r="D908" s="279"/>
      <c r="E908" s="279"/>
      <c r="F908" s="279"/>
    </row>
    <row r="909" spans="4:6" customFormat="1" ht="15.75" customHeight="1">
      <c r="D909" s="279"/>
      <c r="E909" s="279"/>
      <c r="F909" s="279"/>
    </row>
    <row r="910" spans="4:6" customFormat="1" ht="15.75" customHeight="1">
      <c r="D910" s="279"/>
      <c r="E910" s="279"/>
      <c r="F910" s="279"/>
    </row>
    <row r="911" spans="4:6" customFormat="1" ht="15.75" customHeight="1">
      <c r="D911" s="279"/>
      <c r="E911" s="279"/>
      <c r="F911" s="279"/>
    </row>
    <row r="912" spans="4:6" customFormat="1" ht="15.75" customHeight="1">
      <c r="D912" s="279"/>
      <c r="E912" s="279"/>
      <c r="F912" s="279"/>
    </row>
    <row r="913" spans="4:6" customFormat="1" ht="15.75" customHeight="1">
      <c r="D913" s="279"/>
      <c r="E913" s="279"/>
      <c r="F913" s="279"/>
    </row>
    <row r="914" spans="4:6" customFormat="1" ht="15.75" customHeight="1">
      <c r="D914" s="279"/>
      <c r="E914" s="279"/>
      <c r="F914" s="279"/>
    </row>
    <row r="915" spans="4:6" customFormat="1" ht="15.75" customHeight="1">
      <c r="D915" s="279"/>
      <c r="E915" s="279"/>
      <c r="F915" s="279"/>
    </row>
    <row r="916" spans="4:6" customFormat="1" ht="15.75" customHeight="1">
      <c r="D916" s="279"/>
      <c r="E916" s="279"/>
      <c r="F916" s="279"/>
    </row>
    <row r="917" spans="4:6" customFormat="1" ht="15.75" customHeight="1">
      <c r="D917" s="279"/>
      <c r="E917" s="279"/>
      <c r="F917" s="279"/>
    </row>
    <row r="918" spans="4:6" customFormat="1" ht="15.75" customHeight="1">
      <c r="D918" s="279"/>
      <c r="E918" s="279"/>
      <c r="F918" s="279"/>
    </row>
    <row r="919" spans="4:6" customFormat="1" ht="15.75" customHeight="1">
      <c r="D919" s="279"/>
      <c r="E919" s="279"/>
      <c r="F919" s="279"/>
    </row>
    <row r="920" spans="4:6" customFormat="1" ht="15.75" customHeight="1">
      <c r="D920" s="279"/>
      <c r="E920" s="279"/>
      <c r="F920" s="279"/>
    </row>
    <row r="921" spans="4:6" customFormat="1" ht="15.75" customHeight="1">
      <c r="D921" s="279"/>
      <c r="E921" s="279"/>
      <c r="F921" s="279"/>
    </row>
    <row r="922" spans="4:6" customFormat="1" ht="15.75" customHeight="1">
      <c r="D922" s="279"/>
      <c r="E922" s="279"/>
      <c r="F922" s="279"/>
    </row>
    <row r="923" spans="4:6" customFormat="1" ht="15.75" customHeight="1">
      <c r="D923" s="279"/>
      <c r="E923" s="279"/>
      <c r="F923" s="279"/>
    </row>
    <row r="924" spans="4:6" customFormat="1" ht="15.75" customHeight="1">
      <c r="D924" s="279"/>
      <c r="E924" s="279"/>
      <c r="F924" s="279"/>
    </row>
    <row r="925" spans="4:6" customFormat="1" ht="15.75" customHeight="1">
      <c r="D925" s="279"/>
      <c r="E925" s="279"/>
      <c r="F925" s="279"/>
    </row>
    <row r="926" spans="4:6" customFormat="1" ht="15.75" customHeight="1">
      <c r="D926" s="279"/>
      <c r="E926" s="279"/>
      <c r="F926" s="279"/>
    </row>
    <row r="927" spans="4:6" customFormat="1" ht="15.75" customHeight="1">
      <c r="D927" s="279"/>
      <c r="E927" s="279"/>
      <c r="F927" s="279"/>
    </row>
    <row r="928" spans="4:6" customFormat="1" ht="15.75" customHeight="1">
      <c r="D928" s="279"/>
      <c r="E928" s="279"/>
      <c r="F928" s="279"/>
    </row>
    <row r="929" spans="4:6" customFormat="1" ht="15.75" customHeight="1">
      <c r="D929" s="279"/>
      <c r="E929" s="279"/>
      <c r="F929" s="279"/>
    </row>
    <row r="930" spans="4:6" customFormat="1" ht="15.75" customHeight="1">
      <c r="D930" s="279"/>
      <c r="E930" s="279"/>
      <c r="F930" s="279"/>
    </row>
    <row r="931" spans="4:6" customFormat="1" ht="15.75" customHeight="1">
      <c r="D931" s="279"/>
      <c r="E931" s="279"/>
      <c r="F931" s="279"/>
    </row>
    <row r="932" spans="4:6" customFormat="1" ht="15.75" customHeight="1">
      <c r="D932" s="279"/>
      <c r="E932" s="279"/>
      <c r="F932" s="279"/>
    </row>
    <row r="933" spans="4:6" customFormat="1" ht="15.75" customHeight="1">
      <c r="D933" s="279"/>
      <c r="E933" s="279"/>
      <c r="F933" s="279"/>
    </row>
    <row r="934" spans="4:6" customFormat="1" ht="15.75" customHeight="1">
      <c r="D934" s="279"/>
      <c r="E934" s="279"/>
      <c r="F934" s="279"/>
    </row>
    <row r="935" spans="4:6" customFormat="1" ht="15.75" customHeight="1">
      <c r="D935" s="279"/>
      <c r="E935" s="279"/>
      <c r="F935" s="279"/>
    </row>
    <row r="936" spans="4:6" customFormat="1" ht="15.75" customHeight="1">
      <c r="D936" s="279"/>
      <c r="E936" s="279"/>
      <c r="F936" s="279"/>
    </row>
    <row r="937" spans="4:6" customFormat="1" ht="15.75" customHeight="1">
      <c r="D937" s="279"/>
      <c r="E937" s="279"/>
      <c r="F937" s="279"/>
    </row>
    <row r="938" spans="4:6" customFormat="1" ht="15.75" customHeight="1">
      <c r="D938" s="279"/>
      <c r="E938" s="279"/>
      <c r="F938" s="279"/>
    </row>
    <row r="939" spans="4:6" customFormat="1" ht="15.75" customHeight="1">
      <c r="D939" s="279"/>
      <c r="E939" s="279"/>
      <c r="F939" s="279"/>
    </row>
    <row r="940" spans="4:6" customFormat="1" ht="15.75" customHeight="1">
      <c r="D940" s="279"/>
      <c r="E940" s="279"/>
      <c r="F940" s="279"/>
    </row>
    <row r="941" spans="4:6" customFormat="1" ht="15.75" customHeight="1">
      <c r="D941" s="279"/>
      <c r="E941" s="279"/>
      <c r="F941" s="279"/>
    </row>
    <row r="942" spans="4:6" customFormat="1" ht="15.75" customHeight="1">
      <c r="D942" s="279"/>
      <c r="E942" s="279"/>
      <c r="F942" s="279"/>
    </row>
    <row r="943" spans="4:6" customFormat="1" ht="15.75" customHeight="1">
      <c r="D943" s="279"/>
      <c r="E943" s="279"/>
      <c r="F943" s="279"/>
    </row>
    <row r="944" spans="4:6" customFormat="1" ht="15.75" customHeight="1">
      <c r="D944" s="279"/>
      <c r="E944" s="279"/>
      <c r="F944" s="279"/>
    </row>
    <row r="945" spans="4:6" customFormat="1" ht="15.75" customHeight="1">
      <c r="D945" s="279"/>
      <c r="E945" s="279"/>
      <c r="F945" s="279"/>
    </row>
    <row r="946" spans="4:6" customFormat="1" ht="15.75" customHeight="1">
      <c r="D946" s="279"/>
      <c r="E946" s="279"/>
      <c r="F946" s="279"/>
    </row>
    <row r="947" spans="4:6" customFormat="1" ht="15.75" customHeight="1">
      <c r="D947" s="279"/>
      <c r="E947" s="279"/>
      <c r="F947" s="279"/>
    </row>
    <row r="948" spans="4:6" customFormat="1" ht="15.75" customHeight="1">
      <c r="D948" s="279"/>
      <c r="E948" s="279"/>
      <c r="F948" s="279"/>
    </row>
    <row r="949" spans="4:6" customFormat="1" ht="15.75" customHeight="1">
      <c r="D949" s="279"/>
      <c r="E949" s="279"/>
      <c r="F949" s="279"/>
    </row>
    <row r="950" spans="4:6" customFormat="1" ht="15.75" customHeight="1">
      <c r="D950" s="279"/>
      <c r="E950" s="279"/>
      <c r="F950" s="279"/>
    </row>
    <row r="951" spans="4:6" customFormat="1" ht="15.75" customHeight="1">
      <c r="D951" s="279"/>
      <c r="E951" s="279"/>
      <c r="F951" s="279"/>
    </row>
    <row r="952" spans="4:6" customFormat="1" ht="15.75" customHeight="1">
      <c r="D952" s="279"/>
      <c r="E952" s="279"/>
      <c r="F952" s="279"/>
    </row>
    <row r="953" spans="4:6" customFormat="1" ht="15.75" customHeight="1">
      <c r="D953" s="279"/>
      <c r="E953" s="279"/>
      <c r="F953" s="279"/>
    </row>
    <row r="954" spans="4:6" customFormat="1" ht="15.75" customHeight="1">
      <c r="D954" s="279"/>
      <c r="E954" s="279"/>
      <c r="F954" s="279"/>
    </row>
    <row r="955" spans="4:6" customFormat="1" ht="15.75" customHeight="1">
      <c r="D955" s="279"/>
      <c r="E955" s="279"/>
      <c r="F955" s="279"/>
    </row>
    <row r="956" spans="4:6" customFormat="1" ht="15.75" customHeight="1">
      <c r="D956" s="279"/>
      <c r="E956" s="279"/>
      <c r="F956" s="279"/>
    </row>
    <row r="957" spans="4:6" customFormat="1" ht="15.75" customHeight="1">
      <c r="D957" s="279"/>
      <c r="E957" s="279"/>
      <c r="F957" s="279"/>
    </row>
    <row r="958" spans="4:6" customFormat="1" ht="15.75" customHeight="1">
      <c r="D958" s="279"/>
      <c r="E958" s="279"/>
      <c r="F958" s="279"/>
    </row>
    <row r="959" spans="4:6" customFormat="1" ht="15.75" customHeight="1">
      <c r="D959" s="279"/>
      <c r="E959" s="279"/>
      <c r="F959" s="279"/>
    </row>
    <row r="960" spans="4:6" customFormat="1" ht="15.75" customHeight="1">
      <c r="D960" s="279"/>
      <c r="E960" s="279"/>
      <c r="F960" s="279"/>
    </row>
    <row r="961" spans="4:6" customFormat="1" ht="15.75" customHeight="1">
      <c r="D961" s="279"/>
      <c r="E961" s="279"/>
      <c r="F961" s="279"/>
    </row>
    <row r="962" spans="4:6" customFormat="1" ht="15.75" customHeight="1">
      <c r="D962" s="279"/>
      <c r="E962" s="279"/>
      <c r="F962" s="279"/>
    </row>
    <row r="963" spans="4:6" customFormat="1" ht="15.75" customHeight="1">
      <c r="D963" s="279"/>
      <c r="E963" s="279"/>
      <c r="F963" s="279"/>
    </row>
    <row r="964" spans="4:6" customFormat="1" ht="15.75" customHeight="1">
      <c r="D964" s="279"/>
      <c r="E964" s="279"/>
      <c r="F964" s="279"/>
    </row>
    <row r="965" spans="4:6" customFormat="1" ht="15.75" customHeight="1">
      <c r="D965" s="279"/>
      <c r="E965" s="279"/>
      <c r="F965" s="279"/>
    </row>
    <row r="966" spans="4:6" customFormat="1" ht="15.75" customHeight="1">
      <c r="D966" s="279"/>
      <c r="E966" s="279"/>
      <c r="F966" s="279"/>
    </row>
    <row r="967" spans="4:6" customFormat="1" ht="15.75" customHeight="1">
      <c r="D967" s="279"/>
      <c r="E967" s="279"/>
      <c r="F967" s="279"/>
    </row>
    <row r="968" spans="4:6" customFormat="1" ht="15.75" customHeight="1">
      <c r="D968" s="279"/>
      <c r="E968" s="279"/>
      <c r="F968" s="279"/>
    </row>
    <row r="969" spans="4:6" customFormat="1" ht="15.75" customHeight="1">
      <c r="D969" s="279"/>
      <c r="E969" s="279"/>
      <c r="F969" s="279"/>
    </row>
    <row r="970" spans="4:6" customFormat="1" ht="15.75" customHeight="1">
      <c r="D970" s="279"/>
      <c r="E970" s="279"/>
      <c r="F970" s="279"/>
    </row>
    <row r="971" spans="4:6" customFormat="1" ht="15.75" customHeight="1">
      <c r="D971" s="279"/>
      <c r="E971" s="279"/>
      <c r="F971" s="279"/>
    </row>
    <row r="972" spans="4:6" customFormat="1" ht="15.75" customHeight="1">
      <c r="D972" s="279"/>
      <c r="E972" s="279"/>
      <c r="F972" s="279"/>
    </row>
    <row r="973" spans="4:6" customFormat="1" ht="15.75" customHeight="1">
      <c r="D973" s="279"/>
      <c r="E973" s="279"/>
      <c r="F973" s="279"/>
    </row>
    <row r="974" spans="4:6" customFormat="1" ht="15.75" customHeight="1">
      <c r="D974" s="279"/>
      <c r="E974" s="279"/>
      <c r="F974" s="279"/>
    </row>
    <row r="975" spans="4:6" customFormat="1" ht="15.75" customHeight="1">
      <c r="D975" s="279"/>
      <c r="E975" s="279"/>
      <c r="F975" s="279"/>
    </row>
    <row r="976" spans="4:6" customFormat="1" ht="15.75" customHeight="1">
      <c r="D976" s="279"/>
      <c r="E976" s="279"/>
      <c r="F976" s="279"/>
    </row>
    <row r="977" spans="4:6" customFormat="1" ht="15.75" customHeight="1">
      <c r="D977" s="279"/>
      <c r="E977" s="279"/>
      <c r="F977" s="279"/>
    </row>
    <row r="978" spans="4:6" customFormat="1" ht="15.75" customHeight="1">
      <c r="D978" s="279"/>
      <c r="E978" s="279"/>
      <c r="F978" s="279"/>
    </row>
    <row r="979" spans="4:6" customFormat="1" ht="15.75" customHeight="1">
      <c r="D979" s="279"/>
      <c r="E979" s="279"/>
      <c r="F979" s="279"/>
    </row>
    <row r="980" spans="4:6" customFormat="1" ht="15.75" customHeight="1">
      <c r="D980" s="279"/>
      <c r="E980" s="279"/>
      <c r="F980" s="279"/>
    </row>
    <row r="981" spans="4:6" customFormat="1" ht="15.75" customHeight="1">
      <c r="D981" s="279"/>
      <c r="E981" s="279"/>
      <c r="F981" s="279"/>
    </row>
    <row r="982" spans="4:6" customFormat="1" ht="15.75" customHeight="1">
      <c r="D982" s="279"/>
      <c r="E982" s="279"/>
      <c r="F982" s="279"/>
    </row>
    <row r="983" spans="4:6" customFormat="1" ht="15.75" customHeight="1">
      <c r="D983" s="279"/>
      <c r="E983" s="279"/>
      <c r="F983" s="279"/>
    </row>
    <row r="984" spans="4:6" customFormat="1" ht="15.75" customHeight="1">
      <c r="D984" s="279"/>
      <c r="E984" s="279"/>
      <c r="F984" s="279"/>
    </row>
    <row r="985" spans="4:6" customFormat="1" ht="15.75" customHeight="1">
      <c r="D985" s="279"/>
      <c r="E985" s="279"/>
      <c r="F985" s="279"/>
    </row>
    <row r="986" spans="4:6" customFormat="1" ht="15.75" customHeight="1">
      <c r="D986" s="279"/>
      <c r="E986" s="279"/>
      <c r="F986" s="279"/>
    </row>
    <row r="987" spans="4:6" customFormat="1" ht="15.75" customHeight="1">
      <c r="D987" s="279"/>
      <c r="E987" s="279"/>
      <c r="F987" s="279"/>
    </row>
    <row r="988" spans="4:6" customFormat="1" ht="15.75" customHeight="1">
      <c r="D988" s="279"/>
      <c r="E988" s="279"/>
      <c r="F988" s="279"/>
    </row>
    <row r="989" spans="4:6" customFormat="1" ht="15.75" customHeight="1">
      <c r="D989" s="279"/>
      <c r="E989" s="279"/>
      <c r="F989" s="279"/>
    </row>
    <row r="990" spans="4:6" customFormat="1" ht="15.75" customHeight="1">
      <c r="D990" s="279"/>
      <c r="E990" s="279"/>
      <c r="F990" s="279"/>
    </row>
    <row r="991" spans="4:6" customFormat="1" ht="15.75" customHeight="1">
      <c r="D991" s="279"/>
      <c r="E991" s="279"/>
      <c r="F991" s="279"/>
    </row>
    <row r="992" spans="4:6" customFormat="1" ht="15.75" customHeight="1">
      <c r="D992" s="279"/>
      <c r="E992" s="279"/>
      <c r="F992" s="279"/>
    </row>
    <row r="993" spans="4:6" customFormat="1" ht="15.75" customHeight="1">
      <c r="D993" s="279"/>
      <c r="E993" s="279"/>
      <c r="F993" s="279"/>
    </row>
    <row r="994" spans="4:6" customFormat="1" ht="15.75" customHeight="1">
      <c r="D994" s="279"/>
      <c r="E994" s="279"/>
      <c r="F994" s="279"/>
    </row>
    <row r="995" spans="4:6" customFormat="1" ht="15.75" customHeight="1">
      <c r="D995" s="279"/>
      <c r="E995" s="279"/>
      <c r="F995" s="279"/>
    </row>
    <row r="996" spans="4:6" customFormat="1" ht="15.75" customHeight="1">
      <c r="D996" s="279"/>
      <c r="E996" s="279"/>
      <c r="F996" s="279"/>
    </row>
    <row r="997" spans="4:6" customFormat="1" ht="15.75" customHeight="1">
      <c r="D997" s="279"/>
      <c r="E997" s="279"/>
      <c r="F997" s="279"/>
    </row>
    <row r="998" spans="4:6" customFormat="1" ht="15.75" customHeight="1">
      <c r="D998" s="279"/>
      <c r="E998" s="279"/>
      <c r="F998" s="279"/>
    </row>
    <row r="999" spans="4:6" customFormat="1" ht="15.75" customHeight="1">
      <c r="D999" s="279"/>
      <c r="E999" s="279"/>
      <c r="F999" s="279"/>
    </row>
    <row r="1000" spans="4:6" customFormat="1" ht="15.75" customHeight="1">
      <c r="D1000" s="279"/>
      <c r="E1000" s="279"/>
      <c r="F1000" s="279"/>
    </row>
    <row r="1001" spans="4:6" customFormat="1" ht="15" customHeight="1">
      <c r="D1001" s="279"/>
      <c r="E1001" s="279"/>
      <c r="F1001" s="279"/>
    </row>
    <row r="1002" spans="4:6" customFormat="1" ht="15" customHeight="1">
      <c r="D1002" s="279"/>
      <c r="E1002" s="279"/>
      <c r="F1002" s="279"/>
    </row>
    <row r="1003" spans="4:6" customFormat="1" ht="15" customHeight="1">
      <c r="D1003" s="279"/>
      <c r="E1003" s="279"/>
      <c r="F1003" s="279"/>
    </row>
    <row r="1004" spans="4:6" customFormat="1" ht="15" customHeight="1">
      <c r="D1004" s="279"/>
      <c r="E1004" s="279"/>
      <c r="F1004" s="279"/>
    </row>
    <row r="1005" spans="4:6" customFormat="1" ht="15" customHeight="1">
      <c r="D1005" s="279"/>
      <c r="E1005" s="279"/>
      <c r="F1005" s="279"/>
    </row>
    <row r="1006" spans="4:6" customFormat="1" ht="15" customHeight="1">
      <c r="D1006" s="279"/>
      <c r="E1006" s="279"/>
      <c r="F1006" s="279"/>
    </row>
    <row r="1007" spans="4:6" customFormat="1" ht="15" customHeight="1">
      <c r="D1007" s="279"/>
      <c r="E1007" s="279"/>
      <c r="F1007" s="279"/>
    </row>
    <row r="1008" spans="4:6" customFormat="1" ht="15" customHeight="1">
      <c r="D1008" s="279"/>
      <c r="E1008" s="279"/>
      <c r="F1008" s="279"/>
    </row>
    <row r="1009" spans="4:6" customFormat="1" ht="15" customHeight="1">
      <c r="D1009" s="279"/>
      <c r="E1009" s="279"/>
      <c r="F1009" s="279"/>
    </row>
    <row r="1010" spans="4:6" customFormat="1" ht="15" customHeight="1">
      <c r="D1010" s="279"/>
      <c r="E1010" s="279"/>
      <c r="F1010" s="279"/>
    </row>
  </sheetData>
  <mergeCells count="3045">
    <mergeCell ref="A11:F11"/>
    <mergeCell ref="A12:F12"/>
    <mergeCell ref="A7:F7"/>
    <mergeCell ref="A8:F8"/>
    <mergeCell ref="A9:F9"/>
    <mergeCell ref="A5:F5"/>
    <mergeCell ref="CB15:CG19"/>
    <mergeCell ref="B16:H19"/>
    <mergeCell ref="I16:L18"/>
    <mergeCell ref="M16:P18"/>
    <mergeCell ref="Q16:X18"/>
    <mergeCell ref="Y18:AK18"/>
    <mergeCell ref="BQ18:BS19"/>
    <mergeCell ref="BT18:BU19"/>
    <mergeCell ref="BV18:BV20"/>
    <mergeCell ref="BW18:BW20"/>
    <mergeCell ref="BX18:BX20"/>
    <mergeCell ref="BY18:CA19"/>
    <mergeCell ref="AL18:BB18"/>
    <mergeCell ref="BC18:BH18"/>
    <mergeCell ref="BI18:BI20"/>
    <mergeCell ref="BJ18:BN18"/>
    <mergeCell ref="BO18:BO20"/>
    <mergeCell ref="BP18:BP20"/>
    <mergeCell ref="AO19:AO20"/>
    <mergeCell ref="AP19:AP20"/>
    <mergeCell ref="AQ19:AR19"/>
    <mergeCell ref="AS19:AT19"/>
    <mergeCell ref="A15:A20"/>
    <mergeCell ref="B15:X15"/>
    <mergeCell ref="Y15:BN17"/>
    <mergeCell ref="BO15:CA17"/>
    <mergeCell ref="BF19:BH19"/>
    <mergeCell ref="BJ19:BN19"/>
    <mergeCell ref="A22:A30"/>
    <mergeCell ref="B22:B30"/>
    <mergeCell ref="C22:C30"/>
    <mergeCell ref="D22:D30"/>
    <mergeCell ref="E22:E30"/>
    <mergeCell ref="AI19:AI20"/>
    <mergeCell ref="AJ19:AJ20"/>
    <mergeCell ref="AK19:AK20"/>
    <mergeCell ref="AL19:AL20"/>
    <mergeCell ref="AM19:AM20"/>
    <mergeCell ref="AN19:AN20"/>
    <mergeCell ref="AC19:AC20"/>
    <mergeCell ref="AD19:AD20"/>
    <mergeCell ref="AE19:AE20"/>
    <mergeCell ref="AF19:AF20"/>
    <mergeCell ref="AG19:AG20"/>
    <mergeCell ref="AH19:AH20"/>
    <mergeCell ref="W19:W20"/>
    <mergeCell ref="X19:X20"/>
    <mergeCell ref="Y19:Y20"/>
    <mergeCell ref="Z19:Z20"/>
    <mergeCell ref="AA19:AA20"/>
    <mergeCell ref="AB19:AB20"/>
    <mergeCell ref="P19:P20"/>
    <mergeCell ref="Q19:Q20"/>
    <mergeCell ref="R19:S19"/>
    <mergeCell ref="T19:T20"/>
    <mergeCell ref="U19:U20"/>
    <mergeCell ref="V19:V20"/>
    <mergeCell ref="I19:I20"/>
    <mergeCell ref="V22:V30"/>
    <mergeCell ref="W22:W30"/>
    <mergeCell ref="L22:L30"/>
    <mergeCell ref="M22:M30"/>
    <mergeCell ref="N22:N30"/>
    <mergeCell ref="O22:O30"/>
    <mergeCell ref="P22:P30"/>
    <mergeCell ref="Q22:Q30"/>
    <mergeCell ref="F22:F30"/>
    <mergeCell ref="G22:G30"/>
    <mergeCell ref="H22:H30"/>
    <mergeCell ref="I22:I30"/>
    <mergeCell ref="J22:J30"/>
    <mergeCell ref="K22:K30"/>
    <mergeCell ref="AU19:AX19"/>
    <mergeCell ref="AY19:BB19"/>
    <mergeCell ref="BC19:BE19"/>
    <mergeCell ref="J19:K19"/>
    <mergeCell ref="L19:L20"/>
    <mergeCell ref="M19:M20"/>
    <mergeCell ref="N19:N20"/>
    <mergeCell ref="O19:O20"/>
    <mergeCell ref="CF22:CF30"/>
    <mergeCell ref="CG22:CG30"/>
    <mergeCell ref="A31:A33"/>
    <mergeCell ref="B31:B33"/>
    <mergeCell ref="C31:C33"/>
    <mergeCell ref="D31:D33"/>
    <mergeCell ref="E31:E33"/>
    <mergeCell ref="F31:F33"/>
    <mergeCell ref="H31:H33"/>
    <mergeCell ref="I31:I33"/>
    <mergeCell ref="AJ22:AJ30"/>
    <mergeCell ref="AK22:AK30"/>
    <mergeCell ref="CB22:CB30"/>
    <mergeCell ref="CC22:CC30"/>
    <mergeCell ref="CD22:CD30"/>
    <mergeCell ref="CE22:CE30"/>
    <mergeCell ref="AD22:AD30"/>
    <mergeCell ref="AE22:AE30"/>
    <mergeCell ref="AF22:AF30"/>
    <mergeCell ref="AG22:AG30"/>
    <mergeCell ref="AH22:AH30"/>
    <mergeCell ref="AI22:AI30"/>
    <mergeCell ref="X22:X30"/>
    <mergeCell ref="Y22:Y30"/>
    <mergeCell ref="Z22:Z30"/>
    <mergeCell ref="AA22:AA30"/>
    <mergeCell ref="AB22:AB30"/>
    <mergeCell ref="AC22:AC30"/>
    <mergeCell ref="R22:R30"/>
    <mergeCell ref="S22:S30"/>
    <mergeCell ref="T22:T30"/>
    <mergeCell ref="U22:U30"/>
    <mergeCell ref="CE31:CE33"/>
    <mergeCell ref="CF31:CF33"/>
    <mergeCell ref="CG31:CG33"/>
    <mergeCell ref="AB31:AB33"/>
    <mergeCell ref="AC31:AC33"/>
    <mergeCell ref="AD31:AD33"/>
    <mergeCell ref="AE31:AE33"/>
    <mergeCell ref="AG31:AG33"/>
    <mergeCell ref="AK31:AK33"/>
    <mergeCell ref="V31:V33"/>
    <mergeCell ref="W31:W33"/>
    <mergeCell ref="X31:X33"/>
    <mergeCell ref="Y31:Y33"/>
    <mergeCell ref="Z31:Z33"/>
    <mergeCell ref="AA31:AA33"/>
    <mergeCell ref="P31:P33"/>
    <mergeCell ref="Q31:Q33"/>
    <mergeCell ref="R31:R33"/>
    <mergeCell ref="S31:S33"/>
    <mergeCell ref="T31:T33"/>
    <mergeCell ref="U31:U33"/>
    <mergeCell ref="R34:R35"/>
    <mergeCell ref="S34:S35"/>
    <mergeCell ref="H34:H35"/>
    <mergeCell ref="I34:I35"/>
    <mergeCell ref="J34:J35"/>
    <mergeCell ref="K34:K35"/>
    <mergeCell ref="L34:L35"/>
    <mergeCell ref="M34:M35"/>
    <mergeCell ref="A34:A35"/>
    <mergeCell ref="B34:B35"/>
    <mergeCell ref="C34:C35"/>
    <mergeCell ref="D34:D35"/>
    <mergeCell ref="E34:E35"/>
    <mergeCell ref="F34:F35"/>
    <mergeCell ref="CB31:CB33"/>
    <mergeCell ref="CC31:CC33"/>
    <mergeCell ref="CD31:CD33"/>
    <mergeCell ref="J31:J33"/>
    <mergeCell ref="K31:K33"/>
    <mergeCell ref="L31:L33"/>
    <mergeCell ref="M31:M33"/>
    <mergeCell ref="N31:N33"/>
    <mergeCell ref="O31:O33"/>
    <mergeCell ref="CF34:CF35"/>
    <mergeCell ref="CG34:CG35"/>
    <mergeCell ref="A36:A37"/>
    <mergeCell ref="B36:B37"/>
    <mergeCell ref="C36:C37"/>
    <mergeCell ref="D36:D37"/>
    <mergeCell ref="E36:E37"/>
    <mergeCell ref="F36:F37"/>
    <mergeCell ref="H36:H37"/>
    <mergeCell ref="I36:I37"/>
    <mergeCell ref="AG34:AG35"/>
    <mergeCell ref="AK34:AK35"/>
    <mergeCell ref="CB34:CB35"/>
    <mergeCell ref="CC34:CC35"/>
    <mergeCell ref="CD34:CD35"/>
    <mergeCell ref="CE34:CE35"/>
    <mergeCell ref="Z34:Z35"/>
    <mergeCell ref="AA34:AA35"/>
    <mergeCell ref="AB34:AB35"/>
    <mergeCell ref="AC34:AC35"/>
    <mergeCell ref="AD34:AD35"/>
    <mergeCell ref="AE34:AE35"/>
    <mergeCell ref="T34:T35"/>
    <mergeCell ref="U34:U35"/>
    <mergeCell ref="V34:V35"/>
    <mergeCell ref="W34:W35"/>
    <mergeCell ref="X34:X35"/>
    <mergeCell ref="Y34:Y35"/>
    <mergeCell ref="N34:N35"/>
    <mergeCell ref="O34:O35"/>
    <mergeCell ref="P34:P35"/>
    <mergeCell ref="Q34:Q35"/>
    <mergeCell ref="CE36:CE37"/>
    <mergeCell ref="CF36:CF37"/>
    <mergeCell ref="CG36:CG37"/>
    <mergeCell ref="AB36:AB37"/>
    <mergeCell ref="AC36:AC37"/>
    <mergeCell ref="AD36:AD37"/>
    <mergeCell ref="AE36:AE37"/>
    <mergeCell ref="AG36:AG37"/>
    <mergeCell ref="AK36:AK37"/>
    <mergeCell ref="V36:V37"/>
    <mergeCell ref="W36:W37"/>
    <mergeCell ref="X36:X37"/>
    <mergeCell ref="Y36:Y37"/>
    <mergeCell ref="Z36:Z37"/>
    <mergeCell ref="AA36:AA37"/>
    <mergeCell ref="P36:P37"/>
    <mergeCell ref="Q36:Q37"/>
    <mergeCell ref="R36:R37"/>
    <mergeCell ref="S36:S37"/>
    <mergeCell ref="T36:T37"/>
    <mergeCell ref="U36:U37"/>
    <mergeCell ref="R38:R39"/>
    <mergeCell ref="S38:S39"/>
    <mergeCell ref="H38:H39"/>
    <mergeCell ref="I38:I39"/>
    <mergeCell ref="J38:J39"/>
    <mergeCell ref="K38:K39"/>
    <mergeCell ref="L38:L39"/>
    <mergeCell ref="M38:M39"/>
    <mergeCell ref="A38:A39"/>
    <mergeCell ref="B38:B39"/>
    <mergeCell ref="C38:C39"/>
    <mergeCell ref="D38:D39"/>
    <mergeCell ref="E38:E39"/>
    <mergeCell ref="F38:F39"/>
    <mergeCell ref="CB36:CB37"/>
    <mergeCell ref="CC36:CC37"/>
    <mergeCell ref="CD36:CD37"/>
    <mergeCell ref="J36:J37"/>
    <mergeCell ref="K36:K37"/>
    <mergeCell ref="L36:L37"/>
    <mergeCell ref="M36:M37"/>
    <mergeCell ref="N36:N37"/>
    <mergeCell ref="O36:O37"/>
    <mergeCell ref="CF38:CF39"/>
    <mergeCell ref="CG38:CG39"/>
    <mergeCell ref="A40:A41"/>
    <mergeCell ref="B40:B41"/>
    <mergeCell ref="C40:C41"/>
    <mergeCell ref="D40:D41"/>
    <mergeCell ref="E40:E41"/>
    <mergeCell ref="F40:F41"/>
    <mergeCell ref="H40:H41"/>
    <mergeCell ref="I40:I41"/>
    <mergeCell ref="AG38:AG39"/>
    <mergeCell ref="AK38:AK39"/>
    <mergeCell ref="CB38:CB39"/>
    <mergeCell ref="CC38:CC39"/>
    <mergeCell ref="CD38:CD39"/>
    <mergeCell ref="CE38:CE39"/>
    <mergeCell ref="Z38:Z39"/>
    <mergeCell ref="AA38:AA39"/>
    <mergeCell ref="AB38:AB39"/>
    <mergeCell ref="AC38:AC39"/>
    <mergeCell ref="AD38:AD39"/>
    <mergeCell ref="AE38:AE39"/>
    <mergeCell ref="T38:T39"/>
    <mergeCell ref="U38:U39"/>
    <mergeCell ref="V38:V39"/>
    <mergeCell ref="W38:W39"/>
    <mergeCell ref="X38:X39"/>
    <mergeCell ref="Y38:Y39"/>
    <mergeCell ref="N38:N39"/>
    <mergeCell ref="O38:O39"/>
    <mergeCell ref="P38:P39"/>
    <mergeCell ref="Q38:Q39"/>
    <mergeCell ref="CE40:CE41"/>
    <mergeCell ref="CF40:CF41"/>
    <mergeCell ref="CG40:CG41"/>
    <mergeCell ref="AB40:AB41"/>
    <mergeCell ref="AC40:AC41"/>
    <mergeCell ref="AD40:AD41"/>
    <mergeCell ref="AE40:AE41"/>
    <mergeCell ref="AG40:AG41"/>
    <mergeCell ref="AK40:AK41"/>
    <mergeCell ref="V40:V41"/>
    <mergeCell ref="W40:W41"/>
    <mergeCell ref="X40:X41"/>
    <mergeCell ref="Y40:Y41"/>
    <mergeCell ref="Z40:Z41"/>
    <mergeCell ref="AA40:AA41"/>
    <mergeCell ref="P40:P41"/>
    <mergeCell ref="Q40:Q41"/>
    <mergeCell ref="R40:R41"/>
    <mergeCell ref="S40:S41"/>
    <mergeCell ref="T40:T41"/>
    <mergeCell ref="U40:U41"/>
    <mergeCell ref="R42:R43"/>
    <mergeCell ref="S42:S43"/>
    <mergeCell ref="H42:H43"/>
    <mergeCell ref="I42:I43"/>
    <mergeCell ref="J42:J43"/>
    <mergeCell ref="K42:K43"/>
    <mergeCell ref="L42:L43"/>
    <mergeCell ref="M42:M43"/>
    <mergeCell ref="A42:A43"/>
    <mergeCell ref="B42:B43"/>
    <mergeCell ref="C42:C43"/>
    <mergeCell ref="D42:D43"/>
    <mergeCell ref="E42:E43"/>
    <mergeCell ref="F42:F43"/>
    <mergeCell ref="CB40:CB41"/>
    <mergeCell ref="CC40:CC41"/>
    <mergeCell ref="CD40:CD41"/>
    <mergeCell ref="J40:J41"/>
    <mergeCell ref="K40:K41"/>
    <mergeCell ref="L40:L41"/>
    <mergeCell ref="M40:M41"/>
    <mergeCell ref="N40:N41"/>
    <mergeCell ref="O40:O41"/>
    <mergeCell ref="CE42:CE43"/>
    <mergeCell ref="CF42:CF43"/>
    <mergeCell ref="CG42:CG43"/>
    <mergeCell ref="A44:A45"/>
    <mergeCell ref="B44:B45"/>
    <mergeCell ref="C44:C45"/>
    <mergeCell ref="D44:D45"/>
    <mergeCell ref="E44:E45"/>
    <mergeCell ref="F44:F45"/>
    <mergeCell ref="H44:H45"/>
    <mergeCell ref="AF42:AF43"/>
    <mergeCell ref="AG42:AG43"/>
    <mergeCell ref="AK42:AK43"/>
    <mergeCell ref="CB42:CB43"/>
    <mergeCell ref="CC42:CC43"/>
    <mergeCell ref="CD42:CD43"/>
    <mergeCell ref="Z42:Z43"/>
    <mergeCell ref="AA42:AA43"/>
    <mergeCell ref="AB42:AB43"/>
    <mergeCell ref="AC42:AC43"/>
    <mergeCell ref="AD42:AD43"/>
    <mergeCell ref="AE42:AE43"/>
    <mergeCell ref="T42:T43"/>
    <mergeCell ref="U42:U43"/>
    <mergeCell ref="V42:V43"/>
    <mergeCell ref="W42:W43"/>
    <mergeCell ref="X42:X43"/>
    <mergeCell ref="Y42:Y43"/>
    <mergeCell ref="N42:N43"/>
    <mergeCell ref="O42:O43"/>
    <mergeCell ref="P42:P43"/>
    <mergeCell ref="Q42:Q43"/>
    <mergeCell ref="AE44:AE45"/>
    <mergeCell ref="AG44:AG45"/>
    <mergeCell ref="U44:U45"/>
    <mergeCell ref="V44:V45"/>
    <mergeCell ref="W44:W45"/>
    <mergeCell ref="X44:X45"/>
    <mergeCell ref="Y44:Y45"/>
    <mergeCell ref="Z44:Z45"/>
    <mergeCell ref="O44:O45"/>
    <mergeCell ref="P44:P45"/>
    <mergeCell ref="Q44:Q45"/>
    <mergeCell ref="R44:R45"/>
    <mergeCell ref="S44:S45"/>
    <mergeCell ref="T44:T45"/>
    <mergeCell ref="I44:I45"/>
    <mergeCell ref="J44:J45"/>
    <mergeCell ref="K44:K45"/>
    <mergeCell ref="L44:L45"/>
    <mergeCell ref="M44:M45"/>
    <mergeCell ref="N44:N45"/>
    <mergeCell ref="Q46:Q47"/>
    <mergeCell ref="R46:R47"/>
    <mergeCell ref="S46:S47"/>
    <mergeCell ref="T46:T47"/>
    <mergeCell ref="U46:U47"/>
    <mergeCell ref="V46:V47"/>
    <mergeCell ref="K46:K47"/>
    <mergeCell ref="L46:L47"/>
    <mergeCell ref="M46:M47"/>
    <mergeCell ref="N46:N47"/>
    <mergeCell ref="O46:O47"/>
    <mergeCell ref="P46:P47"/>
    <mergeCell ref="CG44:CG45"/>
    <mergeCell ref="A46:A47"/>
    <mergeCell ref="B46:B47"/>
    <mergeCell ref="C46:C47"/>
    <mergeCell ref="D46:D47"/>
    <mergeCell ref="E46:E47"/>
    <mergeCell ref="F46:F47"/>
    <mergeCell ref="H46:H47"/>
    <mergeCell ref="I46:I47"/>
    <mergeCell ref="J46:J47"/>
    <mergeCell ref="AK44:AK45"/>
    <mergeCell ref="CB44:CB45"/>
    <mergeCell ref="CC44:CC45"/>
    <mergeCell ref="CD44:CD45"/>
    <mergeCell ref="CE44:CE45"/>
    <mergeCell ref="CF44:CF45"/>
    <mergeCell ref="AA44:AA45"/>
    <mergeCell ref="AB44:AB45"/>
    <mergeCell ref="AC44:AC45"/>
    <mergeCell ref="AD44:AD45"/>
    <mergeCell ref="CB46:CB47"/>
    <mergeCell ref="CC46:CC47"/>
    <mergeCell ref="CD46:CD47"/>
    <mergeCell ref="CE46:CE47"/>
    <mergeCell ref="CF46:CF47"/>
    <mergeCell ref="CG46:CG47"/>
    <mergeCell ref="AC46:AC47"/>
    <mergeCell ref="AD46:AD47"/>
    <mergeCell ref="AE46:AE47"/>
    <mergeCell ref="AF46:AF47"/>
    <mergeCell ref="AG46:AG47"/>
    <mergeCell ref="AK46:AK47"/>
    <mergeCell ref="W46:W47"/>
    <mergeCell ref="X46:X47"/>
    <mergeCell ref="Y46:Y47"/>
    <mergeCell ref="Z46:Z47"/>
    <mergeCell ref="AA46:AA47"/>
    <mergeCell ref="AB46:AB47"/>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A48:A49"/>
    <mergeCell ref="B48:B49"/>
    <mergeCell ref="C48:C49"/>
    <mergeCell ref="D48:D49"/>
    <mergeCell ref="E48:E49"/>
    <mergeCell ref="F48:F49"/>
    <mergeCell ref="S50:S51"/>
    <mergeCell ref="T50:T51"/>
    <mergeCell ref="I50:I51"/>
    <mergeCell ref="J50:J51"/>
    <mergeCell ref="K50:K51"/>
    <mergeCell ref="L50:L51"/>
    <mergeCell ref="M50:M51"/>
    <mergeCell ref="N50:N51"/>
    <mergeCell ref="CE48:CE49"/>
    <mergeCell ref="CF48:CF49"/>
    <mergeCell ref="CG48:CG49"/>
    <mergeCell ref="A50:A51"/>
    <mergeCell ref="B50:B51"/>
    <mergeCell ref="C50:C51"/>
    <mergeCell ref="D50:D51"/>
    <mergeCell ref="E50:E51"/>
    <mergeCell ref="F50:F51"/>
    <mergeCell ref="H50:H51"/>
    <mergeCell ref="AF48:AF49"/>
    <mergeCell ref="AG48:AG49"/>
    <mergeCell ref="AK48:AK49"/>
    <mergeCell ref="CB48:CB49"/>
    <mergeCell ref="CC48:CC49"/>
    <mergeCell ref="CD48:CD49"/>
    <mergeCell ref="Z48:Z49"/>
    <mergeCell ref="AA48:AA49"/>
    <mergeCell ref="AB48:AB49"/>
    <mergeCell ref="AC48:AC49"/>
    <mergeCell ref="AD48:AD49"/>
    <mergeCell ref="AE48:AE49"/>
    <mergeCell ref="T48:T49"/>
    <mergeCell ref="U48:U49"/>
    <mergeCell ref="CF50:CF51"/>
    <mergeCell ref="CG50:CG51"/>
    <mergeCell ref="A52:A53"/>
    <mergeCell ref="B52:B53"/>
    <mergeCell ref="C52:C53"/>
    <mergeCell ref="D52:D53"/>
    <mergeCell ref="E52:E53"/>
    <mergeCell ref="F52:F53"/>
    <mergeCell ref="H52:H53"/>
    <mergeCell ref="I52:I53"/>
    <mergeCell ref="AG50:AG51"/>
    <mergeCell ref="AK50:AK51"/>
    <mergeCell ref="CB50:CB51"/>
    <mergeCell ref="CC50:CC51"/>
    <mergeCell ref="CD50:CD51"/>
    <mergeCell ref="CE50:CE51"/>
    <mergeCell ref="AA50:AA51"/>
    <mergeCell ref="AB50:AB51"/>
    <mergeCell ref="AC50:AC51"/>
    <mergeCell ref="AD50:AD51"/>
    <mergeCell ref="AE50:AE51"/>
    <mergeCell ref="AF50:AF51"/>
    <mergeCell ref="U50:U51"/>
    <mergeCell ref="V50:V51"/>
    <mergeCell ref="W50:W51"/>
    <mergeCell ref="X50:X51"/>
    <mergeCell ref="Y50:Y51"/>
    <mergeCell ref="Z50:Z51"/>
    <mergeCell ref="O50:O51"/>
    <mergeCell ref="P50:P51"/>
    <mergeCell ref="Q50:Q51"/>
    <mergeCell ref="R50:R51"/>
    <mergeCell ref="AF52:AF53"/>
    <mergeCell ref="AG52:AG53"/>
    <mergeCell ref="V52:V53"/>
    <mergeCell ref="W52:W53"/>
    <mergeCell ref="X52:X53"/>
    <mergeCell ref="Y52:Y53"/>
    <mergeCell ref="Z52:Z53"/>
    <mergeCell ref="AA52:AA53"/>
    <mergeCell ref="P52:P53"/>
    <mergeCell ref="Q52:Q53"/>
    <mergeCell ref="R52:R53"/>
    <mergeCell ref="S52:S53"/>
    <mergeCell ref="T52:T53"/>
    <mergeCell ref="U52:U53"/>
    <mergeCell ref="J52:J53"/>
    <mergeCell ref="K52:K53"/>
    <mergeCell ref="L52:L53"/>
    <mergeCell ref="M52:M53"/>
    <mergeCell ref="N52:N53"/>
    <mergeCell ref="O52:O53"/>
    <mergeCell ref="Q54:Q55"/>
    <mergeCell ref="R54:R55"/>
    <mergeCell ref="S54:S55"/>
    <mergeCell ref="T54:T55"/>
    <mergeCell ref="U54:U55"/>
    <mergeCell ref="V54:V55"/>
    <mergeCell ref="K54:K55"/>
    <mergeCell ref="L54:L55"/>
    <mergeCell ref="M54:M55"/>
    <mergeCell ref="N54:N55"/>
    <mergeCell ref="O54:O55"/>
    <mergeCell ref="P54:P55"/>
    <mergeCell ref="CG52:CG53"/>
    <mergeCell ref="A54:A55"/>
    <mergeCell ref="B54:B55"/>
    <mergeCell ref="C54:C55"/>
    <mergeCell ref="D54:D55"/>
    <mergeCell ref="E54:E55"/>
    <mergeCell ref="F54:F55"/>
    <mergeCell ref="H54:H55"/>
    <mergeCell ref="I54:I55"/>
    <mergeCell ref="J54:J55"/>
    <mergeCell ref="AK52:AK53"/>
    <mergeCell ref="CB52:CB53"/>
    <mergeCell ref="CC52:CC53"/>
    <mergeCell ref="CD52:CD53"/>
    <mergeCell ref="CE52:CE53"/>
    <mergeCell ref="CF52:CF53"/>
    <mergeCell ref="AB52:AB53"/>
    <mergeCell ref="AC52:AC53"/>
    <mergeCell ref="AD52:AD53"/>
    <mergeCell ref="AE52:AE53"/>
    <mergeCell ref="CB54:CB55"/>
    <mergeCell ref="CC54:CC55"/>
    <mergeCell ref="CD54:CD55"/>
    <mergeCell ref="CE54:CE55"/>
    <mergeCell ref="CF54:CF55"/>
    <mergeCell ref="CG54:CG55"/>
    <mergeCell ref="AC54:AC55"/>
    <mergeCell ref="AD54:AD55"/>
    <mergeCell ref="AE54:AE55"/>
    <mergeCell ref="AF54:AF55"/>
    <mergeCell ref="AG54:AG55"/>
    <mergeCell ref="AK54:AK55"/>
    <mergeCell ref="W54:W55"/>
    <mergeCell ref="X54:X55"/>
    <mergeCell ref="Y54:Y55"/>
    <mergeCell ref="Z54:Z55"/>
    <mergeCell ref="AA54:AA55"/>
    <mergeCell ref="AB54:AB55"/>
    <mergeCell ref="V56:V57"/>
    <mergeCell ref="W56:W57"/>
    <mergeCell ref="X56:X57"/>
    <mergeCell ref="Y56:Y57"/>
    <mergeCell ref="N56:N57"/>
    <mergeCell ref="O56:O57"/>
    <mergeCell ref="P56:P57"/>
    <mergeCell ref="Q56:Q57"/>
    <mergeCell ref="R56:R57"/>
    <mergeCell ref="S56:S57"/>
    <mergeCell ref="H56:H57"/>
    <mergeCell ref="I56:I57"/>
    <mergeCell ref="J56:J57"/>
    <mergeCell ref="K56:K57"/>
    <mergeCell ref="L56:L57"/>
    <mergeCell ref="M56:M57"/>
    <mergeCell ref="A56:A57"/>
    <mergeCell ref="B56:B57"/>
    <mergeCell ref="C56:C57"/>
    <mergeCell ref="D56:D57"/>
    <mergeCell ref="E56:E57"/>
    <mergeCell ref="F56:F57"/>
    <mergeCell ref="S58:S59"/>
    <mergeCell ref="T58:T59"/>
    <mergeCell ref="I58:I59"/>
    <mergeCell ref="J58:J59"/>
    <mergeCell ref="K58:K59"/>
    <mergeCell ref="L58:L59"/>
    <mergeCell ref="M58:M59"/>
    <mergeCell ref="N58:N59"/>
    <mergeCell ref="CE56:CE57"/>
    <mergeCell ref="CF56:CF57"/>
    <mergeCell ref="CG56:CG57"/>
    <mergeCell ref="A58:A59"/>
    <mergeCell ref="B58:B59"/>
    <mergeCell ref="C58:C59"/>
    <mergeCell ref="D58:D59"/>
    <mergeCell ref="E58:E59"/>
    <mergeCell ref="F58:F59"/>
    <mergeCell ref="H58:H59"/>
    <mergeCell ref="AF56:AF57"/>
    <mergeCell ref="AG56:AG57"/>
    <mergeCell ref="AK56:AK57"/>
    <mergeCell ref="CB56:CB57"/>
    <mergeCell ref="CC56:CC57"/>
    <mergeCell ref="CD56:CD57"/>
    <mergeCell ref="Z56:Z57"/>
    <mergeCell ref="AA56:AA57"/>
    <mergeCell ref="AB56:AB57"/>
    <mergeCell ref="AC56:AC57"/>
    <mergeCell ref="AD56:AD57"/>
    <mergeCell ref="AE56:AE57"/>
    <mergeCell ref="T56:T57"/>
    <mergeCell ref="U56:U57"/>
    <mergeCell ref="CF58:CF59"/>
    <mergeCell ref="CG58:CG59"/>
    <mergeCell ref="A60:A61"/>
    <mergeCell ref="B60:B61"/>
    <mergeCell ref="C60:C61"/>
    <mergeCell ref="D60:D61"/>
    <mergeCell ref="E60:E61"/>
    <mergeCell ref="F60:F61"/>
    <mergeCell ref="H60:H61"/>
    <mergeCell ref="I60:I61"/>
    <mergeCell ref="AG58:AG59"/>
    <mergeCell ref="AK58:AK59"/>
    <mergeCell ref="CB58:CB59"/>
    <mergeCell ref="CC58:CC59"/>
    <mergeCell ref="CD58:CD59"/>
    <mergeCell ref="CE58:CE59"/>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Q58:Q59"/>
    <mergeCell ref="R58:R59"/>
    <mergeCell ref="AF60:AF61"/>
    <mergeCell ref="AG60:AG61"/>
    <mergeCell ref="V60:V61"/>
    <mergeCell ref="W60:W61"/>
    <mergeCell ref="X60:X61"/>
    <mergeCell ref="Y60:Y61"/>
    <mergeCell ref="Z60:Z61"/>
    <mergeCell ref="AA60:AA61"/>
    <mergeCell ref="P60:P61"/>
    <mergeCell ref="Q60:Q61"/>
    <mergeCell ref="R60:R61"/>
    <mergeCell ref="S60:S61"/>
    <mergeCell ref="T60:T61"/>
    <mergeCell ref="U60:U61"/>
    <mergeCell ref="J60:J61"/>
    <mergeCell ref="K60:K61"/>
    <mergeCell ref="L60:L61"/>
    <mergeCell ref="M60:M61"/>
    <mergeCell ref="N60:N61"/>
    <mergeCell ref="O60:O61"/>
    <mergeCell ref="Q62:Q63"/>
    <mergeCell ref="R62:R63"/>
    <mergeCell ref="S62:S63"/>
    <mergeCell ref="T62:T63"/>
    <mergeCell ref="U62:U63"/>
    <mergeCell ref="V62:V63"/>
    <mergeCell ref="K62:K63"/>
    <mergeCell ref="L62:L63"/>
    <mergeCell ref="M62:M63"/>
    <mergeCell ref="N62:N63"/>
    <mergeCell ref="O62:O63"/>
    <mergeCell ref="P62:P63"/>
    <mergeCell ref="CG60:CG61"/>
    <mergeCell ref="A62:A63"/>
    <mergeCell ref="B62:B63"/>
    <mergeCell ref="C62:C63"/>
    <mergeCell ref="D62:D63"/>
    <mergeCell ref="E62:E63"/>
    <mergeCell ref="F62:F63"/>
    <mergeCell ref="H62:H63"/>
    <mergeCell ref="I62:I63"/>
    <mergeCell ref="J62:J63"/>
    <mergeCell ref="AK60:AK61"/>
    <mergeCell ref="CB60:CB61"/>
    <mergeCell ref="CC60:CC61"/>
    <mergeCell ref="CD60:CD61"/>
    <mergeCell ref="CE60:CE61"/>
    <mergeCell ref="CF60:CF61"/>
    <mergeCell ref="AB60:AB61"/>
    <mergeCell ref="AC60:AC61"/>
    <mergeCell ref="AD60:AD61"/>
    <mergeCell ref="AE60:AE61"/>
    <mergeCell ref="CB62:CB63"/>
    <mergeCell ref="CC62:CC63"/>
    <mergeCell ref="CD62:CD63"/>
    <mergeCell ref="CE62:CE63"/>
    <mergeCell ref="CF62:CF63"/>
    <mergeCell ref="CG62:CG63"/>
    <mergeCell ref="AC62:AC63"/>
    <mergeCell ref="AD62:AD63"/>
    <mergeCell ref="AE62:AE63"/>
    <mergeCell ref="AF62:AF63"/>
    <mergeCell ref="AG62:AG63"/>
    <mergeCell ref="AK62:AK63"/>
    <mergeCell ref="W62:W63"/>
    <mergeCell ref="X62:X63"/>
    <mergeCell ref="Y62:Y63"/>
    <mergeCell ref="Z62:Z63"/>
    <mergeCell ref="AA62:AA63"/>
    <mergeCell ref="AB62:AB63"/>
    <mergeCell ref="N64:N65"/>
    <mergeCell ref="O64:O65"/>
    <mergeCell ref="P64:P65"/>
    <mergeCell ref="Q64:Q65"/>
    <mergeCell ref="R64:R65"/>
    <mergeCell ref="S64:S65"/>
    <mergeCell ref="H64:H65"/>
    <mergeCell ref="I64:I65"/>
    <mergeCell ref="J64:J65"/>
    <mergeCell ref="K64:K65"/>
    <mergeCell ref="L64:L65"/>
    <mergeCell ref="M64:M65"/>
    <mergeCell ref="A64:A65"/>
    <mergeCell ref="B64:B65"/>
    <mergeCell ref="C64:C65"/>
    <mergeCell ref="D64:D65"/>
    <mergeCell ref="E64:E65"/>
    <mergeCell ref="F64:F65"/>
    <mergeCell ref="L66:L67"/>
    <mergeCell ref="M66:M67"/>
    <mergeCell ref="N66:N67"/>
    <mergeCell ref="O66:O67"/>
    <mergeCell ref="CF64:CF65"/>
    <mergeCell ref="CG64:CG65"/>
    <mergeCell ref="A66:A67"/>
    <mergeCell ref="B66:B67"/>
    <mergeCell ref="C66:C67"/>
    <mergeCell ref="D66:D67"/>
    <mergeCell ref="E66:E67"/>
    <mergeCell ref="F66:F67"/>
    <mergeCell ref="H66:H67"/>
    <mergeCell ref="I66:I67"/>
    <mergeCell ref="AG64:AG65"/>
    <mergeCell ref="AK64:AK65"/>
    <mergeCell ref="CB64:CB65"/>
    <mergeCell ref="CC64:CC65"/>
    <mergeCell ref="CD64:CD65"/>
    <mergeCell ref="CE64:CE65"/>
    <mergeCell ref="Z64:Z65"/>
    <mergeCell ref="AA64:AA65"/>
    <mergeCell ref="AB64:AB65"/>
    <mergeCell ref="AC64:AC65"/>
    <mergeCell ref="AD64:AD65"/>
    <mergeCell ref="AE64:AE65"/>
    <mergeCell ref="T64:T65"/>
    <mergeCell ref="U64:U65"/>
    <mergeCell ref="V64:V65"/>
    <mergeCell ref="W64:W65"/>
    <mergeCell ref="X64:X65"/>
    <mergeCell ref="Y64:Y65"/>
    <mergeCell ref="A68:A69"/>
    <mergeCell ref="B68:B69"/>
    <mergeCell ref="C68:C69"/>
    <mergeCell ref="D68:D69"/>
    <mergeCell ref="E68:E69"/>
    <mergeCell ref="F68:F69"/>
    <mergeCell ref="CB66:CB67"/>
    <mergeCell ref="CC66:CC67"/>
    <mergeCell ref="CD66:CD67"/>
    <mergeCell ref="CE66:CE67"/>
    <mergeCell ref="CF66:CF67"/>
    <mergeCell ref="CG66:CG67"/>
    <mergeCell ref="AB66:AB67"/>
    <mergeCell ref="AC66:AC67"/>
    <mergeCell ref="AD66:AD67"/>
    <mergeCell ref="AE66:AE67"/>
    <mergeCell ref="AG66:AG67"/>
    <mergeCell ref="AK66:AK67"/>
    <mergeCell ref="V66:V67"/>
    <mergeCell ref="W66:W67"/>
    <mergeCell ref="X66:X67"/>
    <mergeCell ref="Y66:Y67"/>
    <mergeCell ref="Z66:Z67"/>
    <mergeCell ref="AA66:AA67"/>
    <mergeCell ref="P66:P67"/>
    <mergeCell ref="Q66:Q67"/>
    <mergeCell ref="R66:R67"/>
    <mergeCell ref="S66:S67"/>
    <mergeCell ref="T66:T67"/>
    <mergeCell ref="U66:U67"/>
    <mergeCell ref="J66:J67"/>
    <mergeCell ref="K66:K67"/>
    <mergeCell ref="AD68:AD69"/>
    <mergeCell ref="AE68:AE69"/>
    <mergeCell ref="T68:T69"/>
    <mergeCell ref="U68:U69"/>
    <mergeCell ref="V68:V69"/>
    <mergeCell ref="W68:W69"/>
    <mergeCell ref="X68:X69"/>
    <mergeCell ref="Y68:Y69"/>
    <mergeCell ref="N68:N69"/>
    <mergeCell ref="O68:O69"/>
    <mergeCell ref="P68:P69"/>
    <mergeCell ref="Q68:Q69"/>
    <mergeCell ref="R68:R69"/>
    <mergeCell ref="S68:S69"/>
    <mergeCell ref="H68:H69"/>
    <mergeCell ref="I68:I69"/>
    <mergeCell ref="J68:J69"/>
    <mergeCell ref="K68:K69"/>
    <mergeCell ref="L68:L69"/>
    <mergeCell ref="M68:M69"/>
    <mergeCell ref="P70:P71"/>
    <mergeCell ref="Q70:Q71"/>
    <mergeCell ref="R70:R71"/>
    <mergeCell ref="S70:S71"/>
    <mergeCell ref="T70:T71"/>
    <mergeCell ref="U70:U71"/>
    <mergeCell ref="J70:J71"/>
    <mergeCell ref="K70:K71"/>
    <mergeCell ref="L70:L71"/>
    <mergeCell ref="M70:M71"/>
    <mergeCell ref="N70:N71"/>
    <mergeCell ref="O70:O71"/>
    <mergeCell ref="CF68:CF69"/>
    <mergeCell ref="CG68:CG69"/>
    <mergeCell ref="A70:A71"/>
    <mergeCell ref="B70:B71"/>
    <mergeCell ref="C70:C71"/>
    <mergeCell ref="D70:D71"/>
    <mergeCell ref="E70:E71"/>
    <mergeCell ref="F70:F71"/>
    <mergeCell ref="H70:H71"/>
    <mergeCell ref="I70:I71"/>
    <mergeCell ref="AG68:AG69"/>
    <mergeCell ref="AK68:AK69"/>
    <mergeCell ref="CB68:CB69"/>
    <mergeCell ref="CC68:CC69"/>
    <mergeCell ref="CD68:CD69"/>
    <mergeCell ref="CE68:CE69"/>
    <mergeCell ref="Z68:Z69"/>
    <mergeCell ref="AA68:AA69"/>
    <mergeCell ref="AB68:AB69"/>
    <mergeCell ref="AC68:AC69"/>
    <mergeCell ref="CB70:CB71"/>
    <mergeCell ref="CC70:CC71"/>
    <mergeCell ref="CD70:CD71"/>
    <mergeCell ref="CE70:CE71"/>
    <mergeCell ref="CF70:CF71"/>
    <mergeCell ref="CG70:CG71"/>
    <mergeCell ref="AB70:AB71"/>
    <mergeCell ref="AC70:AC71"/>
    <mergeCell ref="AD70:AD71"/>
    <mergeCell ref="AE70:AE71"/>
    <mergeCell ref="AG70:AG71"/>
    <mergeCell ref="AK70:AK71"/>
    <mergeCell ref="V70:V71"/>
    <mergeCell ref="W70:W71"/>
    <mergeCell ref="X70:X71"/>
    <mergeCell ref="Y70:Y71"/>
    <mergeCell ref="Z70:Z71"/>
    <mergeCell ref="AA70:AA71"/>
    <mergeCell ref="N72:N73"/>
    <mergeCell ref="O72:O73"/>
    <mergeCell ref="P72:P73"/>
    <mergeCell ref="Q72:Q73"/>
    <mergeCell ref="R72:R73"/>
    <mergeCell ref="S72:S73"/>
    <mergeCell ref="H72:H73"/>
    <mergeCell ref="I72:I73"/>
    <mergeCell ref="J72:J73"/>
    <mergeCell ref="K72:K73"/>
    <mergeCell ref="L72:L73"/>
    <mergeCell ref="M72:M73"/>
    <mergeCell ref="A72:A73"/>
    <mergeCell ref="B72:B73"/>
    <mergeCell ref="C72:C73"/>
    <mergeCell ref="D72:D73"/>
    <mergeCell ref="E72:E73"/>
    <mergeCell ref="F72:F73"/>
    <mergeCell ref="L74:L75"/>
    <mergeCell ref="M74:M75"/>
    <mergeCell ref="N74:N75"/>
    <mergeCell ref="O74:O75"/>
    <mergeCell ref="CF72:CF73"/>
    <mergeCell ref="CG72:CG73"/>
    <mergeCell ref="A74:A75"/>
    <mergeCell ref="B74:B75"/>
    <mergeCell ref="C74:C75"/>
    <mergeCell ref="D74:D75"/>
    <mergeCell ref="E74:E75"/>
    <mergeCell ref="F74:F75"/>
    <mergeCell ref="H74:H75"/>
    <mergeCell ref="I74:I75"/>
    <mergeCell ref="AG72:AG73"/>
    <mergeCell ref="AK72:AK73"/>
    <mergeCell ref="CB72:CB73"/>
    <mergeCell ref="CC72:CC73"/>
    <mergeCell ref="CD72:CD73"/>
    <mergeCell ref="CE72:CE73"/>
    <mergeCell ref="Z72:Z73"/>
    <mergeCell ref="AA72:AA73"/>
    <mergeCell ref="AB72:AB73"/>
    <mergeCell ref="AC72:AC73"/>
    <mergeCell ref="AD72:AD73"/>
    <mergeCell ref="AE72:AE73"/>
    <mergeCell ref="T72:T73"/>
    <mergeCell ref="U72:U73"/>
    <mergeCell ref="V72:V73"/>
    <mergeCell ref="W72:W73"/>
    <mergeCell ref="X72:X73"/>
    <mergeCell ref="Y72:Y73"/>
    <mergeCell ref="A76:A77"/>
    <mergeCell ref="B76:B77"/>
    <mergeCell ref="C76:C77"/>
    <mergeCell ref="D76:D77"/>
    <mergeCell ref="E76:E77"/>
    <mergeCell ref="F76:F77"/>
    <mergeCell ref="CB74:CB75"/>
    <mergeCell ref="CC74:CC75"/>
    <mergeCell ref="CD74:CD75"/>
    <mergeCell ref="CE74:CE75"/>
    <mergeCell ref="CF74:CF75"/>
    <mergeCell ref="CG74:CG75"/>
    <mergeCell ref="AB74:AB75"/>
    <mergeCell ref="AC74:AC75"/>
    <mergeCell ref="AD74:AD75"/>
    <mergeCell ref="AE74:AE75"/>
    <mergeCell ref="AG74:AG75"/>
    <mergeCell ref="AK74:AK75"/>
    <mergeCell ref="V74:V75"/>
    <mergeCell ref="W74:W75"/>
    <mergeCell ref="X74:X75"/>
    <mergeCell ref="Y74:Y75"/>
    <mergeCell ref="Z74:Z75"/>
    <mergeCell ref="AA74:AA75"/>
    <mergeCell ref="P74:P75"/>
    <mergeCell ref="Q74:Q75"/>
    <mergeCell ref="R74:R75"/>
    <mergeCell ref="S74:S75"/>
    <mergeCell ref="T74:T75"/>
    <mergeCell ref="U74:U75"/>
    <mergeCell ref="J74:J75"/>
    <mergeCell ref="K74:K75"/>
    <mergeCell ref="AD76:AD77"/>
    <mergeCell ref="AE76:AE77"/>
    <mergeCell ref="T76:T77"/>
    <mergeCell ref="U76:U77"/>
    <mergeCell ref="V76:V77"/>
    <mergeCell ref="W76:W77"/>
    <mergeCell ref="X76:X77"/>
    <mergeCell ref="Y76:Y77"/>
    <mergeCell ref="N76:N77"/>
    <mergeCell ref="O76:O77"/>
    <mergeCell ref="P76:P77"/>
    <mergeCell ref="Q76:Q77"/>
    <mergeCell ref="R76:R77"/>
    <mergeCell ref="S76:S77"/>
    <mergeCell ref="H76:H77"/>
    <mergeCell ref="I76:I77"/>
    <mergeCell ref="J76:J77"/>
    <mergeCell ref="K76:K77"/>
    <mergeCell ref="L76:L77"/>
    <mergeCell ref="M76:M77"/>
    <mergeCell ref="P78:P79"/>
    <mergeCell ref="Q78:Q79"/>
    <mergeCell ref="R78:R79"/>
    <mergeCell ref="S78:S79"/>
    <mergeCell ref="T78:T79"/>
    <mergeCell ref="U78:U79"/>
    <mergeCell ref="J78:J79"/>
    <mergeCell ref="K78:K79"/>
    <mergeCell ref="L78:L79"/>
    <mergeCell ref="M78:M79"/>
    <mergeCell ref="N78:N79"/>
    <mergeCell ref="O78:O79"/>
    <mergeCell ref="CF76:CF77"/>
    <mergeCell ref="CG76:CG77"/>
    <mergeCell ref="A78:A79"/>
    <mergeCell ref="B78:B79"/>
    <mergeCell ref="C78:C79"/>
    <mergeCell ref="D78:D79"/>
    <mergeCell ref="E78:E79"/>
    <mergeCell ref="F78:F79"/>
    <mergeCell ref="H78:H79"/>
    <mergeCell ref="I78:I79"/>
    <mergeCell ref="AG76:AG77"/>
    <mergeCell ref="AK76:AK77"/>
    <mergeCell ref="CB76:CB77"/>
    <mergeCell ref="CC76:CC77"/>
    <mergeCell ref="CD76:CD77"/>
    <mergeCell ref="CE76:CE77"/>
    <mergeCell ref="Z76:Z77"/>
    <mergeCell ref="AA76:AA77"/>
    <mergeCell ref="AB76:AB77"/>
    <mergeCell ref="AC76:AC77"/>
    <mergeCell ref="CB78:CB79"/>
    <mergeCell ref="CC78:CC79"/>
    <mergeCell ref="CD78:CD79"/>
    <mergeCell ref="CE78:CE79"/>
    <mergeCell ref="CF78:CF79"/>
    <mergeCell ref="CG78:CG79"/>
    <mergeCell ref="AB78:AB79"/>
    <mergeCell ref="AC78:AC79"/>
    <mergeCell ref="AD78:AD79"/>
    <mergeCell ref="AE78:AE79"/>
    <mergeCell ref="AG78:AG79"/>
    <mergeCell ref="AK78:AK79"/>
    <mergeCell ref="V78:V79"/>
    <mergeCell ref="W78:W79"/>
    <mergeCell ref="X78:X79"/>
    <mergeCell ref="Y78:Y79"/>
    <mergeCell ref="Z78:Z79"/>
    <mergeCell ref="AA78:AA79"/>
    <mergeCell ref="N80:N81"/>
    <mergeCell ref="O80:O81"/>
    <mergeCell ref="P80:P81"/>
    <mergeCell ref="Q80:Q81"/>
    <mergeCell ref="R80:R81"/>
    <mergeCell ref="S80:S81"/>
    <mergeCell ref="H80:H81"/>
    <mergeCell ref="I80:I81"/>
    <mergeCell ref="J80:J81"/>
    <mergeCell ref="K80:K81"/>
    <mergeCell ref="L80:L81"/>
    <mergeCell ref="M80:M81"/>
    <mergeCell ref="A80:A81"/>
    <mergeCell ref="B80:B81"/>
    <mergeCell ref="C80:C81"/>
    <mergeCell ref="D80:D81"/>
    <mergeCell ref="E80:E81"/>
    <mergeCell ref="F80:F81"/>
    <mergeCell ref="L82:L83"/>
    <mergeCell ref="M82:M83"/>
    <mergeCell ref="N82:N83"/>
    <mergeCell ref="O82:O83"/>
    <mergeCell ref="CF80:CF81"/>
    <mergeCell ref="CG80:CG81"/>
    <mergeCell ref="A82:A83"/>
    <mergeCell ref="B82:B83"/>
    <mergeCell ref="C82:C83"/>
    <mergeCell ref="D82:D83"/>
    <mergeCell ref="E82:E83"/>
    <mergeCell ref="F82:F83"/>
    <mergeCell ref="H82:H83"/>
    <mergeCell ref="I82:I83"/>
    <mergeCell ref="AG80:AG81"/>
    <mergeCell ref="AK80:AK81"/>
    <mergeCell ref="CB80:CB81"/>
    <mergeCell ref="CC80:CC81"/>
    <mergeCell ref="CD80:CD81"/>
    <mergeCell ref="CE80:CE81"/>
    <mergeCell ref="Z80:Z81"/>
    <mergeCell ref="AA80:AA81"/>
    <mergeCell ref="AB80:AB81"/>
    <mergeCell ref="AC80:AC81"/>
    <mergeCell ref="AD80:AD81"/>
    <mergeCell ref="AE80:AE81"/>
    <mergeCell ref="T80:T81"/>
    <mergeCell ref="U80:U81"/>
    <mergeCell ref="V80:V81"/>
    <mergeCell ref="W80:W81"/>
    <mergeCell ref="X80:X81"/>
    <mergeCell ref="Y80:Y81"/>
    <mergeCell ref="A84:A85"/>
    <mergeCell ref="B84:B85"/>
    <mergeCell ref="C84:C85"/>
    <mergeCell ref="D84:D85"/>
    <mergeCell ref="E84:E85"/>
    <mergeCell ref="F84:F85"/>
    <mergeCell ref="CB82:CB83"/>
    <mergeCell ref="CC82:CC83"/>
    <mergeCell ref="CD82:CD83"/>
    <mergeCell ref="CE82:CE83"/>
    <mergeCell ref="CF82:CF83"/>
    <mergeCell ref="CG82:CG83"/>
    <mergeCell ref="AB82:AB83"/>
    <mergeCell ref="AC82:AC83"/>
    <mergeCell ref="AD82:AD83"/>
    <mergeCell ref="AE82:AE83"/>
    <mergeCell ref="AG82:AG83"/>
    <mergeCell ref="AK82:AK83"/>
    <mergeCell ref="V82:V83"/>
    <mergeCell ref="W82:W83"/>
    <mergeCell ref="X82:X83"/>
    <mergeCell ref="Y82:Y83"/>
    <mergeCell ref="Z82:Z83"/>
    <mergeCell ref="AA82:AA83"/>
    <mergeCell ref="P82:P83"/>
    <mergeCell ref="Q82:Q83"/>
    <mergeCell ref="R82:R83"/>
    <mergeCell ref="S82:S83"/>
    <mergeCell ref="T82:T83"/>
    <mergeCell ref="U82:U83"/>
    <mergeCell ref="J82:J83"/>
    <mergeCell ref="K82:K83"/>
    <mergeCell ref="AD84:AD85"/>
    <mergeCell ref="AE84:AE85"/>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P86:P87"/>
    <mergeCell ref="Q86:Q87"/>
    <mergeCell ref="R86:R87"/>
    <mergeCell ref="S86:S87"/>
    <mergeCell ref="T86:T87"/>
    <mergeCell ref="U86:U87"/>
    <mergeCell ref="J86:J87"/>
    <mergeCell ref="K86:K87"/>
    <mergeCell ref="L86:L87"/>
    <mergeCell ref="M86:M87"/>
    <mergeCell ref="N86:N87"/>
    <mergeCell ref="O86:O87"/>
    <mergeCell ref="CF84:CF85"/>
    <mergeCell ref="CG84:CG85"/>
    <mergeCell ref="A86:A87"/>
    <mergeCell ref="B86:B87"/>
    <mergeCell ref="C86:C87"/>
    <mergeCell ref="D86:D87"/>
    <mergeCell ref="E86:E87"/>
    <mergeCell ref="F86:F87"/>
    <mergeCell ref="H86:H87"/>
    <mergeCell ref="I86:I87"/>
    <mergeCell ref="AG84:AG85"/>
    <mergeCell ref="AK84:AK85"/>
    <mergeCell ref="CB84:CB85"/>
    <mergeCell ref="CC84:CC85"/>
    <mergeCell ref="CD84:CD85"/>
    <mergeCell ref="CE84:CE85"/>
    <mergeCell ref="Z84:Z85"/>
    <mergeCell ref="AA84:AA85"/>
    <mergeCell ref="AB84:AB85"/>
    <mergeCell ref="AC84:AC85"/>
    <mergeCell ref="CB86:CB87"/>
    <mergeCell ref="CC86:CC87"/>
    <mergeCell ref="CD86:CD87"/>
    <mergeCell ref="CE86:CE87"/>
    <mergeCell ref="CF86:CF87"/>
    <mergeCell ref="CG86:CG87"/>
    <mergeCell ref="AB86:AB87"/>
    <mergeCell ref="AC86:AC87"/>
    <mergeCell ref="AD86:AD87"/>
    <mergeCell ref="AE86:AE87"/>
    <mergeCell ref="AG86:AG87"/>
    <mergeCell ref="AK86:AK87"/>
    <mergeCell ref="V86:V87"/>
    <mergeCell ref="W86:W87"/>
    <mergeCell ref="X86:X87"/>
    <mergeCell ref="Y86:Y87"/>
    <mergeCell ref="Z86:Z87"/>
    <mergeCell ref="AA86:AA87"/>
    <mergeCell ref="N88:N89"/>
    <mergeCell ref="O88:O89"/>
    <mergeCell ref="P88:P89"/>
    <mergeCell ref="Q88:Q89"/>
    <mergeCell ref="R88:R89"/>
    <mergeCell ref="S88:S89"/>
    <mergeCell ref="H88:H89"/>
    <mergeCell ref="I88:I89"/>
    <mergeCell ref="J88:J89"/>
    <mergeCell ref="K88:K89"/>
    <mergeCell ref="L88:L89"/>
    <mergeCell ref="M88:M89"/>
    <mergeCell ref="A88:A89"/>
    <mergeCell ref="B88:B89"/>
    <mergeCell ref="C88:C89"/>
    <mergeCell ref="D88:D89"/>
    <mergeCell ref="E88:E89"/>
    <mergeCell ref="F88:F89"/>
    <mergeCell ref="L90:L91"/>
    <mergeCell ref="M90:M91"/>
    <mergeCell ref="N90:N91"/>
    <mergeCell ref="O90:O91"/>
    <mergeCell ref="CF88:CF89"/>
    <mergeCell ref="CG88:CG89"/>
    <mergeCell ref="A90:A91"/>
    <mergeCell ref="B90:B91"/>
    <mergeCell ref="C90:C91"/>
    <mergeCell ref="D90:D91"/>
    <mergeCell ref="E90:E91"/>
    <mergeCell ref="F90:F91"/>
    <mergeCell ref="H90:H91"/>
    <mergeCell ref="I90:I91"/>
    <mergeCell ref="AG88:AG89"/>
    <mergeCell ref="AK88:AK89"/>
    <mergeCell ref="CB88:CB89"/>
    <mergeCell ref="CC88:CC89"/>
    <mergeCell ref="CD88:CD89"/>
    <mergeCell ref="CE88:CE89"/>
    <mergeCell ref="Z88:Z89"/>
    <mergeCell ref="AA88:AA89"/>
    <mergeCell ref="AB88:AB89"/>
    <mergeCell ref="AC88:AC89"/>
    <mergeCell ref="AD88:AD89"/>
    <mergeCell ref="AE88:AE89"/>
    <mergeCell ref="T88:T89"/>
    <mergeCell ref="U88:U89"/>
    <mergeCell ref="V88:V89"/>
    <mergeCell ref="W88:W89"/>
    <mergeCell ref="X88:X89"/>
    <mergeCell ref="Y88:Y89"/>
    <mergeCell ref="A92:A93"/>
    <mergeCell ref="B92:B93"/>
    <mergeCell ref="C92:C93"/>
    <mergeCell ref="D92:D93"/>
    <mergeCell ref="E92:E93"/>
    <mergeCell ref="F92:F93"/>
    <mergeCell ref="CB90:CB91"/>
    <mergeCell ref="CC90:CC91"/>
    <mergeCell ref="CD90:CD91"/>
    <mergeCell ref="CE90:CE91"/>
    <mergeCell ref="CF90:CF91"/>
    <mergeCell ref="CG90:CG91"/>
    <mergeCell ref="AB90:AB91"/>
    <mergeCell ref="AC90:AC91"/>
    <mergeCell ref="AD90:AD91"/>
    <mergeCell ref="AE90:AE91"/>
    <mergeCell ref="AG90:AG91"/>
    <mergeCell ref="AK90:AK91"/>
    <mergeCell ref="V90:V91"/>
    <mergeCell ref="W90:W91"/>
    <mergeCell ref="X90:X91"/>
    <mergeCell ref="Y90:Y91"/>
    <mergeCell ref="Z90:Z91"/>
    <mergeCell ref="AA90:AA91"/>
    <mergeCell ref="P90:P91"/>
    <mergeCell ref="Q90:Q91"/>
    <mergeCell ref="R90:R91"/>
    <mergeCell ref="S90:S91"/>
    <mergeCell ref="T90:T91"/>
    <mergeCell ref="U90:U91"/>
    <mergeCell ref="J90:J91"/>
    <mergeCell ref="K90:K91"/>
    <mergeCell ref="AD92:AD93"/>
    <mergeCell ref="AE92:AE93"/>
    <mergeCell ref="T92:T93"/>
    <mergeCell ref="U92:U93"/>
    <mergeCell ref="V92:V93"/>
    <mergeCell ref="W92:W93"/>
    <mergeCell ref="X92:X93"/>
    <mergeCell ref="Y92:Y93"/>
    <mergeCell ref="N92:N93"/>
    <mergeCell ref="O92:O93"/>
    <mergeCell ref="P92:P93"/>
    <mergeCell ref="Q92:Q93"/>
    <mergeCell ref="R92:R93"/>
    <mergeCell ref="S92:S93"/>
    <mergeCell ref="H92:H93"/>
    <mergeCell ref="I92:I93"/>
    <mergeCell ref="J92:J93"/>
    <mergeCell ref="K92:K93"/>
    <mergeCell ref="L92:L93"/>
    <mergeCell ref="M92:M93"/>
    <mergeCell ref="P94:P95"/>
    <mergeCell ref="Q94:Q95"/>
    <mergeCell ref="R94:R95"/>
    <mergeCell ref="S94:S95"/>
    <mergeCell ref="T94:T95"/>
    <mergeCell ref="U94:U95"/>
    <mergeCell ref="J94:J95"/>
    <mergeCell ref="K94:K95"/>
    <mergeCell ref="L94:L95"/>
    <mergeCell ref="M94:M95"/>
    <mergeCell ref="N94:N95"/>
    <mergeCell ref="O94:O95"/>
    <mergeCell ref="CF92:CF93"/>
    <mergeCell ref="CG92:CG93"/>
    <mergeCell ref="A94:A95"/>
    <mergeCell ref="B94:B95"/>
    <mergeCell ref="C94:C95"/>
    <mergeCell ref="D94:D95"/>
    <mergeCell ref="E94:E95"/>
    <mergeCell ref="F94:F95"/>
    <mergeCell ref="H94:H95"/>
    <mergeCell ref="I94:I95"/>
    <mergeCell ref="AG92:AG93"/>
    <mergeCell ref="AK92:AK93"/>
    <mergeCell ref="CB92:CB93"/>
    <mergeCell ref="CC92:CC93"/>
    <mergeCell ref="CD92:CD93"/>
    <mergeCell ref="CE92:CE93"/>
    <mergeCell ref="Z92:Z93"/>
    <mergeCell ref="AA92:AA93"/>
    <mergeCell ref="AB92:AB93"/>
    <mergeCell ref="AC92:AC93"/>
    <mergeCell ref="CB94:CB95"/>
    <mergeCell ref="CC94:CC95"/>
    <mergeCell ref="CD94:CD95"/>
    <mergeCell ref="CE94:CE95"/>
    <mergeCell ref="CF94:CF95"/>
    <mergeCell ref="CG94:CG95"/>
    <mergeCell ref="AB94:AB95"/>
    <mergeCell ref="AC94:AC95"/>
    <mergeCell ref="AD94:AD95"/>
    <mergeCell ref="AE94:AE95"/>
    <mergeCell ref="AG94:AG95"/>
    <mergeCell ref="AK94:AK95"/>
    <mergeCell ref="V94:V95"/>
    <mergeCell ref="W94:W95"/>
    <mergeCell ref="X94:X95"/>
    <mergeCell ref="Y94:Y95"/>
    <mergeCell ref="Z94:Z95"/>
    <mergeCell ref="AA94:AA95"/>
    <mergeCell ref="V96:V97"/>
    <mergeCell ref="W96:W97"/>
    <mergeCell ref="X96:X97"/>
    <mergeCell ref="Y96:Y97"/>
    <mergeCell ref="N96:N97"/>
    <mergeCell ref="O96:O97"/>
    <mergeCell ref="P96:P97"/>
    <mergeCell ref="Q96:Q97"/>
    <mergeCell ref="R96:R97"/>
    <mergeCell ref="S96:S97"/>
    <mergeCell ref="H96:H97"/>
    <mergeCell ref="I96:I97"/>
    <mergeCell ref="J96:J97"/>
    <mergeCell ref="K96:K97"/>
    <mergeCell ref="L96:L97"/>
    <mergeCell ref="M96:M97"/>
    <mergeCell ref="A96:A97"/>
    <mergeCell ref="B96:B97"/>
    <mergeCell ref="C96:C97"/>
    <mergeCell ref="D96:D97"/>
    <mergeCell ref="E96:E97"/>
    <mergeCell ref="F96:F97"/>
    <mergeCell ref="S98:S99"/>
    <mergeCell ref="T98:T99"/>
    <mergeCell ref="I98:I99"/>
    <mergeCell ref="J98:J99"/>
    <mergeCell ref="K98:K99"/>
    <mergeCell ref="L98:L99"/>
    <mergeCell ref="M98:M99"/>
    <mergeCell ref="N98:N99"/>
    <mergeCell ref="CE96:CE97"/>
    <mergeCell ref="CF96:CF97"/>
    <mergeCell ref="CG96:CG97"/>
    <mergeCell ref="A98:A99"/>
    <mergeCell ref="B98:B99"/>
    <mergeCell ref="C98:C99"/>
    <mergeCell ref="D98:D99"/>
    <mergeCell ref="E98:E99"/>
    <mergeCell ref="F98:F99"/>
    <mergeCell ref="H98:H99"/>
    <mergeCell ref="AF96:AF97"/>
    <mergeCell ref="AG96:AG97"/>
    <mergeCell ref="AK96:AK97"/>
    <mergeCell ref="CB96:CB97"/>
    <mergeCell ref="CC96:CC97"/>
    <mergeCell ref="CD96:CD97"/>
    <mergeCell ref="Z96:Z97"/>
    <mergeCell ref="AA96:AA97"/>
    <mergeCell ref="AB96:AB97"/>
    <mergeCell ref="AC96:AC97"/>
    <mergeCell ref="AD96:AD97"/>
    <mergeCell ref="AE96:AE97"/>
    <mergeCell ref="T96:T97"/>
    <mergeCell ref="U96:U97"/>
    <mergeCell ref="CF98:CF99"/>
    <mergeCell ref="CG98:CG99"/>
    <mergeCell ref="A100:A101"/>
    <mergeCell ref="B100:B101"/>
    <mergeCell ref="C100:C101"/>
    <mergeCell ref="D100:D101"/>
    <mergeCell ref="E100:E101"/>
    <mergeCell ref="F100:F101"/>
    <mergeCell ref="H100:H101"/>
    <mergeCell ref="I100:I101"/>
    <mergeCell ref="AG98:AG99"/>
    <mergeCell ref="AK98:AK99"/>
    <mergeCell ref="CB98:CB99"/>
    <mergeCell ref="CC98:CC99"/>
    <mergeCell ref="CD98:CD99"/>
    <mergeCell ref="CE98:CE99"/>
    <mergeCell ref="AA98:AA99"/>
    <mergeCell ref="AB98:AB99"/>
    <mergeCell ref="AC98:AC99"/>
    <mergeCell ref="AD98:AD99"/>
    <mergeCell ref="AE98:AE99"/>
    <mergeCell ref="AF98:AF99"/>
    <mergeCell ref="U98:U99"/>
    <mergeCell ref="V98:V99"/>
    <mergeCell ref="W98:W99"/>
    <mergeCell ref="X98:X99"/>
    <mergeCell ref="Y98:Y99"/>
    <mergeCell ref="Z98:Z99"/>
    <mergeCell ref="O98:O99"/>
    <mergeCell ref="P98:P99"/>
    <mergeCell ref="Q98:Q99"/>
    <mergeCell ref="R98:R99"/>
    <mergeCell ref="CD100:CD101"/>
    <mergeCell ref="CE100:CE101"/>
    <mergeCell ref="CF100:CF101"/>
    <mergeCell ref="CG100:CG101"/>
    <mergeCell ref="A102:A103"/>
    <mergeCell ref="B102:B103"/>
    <mergeCell ref="C102:C103"/>
    <mergeCell ref="D102:D103"/>
    <mergeCell ref="E102:E103"/>
    <mergeCell ref="F102:F103"/>
    <mergeCell ref="AE100:AE101"/>
    <mergeCell ref="AF100:AF101"/>
    <mergeCell ref="AG100:AG101"/>
    <mergeCell ref="AK100:AK101"/>
    <mergeCell ref="CB100:CB101"/>
    <mergeCell ref="CC100:CC101"/>
    <mergeCell ref="Y100:Y101"/>
    <mergeCell ref="Z100:Z101"/>
    <mergeCell ref="AA100:AA101"/>
    <mergeCell ref="AB100:AB101"/>
    <mergeCell ref="AC100:AC101"/>
    <mergeCell ref="AD100:AD101"/>
    <mergeCell ref="A104:A105"/>
    <mergeCell ref="B104:B105"/>
    <mergeCell ref="C104:C105"/>
    <mergeCell ref="D104:D105"/>
    <mergeCell ref="E104:E105"/>
    <mergeCell ref="F104:F105"/>
    <mergeCell ref="CB102:CB103"/>
    <mergeCell ref="CC102:CC103"/>
    <mergeCell ref="CD102:CD103"/>
    <mergeCell ref="CE102:CE103"/>
    <mergeCell ref="CF102:CF103"/>
    <mergeCell ref="CG102:CG103"/>
    <mergeCell ref="AC102:AC103"/>
    <mergeCell ref="AD102:AD103"/>
    <mergeCell ref="AE102:AE103"/>
    <mergeCell ref="AF102:AF103"/>
    <mergeCell ref="AG102:AG103"/>
    <mergeCell ref="AK102:AK103"/>
    <mergeCell ref="H102:H103"/>
    <mergeCell ref="I102:I103"/>
    <mergeCell ref="Y102:Y103"/>
    <mergeCell ref="Z102:Z103"/>
    <mergeCell ref="AA102:AA103"/>
    <mergeCell ref="AB102:AB103"/>
    <mergeCell ref="CB104:CB105"/>
    <mergeCell ref="CC104:CC105"/>
    <mergeCell ref="CD104:CD105"/>
    <mergeCell ref="CE104:CE105"/>
    <mergeCell ref="CF104:CF105"/>
    <mergeCell ref="CG104:CG105"/>
    <mergeCell ref="AC104:AC105"/>
    <mergeCell ref="AD104:AD105"/>
    <mergeCell ref="AE104:AE105"/>
    <mergeCell ref="AF104:AF105"/>
    <mergeCell ref="AG104:AG105"/>
    <mergeCell ref="AK104:AK105"/>
    <mergeCell ref="H104:H105"/>
    <mergeCell ref="I104:I105"/>
    <mergeCell ref="Y104:Y105"/>
    <mergeCell ref="Z104:Z105"/>
    <mergeCell ref="AA104:AA105"/>
    <mergeCell ref="AB104:AB105"/>
    <mergeCell ref="CC106:CC107"/>
    <mergeCell ref="CD106:CD107"/>
    <mergeCell ref="CE106:CE107"/>
    <mergeCell ref="CF106:CF107"/>
    <mergeCell ref="CG106:CG107"/>
    <mergeCell ref="A108:A109"/>
    <mergeCell ref="B108:B109"/>
    <mergeCell ref="C108:C109"/>
    <mergeCell ref="D108:D109"/>
    <mergeCell ref="E108:E109"/>
    <mergeCell ref="AD106:AD107"/>
    <mergeCell ref="AE106:AE107"/>
    <mergeCell ref="AF106:AF107"/>
    <mergeCell ref="AG106:AG107"/>
    <mergeCell ref="AK106:AK107"/>
    <mergeCell ref="CB106:CB107"/>
    <mergeCell ref="H106:H107"/>
    <mergeCell ref="Y106:Y107"/>
    <mergeCell ref="Z106:Z107"/>
    <mergeCell ref="AA106:AA107"/>
    <mergeCell ref="AB106:AB107"/>
    <mergeCell ref="AC106:AC107"/>
    <mergeCell ref="A106:A107"/>
    <mergeCell ref="B106:B107"/>
    <mergeCell ref="C106:C107"/>
    <mergeCell ref="D106:D107"/>
    <mergeCell ref="E106:E107"/>
    <mergeCell ref="F106:F107"/>
    <mergeCell ref="CE108:CE109"/>
    <mergeCell ref="CF108:CF109"/>
    <mergeCell ref="CG108:CG109"/>
    <mergeCell ref="A110:A111"/>
    <mergeCell ref="B110:B111"/>
    <mergeCell ref="C110:C111"/>
    <mergeCell ref="D110:D111"/>
    <mergeCell ref="E110:E111"/>
    <mergeCell ref="F110:F111"/>
    <mergeCell ref="H110:H111"/>
    <mergeCell ref="AE108:AE109"/>
    <mergeCell ref="AG108:AG109"/>
    <mergeCell ref="AK108:AK109"/>
    <mergeCell ref="CB108:CB109"/>
    <mergeCell ref="CC108:CC109"/>
    <mergeCell ref="CD108:CD109"/>
    <mergeCell ref="Y108:Y109"/>
    <mergeCell ref="Z108:Z109"/>
    <mergeCell ref="AA108:AA109"/>
    <mergeCell ref="AB108:AB109"/>
    <mergeCell ref="AC108:AC109"/>
    <mergeCell ref="AD108:AD109"/>
    <mergeCell ref="F108:F109"/>
    <mergeCell ref="H108:H109"/>
    <mergeCell ref="I108:I109"/>
    <mergeCell ref="J108:J109"/>
    <mergeCell ref="K108:K109"/>
    <mergeCell ref="L108:L109"/>
    <mergeCell ref="K112:K113"/>
    <mergeCell ref="L112:L113"/>
    <mergeCell ref="CC110:CC111"/>
    <mergeCell ref="CD110:CD111"/>
    <mergeCell ref="CE110:CE111"/>
    <mergeCell ref="CF110:CF111"/>
    <mergeCell ref="CG110:CG111"/>
    <mergeCell ref="A112:A113"/>
    <mergeCell ref="B112:B113"/>
    <mergeCell ref="C112:C113"/>
    <mergeCell ref="D112:D113"/>
    <mergeCell ref="E112:E113"/>
    <mergeCell ref="AD110:AD111"/>
    <mergeCell ref="AE110:AE111"/>
    <mergeCell ref="AF110:AF111"/>
    <mergeCell ref="AG110:AG111"/>
    <mergeCell ref="AK110:AK111"/>
    <mergeCell ref="CB110:CB111"/>
    <mergeCell ref="I110:I111"/>
    <mergeCell ref="Y110:Y111"/>
    <mergeCell ref="Z110:Z111"/>
    <mergeCell ref="AA110:AA111"/>
    <mergeCell ref="AB110:AB111"/>
    <mergeCell ref="AC110:AC111"/>
    <mergeCell ref="CG112:CG113"/>
    <mergeCell ref="A114:A115"/>
    <mergeCell ref="B114:B115"/>
    <mergeCell ref="C114:C115"/>
    <mergeCell ref="D114:D115"/>
    <mergeCell ref="E114:E115"/>
    <mergeCell ref="F114:F115"/>
    <mergeCell ref="H114:H115"/>
    <mergeCell ref="Y114:Y115"/>
    <mergeCell ref="Z114:Z115"/>
    <mergeCell ref="AK112:AK113"/>
    <mergeCell ref="CB112:CB113"/>
    <mergeCell ref="CC112:CC113"/>
    <mergeCell ref="CD112:CD113"/>
    <mergeCell ref="CE112:CE113"/>
    <mergeCell ref="CF112:CF113"/>
    <mergeCell ref="AE112:AE113"/>
    <mergeCell ref="AF112:AF113"/>
    <mergeCell ref="AG112:AG113"/>
    <mergeCell ref="AH112:AH113"/>
    <mergeCell ref="AI112:AI113"/>
    <mergeCell ref="AJ112:AJ113"/>
    <mergeCell ref="Y112:Y113"/>
    <mergeCell ref="Z112:Z113"/>
    <mergeCell ref="AA112:AA113"/>
    <mergeCell ref="AB112:AB113"/>
    <mergeCell ref="AC112:AC113"/>
    <mergeCell ref="AD112:AD113"/>
    <mergeCell ref="F112:F113"/>
    <mergeCell ref="H112:H113"/>
    <mergeCell ref="I112:I113"/>
    <mergeCell ref="J112:J113"/>
    <mergeCell ref="CC114:CC115"/>
    <mergeCell ref="CD114:CD115"/>
    <mergeCell ref="CE114:CE115"/>
    <mergeCell ref="CF114:CF115"/>
    <mergeCell ref="CG114:CG115"/>
    <mergeCell ref="A116:A118"/>
    <mergeCell ref="B116:B118"/>
    <mergeCell ref="C116:C118"/>
    <mergeCell ref="D116:D118"/>
    <mergeCell ref="E116:E118"/>
    <mergeCell ref="AG114:AG115"/>
    <mergeCell ref="AH114:AH115"/>
    <mergeCell ref="AI114:AI115"/>
    <mergeCell ref="AJ114:AJ115"/>
    <mergeCell ref="AK114:AK115"/>
    <mergeCell ref="CB114:CB115"/>
    <mergeCell ref="AA114:AA115"/>
    <mergeCell ref="AB114:AB115"/>
    <mergeCell ref="AC114:AC115"/>
    <mergeCell ref="AD114:AD115"/>
    <mergeCell ref="AE114:AE115"/>
    <mergeCell ref="AF114:AF115"/>
    <mergeCell ref="CE116:CE118"/>
    <mergeCell ref="CF116:CF118"/>
    <mergeCell ref="CG116:CG118"/>
    <mergeCell ref="A119:A124"/>
    <mergeCell ref="B119:B124"/>
    <mergeCell ref="C119:C124"/>
    <mergeCell ref="D119:D124"/>
    <mergeCell ref="E119:E124"/>
    <mergeCell ref="F119:F124"/>
    <mergeCell ref="H119:H124"/>
    <mergeCell ref="AI116:AI118"/>
    <mergeCell ref="AJ116:AJ118"/>
    <mergeCell ref="AK116:AK118"/>
    <mergeCell ref="CB116:CB118"/>
    <mergeCell ref="CC116:CC118"/>
    <mergeCell ref="CD116:CD118"/>
    <mergeCell ref="AC116:AC118"/>
    <mergeCell ref="AD116:AD118"/>
    <mergeCell ref="AE116:AE118"/>
    <mergeCell ref="AF116:AF118"/>
    <mergeCell ref="AG116:AG118"/>
    <mergeCell ref="AH116:AH118"/>
    <mergeCell ref="F116:F118"/>
    <mergeCell ref="H116:H118"/>
    <mergeCell ref="Y116:Y118"/>
    <mergeCell ref="Z116:Z118"/>
    <mergeCell ref="AA116:AA118"/>
    <mergeCell ref="AB116:AB118"/>
    <mergeCell ref="CG119:CG124"/>
    <mergeCell ref="A125:A127"/>
    <mergeCell ref="B125:B127"/>
    <mergeCell ref="C125:C127"/>
    <mergeCell ref="D125:D127"/>
    <mergeCell ref="E125:E127"/>
    <mergeCell ref="F125:F127"/>
    <mergeCell ref="G125:G127"/>
    <mergeCell ref="H125:H127"/>
    <mergeCell ref="I125:I127"/>
    <mergeCell ref="AK119:AK124"/>
    <mergeCell ref="CB119:CB124"/>
    <mergeCell ref="CC119:CC124"/>
    <mergeCell ref="CD119:CD124"/>
    <mergeCell ref="CE119:CE124"/>
    <mergeCell ref="CF119:CF124"/>
    <mergeCell ref="AE119:AE124"/>
    <mergeCell ref="AF119:AF124"/>
    <mergeCell ref="AG119:AG124"/>
    <mergeCell ref="AH119:AH124"/>
    <mergeCell ref="AI119:AI124"/>
    <mergeCell ref="AJ119:AJ124"/>
    <mergeCell ref="Y119:Y124"/>
    <mergeCell ref="Z119:Z124"/>
    <mergeCell ref="AA119:AA124"/>
    <mergeCell ref="AB119:AB124"/>
    <mergeCell ref="AC119:AC124"/>
    <mergeCell ref="AD119:AD124"/>
    <mergeCell ref="E128:E129"/>
    <mergeCell ref="F128:F129"/>
    <mergeCell ref="CB125:CB127"/>
    <mergeCell ref="CC125:CC127"/>
    <mergeCell ref="CD125:CD127"/>
    <mergeCell ref="CE125:CE127"/>
    <mergeCell ref="CF125:CF127"/>
    <mergeCell ref="CG125:CG127"/>
    <mergeCell ref="AB125:AB127"/>
    <mergeCell ref="AC125:AC127"/>
    <mergeCell ref="AD125:AD127"/>
    <mergeCell ref="AE125:AE127"/>
    <mergeCell ref="AG125:AG127"/>
    <mergeCell ref="AK125:AK127"/>
    <mergeCell ref="J125:J127"/>
    <mergeCell ref="K125:K127"/>
    <mergeCell ref="L125:L127"/>
    <mergeCell ref="Y125:Y127"/>
    <mergeCell ref="Z125:Z127"/>
    <mergeCell ref="AA125:AA127"/>
    <mergeCell ref="CC128:CC129"/>
    <mergeCell ref="CD128:CD129"/>
    <mergeCell ref="CE128:CE129"/>
    <mergeCell ref="CF128:CF129"/>
    <mergeCell ref="CG128:CG129"/>
    <mergeCell ref="A130:A131"/>
    <mergeCell ref="B130:B131"/>
    <mergeCell ref="C130:C131"/>
    <mergeCell ref="D130:D131"/>
    <mergeCell ref="E130:E131"/>
    <mergeCell ref="AG128:AG129"/>
    <mergeCell ref="AH128:AH129"/>
    <mergeCell ref="AI128:AI129"/>
    <mergeCell ref="AJ128:AJ129"/>
    <mergeCell ref="AK128:AK129"/>
    <mergeCell ref="CB128:CB129"/>
    <mergeCell ref="Z128:Z129"/>
    <mergeCell ref="AA128:AA129"/>
    <mergeCell ref="AB128:AB129"/>
    <mergeCell ref="AC128:AC129"/>
    <mergeCell ref="AD128:AD129"/>
    <mergeCell ref="AE128:AE129"/>
    <mergeCell ref="H128:H129"/>
    <mergeCell ref="I128:I129"/>
    <mergeCell ref="J128:J129"/>
    <mergeCell ref="K128:K129"/>
    <mergeCell ref="L128:L129"/>
    <mergeCell ref="Y128:Y129"/>
    <mergeCell ref="A128:A129"/>
    <mergeCell ref="B128:B129"/>
    <mergeCell ref="C128:C129"/>
    <mergeCell ref="D128:D129"/>
    <mergeCell ref="S132:S135"/>
    <mergeCell ref="T132:T135"/>
    <mergeCell ref="CC130:CC131"/>
    <mergeCell ref="CD130:CD131"/>
    <mergeCell ref="CE130:CE131"/>
    <mergeCell ref="CF130:CF131"/>
    <mergeCell ref="CG130:CG131"/>
    <mergeCell ref="A132:A135"/>
    <mergeCell ref="B132:B135"/>
    <mergeCell ref="C132:C135"/>
    <mergeCell ref="D132:D135"/>
    <mergeCell ref="E132:E135"/>
    <mergeCell ref="AC130:AC131"/>
    <mergeCell ref="AD130:AD131"/>
    <mergeCell ref="AE130:AE131"/>
    <mergeCell ref="AG130:AG131"/>
    <mergeCell ref="AK130:AK131"/>
    <mergeCell ref="CB130:CB131"/>
    <mergeCell ref="F130:F131"/>
    <mergeCell ref="H130:H131"/>
    <mergeCell ref="Y130:Y131"/>
    <mergeCell ref="Z130:Z131"/>
    <mergeCell ref="AA130:AA131"/>
    <mergeCell ref="AB130:AB131"/>
    <mergeCell ref="CG132:CG135"/>
    <mergeCell ref="A136:A138"/>
    <mergeCell ref="B136:B138"/>
    <mergeCell ref="C136:C138"/>
    <mergeCell ref="D136:D138"/>
    <mergeCell ref="E136:E138"/>
    <mergeCell ref="F136:F138"/>
    <mergeCell ref="H136:H138"/>
    <mergeCell ref="I136:I138"/>
    <mergeCell ref="J136:J138"/>
    <mergeCell ref="AK132:AK135"/>
    <mergeCell ref="CB132:CB135"/>
    <mergeCell ref="CC132:CC135"/>
    <mergeCell ref="CD132:CD135"/>
    <mergeCell ref="CE132:CE135"/>
    <mergeCell ref="CF132:CF135"/>
    <mergeCell ref="AA132:AA135"/>
    <mergeCell ref="AB132:AB135"/>
    <mergeCell ref="AC132:AC135"/>
    <mergeCell ref="AD132:AD135"/>
    <mergeCell ref="AE132:AE135"/>
    <mergeCell ref="AG132:AG135"/>
    <mergeCell ref="U132:U135"/>
    <mergeCell ref="V132:V135"/>
    <mergeCell ref="W132:W135"/>
    <mergeCell ref="X132:X135"/>
    <mergeCell ref="Y132:Y135"/>
    <mergeCell ref="Z132:Z135"/>
    <mergeCell ref="F132:F135"/>
    <mergeCell ref="H132:H135"/>
    <mergeCell ref="Q132:Q135"/>
    <mergeCell ref="R132:R135"/>
    <mergeCell ref="E139:E140"/>
    <mergeCell ref="F139:F140"/>
    <mergeCell ref="CC136:CC138"/>
    <mergeCell ref="CD136:CD138"/>
    <mergeCell ref="CE136:CE138"/>
    <mergeCell ref="CF136:CF138"/>
    <mergeCell ref="CG136:CG138"/>
    <mergeCell ref="AF137:AF138"/>
    <mergeCell ref="AC136:AC138"/>
    <mergeCell ref="AD136:AD138"/>
    <mergeCell ref="AE136:AE138"/>
    <mergeCell ref="AG136:AG138"/>
    <mergeCell ref="AK136:AK138"/>
    <mergeCell ref="CB136:CB138"/>
    <mergeCell ref="K136:K138"/>
    <mergeCell ref="L136:L138"/>
    <mergeCell ref="Y136:Y138"/>
    <mergeCell ref="Z136:Z138"/>
    <mergeCell ref="AA136:AA138"/>
    <mergeCell ref="AB136:AB138"/>
    <mergeCell ref="CF139:CF140"/>
    <mergeCell ref="CG139:CG140"/>
    <mergeCell ref="A141:A142"/>
    <mergeCell ref="B141:B142"/>
    <mergeCell ref="C141:C142"/>
    <mergeCell ref="D141:D142"/>
    <mergeCell ref="E141:E142"/>
    <mergeCell ref="F141:F142"/>
    <mergeCell ref="H141:H142"/>
    <mergeCell ref="I141:I142"/>
    <mergeCell ref="AG139:AG140"/>
    <mergeCell ref="AK139:AK140"/>
    <mergeCell ref="CB139:CB140"/>
    <mergeCell ref="CC139:CC140"/>
    <mergeCell ref="CD139:CD140"/>
    <mergeCell ref="CE139:CE140"/>
    <mergeCell ref="Z139:Z140"/>
    <mergeCell ref="AA139:AA140"/>
    <mergeCell ref="AB139:AB140"/>
    <mergeCell ref="AC139:AC140"/>
    <mergeCell ref="AD139:AD140"/>
    <mergeCell ref="AE139:AE140"/>
    <mergeCell ref="H139:H140"/>
    <mergeCell ref="I139:I140"/>
    <mergeCell ref="J139:J140"/>
    <mergeCell ref="K139:K140"/>
    <mergeCell ref="L139:L140"/>
    <mergeCell ref="Y139:Y140"/>
    <mergeCell ref="A139:A140"/>
    <mergeCell ref="B139:B140"/>
    <mergeCell ref="C139:C140"/>
    <mergeCell ref="D139:D140"/>
    <mergeCell ref="E143:E144"/>
    <mergeCell ref="F143:F144"/>
    <mergeCell ref="CB141:CB142"/>
    <mergeCell ref="CC141:CC142"/>
    <mergeCell ref="CD141:CD142"/>
    <mergeCell ref="CE141:CE142"/>
    <mergeCell ref="CF141:CF142"/>
    <mergeCell ref="CG141:CG142"/>
    <mergeCell ref="AB141:AB142"/>
    <mergeCell ref="AC141:AC142"/>
    <mergeCell ref="AD141:AD142"/>
    <mergeCell ref="AE141:AE142"/>
    <mergeCell ref="AG141:AG142"/>
    <mergeCell ref="AK141:AK142"/>
    <mergeCell ref="J141:J142"/>
    <mergeCell ref="K141:K142"/>
    <mergeCell ref="L141:L142"/>
    <mergeCell ref="Y141:Y142"/>
    <mergeCell ref="Z141:Z142"/>
    <mergeCell ref="AA141:AA142"/>
    <mergeCell ref="CF143:CF144"/>
    <mergeCell ref="CG143:CG144"/>
    <mergeCell ref="A145:A146"/>
    <mergeCell ref="B145:B146"/>
    <mergeCell ref="C145:C146"/>
    <mergeCell ref="D145:D146"/>
    <mergeCell ref="E145:E146"/>
    <mergeCell ref="F145:F146"/>
    <mergeCell ref="H145:H146"/>
    <mergeCell ref="I145:I146"/>
    <mergeCell ref="AG143:AG144"/>
    <mergeCell ref="AK143:AK144"/>
    <mergeCell ref="CB143:CB144"/>
    <mergeCell ref="CC143:CC144"/>
    <mergeCell ref="CD143:CD144"/>
    <mergeCell ref="CE143:CE144"/>
    <mergeCell ref="Z143:Z144"/>
    <mergeCell ref="AA143:AA144"/>
    <mergeCell ref="AB143:AB144"/>
    <mergeCell ref="AC143:AC144"/>
    <mergeCell ref="AD143:AD144"/>
    <mergeCell ref="AE143:AE144"/>
    <mergeCell ref="H143:H144"/>
    <mergeCell ref="I143:I144"/>
    <mergeCell ref="J143:J144"/>
    <mergeCell ref="K143:K144"/>
    <mergeCell ref="L143:L144"/>
    <mergeCell ref="Y143:Y144"/>
    <mergeCell ref="A143:A144"/>
    <mergeCell ref="B143:B144"/>
    <mergeCell ref="C143:C144"/>
    <mergeCell ref="D143:D144"/>
    <mergeCell ref="CG145:CG146"/>
    <mergeCell ref="A147:A148"/>
    <mergeCell ref="B147:B148"/>
    <mergeCell ref="C147:C148"/>
    <mergeCell ref="D147:D148"/>
    <mergeCell ref="E147:E148"/>
    <mergeCell ref="F147:F148"/>
    <mergeCell ref="H147:H148"/>
    <mergeCell ref="I147:I148"/>
    <mergeCell ref="J147:J148"/>
    <mergeCell ref="AK145:AK146"/>
    <mergeCell ref="CB145:CB146"/>
    <mergeCell ref="CC145:CC146"/>
    <mergeCell ref="CD145:CD146"/>
    <mergeCell ref="CE145:CE146"/>
    <mergeCell ref="CF145:CF146"/>
    <mergeCell ref="AB145:AB146"/>
    <mergeCell ref="AC145:AC146"/>
    <mergeCell ref="AD145:AD146"/>
    <mergeCell ref="AE145:AE146"/>
    <mergeCell ref="AF145:AF146"/>
    <mergeCell ref="AG145:AG146"/>
    <mergeCell ref="J145:J146"/>
    <mergeCell ref="K145:K146"/>
    <mergeCell ref="L145:L146"/>
    <mergeCell ref="Y145:Y146"/>
    <mergeCell ref="Z145:Z146"/>
    <mergeCell ref="AA145:AA146"/>
    <mergeCell ref="CC147:CC148"/>
    <mergeCell ref="CD147:CD148"/>
    <mergeCell ref="CE147:CE148"/>
    <mergeCell ref="CF147:CF148"/>
    <mergeCell ref="CG147:CG148"/>
    <mergeCell ref="A149:A150"/>
    <mergeCell ref="B149:B150"/>
    <mergeCell ref="C149:C150"/>
    <mergeCell ref="D149:D150"/>
    <mergeCell ref="E149:E150"/>
    <mergeCell ref="AC147:AC148"/>
    <mergeCell ref="AD147:AD148"/>
    <mergeCell ref="AE147:AE148"/>
    <mergeCell ref="AG147:AG148"/>
    <mergeCell ref="AK147:AK148"/>
    <mergeCell ref="CB147:CB148"/>
    <mergeCell ref="K147:K148"/>
    <mergeCell ref="L147:L148"/>
    <mergeCell ref="Y147:Y148"/>
    <mergeCell ref="Z147:Z148"/>
    <mergeCell ref="AA147:AA148"/>
    <mergeCell ref="AB147:AB148"/>
    <mergeCell ref="CD149:CD150"/>
    <mergeCell ref="CE149:CE150"/>
    <mergeCell ref="CF149:CF150"/>
    <mergeCell ref="CG149:CG150"/>
    <mergeCell ref="A151:A152"/>
    <mergeCell ref="B151:B152"/>
    <mergeCell ref="C151:C152"/>
    <mergeCell ref="D151:D152"/>
    <mergeCell ref="E151:E152"/>
    <mergeCell ref="F151:F152"/>
    <mergeCell ref="AD149:AD150"/>
    <mergeCell ref="AE149:AE150"/>
    <mergeCell ref="AG149:AG150"/>
    <mergeCell ref="AK149:AK150"/>
    <mergeCell ref="CB149:CB150"/>
    <mergeCell ref="CC149:CC150"/>
    <mergeCell ref="L149:L150"/>
    <mergeCell ref="Y149:Y150"/>
    <mergeCell ref="Z149:Z150"/>
    <mergeCell ref="AA149:AA150"/>
    <mergeCell ref="AB149:AB150"/>
    <mergeCell ref="AC149:AC150"/>
    <mergeCell ref="F149:F150"/>
    <mergeCell ref="G149:G150"/>
    <mergeCell ref="H149:H150"/>
    <mergeCell ref="I149:I150"/>
    <mergeCell ref="J149:J150"/>
    <mergeCell ref="K149:K150"/>
    <mergeCell ref="CE151:CE152"/>
    <mergeCell ref="CF151:CF152"/>
    <mergeCell ref="CG151:CG152"/>
    <mergeCell ref="A153:A154"/>
    <mergeCell ref="B153:B154"/>
    <mergeCell ref="C153:C154"/>
    <mergeCell ref="D153:D154"/>
    <mergeCell ref="E153:E154"/>
    <mergeCell ref="F153:F154"/>
    <mergeCell ref="G153:G154"/>
    <mergeCell ref="AE151:AE152"/>
    <mergeCell ref="AG151:AG152"/>
    <mergeCell ref="AK151:AK152"/>
    <mergeCell ref="CB151:CB152"/>
    <mergeCell ref="CC151:CC152"/>
    <mergeCell ref="CD151:CD152"/>
    <mergeCell ref="Y151:Y152"/>
    <mergeCell ref="Z151:Z152"/>
    <mergeCell ref="AA151:AA152"/>
    <mergeCell ref="AB151:AB152"/>
    <mergeCell ref="AC151:AC152"/>
    <mergeCell ref="AD151:AD152"/>
    <mergeCell ref="G151:G152"/>
    <mergeCell ref="H151:H152"/>
    <mergeCell ref="I151:I152"/>
    <mergeCell ref="J151:J152"/>
    <mergeCell ref="K151:K152"/>
    <mergeCell ref="L151:L152"/>
    <mergeCell ref="CF153:CF154"/>
    <mergeCell ref="CG153:CG154"/>
    <mergeCell ref="A155:A156"/>
    <mergeCell ref="B155:B156"/>
    <mergeCell ref="C155:C156"/>
    <mergeCell ref="D155:D156"/>
    <mergeCell ref="E155:E156"/>
    <mergeCell ref="F155:F156"/>
    <mergeCell ref="G155:G156"/>
    <mergeCell ref="H155:H156"/>
    <mergeCell ref="AG153:AG154"/>
    <mergeCell ref="AK153:AK154"/>
    <mergeCell ref="CB153:CB154"/>
    <mergeCell ref="CC153:CC154"/>
    <mergeCell ref="CD153:CD154"/>
    <mergeCell ref="CE153:CE154"/>
    <mergeCell ref="Z153:Z154"/>
    <mergeCell ref="AA153:AA154"/>
    <mergeCell ref="AB153:AB154"/>
    <mergeCell ref="AC153:AC154"/>
    <mergeCell ref="AD153:AD154"/>
    <mergeCell ref="AE153:AE154"/>
    <mergeCell ref="H153:H154"/>
    <mergeCell ref="I153:I154"/>
    <mergeCell ref="J153:J154"/>
    <mergeCell ref="K153:K154"/>
    <mergeCell ref="L153:L154"/>
    <mergeCell ref="Y153:Y154"/>
    <mergeCell ref="CG155:CG156"/>
    <mergeCell ref="A157:A158"/>
    <mergeCell ref="B157:B158"/>
    <mergeCell ref="C157:C158"/>
    <mergeCell ref="D157:D158"/>
    <mergeCell ref="E157:E158"/>
    <mergeCell ref="F157:F158"/>
    <mergeCell ref="H157:H158"/>
    <mergeCell ref="I157:I158"/>
    <mergeCell ref="J157:J158"/>
    <mergeCell ref="AK155:AK156"/>
    <mergeCell ref="CB155:CB156"/>
    <mergeCell ref="CC155:CC156"/>
    <mergeCell ref="CD155:CD156"/>
    <mergeCell ref="CE155:CE156"/>
    <mergeCell ref="CF155:CF156"/>
    <mergeCell ref="AA155:AA156"/>
    <mergeCell ref="AB155:AB156"/>
    <mergeCell ref="AC155:AC156"/>
    <mergeCell ref="AD155:AD156"/>
    <mergeCell ref="AE155:AE156"/>
    <mergeCell ref="AG155:AG156"/>
    <mergeCell ref="I155:I156"/>
    <mergeCell ref="J155:J156"/>
    <mergeCell ref="K155:K156"/>
    <mergeCell ref="L155:L156"/>
    <mergeCell ref="Y155:Y156"/>
    <mergeCell ref="Z155:Z156"/>
    <mergeCell ref="CE157:CE158"/>
    <mergeCell ref="CF157:CF158"/>
    <mergeCell ref="CG157:CG158"/>
    <mergeCell ref="A159:A160"/>
    <mergeCell ref="B159:B160"/>
    <mergeCell ref="C159:C160"/>
    <mergeCell ref="D159:D160"/>
    <mergeCell ref="E159:E160"/>
    <mergeCell ref="F159:F160"/>
    <mergeCell ref="H159:H160"/>
    <mergeCell ref="AE157:AE158"/>
    <mergeCell ref="AG157:AG158"/>
    <mergeCell ref="AK157:AK158"/>
    <mergeCell ref="CB157:CB158"/>
    <mergeCell ref="CC157:CC158"/>
    <mergeCell ref="CD157:CD158"/>
    <mergeCell ref="Y157:Y158"/>
    <mergeCell ref="Z157:Z158"/>
    <mergeCell ref="AA157:AA158"/>
    <mergeCell ref="AB157:AB158"/>
    <mergeCell ref="AC157:AC158"/>
    <mergeCell ref="AD157:AD158"/>
    <mergeCell ref="K157:K158"/>
    <mergeCell ref="L157:L158"/>
    <mergeCell ref="Q157:Q158"/>
    <mergeCell ref="R157:R158"/>
    <mergeCell ref="S157:S158"/>
    <mergeCell ref="T157:T158"/>
    <mergeCell ref="CF159:CF160"/>
    <mergeCell ref="CG159:CG160"/>
    <mergeCell ref="A161:A168"/>
    <mergeCell ref="B161:B168"/>
    <mergeCell ref="C161:C168"/>
    <mergeCell ref="D161:D168"/>
    <mergeCell ref="E161:E168"/>
    <mergeCell ref="F161:F168"/>
    <mergeCell ref="H161:H168"/>
    <mergeCell ref="Y161:Y168"/>
    <mergeCell ref="AG159:AG160"/>
    <mergeCell ref="AK159:AK160"/>
    <mergeCell ref="CB159:CB160"/>
    <mergeCell ref="CC159:CC160"/>
    <mergeCell ref="CD159:CD160"/>
    <mergeCell ref="CE159:CE160"/>
    <mergeCell ref="AA159:AA160"/>
    <mergeCell ref="AB159:AB160"/>
    <mergeCell ref="AC159:AC160"/>
    <mergeCell ref="AD159:AD160"/>
    <mergeCell ref="AE159:AE160"/>
    <mergeCell ref="AF159:AF160"/>
    <mergeCell ref="I159:I160"/>
    <mergeCell ref="J159:J160"/>
    <mergeCell ref="K159:K160"/>
    <mergeCell ref="L159:L160"/>
    <mergeCell ref="Y159:Y160"/>
    <mergeCell ref="Z159:Z160"/>
    <mergeCell ref="T169:T172"/>
    <mergeCell ref="U169:U172"/>
    <mergeCell ref="CE161:CE168"/>
    <mergeCell ref="CF161:CF168"/>
    <mergeCell ref="CG161:CG168"/>
    <mergeCell ref="AF163:AF168"/>
    <mergeCell ref="A169:A172"/>
    <mergeCell ref="B169:B172"/>
    <mergeCell ref="C169:C172"/>
    <mergeCell ref="D169:D172"/>
    <mergeCell ref="E169:E172"/>
    <mergeCell ref="F169:F172"/>
    <mergeCell ref="AF161:AF162"/>
    <mergeCell ref="AG161:AG168"/>
    <mergeCell ref="AK161:AK168"/>
    <mergeCell ref="CB161:CB168"/>
    <mergeCell ref="CC161:CC168"/>
    <mergeCell ref="CD161:CD168"/>
    <mergeCell ref="Z161:Z168"/>
    <mergeCell ref="AA161:AA168"/>
    <mergeCell ref="AB161:AB168"/>
    <mergeCell ref="AC161:AC168"/>
    <mergeCell ref="AD161:AD168"/>
    <mergeCell ref="AE161:AE168"/>
    <mergeCell ref="CG169:CG172"/>
    <mergeCell ref="A173:A179"/>
    <mergeCell ref="B173:B179"/>
    <mergeCell ref="C173:C179"/>
    <mergeCell ref="D173:D179"/>
    <mergeCell ref="E173:E179"/>
    <mergeCell ref="F173:F179"/>
    <mergeCell ref="H173:H179"/>
    <mergeCell ref="Y173:Y179"/>
    <mergeCell ref="Z173:Z179"/>
    <mergeCell ref="AK169:AK172"/>
    <mergeCell ref="CB169:CB172"/>
    <mergeCell ref="CC169:CC172"/>
    <mergeCell ref="CD169:CD172"/>
    <mergeCell ref="CE169:CE172"/>
    <mergeCell ref="CF169:CF172"/>
    <mergeCell ref="AB169:AB172"/>
    <mergeCell ref="AC169:AC172"/>
    <mergeCell ref="AD169:AD172"/>
    <mergeCell ref="AE169:AE172"/>
    <mergeCell ref="AF169:AF172"/>
    <mergeCell ref="AG169:AG172"/>
    <mergeCell ref="V169:V172"/>
    <mergeCell ref="W169:W172"/>
    <mergeCell ref="X169:X172"/>
    <mergeCell ref="Y169:Y172"/>
    <mergeCell ref="Z169:Z172"/>
    <mergeCell ref="AA169:AA172"/>
    <mergeCell ref="H169:H172"/>
    <mergeCell ref="Q169:Q172"/>
    <mergeCell ref="R169:R172"/>
    <mergeCell ref="S169:S172"/>
    <mergeCell ref="CG173:CG179"/>
    <mergeCell ref="AF176:AF179"/>
    <mergeCell ref="A180:A185"/>
    <mergeCell ref="B180:B185"/>
    <mergeCell ref="C180:C185"/>
    <mergeCell ref="D180:D185"/>
    <mergeCell ref="E180:E185"/>
    <mergeCell ref="F180:F185"/>
    <mergeCell ref="H180:H185"/>
    <mergeCell ref="Y180:Y185"/>
    <mergeCell ref="AK173:AK179"/>
    <mergeCell ref="CB173:CB179"/>
    <mergeCell ref="CC173:CC179"/>
    <mergeCell ref="CD173:CD179"/>
    <mergeCell ref="CE173:CE179"/>
    <mergeCell ref="CF173:CF179"/>
    <mergeCell ref="AA173:AA179"/>
    <mergeCell ref="AB173:AB179"/>
    <mergeCell ref="AC173:AC179"/>
    <mergeCell ref="AD173:AD179"/>
    <mergeCell ref="AE173:AE179"/>
    <mergeCell ref="AG173:AG179"/>
    <mergeCell ref="CE180:CE185"/>
    <mergeCell ref="CF180:CF185"/>
    <mergeCell ref="CG180:CG185"/>
    <mergeCell ref="AF183:AF185"/>
    <mergeCell ref="A186:A188"/>
    <mergeCell ref="B186:B188"/>
    <mergeCell ref="C186:C188"/>
    <mergeCell ref="D186:D188"/>
    <mergeCell ref="E186:E188"/>
    <mergeCell ref="F186:F188"/>
    <mergeCell ref="AF180:AF182"/>
    <mergeCell ref="AG180:AG185"/>
    <mergeCell ref="AK180:AK185"/>
    <mergeCell ref="CB180:CB185"/>
    <mergeCell ref="CC180:CC185"/>
    <mergeCell ref="CD180:CD185"/>
    <mergeCell ref="Z180:Z185"/>
    <mergeCell ref="AA180:AA185"/>
    <mergeCell ref="AB180:AB185"/>
    <mergeCell ref="AC180:AC185"/>
    <mergeCell ref="AD180:AD185"/>
    <mergeCell ref="AE180:AE185"/>
    <mergeCell ref="CF186:CF188"/>
    <mergeCell ref="CG186:CG188"/>
    <mergeCell ref="A189:A195"/>
    <mergeCell ref="B189:B195"/>
    <mergeCell ref="C189:C195"/>
    <mergeCell ref="D189:D195"/>
    <mergeCell ref="E189:E195"/>
    <mergeCell ref="F189:F195"/>
    <mergeCell ref="H189:H195"/>
    <mergeCell ref="Q189:Q195"/>
    <mergeCell ref="AG186:AG188"/>
    <mergeCell ref="AK186:AK188"/>
    <mergeCell ref="CB186:CB188"/>
    <mergeCell ref="CC186:CC188"/>
    <mergeCell ref="CD186:CD188"/>
    <mergeCell ref="CE186:CE188"/>
    <mergeCell ref="Z186:Z188"/>
    <mergeCell ref="AA186:AA188"/>
    <mergeCell ref="AB186:AB188"/>
    <mergeCell ref="AC186:AC188"/>
    <mergeCell ref="AD186:AD188"/>
    <mergeCell ref="AE186:AE188"/>
    <mergeCell ref="H186:H188"/>
    <mergeCell ref="I186:I188"/>
    <mergeCell ref="J186:J188"/>
    <mergeCell ref="K186:K188"/>
    <mergeCell ref="L186:L188"/>
    <mergeCell ref="Y186:Y188"/>
    <mergeCell ref="T196:T199"/>
    <mergeCell ref="U196:U199"/>
    <mergeCell ref="A196:A199"/>
    <mergeCell ref="B196:B199"/>
    <mergeCell ref="C196:C199"/>
    <mergeCell ref="D196:D199"/>
    <mergeCell ref="E196:E199"/>
    <mergeCell ref="F196:F199"/>
    <mergeCell ref="CC189:CC195"/>
    <mergeCell ref="CD189:CD195"/>
    <mergeCell ref="CE189:CE195"/>
    <mergeCell ref="CF189:CF195"/>
    <mergeCell ref="CG189:CG195"/>
    <mergeCell ref="AF191:AF195"/>
    <mergeCell ref="AD189:AD195"/>
    <mergeCell ref="AE189:AE195"/>
    <mergeCell ref="AF189:AF190"/>
    <mergeCell ref="AG189:AG195"/>
    <mergeCell ref="AK189:AK195"/>
    <mergeCell ref="CB189:CB195"/>
    <mergeCell ref="X189:X195"/>
    <mergeCell ref="Y189:Y195"/>
    <mergeCell ref="Z189:Z195"/>
    <mergeCell ref="AA189:AA195"/>
    <mergeCell ref="AB189:AB195"/>
    <mergeCell ref="AC189:AC195"/>
    <mergeCell ref="R189:R195"/>
    <mergeCell ref="S189:S195"/>
    <mergeCell ref="T189:T195"/>
    <mergeCell ref="U189:U195"/>
    <mergeCell ref="V189:V195"/>
    <mergeCell ref="W189:W195"/>
    <mergeCell ref="CG196:CG199"/>
    <mergeCell ref="AF198:AF199"/>
    <mergeCell ref="A200:A203"/>
    <mergeCell ref="B200:B203"/>
    <mergeCell ref="C200:C203"/>
    <mergeCell ref="D200:D203"/>
    <mergeCell ref="E200:E203"/>
    <mergeCell ref="F200:F203"/>
    <mergeCell ref="H200:H203"/>
    <mergeCell ref="Y200:Y203"/>
    <mergeCell ref="AK196:AK199"/>
    <mergeCell ref="CB196:CB199"/>
    <mergeCell ref="CC196:CC199"/>
    <mergeCell ref="CD196:CD199"/>
    <mergeCell ref="CE196:CE199"/>
    <mergeCell ref="CF196:CF199"/>
    <mergeCell ref="AB196:AB199"/>
    <mergeCell ref="AC196:AC199"/>
    <mergeCell ref="AD196:AD199"/>
    <mergeCell ref="AE196:AE199"/>
    <mergeCell ref="AF196:AF197"/>
    <mergeCell ref="AG196:AG199"/>
    <mergeCell ref="V196:V199"/>
    <mergeCell ref="W196:W199"/>
    <mergeCell ref="X196:X199"/>
    <mergeCell ref="Y196:Y199"/>
    <mergeCell ref="Z196:Z199"/>
    <mergeCell ref="AA196:AA199"/>
    <mergeCell ref="H196:H199"/>
    <mergeCell ref="Q196:Q199"/>
    <mergeCell ref="R196:R199"/>
    <mergeCell ref="S196:S199"/>
    <mergeCell ref="CE200:CE203"/>
    <mergeCell ref="CF200:CF203"/>
    <mergeCell ref="CG200:CG203"/>
    <mergeCell ref="A207:A210"/>
    <mergeCell ref="B207:B210"/>
    <mergeCell ref="C207:C210"/>
    <mergeCell ref="D207:D210"/>
    <mergeCell ref="E207:E210"/>
    <mergeCell ref="F207:F210"/>
    <mergeCell ref="H207:H210"/>
    <mergeCell ref="AF200:AF203"/>
    <mergeCell ref="AG200:AG203"/>
    <mergeCell ref="AK200:AK203"/>
    <mergeCell ref="CB200:CB203"/>
    <mergeCell ref="CC200:CC203"/>
    <mergeCell ref="CD200:CD203"/>
    <mergeCell ref="Z200:Z203"/>
    <mergeCell ref="AA200:AA203"/>
    <mergeCell ref="AB200:AB203"/>
    <mergeCell ref="AC200:AC203"/>
    <mergeCell ref="AD200:AD203"/>
    <mergeCell ref="AE200:AE203"/>
    <mergeCell ref="T211:T214"/>
    <mergeCell ref="U211:U214"/>
    <mergeCell ref="A211:A214"/>
    <mergeCell ref="B211:B214"/>
    <mergeCell ref="C211:C214"/>
    <mergeCell ref="D211:D214"/>
    <mergeCell ref="E211:E214"/>
    <mergeCell ref="F211:F214"/>
    <mergeCell ref="CB207:CB210"/>
    <mergeCell ref="CC207:CC210"/>
    <mergeCell ref="CD207:CD210"/>
    <mergeCell ref="CE207:CE210"/>
    <mergeCell ref="CF207:CF210"/>
    <mergeCell ref="CG207:CG210"/>
    <mergeCell ref="AC207:AC210"/>
    <mergeCell ref="AD207:AD210"/>
    <mergeCell ref="AE207:AE210"/>
    <mergeCell ref="AF207:AF210"/>
    <mergeCell ref="AG207:AG210"/>
    <mergeCell ref="AK207:AK210"/>
    <mergeCell ref="W207:W210"/>
    <mergeCell ref="X207:X210"/>
    <mergeCell ref="Y207:Y210"/>
    <mergeCell ref="Z207:Z210"/>
    <mergeCell ref="AA207:AA210"/>
    <mergeCell ref="AB207:AB210"/>
    <mergeCell ref="Q207:Q210"/>
    <mergeCell ref="R207:R210"/>
    <mergeCell ref="S207:S210"/>
    <mergeCell ref="T207:T210"/>
    <mergeCell ref="U207:U210"/>
    <mergeCell ref="V207:V210"/>
    <mergeCell ref="CG211:CG214"/>
    <mergeCell ref="A215:A223"/>
    <mergeCell ref="B215:B223"/>
    <mergeCell ref="C215:C223"/>
    <mergeCell ref="D215:D223"/>
    <mergeCell ref="E215:E223"/>
    <mergeCell ref="F215:F223"/>
    <mergeCell ref="H215:H223"/>
    <mergeCell ref="Y215:Y223"/>
    <mergeCell ref="Z215:Z223"/>
    <mergeCell ref="AK211:AK214"/>
    <mergeCell ref="CB211:CB214"/>
    <mergeCell ref="CC211:CC214"/>
    <mergeCell ref="CD211:CD214"/>
    <mergeCell ref="CE211:CE214"/>
    <mergeCell ref="CF211:CF214"/>
    <mergeCell ref="AB211:AB214"/>
    <mergeCell ref="AC211:AC214"/>
    <mergeCell ref="AD211:AD214"/>
    <mergeCell ref="AE211:AE214"/>
    <mergeCell ref="AF211:AF214"/>
    <mergeCell ref="AG211:AG214"/>
    <mergeCell ref="V211:V214"/>
    <mergeCell ref="W211:W214"/>
    <mergeCell ref="X211:X214"/>
    <mergeCell ref="Y211:Y214"/>
    <mergeCell ref="Z211:Z214"/>
    <mergeCell ref="AA211:AA214"/>
    <mergeCell ref="H211:H214"/>
    <mergeCell ref="Q211:Q214"/>
    <mergeCell ref="R211:R214"/>
    <mergeCell ref="S211:S214"/>
    <mergeCell ref="CF215:CF223"/>
    <mergeCell ref="CG215:CG223"/>
    <mergeCell ref="AF218:AF223"/>
    <mergeCell ref="A224:A227"/>
    <mergeCell ref="B224:B227"/>
    <mergeCell ref="C224:C227"/>
    <mergeCell ref="D224:D227"/>
    <mergeCell ref="E224:E227"/>
    <mergeCell ref="F224:F227"/>
    <mergeCell ref="H224:H227"/>
    <mergeCell ref="AG215:AG223"/>
    <mergeCell ref="AK215:AK223"/>
    <mergeCell ref="CB215:CB223"/>
    <mergeCell ref="CC215:CC223"/>
    <mergeCell ref="CD215:CD223"/>
    <mergeCell ref="CE215:CE223"/>
    <mergeCell ref="AA215:AA223"/>
    <mergeCell ref="AB215:AB223"/>
    <mergeCell ref="AC215:AC223"/>
    <mergeCell ref="AD215:AD223"/>
    <mergeCell ref="AE215:AE223"/>
    <mergeCell ref="AF215:AF217"/>
    <mergeCell ref="T228:T233"/>
    <mergeCell ref="U228:U233"/>
    <mergeCell ref="A228:A233"/>
    <mergeCell ref="B228:B233"/>
    <mergeCell ref="C228:C233"/>
    <mergeCell ref="D228:D233"/>
    <mergeCell ref="E228:E233"/>
    <mergeCell ref="F228:F233"/>
    <mergeCell ref="CB224:CB227"/>
    <mergeCell ref="CC224:CC227"/>
    <mergeCell ref="CD224:CD227"/>
    <mergeCell ref="CE224:CE227"/>
    <mergeCell ref="CF224:CF227"/>
    <mergeCell ref="CG224:CG227"/>
    <mergeCell ref="AC224:AC227"/>
    <mergeCell ref="AD224:AD227"/>
    <mergeCell ref="AE224:AE227"/>
    <mergeCell ref="AF224:AF227"/>
    <mergeCell ref="AG224:AG227"/>
    <mergeCell ref="AK224:AK227"/>
    <mergeCell ref="W224:W227"/>
    <mergeCell ref="X224:X227"/>
    <mergeCell ref="Y224:Y227"/>
    <mergeCell ref="Z224:Z227"/>
    <mergeCell ref="AA224:AA227"/>
    <mergeCell ref="AB224:AB227"/>
    <mergeCell ref="Q224:Q227"/>
    <mergeCell ref="R224:R227"/>
    <mergeCell ref="S224:S227"/>
    <mergeCell ref="T224:T227"/>
    <mergeCell ref="U224:U227"/>
    <mergeCell ref="V224:V227"/>
    <mergeCell ref="CG228:CG233"/>
    <mergeCell ref="A234:A238"/>
    <mergeCell ref="B234:B238"/>
    <mergeCell ref="C234:C238"/>
    <mergeCell ref="D234:D238"/>
    <mergeCell ref="E234:E238"/>
    <mergeCell ref="F234:F238"/>
    <mergeCell ref="H234:H238"/>
    <mergeCell ref="Q234:Q238"/>
    <mergeCell ref="R234:R238"/>
    <mergeCell ref="AK228:AK233"/>
    <mergeCell ref="CB228:CB233"/>
    <mergeCell ref="CC228:CC233"/>
    <mergeCell ref="CD228:CD233"/>
    <mergeCell ref="CE228:CE233"/>
    <mergeCell ref="CF228:CF233"/>
    <mergeCell ref="AB228:AB233"/>
    <mergeCell ref="AC228:AC233"/>
    <mergeCell ref="AD228:AD233"/>
    <mergeCell ref="AE228:AE233"/>
    <mergeCell ref="AF228:AF233"/>
    <mergeCell ref="AG228:AG233"/>
    <mergeCell ref="V228:V233"/>
    <mergeCell ref="W228:W233"/>
    <mergeCell ref="X228:X233"/>
    <mergeCell ref="Y228:Y233"/>
    <mergeCell ref="Z228:Z233"/>
    <mergeCell ref="AA228:AA233"/>
    <mergeCell ref="H228:H233"/>
    <mergeCell ref="Q228:Q233"/>
    <mergeCell ref="R228:R233"/>
    <mergeCell ref="S228:S233"/>
    <mergeCell ref="CD234:CD238"/>
    <mergeCell ref="CE234:CE238"/>
    <mergeCell ref="CF234:CF238"/>
    <mergeCell ref="CG234:CG238"/>
    <mergeCell ref="A239:A242"/>
    <mergeCell ref="B239:B242"/>
    <mergeCell ref="C239:C242"/>
    <mergeCell ref="D239:D242"/>
    <mergeCell ref="E239:E242"/>
    <mergeCell ref="F239:F242"/>
    <mergeCell ref="AE234:AE238"/>
    <mergeCell ref="AF234:AF238"/>
    <mergeCell ref="AG234:AG238"/>
    <mergeCell ref="AK234:AK238"/>
    <mergeCell ref="CB234:CB238"/>
    <mergeCell ref="CC234:CC238"/>
    <mergeCell ref="Y234:Y238"/>
    <mergeCell ref="Z234:Z238"/>
    <mergeCell ref="AA234:AA238"/>
    <mergeCell ref="AB234:AB238"/>
    <mergeCell ref="AC234:AC238"/>
    <mergeCell ref="AD234:AD238"/>
    <mergeCell ref="S234:S238"/>
    <mergeCell ref="T234:T238"/>
    <mergeCell ref="U234:U238"/>
    <mergeCell ref="V234:V238"/>
    <mergeCell ref="W234:W238"/>
    <mergeCell ref="X234:X238"/>
    <mergeCell ref="A243:A246"/>
    <mergeCell ref="B243:B246"/>
    <mergeCell ref="C243:C246"/>
    <mergeCell ref="D243:D246"/>
    <mergeCell ref="E243:E246"/>
    <mergeCell ref="F243:F246"/>
    <mergeCell ref="CB239:CB242"/>
    <mergeCell ref="CC239:CC242"/>
    <mergeCell ref="CD239:CD242"/>
    <mergeCell ref="CE239:CE242"/>
    <mergeCell ref="CF239:CF242"/>
    <mergeCell ref="CG239:CG242"/>
    <mergeCell ref="AB239:AB242"/>
    <mergeCell ref="AC239:AC242"/>
    <mergeCell ref="AD239:AD242"/>
    <mergeCell ref="AE239:AE242"/>
    <mergeCell ref="AG239:AG242"/>
    <mergeCell ref="AK239:AK242"/>
    <mergeCell ref="V239:V242"/>
    <mergeCell ref="W239:W242"/>
    <mergeCell ref="X239:X242"/>
    <mergeCell ref="Y239:Y242"/>
    <mergeCell ref="Z239:Z242"/>
    <mergeCell ref="AA239:AA242"/>
    <mergeCell ref="H239:H242"/>
    <mergeCell ref="Q239:Q242"/>
    <mergeCell ref="R239:R242"/>
    <mergeCell ref="S239:S242"/>
    <mergeCell ref="T239:T242"/>
    <mergeCell ref="U239:U242"/>
    <mergeCell ref="CB243:CB246"/>
    <mergeCell ref="CC243:CC246"/>
    <mergeCell ref="CD243:CD246"/>
    <mergeCell ref="CE243:CE246"/>
    <mergeCell ref="CF243:CF246"/>
    <mergeCell ref="CG243:CG246"/>
    <mergeCell ref="AC243:AC246"/>
    <mergeCell ref="AD243:AD246"/>
    <mergeCell ref="AE243:AE246"/>
    <mergeCell ref="AF243:AF246"/>
    <mergeCell ref="AG243:AG246"/>
    <mergeCell ref="AK243:AK246"/>
    <mergeCell ref="G243:G246"/>
    <mergeCell ref="H243:H246"/>
    <mergeCell ref="Y243:Y246"/>
    <mergeCell ref="Z243:Z246"/>
    <mergeCell ref="AA243:AA246"/>
    <mergeCell ref="AB243:AB246"/>
    <mergeCell ref="S250:S254"/>
    <mergeCell ref="T250:T254"/>
    <mergeCell ref="A250:A254"/>
    <mergeCell ref="B250:B254"/>
    <mergeCell ref="C250:C254"/>
    <mergeCell ref="D250:D254"/>
    <mergeCell ref="E250:E254"/>
    <mergeCell ref="F250:F254"/>
    <mergeCell ref="CB247:CB249"/>
    <mergeCell ref="CC247:CC249"/>
    <mergeCell ref="CD247:CD249"/>
    <mergeCell ref="CE247:CE249"/>
    <mergeCell ref="CF247:CF249"/>
    <mergeCell ref="CG247:CG249"/>
    <mergeCell ref="AC247:AC249"/>
    <mergeCell ref="AD247:AD249"/>
    <mergeCell ref="AE247:AE249"/>
    <mergeCell ref="AF247:AF249"/>
    <mergeCell ref="AG247:AG249"/>
    <mergeCell ref="AK247:AK249"/>
    <mergeCell ref="G247:G249"/>
    <mergeCell ref="H247:H249"/>
    <mergeCell ref="Y247:Y249"/>
    <mergeCell ref="Z247:Z249"/>
    <mergeCell ref="AA247:AA249"/>
    <mergeCell ref="AB247:AB249"/>
    <mergeCell ref="A247:A249"/>
    <mergeCell ref="B247:B249"/>
    <mergeCell ref="C247:C249"/>
    <mergeCell ref="D247:D249"/>
    <mergeCell ref="E247:E249"/>
    <mergeCell ref="F247:F249"/>
    <mergeCell ref="CF250:CF254"/>
    <mergeCell ref="CG250:CG254"/>
    <mergeCell ref="A255:A264"/>
    <mergeCell ref="B255:B264"/>
    <mergeCell ref="C255:C264"/>
    <mergeCell ref="D255:D264"/>
    <mergeCell ref="E255:E264"/>
    <mergeCell ref="F255:F264"/>
    <mergeCell ref="H255:H264"/>
    <mergeCell ref="M255:M264"/>
    <mergeCell ref="AG250:AG254"/>
    <mergeCell ref="AK250:AK254"/>
    <mergeCell ref="CB250:CB254"/>
    <mergeCell ref="CC250:CC254"/>
    <mergeCell ref="CD250:CD254"/>
    <mergeCell ref="CE250:CE254"/>
    <mergeCell ref="AA250:AA254"/>
    <mergeCell ref="AB250:AB254"/>
    <mergeCell ref="AC250:AC254"/>
    <mergeCell ref="AD250:AD254"/>
    <mergeCell ref="AE250:AE254"/>
    <mergeCell ref="AF250:AF254"/>
    <mergeCell ref="U250:U254"/>
    <mergeCell ref="V250:V254"/>
    <mergeCell ref="W250:W254"/>
    <mergeCell ref="X250:X254"/>
    <mergeCell ref="Y250:Y254"/>
    <mergeCell ref="Z250:Z254"/>
    <mergeCell ref="G250:G254"/>
    <mergeCell ref="H250:H254"/>
    <mergeCell ref="Q250:Q254"/>
    <mergeCell ref="R250:R254"/>
    <mergeCell ref="CG255:CG264"/>
    <mergeCell ref="A265:A272"/>
    <mergeCell ref="B265:B272"/>
    <mergeCell ref="C265:C272"/>
    <mergeCell ref="D265:D272"/>
    <mergeCell ref="E265:E272"/>
    <mergeCell ref="F265:F272"/>
    <mergeCell ref="G265:G272"/>
    <mergeCell ref="H265:H272"/>
    <mergeCell ref="Y265:Y272"/>
    <mergeCell ref="AK255:AK264"/>
    <mergeCell ref="CB255:CB264"/>
    <mergeCell ref="CC255:CC264"/>
    <mergeCell ref="CD255:CD264"/>
    <mergeCell ref="CE255:CE264"/>
    <mergeCell ref="CF255:CF264"/>
    <mergeCell ref="AB255:AB264"/>
    <mergeCell ref="AC255:AC264"/>
    <mergeCell ref="AD255:AD264"/>
    <mergeCell ref="AE255:AE264"/>
    <mergeCell ref="AF255:AF264"/>
    <mergeCell ref="AG255:AG264"/>
    <mergeCell ref="N255:N264"/>
    <mergeCell ref="O255:O264"/>
    <mergeCell ref="P255:P264"/>
    <mergeCell ref="Y255:Y264"/>
    <mergeCell ref="Z255:Z264"/>
    <mergeCell ref="AA255:AA264"/>
    <mergeCell ref="CC265:CC272"/>
    <mergeCell ref="CD265:CD272"/>
    <mergeCell ref="CE265:CE272"/>
    <mergeCell ref="CF265:CF272"/>
    <mergeCell ref="CG265:CG272"/>
    <mergeCell ref="A273:A275"/>
    <mergeCell ref="B273:B275"/>
    <mergeCell ref="C273:C275"/>
    <mergeCell ref="D273:D275"/>
    <mergeCell ref="E273:E275"/>
    <mergeCell ref="BT265:BT272"/>
    <mergeCell ref="BU265:BU272"/>
    <mergeCell ref="BV265:BV272"/>
    <mergeCell ref="BW265:BW272"/>
    <mergeCell ref="BX265:BX272"/>
    <mergeCell ref="CB265:CB272"/>
    <mergeCell ref="AF265:AF266"/>
    <mergeCell ref="AG265:AG272"/>
    <mergeCell ref="AK265:AK272"/>
    <mergeCell ref="BO265:BO272"/>
    <mergeCell ref="BP265:BP272"/>
    <mergeCell ref="BS265:BS272"/>
    <mergeCell ref="Z265:Z272"/>
    <mergeCell ref="AA265:AA272"/>
    <mergeCell ref="AB265:AB272"/>
    <mergeCell ref="AC265:AC272"/>
    <mergeCell ref="AD265:AD272"/>
    <mergeCell ref="AE265:AE272"/>
    <mergeCell ref="CG273:CG275"/>
    <mergeCell ref="A276:A279"/>
    <mergeCell ref="B276:B279"/>
    <mergeCell ref="C276:C279"/>
    <mergeCell ref="D276:D279"/>
    <mergeCell ref="E276:E279"/>
    <mergeCell ref="F276:F279"/>
    <mergeCell ref="G276:G279"/>
    <mergeCell ref="H276:H279"/>
    <mergeCell ref="Y276:Y279"/>
    <mergeCell ref="BS273:BS275"/>
    <mergeCell ref="CB273:CB275"/>
    <mergeCell ref="CC273:CC275"/>
    <mergeCell ref="CD273:CD275"/>
    <mergeCell ref="CE273:CE275"/>
    <mergeCell ref="CF273:CF275"/>
    <mergeCell ref="AB273:AB275"/>
    <mergeCell ref="AC273:AC275"/>
    <mergeCell ref="AD273:AD275"/>
    <mergeCell ref="AE273:AE275"/>
    <mergeCell ref="AG273:AG275"/>
    <mergeCell ref="AK273:AK275"/>
    <mergeCell ref="F273:F275"/>
    <mergeCell ref="G273:G275"/>
    <mergeCell ref="H273:H275"/>
    <mergeCell ref="Y273:Y275"/>
    <mergeCell ref="Z273:Z275"/>
    <mergeCell ref="AA273:AA275"/>
    <mergeCell ref="CD276:CD279"/>
    <mergeCell ref="CE276:CE279"/>
    <mergeCell ref="CF276:CF279"/>
    <mergeCell ref="CG276:CG279"/>
    <mergeCell ref="A282:A285"/>
    <mergeCell ref="B282:B285"/>
    <mergeCell ref="C282:C285"/>
    <mergeCell ref="D282:D285"/>
    <mergeCell ref="E282:E285"/>
    <mergeCell ref="F282:F285"/>
    <mergeCell ref="BU276:BU278"/>
    <mergeCell ref="BV276:BV278"/>
    <mergeCell ref="BW276:BW278"/>
    <mergeCell ref="BX276:BX278"/>
    <mergeCell ref="CB276:CB279"/>
    <mergeCell ref="CC276:CC279"/>
    <mergeCell ref="AG276:AG279"/>
    <mergeCell ref="AK276:AK279"/>
    <mergeCell ref="BO276:BO278"/>
    <mergeCell ref="BP276:BP278"/>
    <mergeCell ref="BS276:BS278"/>
    <mergeCell ref="BT276:BT278"/>
    <mergeCell ref="Z276:Z279"/>
    <mergeCell ref="AA276:AA279"/>
    <mergeCell ref="AB276:AB279"/>
    <mergeCell ref="AC276:AC279"/>
    <mergeCell ref="AD276:AD279"/>
    <mergeCell ref="AE276:AE279"/>
    <mergeCell ref="E286:E288"/>
    <mergeCell ref="F286:F288"/>
    <mergeCell ref="CB282:CB285"/>
    <mergeCell ref="CC282:CC285"/>
    <mergeCell ref="CD282:CD285"/>
    <mergeCell ref="CE282:CE285"/>
    <mergeCell ref="CF282:CF285"/>
    <mergeCell ref="CG282:CG285"/>
    <mergeCell ref="AE282:AE285"/>
    <mergeCell ref="AF282:AF285"/>
    <mergeCell ref="AG282:AG285"/>
    <mergeCell ref="AI282:AI285"/>
    <mergeCell ref="AJ282:AJ285"/>
    <mergeCell ref="AK282:AK285"/>
    <mergeCell ref="Y282:Y285"/>
    <mergeCell ref="Z282:Z285"/>
    <mergeCell ref="AA282:AA285"/>
    <mergeCell ref="AB282:AB285"/>
    <mergeCell ref="AC282:AC285"/>
    <mergeCell ref="AD282:AD285"/>
    <mergeCell ref="G282:G285"/>
    <mergeCell ref="H282:H285"/>
    <mergeCell ref="M282:M285"/>
    <mergeCell ref="N282:N285"/>
    <mergeCell ref="O282:O285"/>
    <mergeCell ref="P282:P285"/>
    <mergeCell ref="CE286:CE288"/>
    <mergeCell ref="CF286:CF288"/>
    <mergeCell ref="CG286:CG288"/>
    <mergeCell ref="A289:A292"/>
    <mergeCell ref="B289:B292"/>
    <mergeCell ref="C289:C292"/>
    <mergeCell ref="D289:D292"/>
    <mergeCell ref="E289:E292"/>
    <mergeCell ref="F289:F292"/>
    <mergeCell ref="H289:H292"/>
    <mergeCell ref="AF286:AF288"/>
    <mergeCell ref="AG286:AG288"/>
    <mergeCell ref="AK286:AK288"/>
    <mergeCell ref="CB286:CB288"/>
    <mergeCell ref="CC286:CC288"/>
    <mergeCell ref="CD286:CD288"/>
    <mergeCell ref="Z286:Z288"/>
    <mergeCell ref="AA286:AA288"/>
    <mergeCell ref="AB286:AB288"/>
    <mergeCell ref="AC286:AC288"/>
    <mergeCell ref="AD286:AD288"/>
    <mergeCell ref="AE286:AE288"/>
    <mergeCell ref="H286:H288"/>
    <mergeCell ref="M286:M288"/>
    <mergeCell ref="N286:N288"/>
    <mergeCell ref="O286:O288"/>
    <mergeCell ref="P286:P288"/>
    <mergeCell ref="Y286:Y288"/>
    <mergeCell ref="A286:A288"/>
    <mergeCell ref="B286:B288"/>
    <mergeCell ref="C286:C288"/>
    <mergeCell ref="D286:D288"/>
    <mergeCell ref="CF289:CF292"/>
    <mergeCell ref="CG289:CG292"/>
    <mergeCell ref="A293:A322"/>
    <mergeCell ref="B293:B322"/>
    <mergeCell ref="C293:C322"/>
    <mergeCell ref="D293:D322"/>
    <mergeCell ref="E293:E322"/>
    <mergeCell ref="F293:F322"/>
    <mergeCell ref="H293:H322"/>
    <mergeCell ref="M293:M322"/>
    <mergeCell ref="AG289:AG292"/>
    <mergeCell ref="AK289:AK292"/>
    <mergeCell ref="CB289:CB292"/>
    <mergeCell ref="CC289:CC292"/>
    <mergeCell ref="CD289:CD292"/>
    <mergeCell ref="CE289:CE292"/>
    <mergeCell ref="AA289:AA292"/>
    <mergeCell ref="AB289:AB292"/>
    <mergeCell ref="AC289:AC292"/>
    <mergeCell ref="AD289:AD292"/>
    <mergeCell ref="AE289:AE292"/>
    <mergeCell ref="AF289:AF292"/>
    <mergeCell ref="M289:M292"/>
    <mergeCell ref="N289:N292"/>
    <mergeCell ref="O289:O292"/>
    <mergeCell ref="P289:P292"/>
    <mergeCell ref="Y289:Y292"/>
    <mergeCell ref="Z289:Z292"/>
    <mergeCell ref="CG293:CG322"/>
    <mergeCell ref="A323:A341"/>
    <mergeCell ref="B323:B341"/>
    <mergeCell ref="C323:C341"/>
    <mergeCell ref="D323:D341"/>
    <mergeCell ref="E323:E341"/>
    <mergeCell ref="F323:F341"/>
    <mergeCell ref="H323:H341"/>
    <mergeCell ref="M323:M341"/>
    <mergeCell ref="N323:N341"/>
    <mergeCell ref="AK293:AK322"/>
    <mergeCell ref="CB293:CB322"/>
    <mergeCell ref="CC293:CC322"/>
    <mergeCell ref="CD293:CD322"/>
    <mergeCell ref="CE293:CE322"/>
    <mergeCell ref="CF293:CF322"/>
    <mergeCell ref="AB293:AB322"/>
    <mergeCell ref="AC293:AC322"/>
    <mergeCell ref="AD293:AD322"/>
    <mergeCell ref="AE293:AE322"/>
    <mergeCell ref="AF293:AF322"/>
    <mergeCell ref="AG293:AG322"/>
    <mergeCell ref="N293:N322"/>
    <mergeCell ref="O293:O322"/>
    <mergeCell ref="P293:P322"/>
    <mergeCell ref="Y293:Y322"/>
    <mergeCell ref="Z293:Z322"/>
    <mergeCell ref="AA293:AA322"/>
    <mergeCell ref="E342:E358"/>
    <mergeCell ref="F342:F358"/>
    <mergeCell ref="CB323:CB341"/>
    <mergeCell ref="CC323:CC341"/>
    <mergeCell ref="CD323:CD341"/>
    <mergeCell ref="CE323:CE341"/>
    <mergeCell ref="CF323:CF341"/>
    <mergeCell ref="CG323:CG341"/>
    <mergeCell ref="AC323:AC341"/>
    <mergeCell ref="AD323:AD341"/>
    <mergeCell ref="AE323:AE341"/>
    <mergeCell ref="AF323:AF341"/>
    <mergeCell ref="AG323:AG341"/>
    <mergeCell ref="AK323:AK341"/>
    <mergeCell ref="O323:O341"/>
    <mergeCell ref="P323:P341"/>
    <mergeCell ref="Y323:Y341"/>
    <mergeCell ref="Z323:Z341"/>
    <mergeCell ref="AA323:AA341"/>
    <mergeCell ref="AB323:AB341"/>
    <mergeCell ref="CD342:CD358"/>
    <mergeCell ref="CE342:CE358"/>
    <mergeCell ref="CF342:CF358"/>
    <mergeCell ref="CG342:CG358"/>
    <mergeCell ref="A359:A375"/>
    <mergeCell ref="B359:B375"/>
    <mergeCell ref="C359:C375"/>
    <mergeCell ref="D359:D375"/>
    <mergeCell ref="E359:E375"/>
    <mergeCell ref="F359:F375"/>
    <mergeCell ref="AE342:AE358"/>
    <mergeCell ref="AF342:AF358"/>
    <mergeCell ref="AG342:AG358"/>
    <mergeCell ref="AK342:AK358"/>
    <mergeCell ref="CB342:CB358"/>
    <mergeCell ref="CC342:CC358"/>
    <mergeCell ref="Y342:Y358"/>
    <mergeCell ref="Z342:Z358"/>
    <mergeCell ref="AA342:AA358"/>
    <mergeCell ref="AB342:AB358"/>
    <mergeCell ref="AC342:AC358"/>
    <mergeCell ref="AD342:AD358"/>
    <mergeCell ref="G342:G358"/>
    <mergeCell ref="H342:H358"/>
    <mergeCell ref="M342:M358"/>
    <mergeCell ref="N342:N358"/>
    <mergeCell ref="O342:O358"/>
    <mergeCell ref="P342:P358"/>
    <mergeCell ref="A342:A358"/>
    <mergeCell ref="B342:B358"/>
    <mergeCell ref="C342:C358"/>
    <mergeCell ref="D342:D358"/>
    <mergeCell ref="CE359:CE375"/>
    <mergeCell ref="CF359:CF375"/>
    <mergeCell ref="CG359:CG375"/>
    <mergeCell ref="A376:A390"/>
    <mergeCell ref="B376:B390"/>
    <mergeCell ref="C376:C390"/>
    <mergeCell ref="D376:D390"/>
    <mergeCell ref="E376:E390"/>
    <mergeCell ref="F376:F390"/>
    <mergeCell ref="H376:H390"/>
    <mergeCell ref="AF359:AF375"/>
    <mergeCell ref="AG359:AG375"/>
    <mergeCell ref="AK359:AK375"/>
    <mergeCell ref="CB359:CB375"/>
    <mergeCell ref="CC359:CC375"/>
    <mergeCell ref="CD359:CD375"/>
    <mergeCell ref="Z359:Z375"/>
    <mergeCell ref="AA359:AA375"/>
    <mergeCell ref="AB359:AB375"/>
    <mergeCell ref="AC359:AC375"/>
    <mergeCell ref="AD359:AD375"/>
    <mergeCell ref="AE359:AE375"/>
    <mergeCell ref="H359:H375"/>
    <mergeCell ref="M359:M375"/>
    <mergeCell ref="N359:N375"/>
    <mergeCell ref="O359:O375"/>
    <mergeCell ref="P359:P375"/>
    <mergeCell ref="Y359:Y375"/>
    <mergeCell ref="CF376:CF390"/>
    <mergeCell ref="CG376:CG390"/>
    <mergeCell ref="A391:A404"/>
    <mergeCell ref="B391:B404"/>
    <mergeCell ref="C391:C404"/>
    <mergeCell ref="D391:D404"/>
    <mergeCell ref="E391:E404"/>
    <mergeCell ref="F391:F404"/>
    <mergeCell ref="H391:H404"/>
    <mergeCell ref="M391:M404"/>
    <mergeCell ref="AG376:AG390"/>
    <mergeCell ref="AK376:AK390"/>
    <mergeCell ref="CB376:CB390"/>
    <mergeCell ref="CC376:CC390"/>
    <mergeCell ref="CD376:CD390"/>
    <mergeCell ref="CE376:CE390"/>
    <mergeCell ref="AA376:AA390"/>
    <mergeCell ref="AB376:AB390"/>
    <mergeCell ref="AC376:AC390"/>
    <mergeCell ref="AD376:AD390"/>
    <mergeCell ref="AE376:AE390"/>
    <mergeCell ref="AF376:AF390"/>
    <mergeCell ref="M376:M390"/>
    <mergeCell ref="N376:N390"/>
    <mergeCell ref="O376:O390"/>
    <mergeCell ref="P376:P390"/>
    <mergeCell ref="Y376:Y390"/>
    <mergeCell ref="Z376:Z390"/>
    <mergeCell ref="CG391:CG404"/>
    <mergeCell ref="A405:A406"/>
    <mergeCell ref="B405:B406"/>
    <mergeCell ref="C405:C406"/>
    <mergeCell ref="D405:D406"/>
    <mergeCell ref="E405:E406"/>
    <mergeCell ref="F405:F406"/>
    <mergeCell ref="H405:H406"/>
    <mergeCell ref="M405:M406"/>
    <mergeCell ref="N405:N406"/>
    <mergeCell ref="AK391:AK404"/>
    <mergeCell ref="CB391:CB404"/>
    <mergeCell ref="CC391:CC404"/>
    <mergeCell ref="CD391:CD404"/>
    <mergeCell ref="CE391:CE404"/>
    <mergeCell ref="CF391:CF404"/>
    <mergeCell ref="AB391:AB404"/>
    <mergeCell ref="AC391:AC404"/>
    <mergeCell ref="AD391:AD404"/>
    <mergeCell ref="AE391:AE404"/>
    <mergeCell ref="AF391:AF404"/>
    <mergeCell ref="AG391:AG404"/>
    <mergeCell ref="N391:N404"/>
    <mergeCell ref="O391:O404"/>
    <mergeCell ref="P391:P404"/>
    <mergeCell ref="Y391:Y404"/>
    <mergeCell ref="Z391:Z404"/>
    <mergeCell ref="AA391:AA404"/>
    <mergeCell ref="CC405:CC406"/>
    <mergeCell ref="CD405:CD406"/>
    <mergeCell ref="CE405:CE406"/>
    <mergeCell ref="CF405:CF406"/>
    <mergeCell ref="CG405:CG406"/>
    <mergeCell ref="A407:A410"/>
    <mergeCell ref="B407:B410"/>
    <mergeCell ref="C407:C410"/>
    <mergeCell ref="D407:D410"/>
    <mergeCell ref="E407:E410"/>
    <mergeCell ref="AC405:AC406"/>
    <mergeCell ref="AD405:AD406"/>
    <mergeCell ref="AE405:AE406"/>
    <mergeCell ref="AG405:AG406"/>
    <mergeCell ref="AK405:AK406"/>
    <mergeCell ref="CB405:CB406"/>
    <mergeCell ref="O405:O406"/>
    <mergeCell ref="P405:P406"/>
    <mergeCell ref="Y405:Y406"/>
    <mergeCell ref="Z405:Z406"/>
    <mergeCell ref="AA405:AA406"/>
    <mergeCell ref="AB405:AB406"/>
    <mergeCell ref="CC407:CC410"/>
    <mergeCell ref="CD407:CD410"/>
    <mergeCell ref="CE407:CE410"/>
    <mergeCell ref="CF407:CF410"/>
    <mergeCell ref="CG407:CG410"/>
    <mergeCell ref="A412:A420"/>
    <mergeCell ref="B412:B420"/>
    <mergeCell ref="C412:C420"/>
    <mergeCell ref="D412:D420"/>
    <mergeCell ref="E412:E420"/>
    <mergeCell ref="AE407:AE410"/>
    <mergeCell ref="AF407:AF410"/>
    <mergeCell ref="AG407:AG410"/>
    <mergeCell ref="AK407:AK410"/>
    <mergeCell ref="BJ407:BJ410"/>
    <mergeCell ref="CB407:CB410"/>
    <mergeCell ref="Y407:Y410"/>
    <mergeCell ref="Z407:Z410"/>
    <mergeCell ref="AA407:AA410"/>
    <mergeCell ref="AB407:AB410"/>
    <mergeCell ref="AC407:AC410"/>
    <mergeCell ref="AD407:AD410"/>
    <mergeCell ref="F407:F410"/>
    <mergeCell ref="H407:H410"/>
    <mergeCell ref="M407:M410"/>
    <mergeCell ref="N407:N410"/>
    <mergeCell ref="O407:O410"/>
    <mergeCell ref="P407:P410"/>
    <mergeCell ref="CD412:CD420"/>
    <mergeCell ref="CE412:CE420"/>
    <mergeCell ref="CF412:CF420"/>
    <mergeCell ref="CG412:CG420"/>
    <mergeCell ref="A421:W421"/>
    <mergeCell ref="AE412:AE420"/>
    <mergeCell ref="AF412:AF420"/>
    <mergeCell ref="AG412:AG420"/>
    <mergeCell ref="AK412:AK420"/>
    <mergeCell ref="CB412:CB420"/>
    <mergeCell ref="CC412:CC420"/>
    <mergeCell ref="Y412:Y420"/>
    <mergeCell ref="Z412:Z420"/>
    <mergeCell ref="AA412:AA420"/>
    <mergeCell ref="AB412:AB420"/>
    <mergeCell ref="AC412:AC420"/>
    <mergeCell ref="AD412:AD420"/>
    <mergeCell ref="F412:F420"/>
    <mergeCell ref="H412:H420"/>
    <mergeCell ref="M412:M420"/>
    <mergeCell ref="N412:N420"/>
    <mergeCell ref="O412:O420"/>
    <mergeCell ref="P412:P420"/>
  </mergeCells>
  <pageMargins left="0.511811024" right="0.511811024" top="0.78740157499999996" bottom="0.78740157499999996" header="0" footer="0"/>
  <pageSetup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CONTRATAÇÕES PÚBLICAS SEME JUN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HIGOR FARIAS DE BRITO</cp:lastModifiedBy>
  <dcterms:modified xsi:type="dcterms:W3CDTF">2026-07-30T14:28:20Z</dcterms:modified>
</cp:coreProperties>
</file>