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45" windowWidth="19440" windowHeight="7995" tabRatio="813"/>
  </bookViews>
  <sheets>
    <sheet name="GERAL.2018" sheetId="67" r:id="rId1"/>
  </sheets>
  <definedNames>
    <definedName name="_xlnm._FilterDatabase" localSheetId="0" hidden="1">GERAL.2018!$A$19:$BM$19</definedName>
  </definedNames>
  <calcPr calcId="145621"/>
</workbook>
</file>

<file path=xl/calcChain.xml><?xml version="1.0" encoding="utf-8"?>
<calcChain xmlns="http://schemas.openxmlformats.org/spreadsheetml/2006/main">
  <c r="AS671" i="67" l="1"/>
  <c r="AR671" i="67"/>
  <c r="AQ671" i="67"/>
  <c r="AP671" i="67"/>
  <c r="AO671" i="67"/>
  <c r="AN671" i="67"/>
  <c r="AM671" i="67"/>
  <c r="AL671" i="67"/>
  <c r="AH671" i="67"/>
  <c r="AG671" i="67"/>
  <c r="O671" i="67"/>
  <c r="AL229" i="67" l="1"/>
  <c r="AN567" i="67"/>
  <c r="AN566" i="67"/>
  <c r="AN560" i="67"/>
  <c r="AN551" i="67"/>
  <c r="AN550" i="67"/>
  <c r="AN549" i="67"/>
  <c r="AN548" i="67"/>
  <c r="AN547" i="67"/>
  <c r="AN545" i="67"/>
  <c r="AN544" i="67"/>
  <c r="AN541" i="67"/>
  <c r="AN540" i="67"/>
  <c r="AN539" i="67"/>
  <c r="AN538" i="67"/>
  <c r="AN537" i="67"/>
  <c r="AN536" i="67"/>
  <c r="AN535" i="67"/>
  <c r="AN534" i="67"/>
  <c r="AN533" i="67"/>
  <c r="AN532" i="67"/>
  <c r="AN531" i="67"/>
  <c r="AN528" i="67"/>
  <c r="AN526" i="67"/>
  <c r="AN525" i="67"/>
  <c r="AN514" i="67"/>
  <c r="AN513" i="67"/>
  <c r="AN512" i="67"/>
  <c r="AN509" i="67"/>
  <c r="AN508" i="67"/>
  <c r="AN507" i="67"/>
  <c r="AN504" i="67"/>
  <c r="AN501" i="67"/>
  <c r="AN493" i="67"/>
  <c r="AN485" i="67"/>
  <c r="AN481" i="67"/>
  <c r="AN469" i="67"/>
  <c r="AN443" i="67"/>
  <c r="AN441" i="67"/>
  <c r="AN440" i="67"/>
  <c r="AN438" i="67"/>
  <c r="AN432" i="67"/>
  <c r="AN417" i="67"/>
  <c r="AN374" i="67"/>
  <c r="AN370" i="67"/>
  <c r="AN365" i="67"/>
  <c r="AN363" i="67"/>
  <c r="AN305" i="67" l="1"/>
  <c r="AN304" i="67"/>
  <c r="AN303" i="67"/>
  <c r="AN302" i="67"/>
  <c r="AN294" i="67"/>
  <c r="AN291" i="67"/>
  <c r="AN284" i="67"/>
  <c r="AN283" i="67"/>
  <c r="AN277" i="67"/>
  <c r="AN276" i="67"/>
  <c r="AN266" i="67"/>
  <c r="AN263" i="67"/>
  <c r="AN261" i="67"/>
  <c r="AN260" i="67"/>
  <c r="AN255" i="67"/>
  <c r="AN252" i="67"/>
  <c r="AN250" i="67"/>
  <c r="AN248" i="67"/>
  <c r="AN233" i="67"/>
  <c r="AN229" i="67"/>
  <c r="AN226" i="67"/>
  <c r="AN221" i="67"/>
  <c r="AN213" i="67"/>
  <c r="AN209" i="67"/>
  <c r="AN206" i="67"/>
  <c r="AN201" i="67"/>
  <c r="AN191" i="67"/>
  <c r="AN188" i="67"/>
  <c r="AN185" i="67"/>
  <c r="AN182" i="67"/>
  <c r="AN179" i="67"/>
  <c r="AN168" i="67"/>
  <c r="AN164" i="67"/>
  <c r="AN146" i="67"/>
  <c r="AN139" i="67"/>
  <c r="AN136" i="67"/>
  <c r="AN131" i="67"/>
  <c r="AN114" i="67"/>
  <c r="AN108" i="67"/>
  <c r="AN91" i="67"/>
  <c r="AN86" i="67"/>
  <c r="AN80" i="67"/>
  <c r="AN75" i="67"/>
  <c r="AN55" i="67"/>
  <c r="AN656" i="67"/>
  <c r="AN650" i="67"/>
  <c r="AN644" i="67"/>
  <c r="AN634" i="67"/>
  <c r="AN628" i="67"/>
  <c r="AN621" i="67"/>
  <c r="AN614" i="67"/>
  <c r="AN606" i="67"/>
  <c r="AN596" i="67"/>
  <c r="AN586" i="67"/>
  <c r="AO582" i="67"/>
  <c r="AO583" i="67"/>
  <c r="AO584" i="67"/>
  <c r="AO585" i="67"/>
  <c r="AO575" i="67"/>
  <c r="AO576" i="67"/>
  <c r="AO577" i="67"/>
  <c r="AO578" i="67"/>
  <c r="AO579" i="67"/>
  <c r="AO580" i="67"/>
  <c r="AO581" i="67"/>
  <c r="AO568" i="67"/>
  <c r="AO569" i="67"/>
  <c r="AO570" i="67"/>
  <c r="AO571" i="67"/>
  <c r="AO572" i="67"/>
  <c r="AO573" i="67"/>
  <c r="AO574" i="67"/>
  <c r="AL579" i="67"/>
  <c r="AL580" i="67"/>
  <c r="AL581" i="67"/>
  <c r="AL582" i="67"/>
  <c r="AL583" i="67"/>
  <c r="AL584" i="67"/>
  <c r="AL585" i="67"/>
  <c r="AL575" i="67"/>
  <c r="AL576" i="67"/>
  <c r="AL577" i="67"/>
  <c r="AL578" i="67"/>
  <c r="AL568" i="67"/>
  <c r="AL569" i="67"/>
  <c r="AL570" i="67"/>
  <c r="AL571" i="67"/>
  <c r="AL572" i="67"/>
  <c r="AL573" i="67"/>
  <c r="AL574" i="67"/>
  <c r="AL337" i="67"/>
  <c r="AL366" i="67"/>
  <c r="AL438" i="67" l="1"/>
  <c r="AL233" i="67"/>
  <c r="AL206" i="67"/>
  <c r="AL441" i="67"/>
  <c r="AL226" i="67"/>
  <c r="AL179" i="67"/>
  <c r="AL176" i="67"/>
  <c r="AL173" i="67"/>
  <c r="AL354" i="67"/>
  <c r="AL394" i="67"/>
  <c r="AL395" i="67"/>
  <c r="AL396" i="67"/>
  <c r="AL397" i="67"/>
  <c r="AL398" i="67"/>
  <c r="AL399" i="67"/>
  <c r="AL400" i="67"/>
  <c r="AL401" i="67"/>
  <c r="AL402" i="67"/>
  <c r="AL403" i="67"/>
  <c r="AL404" i="67"/>
  <c r="AL407" i="67"/>
  <c r="AL408" i="67"/>
  <c r="AL409" i="67"/>
  <c r="AL410" i="67"/>
  <c r="AL411" i="67"/>
  <c r="AL412" i="67"/>
  <c r="AL413" i="67"/>
  <c r="AL414" i="67"/>
  <c r="AL415" i="67"/>
  <c r="AL416" i="67"/>
  <c r="AL417" i="67"/>
  <c r="AL418" i="67"/>
  <c r="AL419" i="67"/>
  <c r="AL420" i="67"/>
  <c r="AL421" i="67"/>
  <c r="AL422" i="67"/>
  <c r="AL423" i="67"/>
  <c r="AL424" i="67"/>
  <c r="AL425" i="67"/>
  <c r="AL426" i="67"/>
  <c r="AL427" i="67"/>
  <c r="AL428" i="67"/>
  <c r="AL429" i="67"/>
  <c r="AL430" i="67"/>
  <c r="AL431" i="67"/>
  <c r="AL432" i="67"/>
  <c r="AL433" i="67"/>
  <c r="AL434" i="67"/>
  <c r="AL435" i="67"/>
  <c r="AL436" i="67"/>
  <c r="AL437" i="67"/>
  <c r="AL439" i="67"/>
  <c r="AL440" i="67"/>
  <c r="AL442" i="67"/>
  <c r="AL443" i="67"/>
  <c r="AL444" i="67"/>
  <c r="AL445" i="67"/>
  <c r="AL446" i="67"/>
  <c r="AL447" i="67"/>
  <c r="AL448" i="67"/>
  <c r="AL449" i="67"/>
  <c r="AL450" i="67"/>
  <c r="AL451" i="67"/>
  <c r="AL452" i="67"/>
  <c r="AL453" i="67"/>
  <c r="AL454" i="67"/>
  <c r="AL455" i="67"/>
  <c r="AL456" i="67"/>
  <c r="AL457" i="67"/>
  <c r="AL458" i="67"/>
  <c r="AL20" i="67"/>
  <c r="AL27" i="67"/>
  <c r="AL31" i="67"/>
  <c r="AL35" i="67"/>
  <c r="AL39" i="67"/>
  <c r="AL43" i="67"/>
  <c r="AL47" i="67"/>
  <c r="AL51" i="67"/>
  <c r="AL55" i="67"/>
  <c r="AL60" i="67"/>
  <c r="AL65" i="67"/>
  <c r="AL75" i="67"/>
  <c r="AL80" i="67"/>
  <c r="AL86" i="67"/>
  <c r="AL91" i="67"/>
  <c r="AL97" i="67"/>
  <c r="AL108" i="67"/>
  <c r="AL114" i="67"/>
  <c r="AL122" i="67"/>
  <c r="AL127" i="67"/>
  <c r="AL131" i="67"/>
  <c r="AL136" i="67"/>
  <c r="AL139" i="67"/>
  <c r="AL146" i="67"/>
  <c r="AL152" i="67"/>
  <c r="AL164" i="67"/>
  <c r="AL168" i="67"/>
  <c r="AL182" i="67"/>
  <c r="AL185" i="67"/>
  <c r="AL188" i="67"/>
  <c r="AL191" i="67"/>
  <c r="AL194" i="67"/>
  <c r="AH201" i="67"/>
  <c r="AL201" i="67" s="1"/>
  <c r="AG201" i="67"/>
  <c r="AL209" i="67"/>
  <c r="AL213" i="67"/>
  <c r="AL216" i="67"/>
  <c r="AL218" i="67"/>
  <c r="AH221" i="67" l="1"/>
  <c r="AG221" i="67"/>
  <c r="AL236" i="67"/>
  <c r="AL248" i="67"/>
  <c r="AL250" i="67"/>
  <c r="AL252" i="67"/>
  <c r="AL255" i="67"/>
  <c r="AL257" i="67"/>
  <c r="AL260" i="67"/>
  <c r="AL261" i="67"/>
  <c r="AL263" i="67"/>
  <c r="AL266" i="67"/>
  <c r="AL268" i="67"/>
  <c r="AL270" i="67"/>
  <c r="AL276" i="67"/>
  <c r="AL277" i="67"/>
  <c r="AL278" i="67"/>
  <c r="AL283" i="67"/>
  <c r="AL284" i="67"/>
  <c r="AL286" i="67"/>
  <c r="AL290" i="67"/>
  <c r="AL291" i="67"/>
  <c r="AL293" i="67"/>
  <c r="AL294" i="67"/>
  <c r="AL297" i="67"/>
  <c r="AL301" i="67"/>
  <c r="AL302" i="67"/>
  <c r="AL303" i="67"/>
  <c r="AL304" i="67"/>
  <c r="AL305" i="67"/>
  <c r="AL306" i="67"/>
  <c r="AL307" i="67"/>
  <c r="AL308" i="67"/>
  <c r="AL309" i="67"/>
  <c r="AL311" i="67"/>
  <c r="AL312" i="67"/>
  <c r="AL313" i="67"/>
  <c r="AL315" i="67"/>
  <c r="AL317" i="67"/>
  <c r="AL318" i="67"/>
  <c r="AL319" i="67"/>
  <c r="AL320" i="67"/>
  <c r="AL321" i="67"/>
  <c r="AL322" i="67"/>
  <c r="AL323" i="67"/>
  <c r="AL324" i="67"/>
  <c r="AL325" i="67"/>
  <c r="AL326" i="67"/>
  <c r="AL327" i="67"/>
  <c r="AL328" i="67"/>
  <c r="AL329" i="67"/>
  <c r="AL330" i="67"/>
  <c r="AL331" i="67"/>
  <c r="AL332" i="67"/>
  <c r="AL333" i="67"/>
  <c r="AL334" i="67"/>
  <c r="AL335" i="67"/>
  <c r="AL336" i="67"/>
  <c r="AL341" i="67"/>
  <c r="AL342" i="67"/>
  <c r="AL343" i="67"/>
  <c r="AL344" i="67"/>
  <c r="AL345" i="67"/>
  <c r="AL346" i="67"/>
  <c r="AL347" i="67"/>
  <c r="AL348" i="67"/>
  <c r="AL349" i="67"/>
  <c r="AL350" i="67"/>
  <c r="AL351" i="67"/>
  <c r="AL352" i="67"/>
  <c r="AL353" i="67"/>
  <c r="AL356" i="67"/>
  <c r="AL357" i="67"/>
  <c r="AL358" i="67"/>
  <c r="AL359" i="67"/>
  <c r="AL360" i="67"/>
  <c r="AL361" i="67"/>
  <c r="AL362" i="67"/>
  <c r="AL363" i="67"/>
  <c r="AL364" i="67"/>
  <c r="AL365" i="67"/>
  <c r="AL369" i="67"/>
  <c r="AL370" i="67"/>
  <c r="AL371" i="67"/>
  <c r="AL372" i="67"/>
  <c r="AL373" i="67"/>
  <c r="AL374" i="67"/>
  <c r="AL375" i="67"/>
  <c r="AL376" i="67"/>
  <c r="AL377" i="67"/>
  <c r="AL378" i="67"/>
  <c r="AL379" i="67"/>
  <c r="AL380" i="67"/>
  <c r="AL381" i="67"/>
  <c r="AL382" i="67"/>
  <c r="AL383" i="67"/>
  <c r="AL384" i="67"/>
  <c r="AL385" i="67"/>
  <c r="AL386" i="67"/>
  <c r="AL387" i="67"/>
  <c r="AL388" i="67"/>
  <c r="AL389" i="67"/>
  <c r="AL390" i="67"/>
  <c r="AL391" i="67"/>
  <c r="AL392" i="67"/>
  <c r="AL393" i="67"/>
  <c r="AL405" i="67"/>
  <c r="AL459" i="67"/>
  <c r="AL460" i="67"/>
  <c r="AL461" i="67"/>
  <c r="AL462" i="67"/>
  <c r="AL463" i="67"/>
  <c r="AL464" i="67"/>
  <c r="AL465" i="67"/>
  <c r="AL466" i="67"/>
  <c r="AL467" i="67"/>
  <c r="AL468" i="67"/>
  <c r="AL469" i="67"/>
  <c r="AL470" i="67"/>
  <c r="AL471" i="67"/>
  <c r="AL472" i="67"/>
  <c r="AL473" i="67"/>
  <c r="AL474" i="67"/>
  <c r="AL475" i="67"/>
  <c r="AL476" i="67"/>
  <c r="AL477" i="67"/>
  <c r="AL478" i="67"/>
  <c r="AL479" i="67"/>
  <c r="AL480" i="67"/>
  <c r="AL481" i="67"/>
  <c r="AL482" i="67"/>
  <c r="AL483" i="67"/>
  <c r="AL484" i="67"/>
  <c r="O485" i="67"/>
  <c r="AL485" i="67" s="1"/>
  <c r="AL486" i="67"/>
  <c r="AL487" i="67"/>
  <c r="AL488" i="67"/>
  <c r="AL489" i="67"/>
  <c r="AL490" i="67"/>
  <c r="AL491" i="67"/>
  <c r="AL492" i="67"/>
  <c r="AL493" i="67"/>
  <c r="AL494" i="67"/>
  <c r="AL495" i="67"/>
  <c r="AL496" i="67"/>
  <c r="AL497" i="67"/>
  <c r="AL498" i="67"/>
  <c r="AL499" i="67"/>
  <c r="AL500" i="67"/>
  <c r="AL501" i="67"/>
  <c r="AL502" i="67"/>
  <c r="AL503" i="67"/>
  <c r="AL504" i="67"/>
  <c r="AL505" i="67"/>
  <c r="AL506" i="67"/>
  <c r="AL507" i="67"/>
  <c r="AL508" i="67"/>
  <c r="AL509" i="67"/>
  <c r="AL510" i="67"/>
  <c r="AL511" i="67"/>
  <c r="AL512" i="67"/>
  <c r="AL513" i="67"/>
  <c r="AL514" i="67"/>
  <c r="AL515" i="67"/>
  <c r="AL516" i="67"/>
  <c r="AL517" i="67"/>
  <c r="AL518" i="67"/>
  <c r="AL519" i="67"/>
  <c r="AL520" i="67"/>
  <c r="AL521" i="67"/>
  <c r="AL522" i="67"/>
  <c r="AL523" i="67"/>
  <c r="AL524" i="67"/>
  <c r="AL525" i="67"/>
  <c r="AL526" i="67"/>
  <c r="AL527" i="67"/>
  <c r="AL528" i="67"/>
  <c r="AL529" i="67"/>
  <c r="AL530" i="67"/>
  <c r="AL531" i="67"/>
  <c r="AL532" i="67"/>
  <c r="AL533" i="67"/>
  <c r="AL534" i="67"/>
  <c r="AL535" i="67"/>
  <c r="AL536" i="67"/>
  <c r="AL537" i="67"/>
  <c r="AL538" i="67"/>
  <c r="AN662" i="67"/>
  <c r="AM662" i="67"/>
  <c r="AL662" i="67"/>
  <c r="AM656" i="67"/>
  <c r="AL656" i="67"/>
  <c r="AM650" i="67"/>
  <c r="AL650" i="67"/>
  <c r="AM644" i="67"/>
  <c r="AO644" i="67" s="1"/>
  <c r="AL644" i="67"/>
  <c r="AM634" i="67"/>
  <c r="AO634" i="67" s="1"/>
  <c r="AL634" i="67"/>
  <c r="AO628" i="67"/>
  <c r="AM628" i="67"/>
  <c r="AL628" i="67"/>
  <c r="AM621" i="67"/>
  <c r="AO621" i="67" s="1"/>
  <c r="AL621" i="67"/>
  <c r="AM614" i="67"/>
  <c r="AO614" i="67" s="1"/>
  <c r="AL614" i="67"/>
  <c r="AM606" i="67"/>
  <c r="AO606" i="67" s="1"/>
  <c r="AL606" i="67"/>
  <c r="AM596" i="67"/>
  <c r="AO596" i="67" s="1"/>
  <c r="AL596" i="67"/>
  <c r="AM586" i="67"/>
  <c r="AO586" i="67" s="1"/>
  <c r="AL586" i="67"/>
  <c r="AO567" i="67"/>
  <c r="AL567" i="67"/>
  <c r="AO566" i="67"/>
  <c r="AL566" i="67"/>
  <c r="AO565" i="67"/>
  <c r="AL565" i="67"/>
  <c r="AO564" i="67"/>
  <c r="AL564" i="67"/>
  <c r="AO563" i="67"/>
  <c r="AL563" i="67"/>
  <c r="AO562" i="67"/>
  <c r="AL562" i="67"/>
  <c r="AO561" i="67"/>
  <c r="AL561" i="67"/>
  <c r="AO560" i="67"/>
  <c r="AL560" i="67"/>
  <c r="AO559" i="67"/>
  <c r="AL559" i="67"/>
  <c r="AN558" i="67"/>
  <c r="AO558" i="67" s="1"/>
  <c r="AL558" i="67"/>
  <c r="AO557" i="67"/>
  <c r="AL557" i="67"/>
  <c r="AO556" i="67"/>
  <c r="AL556" i="67"/>
  <c r="AO555" i="67"/>
  <c r="AL555" i="67"/>
  <c r="AO554" i="67"/>
  <c r="AL554" i="67"/>
  <c r="AO553" i="67"/>
  <c r="AL553" i="67"/>
  <c r="AO552" i="67"/>
  <c r="AL552" i="67"/>
  <c r="AO551" i="67"/>
  <c r="AL551" i="67"/>
  <c r="AO550" i="67"/>
  <c r="AL550" i="67"/>
  <c r="AO549" i="67"/>
  <c r="AL549" i="67"/>
  <c r="AO548" i="67"/>
  <c r="AL548" i="67"/>
  <c r="AO547" i="67"/>
  <c r="AL547" i="67"/>
  <c r="AN546" i="67"/>
  <c r="AO546" i="67" s="1"/>
  <c r="AL546" i="67"/>
  <c r="AO545" i="67"/>
  <c r="AL545" i="67"/>
  <c r="AO544" i="67"/>
  <c r="AL544" i="67"/>
  <c r="AO543" i="67"/>
  <c r="AL543" i="67"/>
  <c r="AO542" i="67"/>
  <c r="AL542" i="67"/>
  <c r="AO541" i="67"/>
  <c r="AL541" i="67"/>
  <c r="AO540" i="67"/>
  <c r="AL540" i="67"/>
  <c r="AO539" i="67"/>
  <c r="AL539" i="67"/>
  <c r="AO538" i="67"/>
  <c r="AO536" i="67"/>
  <c r="AO535" i="67"/>
  <c r="AO534" i="67"/>
  <c r="AO533" i="67"/>
  <c r="AO532" i="67"/>
  <c r="AO531" i="67"/>
  <c r="AN530" i="67"/>
  <c r="AO530" i="67" s="1"/>
  <c r="AN529" i="67"/>
  <c r="AO529" i="67" s="1"/>
  <c r="AO528" i="67"/>
  <c r="AN527" i="67"/>
  <c r="AO527" i="67" s="1"/>
  <c r="AO526" i="67"/>
  <c r="AO525" i="67"/>
  <c r="AO524" i="67"/>
  <c r="AN524" i="67"/>
  <c r="AN523" i="67"/>
  <c r="AO523" i="67" s="1"/>
  <c r="AN522" i="67"/>
  <c r="AO522" i="67" s="1"/>
  <c r="AN521" i="67"/>
  <c r="AO521" i="67" s="1"/>
  <c r="AN520" i="67"/>
  <c r="AO520" i="67" s="1"/>
  <c r="AN519" i="67"/>
  <c r="AO519" i="67" s="1"/>
  <c r="AO518" i="67"/>
  <c r="AN517" i="67"/>
  <c r="AO517" i="67" s="1"/>
  <c r="AN516" i="67"/>
  <c r="AO516" i="67" s="1"/>
  <c r="AN515" i="67"/>
  <c r="AO515" i="67" s="1"/>
  <c r="AO514" i="67"/>
  <c r="AO513" i="67"/>
  <c r="AO512" i="67"/>
  <c r="AN511" i="67"/>
  <c r="AO511" i="67" s="1"/>
  <c r="AN510" i="67"/>
  <c r="AO510" i="67" s="1"/>
  <c r="AO509" i="67"/>
  <c r="AO508" i="67"/>
  <c r="AO507" i="67"/>
  <c r="AO506" i="67"/>
  <c r="AO505" i="67"/>
  <c r="AN505" i="67"/>
  <c r="AO504" i="67"/>
  <c r="AO503" i="67"/>
  <c r="AO502" i="67"/>
  <c r="AN502" i="67"/>
  <c r="AO501" i="67"/>
  <c r="AN500" i="67"/>
  <c r="AO500" i="67" s="1"/>
  <c r="AN499" i="67"/>
  <c r="AO499" i="67" s="1"/>
  <c r="AN498" i="67"/>
  <c r="AO498" i="67" s="1"/>
  <c r="AN497" i="67"/>
  <c r="AO497" i="67" s="1"/>
  <c r="AN496" i="67"/>
  <c r="AO496" i="67" s="1"/>
  <c r="AN495" i="67"/>
  <c r="AO495" i="67" s="1"/>
  <c r="AN494" i="67"/>
  <c r="AO494" i="67" s="1"/>
  <c r="AO493" i="67"/>
  <c r="AN492" i="67"/>
  <c r="AO492" i="67" s="1"/>
  <c r="AN491" i="67"/>
  <c r="AO491" i="67" s="1"/>
  <c r="AN490" i="67"/>
  <c r="AO490" i="67" s="1"/>
  <c r="AN489" i="67"/>
  <c r="AO489" i="67" s="1"/>
  <c r="AN488" i="67"/>
  <c r="AO488" i="67" s="1"/>
  <c r="AN487" i="67"/>
  <c r="AO487" i="67" s="1"/>
  <c r="AO486" i="67"/>
  <c r="AO485" i="67"/>
  <c r="AO484" i="67"/>
  <c r="AN483" i="67"/>
  <c r="AO483" i="67" s="1"/>
  <c r="AN482" i="67"/>
  <c r="AO482" i="67" s="1"/>
  <c r="AO481" i="67"/>
  <c r="AN480" i="67"/>
  <c r="AO480" i="67" s="1"/>
  <c r="AN479" i="67"/>
  <c r="AO479" i="67" s="1"/>
  <c r="AO478" i="67"/>
  <c r="AN477" i="67"/>
  <c r="AO477" i="67" s="1"/>
  <c r="AN476" i="67"/>
  <c r="AO476" i="67" s="1"/>
  <c r="AN475" i="67"/>
  <c r="AO475" i="67" s="1"/>
  <c r="AN474" i="67"/>
  <c r="AO474" i="67" s="1"/>
  <c r="AO473" i="67"/>
  <c r="AN473" i="67"/>
  <c r="AN472" i="67"/>
  <c r="AO472" i="67" s="1"/>
  <c r="AN471" i="67"/>
  <c r="AO471" i="67" s="1"/>
  <c r="AN470" i="67"/>
  <c r="AO470" i="67" s="1"/>
  <c r="AO469" i="67"/>
  <c r="AN468" i="67"/>
  <c r="AO468" i="67" s="1"/>
  <c r="AN467" i="67"/>
  <c r="AO467" i="67" s="1"/>
  <c r="AN466" i="67"/>
  <c r="AO466" i="67" s="1"/>
  <c r="AN465" i="67"/>
  <c r="AO465" i="67" s="1"/>
  <c r="AN464" i="67"/>
  <c r="AO464" i="67" s="1"/>
  <c r="AO463" i="67"/>
  <c r="AN462" i="67"/>
  <c r="AO462" i="67" s="1"/>
  <c r="AN461" i="67"/>
  <c r="AO461" i="67" s="1"/>
  <c r="AO460" i="67"/>
  <c r="AN459" i="67"/>
  <c r="AO459" i="67" s="1"/>
  <c r="AN458" i="67"/>
  <c r="AO458" i="67" s="1"/>
  <c r="AN457" i="67"/>
  <c r="AO457" i="67" s="1"/>
  <c r="AN456" i="67"/>
  <c r="AO456" i="67" s="1"/>
  <c r="AN455" i="67"/>
  <c r="AO455" i="67" s="1"/>
  <c r="AN454" i="67"/>
  <c r="AO454" i="67" s="1"/>
  <c r="AN453" i="67"/>
  <c r="AO453" i="67" s="1"/>
  <c r="AN452" i="67"/>
  <c r="AO452" i="67" s="1"/>
  <c r="AO451" i="67"/>
  <c r="AO450" i="67"/>
  <c r="AN449" i="67"/>
  <c r="AO449" i="67" s="1"/>
  <c r="AO448" i="67"/>
  <c r="AN447" i="67"/>
  <c r="AO447" i="67" s="1"/>
  <c r="AN446" i="67"/>
  <c r="AO446" i="67" s="1"/>
  <c r="AN445" i="67"/>
  <c r="AO445" i="67" s="1"/>
  <c r="AN444" i="67"/>
  <c r="AO444" i="67" s="1"/>
  <c r="AO443" i="67"/>
  <c r="AN442" i="67"/>
  <c r="AO442" i="67" s="1"/>
  <c r="AO441" i="67"/>
  <c r="AO440" i="67"/>
  <c r="AN439" i="67"/>
  <c r="AO439" i="67" s="1"/>
  <c r="AO438" i="67"/>
  <c r="AN437" i="67"/>
  <c r="AN436" i="67"/>
  <c r="AO436" i="67" s="1"/>
  <c r="AN435" i="67"/>
  <c r="AO435" i="67" s="1"/>
  <c r="AN434" i="67"/>
  <c r="AO434" i="67" s="1"/>
  <c r="AN433" i="67"/>
  <c r="AO433" i="67" s="1"/>
  <c r="AO432" i="67"/>
  <c r="AN431" i="67"/>
  <c r="AO431" i="67" s="1"/>
  <c r="AO430" i="67"/>
  <c r="AN430" i="67"/>
  <c r="AN429" i="67"/>
  <c r="AO429" i="67" s="1"/>
  <c r="AN428" i="67"/>
  <c r="AO428" i="67" s="1"/>
  <c r="AN427" i="67"/>
  <c r="AO427" i="67" s="1"/>
  <c r="AN426" i="67"/>
  <c r="AO426" i="67" s="1"/>
  <c r="AN425" i="67"/>
  <c r="AO425" i="67" s="1"/>
  <c r="AN424" i="67"/>
  <c r="AO424" i="67" s="1"/>
  <c r="AN423" i="67"/>
  <c r="AO423" i="67" s="1"/>
  <c r="AN422" i="67"/>
  <c r="AO422" i="67" s="1"/>
  <c r="AO421" i="67"/>
  <c r="AN420" i="67"/>
  <c r="AO420" i="67" s="1"/>
  <c r="AN419" i="67"/>
  <c r="AO419" i="67" s="1"/>
  <c r="AN418" i="67"/>
  <c r="AO418" i="67" s="1"/>
  <c r="AO417" i="67"/>
  <c r="AN416" i="67"/>
  <c r="AO416" i="67" s="1"/>
  <c r="AN415" i="67"/>
  <c r="AO415" i="67" s="1"/>
  <c r="AO414" i="67"/>
  <c r="AN413" i="67"/>
  <c r="AO413" i="67" s="1"/>
  <c r="AN412" i="67"/>
  <c r="AO412" i="67" s="1"/>
  <c r="AN411" i="67"/>
  <c r="AO411" i="67" s="1"/>
  <c r="AN410" i="67"/>
  <c r="AO410" i="67" s="1"/>
  <c r="AN409" i="67"/>
  <c r="AO409" i="67" s="1"/>
  <c r="AN408" i="67"/>
  <c r="AO408" i="67" s="1"/>
  <c r="AN407" i="67"/>
  <c r="AO407" i="67" s="1"/>
  <c r="AN405" i="67"/>
  <c r="AO405" i="67" s="1"/>
  <c r="AO404" i="67"/>
  <c r="AN403" i="67"/>
  <c r="AO403" i="67" s="1"/>
  <c r="AO402" i="67"/>
  <c r="AN401" i="67"/>
  <c r="AO401" i="67" s="1"/>
  <c r="AO400" i="67"/>
  <c r="AO399" i="67"/>
  <c r="AN398" i="67"/>
  <c r="AO398" i="67" s="1"/>
  <c r="AN397" i="67"/>
  <c r="AO397" i="67" s="1"/>
  <c r="AO396" i="67"/>
  <c r="AO395" i="67"/>
  <c r="AN394" i="67"/>
  <c r="AO394" i="67" s="1"/>
  <c r="AN393" i="67"/>
  <c r="AO393" i="67" s="1"/>
  <c r="AN392" i="67"/>
  <c r="AO392" i="67" s="1"/>
  <c r="AN391" i="67"/>
  <c r="AO391" i="67" s="1"/>
  <c r="AN390" i="67"/>
  <c r="AO390" i="67" s="1"/>
  <c r="AN389" i="67"/>
  <c r="AO389" i="67" s="1"/>
  <c r="AN388" i="67"/>
  <c r="AO388" i="67" s="1"/>
  <c r="AN387" i="67"/>
  <c r="AO387" i="67" s="1"/>
  <c r="AN386" i="67"/>
  <c r="AO386" i="67" s="1"/>
  <c r="AN385" i="67"/>
  <c r="AO385" i="67" s="1"/>
  <c r="AN384" i="67"/>
  <c r="AO384" i="67" s="1"/>
  <c r="AN383" i="67"/>
  <c r="AO383" i="67" s="1"/>
  <c r="AN382" i="67"/>
  <c r="AO382" i="67" s="1"/>
  <c r="AN381" i="67"/>
  <c r="AO381" i="67" s="1"/>
  <c r="AN380" i="67"/>
  <c r="AO380" i="67" s="1"/>
  <c r="AN379" i="67"/>
  <c r="AO379" i="67" s="1"/>
  <c r="AN378" i="67"/>
  <c r="AO378" i="67" s="1"/>
  <c r="AN377" i="67"/>
  <c r="AO377" i="67" s="1"/>
  <c r="AN376" i="67"/>
  <c r="AO376" i="67" s="1"/>
  <c r="AN375" i="67"/>
  <c r="AO375" i="67" s="1"/>
  <c r="AO374" i="67"/>
  <c r="AN373" i="67"/>
  <c r="AO373" i="67" s="1"/>
  <c r="AN372" i="67"/>
  <c r="AO372" i="67" s="1"/>
  <c r="AN371" i="67"/>
  <c r="AO371" i="67" s="1"/>
  <c r="AO370" i="67"/>
  <c r="AN369" i="67"/>
  <c r="AO369" i="67" s="1"/>
  <c r="AN366" i="67"/>
  <c r="AO366" i="67" s="1"/>
  <c r="AO365" i="67"/>
  <c r="AN364" i="67"/>
  <c r="AO364" i="67" s="1"/>
  <c r="AO363" i="67"/>
  <c r="AN362" i="67"/>
  <c r="AO362" i="67" s="1"/>
  <c r="AN361" i="67"/>
  <c r="AO361" i="67" s="1"/>
  <c r="AN360" i="67"/>
  <c r="AO360" i="67" s="1"/>
  <c r="AN359" i="67"/>
  <c r="AO359" i="67" s="1"/>
  <c r="AN358" i="67"/>
  <c r="AO358" i="67" s="1"/>
  <c r="AN357" i="67"/>
  <c r="AO357" i="67" s="1"/>
  <c r="AN356" i="67"/>
  <c r="AO356" i="67" s="1"/>
  <c r="AO354" i="67"/>
  <c r="AN354" i="67"/>
  <c r="AN353" i="67"/>
  <c r="AO353" i="67" s="1"/>
  <c r="AN352" i="67"/>
  <c r="AO352" i="67" s="1"/>
  <c r="AN351" i="67"/>
  <c r="AO351" i="67" s="1"/>
  <c r="AN350" i="67"/>
  <c r="AO350" i="67" s="1"/>
  <c r="AN349" i="67"/>
  <c r="AO349" i="67" s="1"/>
  <c r="AN348" i="67"/>
  <c r="AO348" i="67" s="1"/>
  <c r="AN347" i="67"/>
  <c r="AO347" i="67" s="1"/>
  <c r="AN346" i="67"/>
  <c r="AO346" i="67" s="1"/>
  <c r="AN345" i="67"/>
  <c r="AO345" i="67" s="1"/>
  <c r="AN344" i="67"/>
  <c r="AO344" i="67" s="1"/>
  <c r="AN343" i="67"/>
  <c r="AO343" i="67" s="1"/>
  <c r="AN342" i="67"/>
  <c r="AO342" i="67" s="1"/>
  <c r="AN341" i="67"/>
  <c r="AO341" i="67" s="1"/>
  <c r="AN337" i="67"/>
  <c r="AO337" i="67" s="1"/>
  <c r="AN336" i="67"/>
  <c r="AO336" i="67" s="1"/>
  <c r="AN335" i="67"/>
  <c r="AO335" i="67" s="1"/>
  <c r="AN334" i="67"/>
  <c r="AO334" i="67" s="1"/>
  <c r="AN333" i="67"/>
  <c r="AO333" i="67" s="1"/>
  <c r="AN332" i="67"/>
  <c r="AO332" i="67" s="1"/>
  <c r="AN331" i="67"/>
  <c r="AO331" i="67" s="1"/>
  <c r="AN330" i="67"/>
  <c r="AO330" i="67" s="1"/>
  <c r="AN329" i="67"/>
  <c r="AO329" i="67" s="1"/>
  <c r="AN328" i="67"/>
  <c r="AO328" i="67" s="1"/>
  <c r="AN327" i="67"/>
  <c r="AO327" i="67" s="1"/>
  <c r="AN326" i="67"/>
  <c r="AO326" i="67" s="1"/>
  <c r="AN325" i="67"/>
  <c r="AO325" i="67" s="1"/>
  <c r="AN324" i="67"/>
  <c r="AO324" i="67" s="1"/>
  <c r="AN323" i="67"/>
  <c r="AO323" i="67" s="1"/>
  <c r="AN322" i="67"/>
  <c r="AO322" i="67" s="1"/>
  <c r="AN321" i="67"/>
  <c r="AO321" i="67" s="1"/>
  <c r="AN320" i="67"/>
  <c r="AO320" i="67" s="1"/>
  <c r="AN319" i="67"/>
  <c r="AO319" i="67" s="1"/>
  <c r="AN318" i="67"/>
  <c r="AO318" i="67" s="1"/>
  <c r="AN317" i="67"/>
  <c r="AO317" i="67" s="1"/>
  <c r="AN315" i="67"/>
  <c r="AO315" i="67" s="1"/>
  <c r="AN313" i="67"/>
  <c r="AO313" i="67" s="1"/>
  <c r="AN312" i="67"/>
  <c r="AO312" i="67" s="1"/>
  <c r="AN311" i="67"/>
  <c r="AO311" i="67" s="1"/>
  <c r="AN309" i="67"/>
  <c r="AO309" i="67" s="1"/>
  <c r="AO308" i="67"/>
  <c r="AN308" i="67"/>
  <c r="AN307" i="67"/>
  <c r="AO307" i="67" s="1"/>
  <c r="AN306" i="67"/>
  <c r="AO306" i="67" s="1"/>
  <c r="AO305" i="67"/>
  <c r="AO304" i="67"/>
  <c r="AO303" i="67"/>
  <c r="AO302" i="67"/>
  <c r="AN301" i="67"/>
  <c r="AO301" i="67" s="1"/>
  <c r="AN297" i="67"/>
  <c r="AO297" i="67" s="1"/>
  <c r="BE294" i="67"/>
  <c r="AM294" i="67"/>
  <c r="AO294" i="67" s="1"/>
  <c r="AN293" i="67"/>
  <c r="AO293" i="67" s="1"/>
  <c r="BE291" i="67"/>
  <c r="AM291" i="67"/>
  <c r="AN290" i="67"/>
  <c r="AO290" i="67" s="1"/>
  <c r="AN286" i="67"/>
  <c r="AM286" i="67"/>
  <c r="AO284" i="67"/>
  <c r="AM283" i="67"/>
  <c r="AO283" i="67" s="1"/>
  <c r="AN278" i="67"/>
  <c r="AM278" i="67"/>
  <c r="AM277" i="67"/>
  <c r="AO277" i="67" s="1"/>
  <c r="AM276" i="67"/>
  <c r="AO276" i="67" s="1"/>
  <c r="AN270" i="67"/>
  <c r="AM270" i="67"/>
  <c r="AN268" i="67"/>
  <c r="AM268" i="67"/>
  <c r="AM266" i="67"/>
  <c r="AM263" i="67"/>
  <c r="AO263" i="67" s="1"/>
  <c r="AM261" i="67"/>
  <c r="AO261" i="67" s="1"/>
  <c r="AM260" i="67"/>
  <c r="AN257" i="67"/>
  <c r="AM257" i="67"/>
  <c r="AM255" i="67"/>
  <c r="AO255" i="67" s="1"/>
  <c r="AM252" i="67"/>
  <c r="AO252" i="67" s="1"/>
  <c r="AM250" i="67"/>
  <c r="AO250" i="67" s="1"/>
  <c r="AM248" i="67"/>
  <c r="BE236" i="67"/>
  <c r="AN236" i="67"/>
  <c r="AM236" i="67"/>
  <c r="R236" i="67"/>
  <c r="AM233" i="67"/>
  <c r="AO233" i="67" s="1"/>
  <c r="AM229" i="67"/>
  <c r="AO229" i="67" s="1"/>
  <c r="AM226" i="67"/>
  <c r="AO226" i="67" s="1"/>
  <c r="AM221" i="67"/>
  <c r="AO221" i="67" s="1"/>
  <c r="AN218" i="67"/>
  <c r="AM218" i="67"/>
  <c r="AN216" i="67"/>
  <c r="AM216" i="67"/>
  <c r="AM213" i="67"/>
  <c r="AO213" i="67" s="1"/>
  <c r="AM209" i="67"/>
  <c r="AM206" i="67"/>
  <c r="AO206" i="67" s="1"/>
  <c r="AM201" i="67"/>
  <c r="AO201" i="67" s="1"/>
  <c r="BE194" i="67"/>
  <c r="AM194" i="67"/>
  <c r="AO194" i="67" s="1"/>
  <c r="R194" i="67"/>
  <c r="AM191" i="67"/>
  <c r="AO191" i="67" s="1"/>
  <c r="AM188" i="67"/>
  <c r="AO188" i="67" s="1"/>
  <c r="AM185" i="67"/>
  <c r="AM182" i="67"/>
  <c r="AO182" i="67" s="1"/>
  <c r="AM179" i="67"/>
  <c r="AO179" i="67" s="1"/>
  <c r="AN176" i="67"/>
  <c r="AM176" i="67"/>
  <c r="AN173" i="67"/>
  <c r="AM173" i="67"/>
  <c r="AM168" i="67"/>
  <c r="AO168" i="67" s="1"/>
  <c r="AM164" i="67"/>
  <c r="AO164" i="67" s="1"/>
  <c r="BE152" i="67"/>
  <c r="AM152" i="67"/>
  <c r="AO152" i="67" s="1"/>
  <c r="R152" i="67"/>
  <c r="AM146" i="67"/>
  <c r="AO146" i="67" s="1"/>
  <c r="AM139" i="67"/>
  <c r="AM136" i="67"/>
  <c r="AO136" i="67" s="1"/>
  <c r="AP137" i="67" s="1"/>
  <c r="AM131" i="67"/>
  <c r="AO131" i="67" s="1"/>
  <c r="AN127" i="67"/>
  <c r="AM127" i="67"/>
  <c r="AN122" i="67"/>
  <c r="AM122" i="67"/>
  <c r="AM114" i="67"/>
  <c r="AM108" i="67"/>
  <c r="AO108" i="67" s="1"/>
  <c r="BE97" i="67"/>
  <c r="AM97" i="67"/>
  <c r="AO97" i="67" s="1"/>
  <c r="R97" i="67"/>
  <c r="AM91" i="67"/>
  <c r="AO91" i="67" s="1"/>
  <c r="AE91" i="67"/>
  <c r="AM86" i="67"/>
  <c r="AO86" i="67" s="1"/>
  <c r="AM80" i="67"/>
  <c r="AO80" i="67" s="1"/>
  <c r="AE80" i="67"/>
  <c r="AM75" i="67"/>
  <c r="AO75" i="67" s="1"/>
  <c r="AN65" i="67"/>
  <c r="AM65" i="67"/>
  <c r="AE65" i="67"/>
  <c r="AN60" i="67"/>
  <c r="AM60" i="67"/>
  <c r="AE60" i="67"/>
  <c r="AM55" i="67"/>
  <c r="AO55" i="67" s="1"/>
  <c r="AN51" i="67"/>
  <c r="AM51" i="67"/>
  <c r="AN47" i="67"/>
  <c r="AM47" i="67"/>
  <c r="AN43" i="67"/>
  <c r="AM43" i="67"/>
  <c r="AN39" i="67"/>
  <c r="AM39" i="67"/>
  <c r="AN35" i="67"/>
  <c r="AM35" i="67"/>
  <c r="AN31" i="67"/>
  <c r="AM31" i="67"/>
  <c r="AN27" i="67"/>
  <c r="AM27" i="67"/>
  <c r="AN20" i="67"/>
  <c r="AM20" i="67"/>
  <c r="AO662" i="67" l="1"/>
  <c r="AO27" i="67"/>
  <c r="AO122" i="67"/>
  <c r="AO43" i="67"/>
  <c r="AO60" i="67"/>
  <c r="AO270" i="67"/>
  <c r="AO20" i="67"/>
  <c r="AO31" i="67"/>
  <c r="AO47" i="67"/>
  <c r="AO268" i="67"/>
  <c r="AO127" i="67"/>
  <c r="AL221" i="67"/>
  <c r="AO35" i="67"/>
  <c r="AO236" i="67"/>
  <c r="AO257" i="67"/>
  <c r="AO173" i="67"/>
  <c r="AO216" i="67"/>
  <c r="AP628" i="67"/>
  <c r="AO65" i="67"/>
  <c r="AO114" i="67"/>
  <c r="AO139" i="67"/>
  <c r="AO185" i="67"/>
  <c r="AO218" i="67"/>
  <c r="AO248" i="67"/>
  <c r="AO260" i="67"/>
  <c r="AO286" i="67"/>
  <c r="AO291" i="67"/>
  <c r="AO656" i="67"/>
  <c r="AO39" i="67"/>
  <c r="AO51" i="67"/>
  <c r="AO176" i="67"/>
  <c r="AO209" i="67"/>
  <c r="AO266" i="67"/>
  <c r="AO278" i="67"/>
  <c r="AO650" i="67"/>
  <c r="AO537" i="67"/>
</calcChain>
</file>

<file path=xl/sharedStrings.xml><?xml version="1.0" encoding="utf-8"?>
<sst xmlns="http://schemas.openxmlformats.org/spreadsheetml/2006/main" count="5745" uniqueCount="1901">
  <si>
    <t xml:space="preserve">Modalidade </t>
  </si>
  <si>
    <t>Tipo</t>
  </si>
  <si>
    <t>Objeto</t>
  </si>
  <si>
    <t>Parte Contratada</t>
  </si>
  <si>
    <t>Fonte de Recursos</t>
  </si>
  <si>
    <t>Elemento de Despesa</t>
  </si>
  <si>
    <t>Nº Processo Administrativo</t>
  </si>
  <si>
    <t>Nº da Licitação</t>
  </si>
  <si>
    <t>Nº DOE da publicação do Edital</t>
  </si>
  <si>
    <t>Nº Contrato</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</si>
  <si>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</si>
  <si>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</si>
  <si>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</si>
  <si>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</si>
  <si>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</si>
  <si>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</si>
  <si>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</si>
  <si>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</si>
  <si>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</si>
  <si>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</si>
  <si>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</si>
  <si>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</si>
  <si>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</si>
  <si>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</si>
  <si>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</si>
  <si>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</si>
  <si>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</si>
  <si>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</si>
  <si>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</si>
  <si>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</si>
  <si>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</si>
  <si>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</si>
  <si>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</si>
  <si>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</si>
  <si>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</si>
  <si>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</si>
  <si>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</si>
  <si>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</si>
  <si>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</si>
  <si>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</si>
  <si>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</si>
  <si>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</si>
  <si>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</si>
  <si>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</si>
  <si>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</si>
  <si>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</si>
  <si>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</si>
  <si>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</si>
  <si>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</si>
  <si>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PODER EXECUTIVO MUNICIPAL</t>
  </si>
  <si>
    <t>Especificações do Contrato</t>
  </si>
  <si>
    <t xml:space="preserve">Execução Financeira </t>
  </si>
  <si>
    <t>Seq</t>
  </si>
  <si>
    <t>Parte Concedente</t>
  </si>
  <si>
    <t>Contrapartida</t>
  </si>
  <si>
    <t>(ab)</t>
  </si>
  <si>
    <t>(af)</t>
  </si>
  <si>
    <t>Forma de execução</t>
  </si>
  <si>
    <t>Início</t>
  </si>
  <si>
    <t>Término</t>
  </si>
  <si>
    <t>%</t>
  </si>
  <si>
    <t>Prazo de execução</t>
  </si>
  <si>
    <t>Nº</t>
  </si>
  <si>
    <t>Data ciência</t>
  </si>
  <si>
    <t>Ordem de Serviço</t>
  </si>
  <si>
    <t>Motivo</t>
  </si>
  <si>
    <t>Reinício</t>
  </si>
  <si>
    <t>Paralisações</t>
  </si>
  <si>
    <t>(ai)</t>
  </si>
  <si>
    <t>(aj)</t>
  </si>
  <si>
    <t>(ak)</t>
  </si>
  <si>
    <t>(am)</t>
  </si>
  <si>
    <t>(an)</t>
  </si>
  <si>
    <t>(ap)</t>
  </si>
  <si>
    <t>(aq)</t>
  </si>
  <si>
    <t>(ar)</t>
  </si>
  <si>
    <t>(as)</t>
  </si>
  <si>
    <t xml:space="preserve"> DEMONSTRATIVO DE LICITAÇÕES, CONTRATOS  E OBRAS CONTRATADAS</t>
  </si>
  <si>
    <t>Contrato e Termo Aditivo</t>
  </si>
  <si>
    <t>Especificação de obras e serviços de engenharia</t>
  </si>
  <si>
    <t>(at)</t>
  </si>
  <si>
    <t>Manual de Referência - Anexos IV, VI, VII e VIII</t>
  </si>
  <si>
    <t>(t)</t>
  </si>
  <si>
    <t>(ad)</t>
  </si>
  <si>
    <t>(ae)</t>
  </si>
  <si>
    <t>Nº do Convênio/Contrato</t>
  </si>
  <si>
    <t>(ag)</t>
  </si>
  <si>
    <t>(ah)</t>
  </si>
  <si>
    <t>Adesão a Registro de Preços</t>
  </si>
  <si>
    <t>Órgão Gerenciador</t>
  </si>
  <si>
    <t>Nº da Ata</t>
  </si>
  <si>
    <t>Nº do DOE de publicação da Ata</t>
  </si>
  <si>
    <t>Nº do DOE de publicação do extrato da Ata</t>
  </si>
  <si>
    <t>(au)</t>
  </si>
  <si>
    <t>(av)</t>
  </si>
  <si>
    <t>(ax)</t>
  </si>
  <si>
    <t>(az)</t>
  </si>
  <si>
    <t>Enquadramento</t>
  </si>
  <si>
    <t>Fundamentação Legal</t>
  </si>
  <si>
    <t>Nº do DOE de publicação da autorização</t>
  </si>
  <si>
    <t>Nº do DOE de publicação da ratificação</t>
  </si>
  <si>
    <t>Data do DOE</t>
  </si>
  <si>
    <t>(ay)</t>
  </si>
  <si>
    <t>(ba)</t>
  </si>
  <si>
    <t>(bb)</t>
  </si>
  <si>
    <t>(bc)</t>
  </si>
  <si>
    <t>(bd)</t>
  </si>
  <si>
    <t>(be)</t>
  </si>
  <si>
    <t>Dispensa ou Inexigibilidade de Licitação</t>
  </si>
  <si>
    <t>RESOLUÇÃO Nº 87, DE 28 DE NOVEMBRO DE 2013 - TRIBUNAL DE CONTAS DO ESTADO DO ACRE</t>
  </si>
  <si>
    <t>015/2008</t>
  </si>
  <si>
    <t>HENRIQUE DA COSTA FERREIRA</t>
  </si>
  <si>
    <t>005.718.222-15</t>
  </si>
  <si>
    <t>31.12.2013</t>
  </si>
  <si>
    <t>18.09.2008</t>
  </si>
  <si>
    <t>31.12.2008</t>
  </si>
  <si>
    <t>3.3.90.36.00</t>
  </si>
  <si>
    <t>VI</t>
  </si>
  <si>
    <t>VIII</t>
  </si>
  <si>
    <t>Art.24,  da Lei 8666/93 e suas alterações</t>
  </si>
  <si>
    <t>VII</t>
  </si>
  <si>
    <t>D</t>
  </si>
  <si>
    <t>123350114/2012</t>
  </si>
  <si>
    <t>004/2012</t>
  </si>
  <si>
    <t>Menor Preço</t>
  </si>
  <si>
    <t>069/2013</t>
  </si>
  <si>
    <t>130360050/2013</t>
  </si>
  <si>
    <t>016/2013</t>
  </si>
  <si>
    <t xml:space="preserve">PREGÃO SRP </t>
  </si>
  <si>
    <t>Contratação de Prestação de Serviço de Segurança Eletrônica com Monitoramento Remoto de Sistemas de Alarmes e Monitoramento Digital com Câmeras em Circuito Fechado com acesso remoto via Internet IP 24 (vinte e quatro) horas por dia, 07 (sete) dias por semana, com locação de equipamentos a título de comodato, destinada a Segurança Patrimonial dos imóveis, instalações físicas e bens diversos da Secretaria de Saúde do Município de Rio Branco/AC</t>
  </si>
  <si>
    <t>Estação Vip Segurança Privada Ltda</t>
  </si>
  <si>
    <t>09.228.233/0001-10</t>
  </si>
  <si>
    <t>25.03.2013</t>
  </si>
  <si>
    <t>1 (RP) e 14 (SUS)</t>
  </si>
  <si>
    <t>1 (RP)</t>
  </si>
  <si>
    <t>3.3.90.39.00</t>
  </si>
  <si>
    <t>I</t>
  </si>
  <si>
    <t>24.03.2014</t>
  </si>
  <si>
    <t>Dispensa de Licitação</t>
  </si>
  <si>
    <t>Artigo 24, inciso X da Lei nº. 8.666/1994</t>
  </si>
  <si>
    <t>II</t>
  </si>
  <si>
    <t xml:space="preserve">I </t>
  </si>
  <si>
    <t>01 (RP)</t>
  </si>
  <si>
    <t>Pregão SRP</t>
  </si>
  <si>
    <t>Menor Preço por Item</t>
  </si>
  <si>
    <t>011/2013</t>
  </si>
  <si>
    <t>Contratação do serviço de transporte com condutor, veículo tipo passeio (item 18)</t>
  </si>
  <si>
    <t>080/2013</t>
  </si>
  <si>
    <t>563.842.382-68</t>
  </si>
  <si>
    <t>Contratação do serviço de transporte com condutor, veículo tipo passeio (item 15)</t>
  </si>
  <si>
    <t>Contratação do serviço de transporte com condutor, veículo tipo passeio (item 17)</t>
  </si>
  <si>
    <t>Contratação do serviço de transporte com condutor, veículo tipo passeio (item 16)</t>
  </si>
  <si>
    <t>Contratação do serviço de transporte com condutor, veículo tipo pick-up (item 2)</t>
  </si>
  <si>
    <t>083/2013</t>
  </si>
  <si>
    <t>Leane Costa da Silva Santos</t>
  </si>
  <si>
    <t>084/2013</t>
  </si>
  <si>
    <t>Luzivan Silva Piauhy</t>
  </si>
  <si>
    <t>086/2013</t>
  </si>
  <si>
    <t>Sammir José da Silva Damasceno</t>
  </si>
  <si>
    <t>087/2013</t>
  </si>
  <si>
    <t>Antônio Arialdo Vieira de Barros</t>
  </si>
  <si>
    <t>770.146.262-72</t>
  </si>
  <si>
    <t xml:space="preserve">648.646.262-00 </t>
  </si>
  <si>
    <t>670.971.032-72</t>
  </si>
  <si>
    <t>630.325.112-91</t>
  </si>
  <si>
    <t>Wendson de Lima Israel</t>
  </si>
  <si>
    <t>Telmo Pinho da Costa Filho</t>
  </si>
  <si>
    <t>101/2013</t>
  </si>
  <si>
    <t>103/2013</t>
  </si>
  <si>
    <t>Contratação do serviço de transporte com condutor, veículo tipo pick-up</t>
  </si>
  <si>
    <t>Contratação do serviço de transporte com condutor, veículo tipo passeio</t>
  </si>
  <si>
    <t>725.315.682-04</t>
  </si>
  <si>
    <t>876.778.902-10</t>
  </si>
  <si>
    <t>113/2013</t>
  </si>
  <si>
    <t>E. A. de Carvalho - Me</t>
  </si>
  <si>
    <t>02.521.188/0001-49</t>
  </si>
  <si>
    <t>Empreitada por preço unitário</t>
  </si>
  <si>
    <t>020/2013</t>
  </si>
  <si>
    <t>05.531.473/0001-39</t>
  </si>
  <si>
    <t>138/2013</t>
  </si>
  <si>
    <t>Acretec Com. e Rep. Ltda</t>
  </si>
  <si>
    <t>022/2013</t>
  </si>
  <si>
    <t>Contratação de empresa especializada em distribuição de Água Potável através de carros pipa ou caminhões tanque</t>
  </si>
  <si>
    <t xml:space="preserve">04.475.329/0001-60 </t>
  </si>
  <si>
    <t>3.3.90.30.00</t>
  </si>
  <si>
    <t>III</t>
  </si>
  <si>
    <t>IV</t>
  </si>
  <si>
    <t>V</t>
  </si>
  <si>
    <t xml:space="preserve">TERMO DE ADESÃO </t>
  </si>
  <si>
    <t>156/2013</t>
  </si>
  <si>
    <t>Vieira e Gomes Ltda</t>
  </si>
  <si>
    <t>Contratação de empresa para prestação de serviços administrativos de digitador e recepcionista</t>
  </si>
  <si>
    <t>120-DOU</t>
  </si>
  <si>
    <t>3.3.90.37.00</t>
  </si>
  <si>
    <t>9080/2013</t>
  </si>
  <si>
    <t>163/2013</t>
  </si>
  <si>
    <t>Adauto Alves Bandeira</t>
  </si>
  <si>
    <t>020.598.782-68</t>
  </si>
  <si>
    <t>01 (RP) e 14 (SUS)</t>
  </si>
  <si>
    <t>001/2014</t>
  </si>
  <si>
    <t>002/2014</t>
  </si>
  <si>
    <t>003/2014</t>
  </si>
  <si>
    <t>004/2014</t>
  </si>
  <si>
    <t>007/2014</t>
  </si>
  <si>
    <t>010/2014</t>
  </si>
  <si>
    <t>015/2014</t>
  </si>
  <si>
    <t>008/2013</t>
  </si>
  <si>
    <t>PREGÃO SRP</t>
  </si>
  <si>
    <t>33.90.39.00</t>
  </si>
  <si>
    <t>PIT STOP COMÉRCIO E SERVIÇOS LTDA</t>
  </si>
  <si>
    <t>02.132.510/0001 – 48</t>
  </si>
  <si>
    <t>5031/2013</t>
  </si>
  <si>
    <t>Contratação de empresa para a prestação de serviços continuados de limpeza, asseio e conservação predial, visando a obtenção  de  adequadas  condições  de  salubridade  e  higiene, com a disponibilização de mão-de-obra, saneantes domissanitários, materiais e equipamentos, sob inteira responsabilidade da contratada, para atender as Unidades da Secretaria Municipal de Saúde</t>
  </si>
  <si>
    <t>33.90.37.00</t>
  </si>
  <si>
    <t>4.4.90.52.00</t>
  </si>
  <si>
    <t>085/2014</t>
  </si>
  <si>
    <t>065/2014</t>
  </si>
  <si>
    <t>058/2014</t>
  </si>
  <si>
    <t>056/2014</t>
  </si>
  <si>
    <t>039/2014</t>
  </si>
  <si>
    <t>029/2014</t>
  </si>
  <si>
    <t>Aquisição de Medicamentos</t>
  </si>
  <si>
    <t>04.598.413/0001-70</t>
  </si>
  <si>
    <t>J. S. NUNES - ME</t>
  </si>
  <si>
    <t>40.802.993/0001-30</t>
  </si>
  <si>
    <t xml:space="preserve">TOMADA DE PREÇOS </t>
  </si>
  <si>
    <t>05.687.069/0001-59</t>
  </si>
  <si>
    <t>4.4.90.51.00</t>
  </si>
  <si>
    <t>33.90.30.00</t>
  </si>
  <si>
    <t>03.033.345/0001-30</t>
  </si>
  <si>
    <t>29042/2013</t>
  </si>
  <si>
    <t>Contratação de empresa especializada na prestação de serviços de manutenção e reposição de peças de condicionadores de ar, tipo janela e split</t>
  </si>
  <si>
    <t>WAGNER E SILVA LTDA</t>
  </si>
  <si>
    <t xml:space="preserve">84.312.602/0001-74 </t>
  </si>
  <si>
    <t>774/2014</t>
  </si>
  <si>
    <t>Contratação de Serviço especializado em manutenção de equipamentos médico-hospitalares, incluindo manutenção preventiva, corretiva, calibração e gestão da manutenção através de sistema informatizado</t>
  </si>
  <si>
    <t>CONSTRUTORA CONCRETO LTDA</t>
  </si>
  <si>
    <t xml:space="preserve">14.349.591/0001-11 </t>
  </si>
  <si>
    <t>MEDPLUS COMÉRCIO E REPRESENTAÇÃO LTDA</t>
  </si>
  <si>
    <t>10.193.608/0001-33</t>
  </si>
  <si>
    <t xml:space="preserve">DISPENSA DE LICITAÇÃO </t>
  </si>
  <si>
    <t>01.973.242/0001-24</t>
  </si>
  <si>
    <t>CONCORRÊNCIA</t>
  </si>
  <si>
    <t>14 (SUS)</t>
  </si>
  <si>
    <t>M &amp; Z INDÚSTRIA E COMÉRCIO LTDA</t>
  </si>
  <si>
    <t>63.601.116/0001-04</t>
  </si>
  <si>
    <t>S &amp; S COMÉRCIO E REPRESENTAÇÃO DE TINTAS LTDA</t>
  </si>
  <si>
    <t>27576/2013</t>
  </si>
  <si>
    <t>AUTO POSTO TREVO LTDA</t>
  </si>
  <si>
    <t>84.322.932/0001-40</t>
  </si>
  <si>
    <t xml:space="preserve">33.90.39.00 </t>
  </si>
  <si>
    <t>001/2009</t>
  </si>
  <si>
    <t>001/2010</t>
  </si>
  <si>
    <t>006/2011</t>
  </si>
  <si>
    <t>007/2011</t>
  </si>
  <si>
    <t>002/2012</t>
  </si>
  <si>
    <t>001/2012</t>
  </si>
  <si>
    <t>005/2012</t>
  </si>
  <si>
    <t>003/2012</t>
  </si>
  <si>
    <t>010/2011</t>
  </si>
  <si>
    <t>ELY ASSEM DE CARVALHO</t>
  </si>
  <si>
    <t>GRÁFICA GLOBO LTDA</t>
  </si>
  <si>
    <t>33.90.36.00</t>
  </si>
  <si>
    <t>JOSÉ ALBERTO PAZ EPP</t>
  </si>
  <si>
    <t>84.327.105/0001-40</t>
  </si>
  <si>
    <t>ADAUTO ALVES BANDEIRA</t>
  </si>
  <si>
    <t>SILDO BARBOSA GOMES DE FREITAS</t>
  </si>
  <si>
    <t>020.425.762-04</t>
  </si>
  <si>
    <t>FRANCISCO AFONSO GONÇALVES DE FREITAS</t>
  </si>
  <si>
    <t>138.144.862-34</t>
  </si>
  <si>
    <t>040.745.212-53</t>
  </si>
  <si>
    <t>04.521.035/0001-27</t>
  </si>
  <si>
    <t>LUCIVÂNIA DE OLIVEIRA CHAVES VIANA</t>
  </si>
  <si>
    <t>665.383.432-87</t>
  </si>
  <si>
    <t xml:space="preserve">14.288.275/0001-87 </t>
  </si>
  <si>
    <t>-</t>
  </si>
  <si>
    <t>010/2013</t>
  </si>
  <si>
    <t>TRIBUNAL REGIONAL ELEITORAL DO ACRE</t>
  </si>
  <si>
    <t xml:space="preserve">Menor Preço </t>
  </si>
  <si>
    <t>IX</t>
  </si>
  <si>
    <t>Artigo 24, inciso X da Lei nº. 8.666/1993</t>
  </si>
  <si>
    <t>Art.24,  inciso X  da Lei 8666/93 e suas alterações</t>
  </si>
  <si>
    <t>Art.24,   inciso X  da Lei 8666/93 e suas alterações</t>
  </si>
  <si>
    <t>Alteração das Cláusulas segunda - PRAZO, terceira - VALOR MENSALe décima-sexta - VALOR GLOBAL, do contrato original</t>
  </si>
  <si>
    <t xml:space="preserve">Alteração da cláusula quarta -  prazo de vigência do registro de preços e do contrato original </t>
  </si>
  <si>
    <t>Alteração das Cláusulas segunda - PRAZO, terceira - VALOR MENSAL e décima-sexta - VALOR GLOBAL, do contrato original</t>
  </si>
  <si>
    <t>Alterar a Cláusula Décima Sexta  - Valor Gobal do Contrato original</t>
  </si>
  <si>
    <t>Alterar a Cláusula  Décima Sexta - VALOR GLOBAL do Contrato original</t>
  </si>
  <si>
    <t>Alteração das CLÁUSULAS SEGUNDA - PRAZO, TERCEIRA - VALOR MENSAL E DÉCIMA SEXTA - VALOR GLOBAL ADITADO, do contrato original</t>
  </si>
  <si>
    <t>162/2014</t>
  </si>
  <si>
    <t>178/2014</t>
  </si>
  <si>
    <t xml:space="preserve">01 (RP) </t>
  </si>
  <si>
    <t>3.3.90.32.00</t>
  </si>
  <si>
    <t>643.965.172-20</t>
  </si>
  <si>
    <t xml:space="preserve">Tomada de Preços </t>
  </si>
  <si>
    <t>Construção</t>
  </si>
  <si>
    <t>13.614/2014</t>
  </si>
  <si>
    <t>Contratação de Empresa Especializada na Prestação de Serviços de Carregador</t>
  </si>
  <si>
    <t>14.287.122/0001–15</t>
  </si>
  <si>
    <t>02.520.829/0001-40</t>
  </si>
  <si>
    <t>23738/2014</t>
  </si>
  <si>
    <t>Contratação de Empresa para Prestação de Serviços Terceirizados de Segurança e Vigilância Patrimonial Armada</t>
  </si>
  <si>
    <t xml:space="preserve">3.3.90.39.00 </t>
  </si>
  <si>
    <t>Menor preço</t>
  </si>
  <si>
    <t>Alteração da CLÁUSULA QUARTA –DO PRAZO DE  VIGÊNCIA DO CONTRATO</t>
  </si>
  <si>
    <t>Euro Construções Ltda</t>
  </si>
  <si>
    <t xml:space="preserve"> </t>
  </si>
  <si>
    <t xml:space="preserve">      </t>
  </si>
  <si>
    <t>Alteração das CLÁUSULAS SEGUNDA, TERCEIRA E DÉCIMA SEXTA, prorrogando a vigência do contrato por mais 12 (doze) meses e reajustando o valor mensal que passará a ser R$ 11.878,21 (onze mil oitocentos e setenta e oito reais e vinte e um centavos), perfazendo a diferença mensal de R$ 878,21 (oitocentos e setenta e oito reais e vinte e um centavos) e totalizando o valor global aditado R$ 142.538,52 (cento e quarenta e dois mil quinhentos e trinta e oito reais e cinquenta e dois centavos), até o término da vigência contratual</t>
  </si>
  <si>
    <t>Alteração da CLÁUSULA SEGUNDA  DO PREÇO E CONDIÇÕES DE PAGAMENTO do contrato original</t>
  </si>
  <si>
    <t>Alteração da CLÁUSULA TERCEIRA  PRAZO DE VIGÊNCIA DO REGISTRO DE PREÇOS E DO CONTRATO do contrato original</t>
  </si>
  <si>
    <t xml:space="preserve">Alteração da CLÁUSULA TERCEIRA – DO PREÇO E CONDIÇÕES DE PAGAMENTO, acrescendo em 25% (vinte e cinco por cento) perfazendo um valor total de 8.400 m2  nas áreas insalubres </t>
  </si>
  <si>
    <t>Alteração da CLÁUSULA TERCEIRA - DO PREÇO E CONDIÇÕES DE PAGAMENTO, acrescendo ao valor contratado 25% (vinte e cinco por cento), que perfaz a quantia de R$ 20.499,99 (vinte mil quatrocentos e noventa e nove reais e noventa e nove centavos), devendo o mesmo ser somado ao valor inicialmente contratado.</t>
  </si>
  <si>
    <t xml:space="preserve">CONCORRÊNCIA SRP </t>
  </si>
  <si>
    <t>Alteração das CLÁUSULAS SEGUNDA, TERCEIRA E DÉCIMA SEXTA, prorrogando a vigência do contrato por mais 12 (doze) meses e reajustando o valor mensal que passará a ser R$ 11.494,23 (onze mil quatrocentos e noventa e quatro reais e vinte e três centavos), totalizando o valor global aditado R$
137.930,76 (cento e trinta e sete mil novecentos e trinta reais e setenta e seis centavos).</t>
  </si>
  <si>
    <t>Alteração das CLÁUSULAS SEGUNDA, TERCEIRA E DÉCIMA SEXTA, prorrogando a vigência do contrato por mais 12 (doze) meses e reajustando o valor mensal que passará a ser R$ 6.581,01 (seis mil quinhentos e oitenta e um reais e um centavo), totalizando o valor global aditado R$ 78.972,12 (setenta e oito mil novecentos e setenta e dois reais e doze centavos).</t>
  </si>
  <si>
    <t>Alteração das CLÁUSULAS SEGUNDA, TERCEIRA E DÉCIMA SEXTA, prorrogando a vigência do contrato por mais 12 (doze) meses e reajustando o valor mensal que passará a ser R$ 7.114,83 (sete mil cento e quatorze reais e oitenta e três centavos), totalizando o valor global aditado R$ 85.377,96 (oitenta e cinco mil trezentos e setenta e sete reais e noventa e seis centavos).</t>
  </si>
  <si>
    <t>Alteração das CLÁUSULAS SEGUNDA, TERCEIRA
E DÉCIMA SEXTA, prorrogando a vigência do contrato por mais 12 (doze) meses e reajustando o valor mensal que passará a ser R$ 984,72 (novecentos e oitenta e quatro reais e setenta e dois centavos),
totalizando o valor global aditado R$ 11.816,64 (onze mil oitocentos e dezesseis reais e sessenta e quatro centavos).</t>
  </si>
  <si>
    <t xml:space="preserve">  </t>
  </si>
  <si>
    <t xml:space="preserve">Alteração das CLÁUSULAS SEGUNDA, TERCEIRA
E DÉCIMA SEXTA, prorrogando a vigência do contrato por mais 12 (doze) meses e reajustando o valor mensal que passará a ser R$ 6.425,36 (seis mil quatrocentos e vinte e cinco reais e trinta e seis centavos), totalizando o valor global aditado R$ 77.104,32 (setenta e sete mil cento e quatro reais e trinta e dois centavos). </t>
  </si>
  <si>
    <t xml:space="preserve">               </t>
  </si>
  <si>
    <t>001/2015</t>
  </si>
  <si>
    <t>002/2015</t>
  </si>
  <si>
    <t>006/2015</t>
  </si>
  <si>
    <t>008/2015</t>
  </si>
  <si>
    <t>009/2015</t>
  </si>
  <si>
    <t>016/2015</t>
  </si>
  <si>
    <t>044/2015</t>
  </si>
  <si>
    <t>045/2015</t>
  </si>
  <si>
    <t>Contratação de empresa especializada em fornecimento de combustível (álcool, diesel comum S-10 e gasolina comum), para atender as demandas da Secretaria Municipal de Saúde</t>
  </si>
  <si>
    <t>01 (R P) e 14 (SUS).</t>
  </si>
  <si>
    <t>Eliazar Silva Machado</t>
  </si>
  <si>
    <t>030.519.432-15</t>
  </si>
  <si>
    <t>54938/2014</t>
  </si>
  <si>
    <t>13614/2014</t>
  </si>
  <si>
    <t>ALPHA PRESTAÇÃO DE SERVIÇOS LTDA</t>
  </si>
  <si>
    <t>14.287.122/0001 - 15</t>
  </si>
  <si>
    <t>41934/2014</t>
  </si>
  <si>
    <t xml:space="preserve">Termo de Adesão Nº 001/2015
Pregão Srp Nº 002/2014 
</t>
  </si>
  <si>
    <t>LUIZ CARLOS VIANA FONTENELE</t>
  </si>
  <si>
    <t>483.751.792-72</t>
  </si>
  <si>
    <t>Contratação de pessoa física para prestação de serviços com caminhão carga seca</t>
  </si>
  <si>
    <t>10.940.181/0001-90</t>
  </si>
  <si>
    <t>SECRETARIA MUNICIPAL DE SERVIÇOS URBANOS - SEMSUR</t>
  </si>
  <si>
    <t>074/2015</t>
  </si>
  <si>
    <t>926/2015</t>
  </si>
  <si>
    <t>M. R. C. DE LIMA - ME</t>
  </si>
  <si>
    <t>34.713.321/0001-55</t>
  </si>
  <si>
    <t>076/2015</t>
  </si>
  <si>
    <t>SUPERINTENDÊNCIA MUNICIPAL DE TRANSPORTES E TRÂNSITO - RBTRANS</t>
  </si>
  <si>
    <t xml:space="preserve">Termo de Adesão Nº 002/2015
Pregão Srp Nº 085/2014 
</t>
  </si>
  <si>
    <t>Contratação de Empresa para Prestação de Serviços de Transporte, para atender as necessidades da Secretaria Municipal de Saúde</t>
  </si>
  <si>
    <t>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 contados de 17/02/2015 a 17/02/2016.</t>
  </si>
  <si>
    <t>078/2015</t>
  </si>
  <si>
    <t>13616/2014</t>
  </si>
  <si>
    <t>14.287.122/0001-15</t>
  </si>
  <si>
    <t>Contratação de Empresa para Prestação dos Serviços de Videofonista/Operador de Sistema/Agendador, para atender as necessidades da Secretaria Municipal de Saúde no município de Rio Branco – AC.</t>
  </si>
  <si>
    <t>Alteração da CLÁUSULA TERCEIRA – PRAZO DE VIGÊNCIA DO CONTRATO, prorrogando o contrato original por mais 12 (doze) meses.</t>
  </si>
  <si>
    <t xml:space="preserve"> 30/03/2015</t>
  </si>
  <si>
    <t>O Presente Termo Aditivo tem por objeto o reajuste
de valores a partir de 01/04/2015, com redução de 10% (dez por cento) dos valores contratados, alterando a CLÁUSULA TERCEIRA - DO PREÇO, CONDIÇÕES DE PAGAMENTO E REAJUSTE e o Anexo I do Contrato nº. 076/2015, conforme  OF/GAB/SEMSA/Nº. 324/2015, Decreto Municipal nº. 277, de 23 de março de 2015, e resposta oficial favorável da Contratada.</t>
  </si>
  <si>
    <t>LABNORTE CIRÚRGICA E DIAGNÓSTICA LTDA</t>
  </si>
  <si>
    <t>18.255.882/0001-00</t>
  </si>
  <si>
    <t xml:space="preserve"> Alteração da CLÁUSULA QUARTA – DO PRAZO DE VIGÊNCIA DO CONTRATO, prorrogando o contrato original por mais 12 (doze) meses.</t>
  </si>
  <si>
    <t>Alteração da CLÁUSULA QUARTA – DO PRAZO DE VIGÊNCIA DO CONTRATO, prorrogando o contrato original por mais 12 (doze) meses.</t>
  </si>
  <si>
    <t>123530009/2013</t>
  </si>
  <si>
    <t>VALOR</t>
  </si>
  <si>
    <t xml:space="preserve">03.033.345/0001-30 </t>
  </si>
  <si>
    <t>146/2015</t>
  </si>
  <si>
    <t>147/2015</t>
  </si>
  <si>
    <t>01 (RP) e 14 (SUS).</t>
  </si>
  <si>
    <t>Alteração das CLÁUSULAS SEGUNDA, TERCEIRA E DÉCIMA SEXTA, prorrogando a vigência do contrato por mais 12 (doze) meses e reajustando o valor mensal que passará a ser R$
12.299,20 (doze mil duzentos e noventa e nove reais e vinte centavos), perfazendo a diferença mensal de R$ 420,99 (quatrocentos e vinte reais e noventa e nove centavos) e totalizando o valor global aditado R$ 147.590,40 (cento e quarenta e sete mil quinhentos e noventa reais e quarenta centavos), até o término da vigência contratual.</t>
  </si>
  <si>
    <t>4786/2015</t>
  </si>
  <si>
    <t>Contratação de Empresa para a Prestação de Serviços Continuados de Auxiliar de Serviços Diversos e Encarregados, para auxiliar nas Unidades da Secretaria Municipal de Saúde</t>
  </si>
  <si>
    <t>153/2015</t>
  </si>
  <si>
    <t>Geycy Anne de Lima Pereira</t>
  </si>
  <si>
    <t>DIMASTER COMÉRCIO DE PRODUTOS HOSPITALARES LTDA</t>
  </si>
  <si>
    <t>X</t>
  </si>
  <si>
    <t>SOLUMED DISTRIBUIDORA DE MEDICAMENTOS E PRODUTOS PARA SAÚDE LTDA</t>
  </si>
  <si>
    <t>11.896.538/0001-42</t>
  </si>
  <si>
    <t>RECOL DISTRIBUIDORA E COMÉRCIO LTDA</t>
  </si>
  <si>
    <t>CIRURGICA MS LTDA</t>
  </si>
  <si>
    <t>10.656.587/0001-45</t>
  </si>
  <si>
    <t>Alteração das CLÁUSULAS TERCEIRA E DÉCIMA SEXTA, reajustando o valor mensal que passará a ser R$ 55.366,59 (cinquenta e cinco mil trezentos e sessenta e seis reais e cinquenta e nove centavos), com efeito financeiro a partir de junho/2015, perfazendo
a diferença mensal de R$ 2.182,72 (dois mil cento e oitenta e dois reais e setenta e dois centavos) e totalizando a diferença de R$ 15.279,04 (quinze mil duzentos e setenta e nove reais e quatro centavos), até o término da vigência contratual, devendo o referido valor ser somado ao valor do contrato.</t>
  </si>
  <si>
    <t>177/2015</t>
  </si>
  <si>
    <t xml:space="preserve">05.687.069/0001-59 </t>
  </si>
  <si>
    <t>Aquisição de Material Médico Hospitalar</t>
  </si>
  <si>
    <t>Alteração da CLÁUSULA TERCEIRA - PRAZO DE VIGÊNCIA DO CONTRATO, prorrogando o contrato original por mais 12 (doze) meses.</t>
  </si>
  <si>
    <t>192/2015</t>
  </si>
  <si>
    <t>193/2015</t>
  </si>
  <si>
    <t>197/2015</t>
  </si>
  <si>
    <t>4787/2015</t>
  </si>
  <si>
    <t>Sermatec Comércio e Serviços Importação e Exportação Ltda</t>
  </si>
  <si>
    <t>04.439.665/0001-57</t>
  </si>
  <si>
    <t>Contratação de umaempresa especializada na locação de impressoras multifuncionais a laser, jato de tinta com sistema bulk ink e fotocopiadoras</t>
  </si>
  <si>
    <t>DOU Nº 51 DOE Nº 11.515</t>
  </si>
  <si>
    <t>Alteração da Cláusula-Terceira, repactuação de preço, com efeitos retroativos a 10/04/2014</t>
  </si>
  <si>
    <t>Alteração da CLÁUSULA TERCEIRA – DO PREÇO E CONDIÇÕES DE PAGAMENTO, acrescendo ao valor contratado 25% (onze vírgula noventa e um por cento), que perfaz o valor de R$ 90.753,69 (noventa mil setecentos e cinquenta e três reais e sessenta e nove centavos), referente a quantidade acrescida de 3 Digitadores (item 1) e 1 Recepcionista (item 2), com efeito financeiro a partir do dia 08/12/2014, com amparo legal previsto no § 1º do Art. 65 da Lei nº 8.666/93.</t>
  </si>
  <si>
    <t>20621/2015</t>
  </si>
  <si>
    <t>Denis Carlos Paulino Solon</t>
  </si>
  <si>
    <t>Dux Comércio Representações Importação e Exportação Ltda</t>
  </si>
  <si>
    <t>05.502.105/0001-62</t>
  </si>
  <si>
    <t>Contratação de uma empresa especializada na locação de impressoras multifuncionais a laser, jato de tinta com sistema bulk ink e fotocopiadoras</t>
  </si>
  <si>
    <t>DOU Nº 121 DOE Nº 11.583</t>
  </si>
  <si>
    <t>Contratação de Serviço de Transporte (Caminhão tipo Baú), para atender as necessidades a Secretaria Municipal de Saúde.</t>
  </si>
  <si>
    <t>204/2015</t>
  </si>
  <si>
    <t>205/2015</t>
  </si>
  <si>
    <t>VIDAL CATAR PAES DAVILA</t>
  </si>
  <si>
    <t>014.491.862-54</t>
  </si>
  <si>
    <t xml:space="preserve">Contratação de Serviço de Transporte (veículo tipo Pick-Up), para atender as necessidades a Secretaria Municipal de Saúde, </t>
  </si>
  <si>
    <t>WELLITON LIMA DE OLIVEIRA</t>
  </si>
  <si>
    <t>661.971.982-15</t>
  </si>
  <si>
    <t>Contratação de Serviço de Transporte (veículo tipo Pick-Up), para atender as necessidades a Secretaria Municipal de Saúde</t>
  </si>
  <si>
    <t>Cooperativa de Proprietários de Veículos do Estado do Acre - Coopervel</t>
  </si>
  <si>
    <t>13.052.004/0001-65</t>
  </si>
  <si>
    <t>206/2015</t>
  </si>
  <si>
    <t>Alteração da CLÁUSULA QUARTA – DO PRAZO DE VIGÊNCIA, prorrogando o contrato original por mais 12 (doze) meses. Fundamentação Legal: inciso II do art. 57 da Lei Federal nº. 8.666/1993.</t>
  </si>
  <si>
    <t>11.223.797/0001-02</t>
  </si>
  <si>
    <t>Alteração da CLÁUSULA QUARTA - PRAZO DE VIGÊNCIA DO CONTRATO, prorrogando o contrato original por mais 12 (doze) meses.</t>
  </si>
  <si>
    <t>Contratação de umaempresa especializada na locação de impressoras multifuncionais a laser, jato de tinta com sistema bulk ink e fotocopiadoras, com manutenção preventiva, corretiva e insumos para atender as necessidades da Secretaria Municipal de Saúde, no município de Rio Branco – AC</t>
  </si>
  <si>
    <t>Alteração das: CLÁUSULA SEGUNDA: O prazo de locação será de 12 (doze) meses, com vigência de 01/09/2015 até 01/09/2016, podendo ser prorrogado por iguais e sucessivos períodos, se as partes assim acordarem. CLÁUSULA TERCEIRA: O valor do aluguel mensal é de R$ 1.692,11 (um mil e seiscentos e noventa e dois reais e onze centavos)</t>
  </si>
  <si>
    <t>237/2015</t>
  </si>
  <si>
    <t>238/2015</t>
  </si>
  <si>
    <t>25057/2015</t>
  </si>
  <si>
    <t>EURO CONSTRUÇÕES LTDA</t>
  </si>
  <si>
    <t>Contratação de empresa para a execução de Serviços de Construção de Unidade Básica de Saúde – Porte II, na Rua Uatumã, s/n - Loteamento Rui Lino III, no Município de Rio Branco Acre.</t>
  </si>
  <si>
    <t>01 (R P) e 14 (Convênio) – Proposta nº 84317.205000/1140-28</t>
  </si>
  <si>
    <t>Alteração da CLÁUSULA QUARTA - PRAZO DE VIGÊNCIA DO CONTRATO, prorrogando o contrato original por mais 12 (doze) meses, com amparo legal previsto no inciso II do art. 57 da Lei nº 8.666/93.</t>
  </si>
  <si>
    <t>DOU: Nº 21 DOE:11.488</t>
  </si>
  <si>
    <t>Alterar a CLÁUSULA QUARTA -PRAZO DE VIGÊNCIA DO REGISTRO DE PREÇOS E DO CONTRATO, prorrogando o contrato original por mais 12 (doze) meses</t>
  </si>
  <si>
    <t>Alteraçãoda CLÁUSULA QUARTA -PRAZO DE VIGÊNCIA DO CONTRATO, prorrogando o contrato original por mais 12 (doze) meses</t>
  </si>
  <si>
    <t>Alteração das CLÁUSULAS SEGUNDA, TERCEIRA E DÉCIMA SEXTA, prorrogando a vigência do contrato por mais 12 (doze) meses e reajustando o valor mensal que passará a ser R$ 5.338,20 (cinco mil trezentos e trinta e oito reais e vinte centavos), totalizando o valor global aditado R$ 64.058,40 (sessenta e quatro mil cinquenta e oito reais e quarenta centavos)</t>
  </si>
  <si>
    <t>Alteração das CLÁUSULAS SEGUNDA, TERCEIRA E DÉCIMA SEXTA, prorrogando a vigência do contrato por mais 12 (doze) meses e reajustando o valor mensal que passará a ser R$ 5.027,23 (cinco mil vinte e sete reais e vinte e três centavos), totalizando o valor global aditado R$ 60.326,76 (sessenta mil trezentos e vinte e seis reais e setenta e seis centavos)</t>
  </si>
  <si>
    <t>Alteração da CLÁUSULA SEGUNDA – DO PRAZO DE VIGÊNCIA, prorrogando a vigência do contrato por mais 12 (doze) meses, tendo como valor mensal a importância de R$ 53.183,87 (cinquenta e três mil cento e oitenta e três reais e oitenta e sete reais),
totalizando o valor global de R$ 638.206,44 (seiscentos e trinta e oito mil duzentos e seis reais e quarenta e quatro centavos).</t>
  </si>
  <si>
    <t>33426/2015</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</si>
  <si>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t>
  </si>
  <si>
    <t>MARTINS E GOMES - ME</t>
  </si>
  <si>
    <t>03.817.441/0001-79</t>
  </si>
  <si>
    <t>SECRETARIA DE ESTADO DE SAÚDE</t>
  </si>
  <si>
    <t>DOE: 11.484</t>
  </si>
  <si>
    <t>256/2015</t>
  </si>
  <si>
    <t>22310/2015</t>
  </si>
  <si>
    <t>Contratação de empresa para execução de Serviços De Manutenção Predial Preventiva e Corretiva, nas unidades de Saúde da SEMSA, Localizadas No Município de Rio Branco-Acre.</t>
  </si>
  <si>
    <t>DOU Nº 131 E DOE Nº 11.595</t>
  </si>
  <si>
    <t>258/2015</t>
  </si>
  <si>
    <t xml:space="preserve">Termo de Adesão Nº 006/2015
Pregão SRP Nº 218/2014 – CPL 04
</t>
  </si>
  <si>
    <t>Contratação de empresa para Prestação de Serviços de Limpeza Administrativa e Limpeza Hospitalar</t>
  </si>
  <si>
    <t>SECRETARIA DE ESTADO DE SAÚDE - SESACRE</t>
  </si>
  <si>
    <t>01 (R P) e 14 (SUS)</t>
  </si>
  <si>
    <t>Alteração das CLÁUSULAS SEGUNDA, TERCEIRA  E DÉCIMA SEXTA, prorrogando a vigência do contrato por mais 12 (doze) meses e reajustando o valor mensal que passará a ser R$ 11.673,55 (onze mil seiscentos e setenta e três reais e cinquenta e cinco centavos), totalizando o valor global aditado R$ 140.082,60 (cento e quarenta mil oitenta e dois reais e sessenta centavos).</t>
  </si>
  <si>
    <t>Alteração da CLÁUSULA QUARTA - PRAZO DE VIGÊNCIA DO REGISTRO DE PREÇOS E DO CONTRATO, prorrogando o contrato original por mais 12 (doze) meses, com amparo legal previsto no inciso II do art. 57 da Lei nº 8.666/93.</t>
  </si>
  <si>
    <t xml:space="preserve">Alteração das CLÁUSULAS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 </t>
  </si>
  <si>
    <t xml:space="preserve">   Alteração das Cláusulas segunda - PRAZO, terceira - VALOR MENSALe décima-sexta - VALOR GLOBAL, do contrato original</t>
  </si>
  <si>
    <t xml:space="preserve">Alteração das CLÁUSULAS SEGUNDA - DO PRAZO DE VIGÊNCIA, prorrogando a vigência do contrato por mais 12 (doze) meses,  tendo como  valor mensal a importância de R$ 7.128,31 (sete mil cento e vinte e oito reais e trinta e um centavos), totalizando o valor global aditado R$ 85.539,72 (oitenta e cinco mil quinhentos e trinta e nove reais e setenta e dois centavos). </t>
  </si>
  <si>
    <t>Alteração das CLÁUSULAS SEGUNDA,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</si>
  <si>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</si>
  <si>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das CLÁUSULAS SEGUNDA, TERCEIRA E DÉCIMA SEXTA, prorrogando a vigência do contrato por mais 12 (doze) meses e reajustando o valor mensal que passará a ser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</si>
  <si>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</si>
  <si>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</si>
  <si>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R$ 7.114,83 (sete mil cento e quatorze reais e oitenta e três centavos), totalizando o valor global aditado R$ 85.377,96 (oitenta e cinco mil trezentos e setenta e sete reais e noventa e seis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</si>
  <si>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</si>
  <si>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</si>
  <si>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SEGUNDA – DO PRAZO DE VIGÊNCIA, prorrogando a vigência do contrato por mais 12 (doze) meses, tendo como valor mensal a importância de R$ 984,72
(novecentos e oitenta e quatro reais e setenta e dois centavos), totalizando o valor global R$ 11.816,64 (onze mil oitocentos e dezesseis reais e sessenta e quatro centavos).</t>
  </si>
  <si>
    <t>Alteração da CLÁUSULA SEGUNDA – DO PRAZO DE VIGÊNCIA, prorrogando a vigência do contrato por mais 12 (doze) meses, tendo como valor mensal a importância de R$ 11.673,55 (onze mil seiscentos e setenta e três reais e cinquenta e cinco centavos),
totalizando o valor global R$ 140.082,60 (cento e quarenta mil oitenta e dois reais e sessenta centavos).</t>
  </si>
  <si>
    <t>002/2016</t>
  </si>
  <si>
    <t>003/2016</t>
  </si>
  <si>
    <t>004/2016</t>
  </si>
  <si>
    <t>012/2016</t>
  </si>
  <si>
    <t>013/2016</t>
  </si>
  <si>
    <t>022/2016</t>
  </si>
  <si>
    <t>024/2016</t>
  </si>
  <si>
    <t>031/2016</t>
  </si>
  <si>
    <t>048/2016</t>
  </si>
  <si>
    <t>063/2016</t>
  </si>
  <si>
    <t>091/2016</t>
  </si>
  <si>
    <t>125/2016</t>
  </si>
  <si>
    <t>GLOBO COMÉRCIO DE PRODUTOS PARA SAÚDE LTDA</t>
  </si>
  <si>
    <t>11.824.928/0001-07</t>
  </si>
  <si>
    <t>M. C. CAVALCANTE OLIVEIRA</t>
  </si>
  <si>
    <t>17.483.432/0001-01</t>
  </si>
  <si>
    <t xml:space="preserve">O Presente Termo Aditivo tem por objeto a alteração da CLÁUSULA SEGUNDA - DO PREÇO E CONDIÇÕES DE PAGAMENTO, reduzindo o valor unitário de R$ 3.979,60 (três mil novecentos e setenta e nove reais e sessenta centavos) para R$ 1.950,00 (um mil novecentos e cinquenta reais); E CLÁUSULA TERCEIRA – PRAZO DE VIGÊNCIA DO REGISTRO DE PREÇOS E DO CONTRATO, prorrogando o contrato original por mais 12 (doze) meses, com amparo legal previsto no inciso II da art. 57, e alínea “d” do inciso II do art. 65, ambos da Lei n.º 8.666/93, passando as mesmas a figurarem com a seguinte redação:
CLÁUSULA SEGUNDA – DO PREÇO E CONDIÇÕES DE PAGAMENTO 
O valor mensal estimado do presente Contrato é de R$ 175.500,00 (cento e setenta e cinco mil e quinhentos reais), perfazendo o total estimado de R$ 2.106.000,00 (dois milhões e cento e seis reais).
</t>
  </si>
  <si>
    <t>Alteração da CLÁUSULA QUARTA - PRAZO DE VIGÊNCIA DO CONTRATO, prorrogando o contrato original por mais 12 (doze) meses.
Fundamentação Legal: inciso II do Art. 57 da Lei nº. 8.666/93.</t>
  </si>
  <si>
    <t>Alteração da CLÁUSULA TERCEIRA - DO PREÇO E CONDIÇÕES DE PAGAMENTO, para realização do reajuste contratual com base no percentual de 9,88% do INPC de Agosto/2015, resultando na diferença mensal no valor de R$ 5.401,55 (cinco mil quatrocentos e um reais e cinquenta e cinco centavos), perfazendo a diferença total de R$ 64.818,49 (sessenta e quatro mil oitocentos e dezoito reais e quarenta e nove centavos), com efeito financeiro a partir do dia 16/08/2015, com amparo legal previsto no Art. 65, inciso II, alínea “d”, da Lei nº 8.666/93, Parecer da Procuradoria Geral do Município e Despacho da Assessoria Jurídica do Fundo Municipal de Saúde. Valor Mensal Reajustado: R$ 60.072,80 (sessenta mil setenta e dois reais e oitenta centavos). Valor Anual Contratado: R$ 720.873,60 (setecentos e vinte mil oitocentos  e setenta e três reais e sessenta  centavos).</t>
  </si>
  <si>
    <t>Alteração da CLÁUSULA QUARTA - PRAZO DE VIGÊNCIA DO CONTRATO, prorrogando o contrato original por mais 12 (doze) meses, com amparo legal previsto no inciso II do art. 57 da Lei
nº. 8.666/93.</t>
  </si>
  <si>
    <t>Alteração da CLÁUSULA TERCEIRA - DO PREÇO E CONDIÇÕES DE PAGAMENTO, acrescendo aproximadamente 17% (dezessete por cento) ao quantitativo contratado, que perfaz o valor de R$ 5.227,85 (cinco mil duzentos e vinte e sete reais e oitenta e cinco centavos), referente a quantidade acrescida de 1 Videofonista (item 1), com efeito financeiro a partir do dia 15/01/2015, com amparolegal previsto no § 1º do art. 65 da Lei nº 8.666/93.</t>
  </si>
  <si>
    <t>Alteração da CLÁUSULA TERCEIRA - DO PREÇO E CONDIÇÕES DE PAGAMENTO, acrescendo aproximadamente 20% (vinte por cento) ao quantitativo contratado, que perfaz o valor de
R$ 22.737,57 (vinte e dois mil setecentos e trinta e sete reais e cinquenta e sete centavos), referente a quantidade acrescida de 2 Videofonistas (item 1), com efeito financeiro a partir do dia 15/01/2015, com amparo legal previsto no § 1º do art. 65 da Lei nº 8.666/93.</t>
  </si>
  <si>
    <t xml:space="preserve"> 04/02/2016</t>
  </si>
  <si>
    <t>CONSTRU-MED COM. SERVIÇOS EIRELI - ME</t>
  </si>
  <si>
    <t>3.3.90.30.00 e 3.3.90.39.00</t>
  </si>
  <si>
    <t>162/2016</t>
  </si>
  <si>
    <t>163/2016</t>
  </si>
  <si>
    <t>164/2016</t>
  </si>
  <si>
    <t>O Presente Termo Aditivo tem por objeto a alteração da CLÁUSULA QUARTA - PRAZO DE VIGÊNCIA DO CONTRATO, prorrogando o contrato original por mais 12 (doze) meses, com amparo legal previsto no inciso II do art. 57 da Lei nº 8.666/93</t>
  </si>
  <si>
    <t>055/2015</t>
  </si>
  <si>
    <t>45.364/2015</t>
  </si>
  <si>
    <t>A. CARNEIRO DE LIMA JÚNIOR – ME</t>
  </si>
  <si>
    <t>10.443.447/0001-03</t>
  </si>
  <si>
    <t>Contratação de empresa, para prestação de serviços de manutenção preventiva e corretiva de veículos e equipamentos</t>
  </si>
  <si>
    <t>MOURA TRANSPORTE RODOVIÁRIO DE PASSAGEIROS REGULAR MUNICIPAL URBANO LTDA</t>
  </si>
  <si>
    <t>07.216.951/0001-41</t>
  </si>
  <si>
    <t>A. S. LIMA - ME</t>
  </si>
  <si>
    <t>04.035.754/0001-38</t>
  </si>
  <si>
    <t>Prorrogando a vigência do contrato por mais 12 (doze) meses, tendo como valor mensal a importância de R$ 7.686,00 (sete mil seiscentos e oitenta e seis reais), totalizando o valor global de R$ 92.232,00 (noventa e dois mil duzentos e trinta e dois reais).</t>
  </si>
  <si>
    <t>Alteração da CLÁUSULA QUARTA – DO PRAZO DE VIGÊNCIA DO CONTRATO, prorrogando o contrato original por mais 12 (doze) meses</t>
  </si>
  <si>
    <t>172/2016</t>
  </si>
  <si>
    <t xml:space="preserve">DOE:11.729 DOU: Nº 16   </t>
  </si>
  <si>
    <t>Alteração da CLÁUSULA OITAVA- DO PREÇO, reduzindo o valor mensal de R$ 4.785,36 (quatro mil setecentos e oitenta e cinco reais e trinta e seis centavos) para R$ 4.690,22 (quatro mil seiscentos e noventa reais e vinte e dois centavos), com amparo legal previsto no inciso II da art. 57, e alínea “d” do inciso II do art. 65, ambos da Lei n.º 8.666/93. Valor Total Reequilibrado para 12 meses: R$ 56.758,34 (cinquenta e seis mil setecentos e cinquenta e oito reais e trinta e quatro centavos).</t>
  </si>
  <si>
    <t>TERMO DE ADESÃO Nº 002/2016 - PREGÃO ELETRÔNICO Nº 218/2014</t>
  </si>
  <si>
    <t>01 (R P) e 14 (SUS) e 15 (Convênio Estadual)</t>
  </si>
  <si>
    <t>Alteração da CLÁUSULA OITAVA- DO PREÇO, reduzindo o valor mensal de R$ 12.266,35 (doze mil duzentos e sessenta e seis reais e trinta e cinco centavos) para R$ 9.380,44 (nove mil trezentos e oitenta reais e quarenta e quatro centavos), com amparo legal previsto no inciso II da art. 57, e alínea “d” do inciso II do art. 65, ambos da Lei n.º 8.666/93.</t>
  </si>
  <si>
    <t>DOE:11762</t>
  </si>
  <si>
    <t>DOE:11755</t>
  </si>
  <si>
    <t>DOE:11769</t>
  </si>
  <si>
    <t>DOE:11036</t>
  </si>
  <si>
    <t>DOE:11037</t>
  </si>
  <si>
    <t>DOE:11043</t>
  </si>
  <si>
    <t>DOE:11057</t>
  </si>
  <si>
    <t>DOE:11083</t>
  </si>
  <si>
    <t>DOE:11114</t>
  </si>
  <si>
    <t>DOE:11129</t>
  </si>
  <si>
    <t>DOE:11234</t>
  </si>
  <si>
    <t>DOE:11248</t>
  </si>
  <si>
    <t>DOE:11250</t>
  </si>
  <si>
    <t>DOE:11395</t>
  </si>
  <si>
    <t>DOE:11473</t>
  </si>
  <si>
    <t>DOE:11482</t>
  </si>
  <si>
    <t>DOE:11485</t>
  </si>
  <si>
    <t>DOE:11499</t>
  </si>
  <si>
    <t>DOE:11517</t>
  </si>
  <si>
    <t>DOE:11567</t>
  </si>
  <si>
    <t>DOE:11586</t>
  </si>
  <si>
    <t>DOE:11612</t>
  </si>
  <si>
    <t>DOE:11616</t>
  </si>
  <si>
    <t>DOE:11624</t>
  </si>
  <si>
    <t>DOE:11625</t>
  </si>
  <si>
    <t>DOE:11650</t>
  </si>
  <si>
    <t>DOE:11655</t>
  </si>
  <si>
    <t>DOE:11661</t>
  </si>
  <si>
    <t>DOE:11670</t>
  </si>
  <si>
    <t>DOE:9912</t>
  </si>
  <si>
    <t>DOE:9991</t>
  </si>
  <si>
    <t>DOE:10252</t>
  </si>
  <si>
    <t>DOE:10602</t>
  </si>
  <si>
    <t>DOE:10608</t>
  </si>
  <si>
    <t>DOE:10757</t>
  </si>
  <si>
    <t>DOE:10749</t>
  </si>
  <si>
    <t>DOE:10817</t>
  </si>
  <si>
    <t>DOE:10654</t>
  </si>
  <si>
    <t>DOE:11034</t>
  </si>
  <si>
    <t>DOE:11211</t>
  </si>
  <si>
    <t>DOE:11316</t>
  </si>
  <si>
    <t>DOE:11277</t>
  </si>
  <si>
    <t>DOE:11385</t>
  </si>
  <si>
    <t xml:space="preserve">DOE:1ª 11.287 RET. 11.288 PROR.11.308    </t>
  </si>
  <si>
    <t>DOE:11513</t>
  </si>
  <si>
    <t xml:space="preserve">DOE:1ª 11.287 RET. 11.288 PRO.11.308    </t>
  </si>
  <si>
    <t>DOE:11044</t>
  </si>
  <si>
    <t>DOE:11122</t>
  </si>
  <si>
    <t>DOE:11462</t>
  </si>
  <si>
    <t>DOE:11050</t>
  </si>
  <si>
    <t>DOE:11125</t>
  </si>
  <si>
    <t>DOE:11470</t>
  </si>
  <si>
    <t>DOE:11610</t>
  </si>
  <si>
    <t>DOE:9.991</t>
  </si>
  <si>
    <t>DOE:10750</t>
  </si>
  <si>
    <t>DOE:10813</t>
  </si>
  <si>
    <t xml:space="preserve"> 03/08/2016</t>
  </si>
  <si>
    <t xml:space="preserve">Alteração da CLÁUSULA SEXTA – DA VIGÊNCIA DO CONTRATO, prorrogando a vigência do contrato original por mais 6 (seis) meses, e prorrogando o prazo de execução dos serviços por mais 5 (cinco) meses, conforme justificativa apresentada pela Secretaria Municipal de Obras Públicas.
Fundamentação Legal: Art. 57, §1º, inciso II da Lei nº 8.666/93.
</t>
  </si>
  <si>
    <t xml:space="preserve">Alteração da CLÁUSULA SEGUNDA E TERCEIRA, para realização do reajuste contratual com base no IGPM, corrigindo o valor unitário de R$ 1.950,00 (um mil novecentos e cinquenta reais) para R$ 2.185,75 (dois mil cento e oitenta e cinco reais e setenta e cinco
centavos); e prorrogando o contrato original por mais 12 (doze) meses.
Fundamentação Legal: Art. 57, inciso II, e Art. 65, inciso II, alínea “d”, ambos da Lei n.º 8.666/93.
Valor Mensal Reajustado: R$ 196.717,50 (cento e noventa e seis mil setecentos e dezessete reais e cinquenta centavos).
Valor Anual Reajustado: R$ 2.360.610,00 (dois milhões trezentos e sessenta mil seiscentos e dez reais).
</t>
  </si>
  <si>
    <t>231/2016</t>
  </si>
  <si>
    <t>232/2016</t>
  </si>
  <si>
    <t>233/2016</t>
  </si>
  <si>
    <t>Alteração da CLÁUSULA QUARTA – DO PRAZO DE VIGÊNCIA DO CONTRATO, prorrogando o contrato original por mais 12 (doze) meses.
Fundamentação Legal: Art. 57, inciso II da Lei nº 8.666/1993.</t>
  </si>
  <si>
    <t xml:space="preserve">  10/04/2017</t>
  </si>
  <si>
    <t xml:space="preserve">  16/04/2017</t>
  </si>
  <si>
    <t xml:space="preserve"> 29/04/2017</t>
  </si>
  <si>
    <t>09.019.016/0001-10</t>
  </si>
  <si>
    <t>G. SANTOS DA SILVA &amp; SILVA LTDA</t>
  </si>
  <si>
    <t>Alteração da CLÁUSULA TERCEIRA - DO PREÇO, CONDIÇÕES DE PAGAMENTO E REAJUSTE, para realização do reajuste dos valores contratados nos itens 3 e 4, resultando numa redução de aproximadamente 10,50% (dez vírgula cinquenta por cento) do valor mensal contratado, com efeito financeiro a partir do mês de Abril/2016, conforme Decreto Municipal nº. 212, de 21 de Março de 2016 e Art. 65, inciso II, alínea “d”, da Lei nº. 8.666/93.
Valor Mensal Reajustado: R$ 28.996,40 (vinte e oito mil novecentos e
noventa e seis reais e quarenta centavos).
Valor do Contrato Reajustado: R$ 354.756,80 (trezentos e cinquenta e
quatro mil setecentos e cinquenta e seis reais e oitenta centavos).</t>
  </si>
  <si>
    <t>1364/2016</t>
  </si>
  <si>
    <t>W. O. PEREIRA - ME</t>
  </si>
  <si>
    <t>18.765.432/0001-59</t>
  </si>
  <si>
    <t>Contratação de Empresa para Locação de Veículo com condutor, veículo tipo utilitário</t>
  </si>
  <si>
    <t>4375/2016</t>
  </si>
  <si>
    <t>A. PAIVA SILVA</t>
  </si>
  <si>
    <t>14.009.721/0001-77</t>
  </si>
  <si>
    <t>PREGÃO PRESENCIAL</t>
  </si>
  <si>
    <t>Contratação de Empresa para Prestação de Serviços com Trabalhadores que Organizam e Supervisionam os Serviços de Cozinha</t>
  </si>
  <si>
    <t>DOU: Nº 30 DOE:11.742</t>
  </si>
  <si>
    <t>DOU: Nº 56 DOE:11.768</t>
  </si>
  <si>
    <t>ACRE IMPORTAÇÃO E EXPORTAÇÃO EIRELI</t>
  </si>
  <si>
    <t>21.467.044/0001-04</t>
  </si>
  <si>
    <t>245/2016</t>
  </si>
  <si>
    <t>14.317.275/0001-68</t>
  </si>
  <si>
    <t xml:space="preserve">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 até o término da vigência contratual.
</t>
  </si>
  <si>
    <t>5710/2016</t>
  </si>
  <si>
    <t>Contratação de Empresa de Engenharia para Execução de Serviços de Construção de Unidade Básica de Saúde – Porte I, Localizada na Avenida Flamengo, S/N, Loteamento Mutambo, Estrada do Quixadá, no Município de Rio Branco - Acre.</t>
  </si>
  <si>
    <t>01 (RP) e 14 (SUS) – Proposta nº 84317.205000/1140-30</t>
  </si>
  <si>
    <t>DOU: Nº 48 DOE:11.760</t>
  </si>
  <si>
    <t>259/2016</t>
  </si>
  <si>
    <t>260/2016</t>
  </si>
  <si>
    <t>265/2016</t>
  </si>
  <si>
    <t>07.640.617/0001-10</t>
  </si>
  <si>
    <t>01 (R P)</t>
  </si>
  <si>
    <t>Alteração da CLÁUSULA QUARTA - PRAZO DE VIGÊNCIA DO CONTRATO, prorrogando o contrato original por mais 12 (doze) meses. 
Fundamentação Legal: Inciso II do Art. 57 da Lei nº. 8.666/93.</t>
  </si>
  <si>
    <t xml:space="preserve">Alteração da CLÁUSULA QUARTA - PRAZO DE VIGÊNCIA DO CONTRATO, prorrogando o contrato original por mais 12 (doze) meses.
Fundamentação Legal: Inciso II do Art. 57 da Lei nº. 8.666/93.
</t>
  </si>
  <si>
    <t>1 (R P) e 14 (SUS)</t>
  </si>
  <si>
    <t>2357/2016</t>
  </si>
  <si>
    <t>Contratação de empresa especializada em desenvolvimento de sistemas para prestação de serviços de consultoria, implantação, treinamento e fornecimento mediante locação/licenciamento, atualização, manutenção, acompanhamento e suporte técnico de sistema específico para gestão em saúde pública</t>
  </si>
  <si>
    <t>INOVADORA SISTEMAS DE GESTÃO LTDA</t>
  </si>
  <si>
    <t>00.867.301/0002-06</t>
  </si>
  <si>
    <t>01 (R P) e 06 (Convênio Federal)</t>
  </si>
  <si>
    <t xml:space="preserve">Menor Preço  </t>
  </si>
  <si>
    <t>DOE:  11.772   e DOU: 61</t>
  </si>
  <si>
    <t>DUX COMÉRCIO REPRESENTAÇÕES IMPORTAÇÃO E EXPORTAÇÃO LTDA</t>
  </si>
  <si>
    <t>276/2016</t>
  </si>
  <si>
    <t>20091/2016</t>
  </si>
  <si>
    <t>TERMO DE ADESÃO  PREGÃO SRP Nº 018/2016 - CPL</t>
  </si>
  <si>
    <t>Contratação de Pessoa Jurídica para Prestação de Serviços de Apoio Administrativo (Recepção e Suporte Técnico de Informática)</t>
  </si>
  <si>
    <t>1 (R P)</t>
  </si>
  <si>
    <t>Secretaria Municipal da Casa Civil</t>
  </si>
  <si>
    <t>Alteração da CLÁUSULA TERCEIRA - PRAZO DE VIGÊNCIA DO CONTRATO, prorrogando o contrato original por mais 12 (doze) meses.
Fundamentação Legal: inciso II do Art. 57 da Lei nº. 8.666/93.</t>
  </si>
  <si>
    <t>Alteração da CLÁUSULA QUARTA - PRAZO DE VIGÊNCIA DO CONTRATO, prorrogando o contrato original por mais 12 (doze) meses, com amparo legal previsto no inciso II do art. 57 da Le ni º. 8.666/93.</t>
  </si>
  <si>
    <t>DENTAL BÉLIA LTDA</t>
  </si>
  <si>
    <t>04.043.808/0001-07</t>
  </si>
  <si>
    <t>COOPERATIVA DE PROPRIETÁRIOS DE VEÍCULOS DO ESTADO DO ACRE - COOPERVEL</t>
  </si>
  <si>
    <t>DOU Nº 30 DOE Nº 11.742</t>
  </si>
  <si>
    <t>DOE Nº 11.741</t>
  </si>
  <si>
    <t>DOE: 11.789</t>
  </si>
  <si>
    <t>Alterar a CLÁUSULA TERCEIRA - DO PREÇO E CONDIÇÕES DE PAGAMENTO, acrescendo aproximadamente 22,67% (vinte e dois e sessenta e sete por cento) ao valor mensal atualizado do Contrato nº. 178/2014, que perfaz o valor total mensal de R$ 14.818,02 (quatorze mil oitocentos e dezoito reais e dois centavos) com efeito financeiro a partir do dia 01/07/2016, com amparo legal previsto no § 1º do art. 65 da Lei nº. 8.666/93, resultando num acréscimo total de R$ 29.636,04 (vinte e nove mil seiscentos e trinta e seis reais e quatro centavos) até o término do contrato (01/09/2016)</t>
  </si>
  <si>
    <t xml:space="preserve">Alteração da CLÁUSULA QUARTA – DO PRAZO DE VIGÊNCIA DO CONTRATO, prorrogando o contrato original por mais 12 (doze) meses.
Fundamentação Legal: Art. 57, inciso II da Lei nº 8.666/1993.
</t>
  </si>
  <si>
    <t xml:space="preserve">Alteração da CLÁUSULA QUARTA – DO PRAZO DE VIGÊNCIA DO CONTRATO, prorrogando o contrato original por mais 12 (doze) meses. Fundamentação Legal: Art. 57, inciso II da Lei nº 8.666/1993.
</t>
  </si>
  <si>
    <t xml:space="preserve">Alteração da CLÁUSULA QUARTA - PRAZO DE VIGÊNCIA DO CONTRATO, prorrogando o contrato original por mais 12 (doze) meses.
Fundamentação Legal: inciso II do art. 57 da Lei Federal nº. 8.666/1993.
 </t>
  </si>
  <si>
    <t xml:space="preserve"> 17/08/2017</t>
  </si>
  <si>
    <t xml:space="preserve"> 18/08/2017</t>
  </si>
  <si>
    <t xml:space="preserve"> 03/01/2017</t>
  </si>
  <si>
    <t xml:space="preserve">Alteração da CLÁUSULA SEXTA – DA VIGÊNCIA DO CONTRATO, prorrogando a vigência do contrato original por mais 6(seis) meses, e prorrogando o prazo de execução dos serviços por mais 5 (cinco) meses, conforme justificativa apresentada pela Secretaria Municipal
de Obras Públicas.
Fundamentação Legal: Art. 57, §1º, inciso II da Lei nº 8.666/93.
</t>
  </si>
  <si>
    <t>Alteração da CLÁUSULA QUINTA – DO VALOR DO CONTRATO – EMPENHO E DOTAÇÃO, para realização do reajuste contratual com base no Índice Nacional da Construção Civil – INCC,
que perfaz o valor de R$ 32.230,19 (trinta e dois mil duzentos e trinta reais e dezenove centavos), devendo o mesmo ser acrescido ao valor do Contrato, conforme cálculos apresentados pela Secretaria Municipal de Obras Públicas, Parecer da Procuradoria Geral do Município e art. 65, inciso II, alínea “d”, da Lei nº. 8.666/93.</t>
  </si>
  <si>
    <t>Alterar a CLÁUSULA TERCEIRA - DO PREÇO E CONDIÇÕES DE PAGAMENTO, para realização da repactuação contratual com base na Convenção Coletiva de Trabalho 2016/2017, com efeito financeiro a partir do dia 01/03/2016, resultando na diferença mensal no valor de R$ 8.430,93 (oito mil quatrocentos e trinta reais e noventa e três centavos) nos meses de março a julho, e diferença mensal no valor de R$ 10.358,29 (dez mil trezentos e cinquenta e oito reais e vinte e nove centavos) nos meses de julho e agosto, perfazendo a diferença total de R$ 54.440,30 (cinquenta e quatro mil quatrocentos e quarenta reais e trinta
centavos), com amparo legal previsto no Art. 65, inciso II, alínea “d”, da Lei nº 8.666/93 e Parecer da Procuradoria Geral do Município.</t>
  </si>
  <si>
    <t>Alteração da CLÁUSULA TERCEIRA - DO PREÇO E CONDIÇÕES DE PAGAMENTO, para realização da repactuação contratual com base na Convenção Coletiva de Trabalho 2015/2016, resultando na diferença mensal no valor de R$ 4.874,94 (quatro mil oitocentos e setenta e
quatro reais e noventa e quatro centavos), perfazendo a diferença total de R$ 69.874,16 (sessenta e nove mil oitocentos e setenta e quatro reais e dezesseis centavos), com efeito financeiro a partir do dia 20/06/2015, com amparo legal previsto no Art. 65, inciso II,  alínea “d”, da Lei nº 8.666/93 e Parecer da Procuradoria Geral do Município.
Valor Mensal Atualizado: R$ 65.345,52 (sessenta e cinco mil trezentos e quarenta e cinco reais e cinquenta e dois centavos). A Contratante pagará o valor de R$ 11.374,88 (onze mil trezentos e setenta e quatro reais e oitenta e oito centavos), referente à diferença mensal de 10 dias de Junho, mais os meses de Julho e Agosto, completando a vigência contratual; e ainda a importância de R$ 58.499,28 (cinquenta e oito mil quatrocentos e noventa e nove reais e vinte e oito centavos), referente à diferença mensal de 01/09/2015 a 01/09/2016, conforme I Termo Aditivo.</t>
  </si>
  <si>
    <t>Alteração da CLÁUSULA QUARTA – DO PRAZO DE VIGÊNCIA, prorrogando o contrato original por mais 12 (doze) meses.</t>
  </si>
  <si>
    <t>Inciso V do art. 24 da Lei nº 8.666/93 e suas alterações.</t>
  </si>
  <si>
    <t xml:space="preserve"> 01/09/2017</t>
  </si>
  <si>
    <t>Alteração da CLÁUSULA SEGUNDA - DO PRAZO DE VIGÊNCIA, prorrogando a vigência do contrato por mais 12 (doze) meses, tendo como valor mensal a importância de R$ 1.692,11
(um mil e seiscentos e noventa e dois reais e onze centavos), totalizando o valor global de R$ 20.305,32 (vinte mil trezentos e cinco reais e trinta e dois centavos), até o término da vigência contratual.</t>
  </si>
  <si>
    <t xml:space="preserve">Alteração da CLÁUSULA QUARTA - PRAZO DE VIGÊNCIA DO CONTRATO, prorrogando o contrato original por mais 12 (doze) meses, com amparo legal previsto no inciso II do art. 57 da Le inº 8.666/93.
</t>
  </si>
  <si>
    <t>Alteração da CLÁUSULA QUINTA – DO VALOR DO CONTRATO – EMPENHO E DOTAÇÃO DO VALOR, suprimindo a importância de R$ 475,61 (quatrocentos e setenta e cinco reais e sessenta
e um centavos), e, acrescendo a importância de R$ 168,47 (cento e sessenta e oito reais e quarenta e sete centavos), perfazendo a diferença de R$ 307,14 (trezentos e sete reais e quatorze centavos) a ser suprimido do valor contratado, conforme adequação apresentada através do Ofício nº 1.551/GAB/SEOP/SEMSA, com amparo legal previsto no Art. 65 §1º da Lei nº 8.666/1993.</t>
  </si>
  <si>
    <t>UNI-LIFE COMÉRCIO DISTRIBUIÇÃO IMP. E EXP. LTDA</t>
  </si>
  <si>
    <t>12.500.762/0001-36</t>
  </si>
  <si>
    <t>Alteração da CLÁUSULA DÉCIMA SEGUNDA - DA VIGÊNCIA, prorrogando o contrato original por mais 12 (doze) meses, com amparo legal previsto no inciso II do art. 57 da Lei nº. 8.666/93 e suas alterações.</t>
  </si>
  <si>
    <t>Alteração da CLÁUSULA SEXTA – DA VIGÊNCIA DO CONTRATO, prorrogando o contrato original por 01 (um) ano, com amparo legal previsto no inciso II do art. 57 da Lei nº. 8.666/93.</t>
  </si>
  <si>
    <t>331/2016</t>
  </si>
  <si>
    <t>10.569.175/0001-78</t>
  </si>
  <si>
    <t>32845/2016</t>
  </si>
  <si>
    <t>PORTO SEGURO COMPANHIA DE SEGUROS GERAIS</t>
  </si>
  <si>
    <t>61.198.164/0001-60</t>
  </si>
  <si>
    <t>Prestação de serviço de seguro total para os veículos da frota da Secretaria Municipal de Saúde de Rio Branco/AC, com assistência 24 horas, casco, vidros, lanternas, faróis, retrovisores, para-brisas; cobertura compreensiva (colisão, incêndio e roubo), cobertura a terceiros – danos materiais e danos pessoais, tudo em conformidade com a descrição dos Anexos, parte integrante deste Edital.</t>
  </si>
  <si>
    <t>DOE:11.930DOU: Nº 217</t>
  </si>
  <si>
    <t>DISTRIBUIDORA BRASIL COMERCIAL DE PRODUTOS MÉDICOS HOSPITALARES LTDA</t>
  </si>
  <si>
    <t>Alteração da CLÁUSULA QUARTA – DO PRAZO DE VIGÊNCIA DO CONTRATO, prorrogando o contrato original por mais 12 (doze) meses, com amparo legal previsto no inciso II do art. 57 da Lei nº 8.666/93.</t>
  </si>
  <si>
    <t>Alteração da CLÁUSULA QUARTA – DO PRAZO DE VIGÊNCIA DO CONTRATO, prorrogando o contrato original por mais 12 (doze) meses, com amparo legal previsto no inciso II do art. 57
da Lei nº 8.666/93.</t>
  </si>
  <si>
    <t>Alteração da CLÁUSULA TERCEIRA - DO PREÇO E CONDIÇÕES DE PAGAMENTO, para realização da repactuação dos valores contratuais com base no Acordo Coletivo de Trabalho 2016, resultando no acréscimo de R$ 4.164,45 (quatro mil cento e sessenta e quatro reais e quarenta e cinco centavos) ao valor mensal, que passará de R$ 60.072,80 (sessenta mil e setenta e dois reais e oitenta centavos) para R$ 64.237,25 (sessenta e quatro mil duzentos e trinta e sete reais e vinte e cinco centavos), com amparo legal previsto no Art. 65, inciso II, alínea “d”, da Lei nº 8.666/93 e Parecer da Procuradoria Geral do Município.
Valor Mensal Repactuado: R$ 64.237,25 (sessenta e quatro mil duzentos e trinta e sete reais e vinte e cinco centavos).</t>
  </si>
  <si>
    <t>Alteração da CLÁUSULA TERCEIRA - DO PREÇO E CONDIÇÕES DE PAGAMENTO, para realização da repactuação dos valores contratuais com base no Acordo Coletivo de Trabalho 2016, resultando no acréscimo de R$ 456,28 (quatrocentos e cinquenta e seis reais e vinte e oito centavos) ao valor mensal, que passará de R$ 3.846,66 (três mil oitocentos e quarenta e seis reais e sessenta e seis
centavos) para R$ 4.302,94 (quatro mil trezentos e dois reais e noventa e quatro centavos), com amparo legal previsto no Art. 65, inciso II, alínea “d”, da Lei nº 8.666/93 e Parecer da Procuradoria Geral do Município.
Valor Mensal Atualizado: R$ 4.302,94 (quatro mil trezentos e dois reais
e noventa e quatro centavos).</t>
  </si>
  <si>
    <t>Alteração da CLÁUSULA SEGUNDA – DO PRAZO DE VIGÊNCIA, prorrogando a vigência do contrato por mais 12 (doze) meses, tendo como valor mensal a importância de R$ 6.425,36
(seis mil quatrocentos e vinte e cinco reais e trinta e seis centavos), totalizando o valor global aditado R$ 77.104,32 (setenta e sete mil cento e quatro reais e trinta e dois centavos).</t>
  </si>
  <si>
    <t>Alteração da CLÁUSULA SEGUNDA – DO PRAZO DE VIGÊNCIA, prorrogando a vigência do contrato por mais 12 (doze) meses, tendo como valor mensal a importância de R$ 7.128,31
(sete mil cento e vinte e oito reais e trinta e um centavos), totalizando o valor global R$ 85.539,72 (oitenta e cinco mil quinhentos e trinta e nove reais e setenta e dois centavos).</t>
  </si>
  <si>
    <t>Alteração da CLÁUSULA SEGUNDA – DO PRAZO DE VIGÊNCIA, prorrogando a vigência do contrato por mais 12 (doze) meses, tendo como valor mensal a importância de R$ 11.494,23
(onze mil quatrocentos e noventa e quatro reais e vinte e três centavos), totalizando o valor global aditado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</si>
  <si>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aditado R$ 167.596,56 (cento e sessenta e sete mil quinhentos e noventa e seis reais e cinquenta e seis centavos).</t>
  </si>
  <si>
    <t>Alteração da CLÁUSULA SEGUNDA – DO PRAZO DE VIGÊNCIA, prorrogando a vigência do contrato por mais 12 (doze) meses, tendo como valor mensal a importância de R$ 55.366,59
(cinquenta e cinco mil trezentos e sessenta e seis reais e cinquenta e nove), totalizando o valor global de R$ 664.399,08 (seiscentos e sessenta e quatro mil trezentos e noventa e nove reais e oito centavos).</t>
  </si>
  <si>
    <t>Alteração da CLÁUSULA SEGUNDA – DO PRAZO DE VIGÊNCIA, prorrogando a vigência do contrato por mais 12 (doze) meses, tendo como valor mensal a importância de R$ 6.581,01
(seis mil quinhentos e oitenta e um reais e um centavo), totalizando o valor global aditado R$ 78.972,12 (setenta e oito mil novecentos e setenta e dois reais e doze centavos).</t>
  </si>
  <si>
    <t>Alteração da CLÁUSULA SEGUNDA – DO PRAZO DE VIGÊNCIA, prorrogando a vigência do contrato por mais 12 (doze) meses, tendo como valor mensal a importância de R$ 5.338,20
(cinco mil trezentos e trinta e oito reais e vinte centavos), totalizando o valor global aditado R$ 64.058,40 (sessenta e quatro mil cinquenta e oito reais e quarenta centavos).</t>
  </si>
  <si>
    <t>Alteração da CLÁUSULA SEGUNDA – DO PRAZO DE VIGÊNCIA, prorrogando a vigência do contrato por mais 12 (doze) meses, tendo como valor mensal a importância de R$ 5.027,23
(cinco mil vinte e sete reais e vinte e três centavos), totalizando o valor global R$ 60.326,76 (sessenta mil trezentos e vinte e seis reais e setenta e seis centavos).</t>
  </si>
  <si>
    <t>Alteração da CLÁUSULA TERCEIRA - DO PREÇO E CONDIÇÕES DE PAGAMENTO, para realização da repactuação dos valores contratuais com base no Acordo Coletivo de Trabalho 2016, resultando no acréscimo de R$ 446,10 (quatrocentos e quarenta e seis reais e dez centavos) ao valor mensal, que passará de R$ 11.529,10 (onze mil quinhentos e vinte e nove reais e dez centavos) para R$ 11.975,20 (onze mil novecentos e setenta e cinco reais e vinte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</si>
  <si>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R$ 3.670,20 (três mil seiscentos e setenta reais e vinte centavos) ao valor mensal, que passará de R$ 42.029,76 (quarenta e dois mil vinte e nove reais e setenta e seis centavos) para R$ 45.699,96 (quarenta e cinco mil seiscentos e noventa e seis reais e noventa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</si>
  <si>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R$ 273,55 (duzentos e setenta e três reais e cinquenta e cinco centavos) ao valor mensal, que passará de R$ 3.270,72 (três mil duzentos e setenta reais e setenta e dois centavos) para R$ 3.544,27 (três mil quinhentos e quarenta e quatro reais e vinte e sete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</si>
  <si>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R$ 2.031,89 (dois mil e trinta e um reais e oitenta e nove centavos) ao valor mensal, que passará de R$ 17.426,57 (dezessete mil quatrocentos e vinte e seis reais e cinquenta e sete centavos) para R$ 19.458,46 (dezenove mil quatrocentos e cinquenta e oito
reais e quarenta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</si>
  <si>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R$ 3.483,24 (três mil quatrocentos e oitenta e três reais e vinte e quatro centavos) ao valor mensal, que passará de R$ 29.874,12 (vinte e nove mil oitocentos e setenta e quatro reais e doze centavos) para R$ 33.357,36 (trinta e três mil trezentos e cinquenta e sete reais e trinta e seis centavos), com amparo legal previsto no
Art. 65, inciso II, alínea “d”, da Lei nº 8.666/93 e Parecer da Procuradoria Geral do Município.</t>
  </si>
  <si>
    <t>Alteração da CLÁUSULA TERCEIRA - DO PREÇO E CONDIÇÕES DE PAGAMENTO, para realização da repactuação dos valores contratuais com base no Acordo Coletivo de Trabalho 2016,
resultando no acréscimo de R$ 684,42 (seiscentos e oitenta e quatro reais e quarenta e dois centavos) ao valor mensal, que passará de R$ 5.769,99 (cinco mil setecentos e sessenta e nove reais e noventa e nove centavos) para R$ 6.454,41 (seis mil quatrocentos e cinquenta e quatro reais e quarenta e um centavos), com amparo legal previsto no Art. 65, inciso II, alínea “d”, da Lei nº 8.666/93 e Parecer da Procuradoria Geral do Município.</t>
  </si>
  <si>
    <t>001/2017</t>
  </si>
  <si>
    <t>002/2017</t>
  </si>
  <si>
    <t>003/2017</t>
  </si>
  <si>
    <t>004/2017</t>
  </si>
  <si>
    <t>005/2017</t>
  </si>
  <si>
    <t>006/2017</t>
  </si>
  <si>
    <t>007/2017</t>
  </si>
  <si>
    <t>008/2017</t>
  </si>
  <si>
    <t>009/2017</t>
  </si>
  <si>
    <t>010/2017</t>
  </si>
  <si>
    <t>011/2017</t>
  </si>
  <si>
    <t>014/2017</t>
  </si>
  <si>
    <t>016/2017</t>
  </si>
  <si>
    <t>017/2017</t>
  </si>
  <si>
    <t>019/2017</t>
  </si>
  <si>
    <t>020/2017</t>
  </si>
  <si>
    <t>021/2017</t>
  </si>
  <si>
    <t>022/2017</t>
  </si>
  <si>
    <t>023/2017</t>
  </si>
  <si>
    <t>024/2017</t>
  </si>
  <si>
    <t>025/2017</t>
  </si>
  <si>
    <t>026/2017</t>
  </si>
  <si>
    <t>027/2017</t>
  </si>
  <si>
    <t>028/2017</t>
  </si>
  <si>
    <t>030/2017</t>
  </si>
  <si>
    <t>032/2017</t>
  </si>
  <si>
    <t>033/2017</t>
  </si>
  <si>
    <t>034/2017</t>
  </si>
  <si>
    <t>035/2017</t>
  </si>
  <si>
    <t>036/2017</t>
  </si>
  <si>
    <t>040/2017</t>
  </si>
  <si>
    <t>Alteração da CLÁUSULA SEGUNDA – DO PRAZO DE VIGÊNCIA, prorrogando a vigência do contrato por mais 12 (doze) meses, tendo como valor mensal a importância de R$ 7.686,00 (sete mil seiscentos e oitenta e seis reais), totalizando o valor global de R$ 92.232,00 (noventa e dois mil duzentos e trinta e dois reais).</t>
  </si>
  <si>
    <t>Alteração das CLÁUSULAS SEGUNDA, TERCEIRA E DÉCIMA SEXTA, prorrogando a vigência do contrato por mais 12 (doze) meses, e reajustando o valor mensal que passará a ser R$
12.512,96 (doze mil quinhentos e doze reais e noventa e seis centavos), perfazendo a diferença mensal de R$ 839,41 (oitocentos e trinta e nove reais e quarenta e um centavos), totalizando o valor anual de R$ 150.155,52 (cento e cinquenta mil cento e cinquenta e cinco reais e cinquenta e dois centavos), até o término da vigência contratual.</t>
  </si>
  <si>
    <t>041/2017</t>
  </si>
  <si>
    <t>042/2017</t>
  </si>
  <si>
    <t>043/2017</t>
  </si>
  <si>
    <t>044/2017</t>
  </si>
  <si>
    <t>05.888.612/0001-86</t>
  </si>
  <si>
    <t xml:space="preserve">ALPHA PRESTAÇÃO DE SERVIÇOS LTDA, </t>
  </si>
  <si>
    <t xml:space="preserve">14.287.122/0001-15 </t>
  </si>
  <si>
    <t>Contratação de Pessoa Jurídica para Prestação de Serviços de Apoio Administrativo (Suporte Técnico de Informática)</t>
  </si>
  <si>
    <t>Registro de Preços</t>
  </si>
  <si>
    <t>Especificações de Termo Aditivo ou Termo de Apostilamento</t>
  </si>
  <si>
    <t>Apostilamento</t>
  </si>
  <si>
    <t>Vigência da Ata</t>
  </si>
  <si>
    <t>Concluída no exercício de referência</t>
  </si>
  <si>
    <t>Em andamento no exercício de referência</t>
  </si>
  <si>
    <t>Nº da Ata de Registro de Preços</t>
  </si>
  <si>
    <t>Art. 57 - LF nº 8.666/93</t>
  </si>
  <si>
    <t>Art. 65, caput e §§ 1º a 6º - LF nº 8.666/93</t>
  </si>
  <si>
    <t>Art. 65, § 8º - LF nº 8.666/93</t>
  </si>
  <si>
    <t>Valor da despesa com a contratação</t>
  </si>
  <si>
    <t xml:space="preserve">Nº do Termo </t>
  </si>
  <si>
    <t>Data da concessão do reajuste</t>
  </si>
  <si>
    <t>% de reajuste</t>
  </si>
  <si>
    <t>Valor do reajuste</t>
  </si>
  <si>
    <t>Executado até o exercício anterior</t>
  </si>
  <si>
    <t xml:space="preserve"> Executado no Exercício de referência</t>
  </si>
  <si>
    <t xml:space="preserve">Total Acumulado </t>
  </si>
  <si>
    <t>(al) = (n) - (ah) + (ag) + (ak)</t>
  </si>
  <si>
    <t>(ao) = (am) + (an)</t>
  </si>
  <si>
    <t>(bf)</t>
  </si>
  <si>
    <t>(bg)</t>
  </si>
  <si>
    <t>(bh)</t>
  </si>
  <si>
    <t>(bi)</t>
  </si>
  <si>
    <t>(bj)</t>
  </si>
  <si>
    <t>(bk)</t>
  </si>
  <si>
    <t>(bl)</t>
  </si>
  <si>
    <t>(bm)</t>
  </si>
  <si>
    <t>(bn)</t>
  </si>
  <si>
    <t>007/2013</t>
  </si>
  <si>
    <t>013/2013</t>
  </si>
  <si>
    <t>55/2013</t>
  </si>
  <si>
    <t>DOU: 120</t>
  </si>
  <si>
    <t>038/2013</t>
  </si>
  <si>
    <t>013/2014</t>
  </si>
  <si>
    <t>028/2014</t>
  </si>
  <si>
    <t>031/2014</t>
  </si>
  <si>
    <t>031/2015</t>
  </si>
  <si>
    <t>057/2015</t>
  </si>
  <si>
    <t>DOE:11.789</t>
  </si>
  <si>
    <t>N</t>
  </si>
  <si>
    <t>S</t>
  </si>
  <si>
    <t>045/2017</t>
  </si>
  <si>
    <t>046/2017</t>
  </si>
  <si>
    <t>047/2017</t>
  </si>
  <si>
    <t>048/2017</t>
  </si>
  <si>
    <t>DOE:11.992</t>
  </si>
  <si>
    <t>09.344.708/0001-34</t>
  </si>
  <si>
    <t>049/2017</t>
  </si>
  <si>
    <t>050/2017</t>
  </si>
  <si>
    <t>052/2017</t>
  </si>
  <si>
    <t>053/2017</t>
  </si>
  <si>
    <t>FARHAT &amp; FARHAT LTDA</t>
  </si>
  <si>
    <t>06.057.934/0001-46</t>
  </si>
  <si>
    <t>054/2017</t>
  </si>
  <si>
    <t>44.90.52.00 (Equipamentos e Material Permanente)</t>
  </si>
  <si>
    <t>055/2017</t>
  </si>
  <si>
    <t>056/2017</t>
  </si>
  <si>
    <t>057/2017</t>
  </si>
  <si>
    <t>7154/2016</t>
  </si>
  <si>
    <t xml:space="preserve">40.802.993/0001-30 </t>
  </si>
  <si>
    <t>058/2017</t>
  </si>
  <si>
    <t>059/2017</t>
  </si>
  <si>
    <t>CIENTÍFICA MÉDICA HOSPITALAR LTDA</t>
  </si>
  <si>
    <t>07.847.837/0001-10</t>
  </si>
  <si>
    <t>060/2017</t>
  </si>
  <si>
    <t>061/2017</t>
  </si>
  <si>
    <t>062/2017</t>
  </si>
  <si>
    <t>063/2017</t>
  </si>
  <si>
    <t>064/2017</t>
  </si>
  <si>
    <t>065/2017</t>
  </si>
  <si>
    <t>3.3.90.30.00 (Material de Consumo)</t>
  </si>
  <si>
    <t>069/2017</t>
  </si>
  <si>
    <t>072/2017</t>
  </si>
  <si>
    <t>075/2017</t>
  </si>
  <si>
    <t>076/2017</t>
  </si>
  <si>
    <t>AC DISTRIBUIDORA IMPORTAÇÃO E EXPORTAÇÃO LTDA</t>
  </si>
  <si>
    <t>05.508.816/0001-44</t>
  </si>
  <si>
    <t>078/2017</t>
  </si>
  <si>
    <t>34227/2016</t>
  </si>
  <si>
    <t>DEL CORSO INDÚSTRIA COMÉRCIO E REPRESENTAÇÃO LTDA</t>
  </si>
  <si>
    <t>Aquisição de Produto de uso Veterinário, para manter as ações do Programa de Controle da Raiva Animal, Programa de Manejo e Controle de População Canina e Felina do Departamento de Controle de Zoonoses no Município de Rio Branco-AC</t>
  </si>
  <si>
    <t>082/2017</t>
  </si>
  <si>
    <t>ROBERTH &amp; SOUSA LTDA</t>
  </si>
  <si>
    <t>07.650.136/0001-96</t>
  </si>
  <si>
    <t>1027/2017</t>
  </si>
  <si>
    <t>RICHARD S. MIRANDA</t>
  </si>
  <si>
    <t>Aquisição de Material de Expediente (Escritório), para atender a demanda da SEMSA</t>
  </si>
  <si>
    <t>DOE:11.766DOU: Nº 54</t>
  </si>
  <si>
    <t>DOE:11.924</t>
  </si>
  <si>
    <t>DOE:11.980DOU: Nº 18</t>
  </si>
  <si>
    <t>Alteração da CLÁUSULA SEXTA – DA VIGÊNCIA DO CONTRATO, prorrogando a vigência do contrato original por mais 6 (seis) meses, e prorrogando o prazo de execução dos serviços por mais 5 (cinco) meses, conforme justificativa apresentada pela Secretaria Municipal
de Obras Públicas, com amparo legal previsto no Art. 57, §1º, inciso IV da Lei nº 8.666/93.</t>
  </si>
  <si>
    <t xml:space="preserve"> 03/06/2017</t>
  </si>
  <si>
    <t>Alteração da CLÁUSULA QUINTA – DO VALOR DO CONTRATO – EMPENHO E DOTAÇÃO, acrescendo a importância de R$ 53.655,75 (cinquenta e três mil seiscentos e cinquenta e cinco reais e setenta e cinco centavos), e, suprimindo a importância de R$ 49.586,43 (quarenta e nove mil quinhentos e oitenta e seis reais e quarenta e três centavos), perfazendo a diferença de R$ 4.069,32 (quatro mil sessenta e nove reais e trinta e dois centavos) a ser acrescida ao valor contratado, conforme adequação apresentada através do Ofício nº 2.234/GAB/SEOP, com amparo legal previsto no Art. 65 §1º da Lei
nº 8.666/1993.</t>
  </si>
  <si>
    <t>ALUGUEL DE IMÓVEL - Instalação do Almoxarifado, Administração, Química e Tratamento de Resíduos do Departamento de Vigilância Epidemiológica e Ambiental</t>
  </si>
  <si>
    <t>ALUGUEL DE IMÓVEL - Instalação de Duas Salas Localizada em Anexo ao Departamento de Gestão de Pessoas</t>
  </si>
  <si>
    <t>ALUGUEL DE IMÓVEL - Locação de Imóvel para Instalação do Conselho Municipal de Saúde</t>
  </si>
  <si>
    <t>ALUGUEL DE IMÓVEL -  PARA INSTALAÇÃO DA DIVISÃO DE TRANSPORTES</t>
  </si>
  <si>
    <t>ALUGUEL DE IMÓVEL -  PARA INSTALAÇÃO DO DEPARTAMENTO DE GESTÃO DE PESSOAS</t>
  </si>
  <si>
    <t>ALUGUEL DE IMÓVEL -  PARA INSTALAÇÃO DO ALMOXARIFADO</t>
  </si>
  <si>
    <t>ALUGUEL DE IMÓVEL -  PARA INSTALAÇÃO DA ASSISTÊNCIA FARMACÊUTICA</t>
  </si>
  <si>
    <t>ALUGUEL DE IMÓVEL -  PARA INSTALAÇÃO DO ALMOXARIFADO V</t>
  </si>
  <si>
    <t>ALUGUEL DE IMÓVEL -  PARA INSTALAÇÃO DA REDE DE FRIOS</t>
  </si>
  <si>
    <t>ALUGUEL DE IMÓVEL -  PARA INSTALAÇÃO DA VIGILÂNCIA EPIDEMIOLÓGICA E AMBIENTAL</t>
  </si>
  <si>
    <t>ALUGUEL DE IMÓVEL -  PARA INSTALAÇÃO DO ALMOXARIFADO DA ASSISTÊNCIA FARMACÊUTICA</t>
  </si>
  <si>
    <t xml:space="preserve">ALUGUEL DE IMÓVEL -  PARA INSTALAÇÃO DO ALMOXARIFADO CENTRAL </t>
  </si>
  <si>
    <t>ALUGUEL DE IMÓVEL -  PARA INSTALAÇÃO DO COMPLEXO ADMINSITRATIVO DA SEMSA</t>
  </si>
  <si>
    <t>ALUGUEL DE IMÓVEL -  PARA INSTALAÇÃO DA USF BOA UNIÃO</t>
  </si>
  <si>
    <t>1616/2017</t>
  </si>
  <si>
    <t>Aquisição de Gêneros Alimentícios e Material de Consumo (Higiene Pessoal, Limpeza e Uso Geral)</t>
  </si>
  <si>
    <t>F. F. DE MEDEIROS - ME</t>
  </si>
  <si>
    <t>09.638.709/0001-91</t>
  </si>
  <si>
    <t>A. M. SCHAFER - ME</t>
  </si>
  <si>
    <t>17.332.592/0001-41</t>
  </si>
  <si>
    <t>F. P. MENEGASSI - ME</t>
  </si>
  <si>
    <t>20.384.086/0001-00</t>
  </si>
  <si>
    <t xml:space="preserve">Alteração da CLÁUSULA QUARTA - PRAZO DE VIGÊNCIA DO CONTRATO, prorrogando o contrato original por mais 12 (doze) meses.
Fundamentação Legal: inciso II do Art. 57 da Lei nº. 8.666/93.
</t>
  </si>
  <si>
    <t xml:space="preserve"> 04/02/2017 </t>
  </si>
  <si>
    <t xml:space="preserve"> 04/02/2018</t>
  </si>
  <si>
    <t>11.001.135/0001-98</t>
  </si>
  <si>
    <t>MBASS COMÉRCIO E SERVIÇOS EIRELI</t>
  </si>
  <si>
    <t>24.101.577/0001-58</t>
  </si>
  <si>
    <t>MM PERMANENTES E BENS DE CONSUMO LTDA</t>
  </si>
  <si>
    <t>07.924.474/0001-79</t>
  </si>
  <si>
    <t>DOE:11.990DOU: Nº 27</t>
  </si>
  <si>
    <t>O Presente Termo Aditivo tem por objeto a alteração da CLÁUSULA QUARTA - PRAZO DE VIGÊNCIA DO CONTRATO, prorrogando o contrato original por mais 12 (doze) meses, com amparo legal previsto no inciso II do art. 57 da Lei nº 8.666/93, passando a mesma
a figurar com a seguinte redação: CLÁUSULA QUARTA - PRAZO DE VIGÊNCIA DO CONTRATO; O presente Termo Aditivo terá vigência de 12 (doze) meses.</t>
  </si>
  <si>
    <t>DOE:11.997DOU: Nº 34</t>
  </si>
  <si>
    <t xml:space="preserve">TERMO DE ADESÃO Nº 002/2017
PREGÃO SRP Nº 018/2016 - CPL
</t>
  </si>
  <si>
    <t>Contratação de Pessoa Jurídica para Prestação de Serviços de Apoio Administrativo (Copeiragem, agente de porta diurno e auxiliar de serviços diversos)</t>
  </si>
  <si>
    <t>109/2017</t>
  </si>
  <si>
    <t>M &amp; R DISTRIBUIDORA LTDA</t>
  </si>
  <si>
    <t xml:space="preserve">Alteração da CLÁUSULA QUARTA - PRAZO DE VIGÊNCIA DO CONTRATO, prorrogando o contrato original por mais 12 (doze) meses.
Fundamentação Legal: Inciso II do Art. 57 da Lei nº. 8.666/93
  </t>
  </si>
  <si>
    <t>24546/2014</t>
  </si>
  <si>
    <t>020/2014</t>
  </si>
  <si>
    <t>CONTRATAÇÃO DE EMPRESA DE ENGENHARIA PARA A EXECUÇÃO DE SERVIÇOS DE CONSTRUÇÃO DE UNIDADE BÁSICA DE SAÚDE PORTE IV NA ESTRADA DA SOBRAL, Nº 1.1757, RIO BRANCO – ACRE</t>
  </si>
  <si>
    <t>158/2014</t>
  </si>
  <si>
    <t>BELA VISTA CONSTRUÇÕES COMÉRCIO E REPRESENTAÇÕES LTDA</t>
  </si>
  <si>
    <t>DOE:11366</t>
  </si>
  <si>
    <t>01 (RP) e 14 (SUS) – Proposta nº 84317.205000/1130-10)</t>
  </si>
  <si>
    <t>Alteração da CLÁUSULA SEXTA – DA VIGÊNCIA DO CONTRATO, prorrogando o contrato original por mais 240 (duzentos e quarenta) dias, e prorrogando o prazo de execução dos serviços por mais 210 (duzentos e dez) dias, conforme justificativa solicitada através do Ofício nº 017/DECON/SEOP.</t>
  </si>
  <si>
    <t>Contratação de Empresa de Engenharia para a Execução de Serviços de Construção de Unidade Básica de Saúde, Porte IV, na Estrada da Sobral, nº 1.1757, Rio Branco – Acre.
Objeto do Aditamento: Alteração da CLÁUSULA SEXTA – DA VIGÊNCIA DO CONTRATO, prorrogando o contrato original por mais 180 (cento e oitenta) dias, e prorrogando o prazo de execução dos serviços por mais 180 (cento e oitenta) dias, conforme justificativa solicitada pela Secretaria Municipal de Obras Públicas.</t>
  </si>
  <si>
    <t>Alteração da CLÁUSULA SEXTA – DA VIGÊNCIA DO CONTRATO, prorrogando o contrato original por mais 4 (quatro) meses, e prorrogando o prazo de execução dos serviços por mais 4 (quatro) meses, conforme justificativa solicitada pela Secretaria Municipal
de Obras Públicas.
Fundamentação Legal: Art. 57, §1º, inciso II da Lei nº 8.666/1993.</t>
  </si>
  <si>
    <t>Alteração da CLÁUSULA QUINTA – DO VALOR DO CONTRATO – EMPENHO E DOTAÇÃO DO VALOR, para realização do reajuste contratual com base no Índice Nacional da Construção Civil – INCC, que perfaz o valor de R$ 68.471,94 (sessenta e oito mil
quatrocentos e setenta e um reais e noventa e quatro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</si>
  <si>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acrescendo serviços no valor de R$ 81.409,86 (oitenta e um mil quatrocentos e nove reais e oitenta e seis centavos), e, suprimindo serviços no valor de R$ 25.714,17 (vinte e cinco mil setecentos e quatorze reais e dezessete centavos), perfazendo a diferença de R$ 55.727,83 (cinquenta e cinco mil setecentos e vinte e sete reais e oitenta e três centavos) a ser acrescido do valor originalmente contratado, conforme adequação apresentada através do Ofício nº 1.729/GAB/SEOP, com amparo legal previsto no Art. 65, §1º da Lei nº 8.666/1993.</t>
  </si>
  <si>
    <t xml:space="preserve">Alteração da CLÁUSULA SEXTA – DA VIGÊNCIA DO CONTRATO, prorrogando o contrato original por mais 4 (quatro) meses, com amparo legal previsto no Art. 57, §1º, inciso VI da Lei nº
8.666/1993.
</t>
  </si>
  <si>
    <t>PRAZO</t>
  </si>
  <si>
    <t>Alteração da CLÁUSULA SEXTA – DA VIGÊNCIA DO CONTRATO, prorrogando o contrato original por mais 4 (quatro) meses,
com amparo legal previsto no Art. 57, §1º, inciso VI da Lei nº 8.666/1993.</t>
  </si>
  <si>
    <t xml:space="preserve">Alteração da CLÁUSULA DÉCIMA SEGUNDA - DA VIGÊNCIA, prorrogando o contrato original por mais 12 (doze) meses, com amparo legal previsto no Art. 57, inciso II da Lei Federal nº. 8.666/93.
  </t>
  </si>
  <si>
    <t>3890/2017</t>
  </si>
  <si>
    <t>C. CALIL E CALIL LTDA - ME</t>
  </si>
  <si>
    <t>07.810.876/0001-42</t>
  </si>
  <si>
    <t>Aquisição de Refeições Preparadas (Marmitex), para atender as demandas da Secretaria Municipal de Saúde, no município de Rio Branco - AC</t>
  </si>
  <si>
    <t>112/2017</t>
  </si>
  <si>
    <t>Contratação de Empresa para Locação de Veículo com condutor, veículo tipo pick-up (caminhonete)</t>
  </si>
  <si>
    <t>532/2017</t>
  </si>
  <si>
    <t>84.312.602/0001-74</t>
  </si>
  <si>
    <t>Contratação de uma Empresa Especializada na Prestação de Serviços de Manutenção e Reposição de Peças em Aparelhos de Refrigeração</t>
  </si>
  <si>
    <t>33.90.39.00 e 33.90.30.00</t>
  </si>
  <si>
    <t>114/2017</t>
  </si>
  <si>
    <t>DOU Nº 30 DOE :11.742</t>
  </si>
  <si>
    <t>DOE:11.769DOU: Nº 14</t>
  </si>
  <si>
    <t>Alteração da CLÁUSULA TERCEIRA, prorrogando o contrato original por mais 12 (doze) meses.
Fundamentação Legal: Art. 57, inciso II da Lei Federal nº. 8.666/93.</t>
  </si>
  <si>
    <t>DOE: 11.741</t>
  </si>
  <si>
    <t xml:space="preserve">  10/04/2018</t>
  </si>
  <si>
    <t xml:space="preserve">  16/04/2018</t>
  </si>
  <si>
    <t xml:space="preserve"> 29/04/2018</t>
  </si>
  <si>
    <t>Alteração da CLÁUSULA QUARTA - PRAZO DE VIGÊNCIA DO CONTRATO, prorrogando o contrato original por mais 12 (doze) meses.                                                                                                                                                          Fundamentação Legal: Art. 57, inciso II da Lei Federal nº. 8.666/93.</t>
  </si>
  <si>
    <t>Alteração da CLÁUSULA QUARTA - PRAZO DE VIGÊNCIA DO CONTRATO, prorrogando o contrato original por mais 12 (doze) meses.
Fundamentação Legal: Art. 57, inciso II da Lei Federal nº. 8.666/93.</t>
  </si>
  <si>
    <t>9404/2015</t>
  </si>
  <si>
    <t>Contratação de empresa de engenharia para execução de serviços de Construção do Centro de Recuperação de Dependentes Químicos Feminino, no Município de Rio Branco – Acre.</t>
  </si>
  <si>
    <t>DOE:11528</t>
  </si>
  <si>
    <t>123/2015</t>
  </si>
  <si>
    <t>COLUNA CONSTRUÇÕES E COMÉRCIO LTDA</t>
  </si>
  <si>
    <t>03.488.438/0001-59</t>
  </si>
  <si>
    <t>DOE:11559</t>
  </si>
  <si>
    <t>01 (R P) e 06 (OGU - Convênio nº 231/PCN/2013).</t>
  </si>
  <si>
    <t>783224/2013</t>
  </si>
  <si>
    <t>06 (OGU)</t>
  </si>
  <si>
    <t>Alteração da CLÁUSULA QUINTA – DO VALOR DO CONTRATO – EMPENHO E DOTAÇÃO DO VALOR, acrescendo do valor originalmente contratado a importância de R$ 49.610,42 (quarenta e nove mil seiscentos e dez reais quarenta e dois centavos), correspondente
a 5,84% (cinco vírgula oitenta e quarenta por cento), conforme adequação apresentada através do Ofício nº 1.560/GAB/SEOP.</t>
  </si>
  <si>
    <t>Alteração da CLÁUSULA SEXTA – DA VIGÊNCIA DO CONTRATO, prorrogando a vigência do contrato original por mais 210 (duzentos e dez) dias, e prorrogando o prazo de execução dos serviços por mais 180 (cento e oitenta) dias, conforme justificativa apresentada pela Secretaria Municipal de Obras Públicas.
Fundamentação Legal: Art. 57, §1º, inciso VI da Lei nº 8.666/93.</t>
  </si>
  <si>
    <t xml:space="preserve">Alteração da CLÁUSULA SEXTA – DA VIGÊNCIA DO CONTRATO, prorrogando a vigência do contrato original por mais 168 (cento e sessenta e oito) dias, e prorrogando o prazo de execução dos serviços por mais 180 (cento e oitenta) dias, conforme justificativa
apresentada pela Secretaria Municipal de Obras Públicas.
Fundamentação Legal: Art. 57, §1º, inciso VI da Lei nº 8.666/93.
</t>
  </si>
  <si>
    <t>Alteração da CLÁUSULA SEXTA – DA VIGÊNCIA DO CONTRATO, prorrogando a vigência do contrato original por mais 180 (cento e oitenta) dias, e prorrogando o prazo de execução dos serviços por mais 180 (cento e oitenta) dias, conforme justificativa apresentada pela Secretaria Municipal de Obras Públicas.
Fundamentação Legal: Art. 57, §1º, inciso VI da Lei nº 8.666/93.</t>
  </si>
  <si>
    <t>Alteração da CLÁUSULA QUINTA – DO VALOR DO CONTRATO – EMPENHO E DOTAÇÃO DO VALOR, para realização da complementação de reajuste contratual com base no Índice Nacional
da Construção Civil – INCC, que perfaz o valor de R$ 8.331,31 (oito mil trezentos e trinta e um reais e trinta e um centavos), devendo o mesmo ser acrescido ao valor do Contrato, conforme cálculos apresentados pela Secretaria Municipal de Obras Públicas, Parecer da Procuradoria Geral do Município e art. 65, inciso II, alínea “d”, da Lei nº. 8.666/93.
Valor Atualizado do Contrato: R$ 1.118.668,44 (um milhão cento e dezoito
mil seiscentos e sessenta e oito reais e quarenta e quatro centavos).</t>
  </si>
  <si>
    <t>Contratação de Empresa para Locação de Veículo com condutor, veículo tipo utilitário.
Objeto do Aditamento: Alteração da CLÁUSULA QUARTA - PRAZO DE VIGÊNCIA DO CONTRATO, prorrogando o contrato original por mais 12 (doze) meses.
Fundamentação Legal: Art. 57, inciso II da Lei Federal nº. 8.666/93.</t>
  </si>
  <si>
    <t>Alteração da CLÁUSULA SEXTA – DA VIGÊNCIA DO CONTRATO, prorrogando a vigência contratual e execução dos serviços por mais 90 (noventa) dias, conforme justificativa apresentada pela Secretaria Municipal de Obras Públicas, com amparo legal previsto
no Art. 57, §1º, inciso IV da Lei nº 8.666/93.</t>
  </si>
  <si>
    <t>Alteração da CLÁUSULA SEXTA – DA VIGÊNCIA DO CONTRATO, prorrogando a vigência do contrato e execução dos serviços por mais 90 (noventa) dias, conforme justificativa apresentada pela Secretaria Municipal de Obras Públicas, com amparo legal previsto
no Art. 57, §1º, inciso IV da Lei nº 8.666/93.</t>
  </si>
  <si>
    <t>Alteração da CLÁUSULA TERCEIRA - DO PREÇO E CONDIÇÕES DE PAGAMENTO, acrescendo 0,71% (zero vírgula setenta e um por cento) ao valor originalmente contratado, que perfaz a
quantia de R$ 989,73 (novecentos e oitenta e nove reais e setenta e três centavos), referente a inclusão do Automóvel DoblôAttractiv.
Fundamentação Legal: § 1º do Art. 65 da Lei nº 8.666/93.</t>
  </si>
  <si>
    <t xml:space="preserve">INEXIGIBILIDADE DE LICITAÇÃO </t>
  </si>
  <si>
    <t>J. SABINO DA COSTA</t>
  </si>
  <si>
    <t>01.287.016/0001-90</t>
  </si>
  <si>
    <t>UNIACRE INDÚSTRIA E COMÉRCIO LTDA</t>
  </si>
  <si>
    <t>63.603.666/0001-54</t>
  </si>
  <si>
    <t>Aquisição de Mobiliários de Lei, para atender as demandas da Secretaria Municipal de Saúde, em conformidade com o Edital de Chamamento Público nº 001/2016 - SEDENS, decorrente do Credenciamento - SEDENS.</t>
  </si>
  <si>
    <t>MARCENARIA SULATINA IMPORTAÇÃO E EXPORTAÇÃO LTDA</t>
  </si>
  <si>
    <t>34.704.163/0001-77</t>
  </si>
  <si>
    <t>REAL MÓVEIS LTDA</t>
  </si>
  <si>
    <t>COMABEL – INDÚSTRIA E COMÉRCIO DE MADEIRAS BENEFICIADAS LTDA</t>
  </si>
  <si>
    <t>07.773.277/0001-04</t>
  </si>
  <si>
    <t>02.862.602/0001-83</t>
  </si>
  <si>
    <t>N. B. P. LOUREIRO</t>
  </si>
  <si>
    <t>03.924.998/0001-09</t>
  </si>
  <si>
    <t>1619/2017</t>
  </si>
  <si>
    <t>Aquisição de Gêneros Alimentícios (Café e Açúcar)</t>
  </si>
  <si>
    <t>10078/2017</t>
  </si>
  <si>
    <t>07.338.922/0001-52</t>
  </si>
  <si>
    <t>Aquisição de Material Consumo – Etiqueta Térmica Modelo GC420D, para atender o Centro de Apoio e Diagnóstico – CAD</t>
  </si>
  <si>
    <t>Alteração da CLÁUSULA QUINTA – DO VALOR DO CONTRATO – EMPENHO E DOTAÇÃO DO VALOR, para realização do reajuste contratual com base no Índice Nacional da Construção Civil – INCC, que perfaz o valor de R$ 38.470,23 (trinta e oito mil quatrocentos e setenta reais e vinte e três centavos), devendo o mesmo ser acrescido ao valor do Contrato, conforme cálculos apresentados pela Secretaria Municipal de Obras Públicas, Parecer da Procuradoria Geral do Município e art. 65, inciso II, alínea “d”, da Lei nº. 8.666/93.</t>
  </si>
  <si>
    <t>Alteração da CLÁUSULA QUINTA – DO VALOR DO CONTRATO – EMPENHO E DOTAÇÃO DO VALOR, suprimindo do valor originalmente contratado a importância de R$ 2.095,64 (dois mil noventa e cinco reais e sessenta e quatro centavos), correspondente a 0,2% (dois décimos por cento), conforme adequação apresentada através do Ofício nº 013/GAB/SEOP.
Fundamentação Legal: Art. 65 §1º da Lei nº 8.666/1993.</t>
  </si>
  <si>
    <t>Art. 25 da Lei nº 8.666/93 e suas alterações</t>
  </si>
  <si>
    <t xml:space="preserve">DOU: Nº 23 DOE:11.986    </t>
  </si>
  <si>
    <t xml:space="preserve">DOU: Nº 64 DOE:12.026    </t>
  </si>
  <si>
    <t>Alteração da CLÁUSULA QUINTA – DO VALOR DO CONTRATO – EMPENHO E DOTAÇÃO DO VALOR, acrescendo do valor originalmente contratado a importância de R$ 24.626,12 (vinte e quatro mil seiscentos e vinte e seis reais e doze centavos), correspondente a 2,74% (dois vírgula setenta e quatro por cento), conforme adequação apresentada através do Ofício nº 676/GAB/SEOP.
Fundamentação Legal: Art. 65 §1º da Lei nº 8.666/1993.</t>
  </si>
  <si>
    <t>131120111/2013</t>
  </si>
  <si>
    <t>Alteração da CLÁUSULA SEGUNDA - DO PRAZO DE VIGÊNCIA, prorrogando a vigência do contrato por mais 12 (doze) meses, tendo como valor mensal a importância de R$ 12.299,20
(doze mil duzentos e noventa e nove reais e vinte centavos), totalizando o valor global R$ 147.590,40 (cento e quarenta e sete mil quinhentos e noventa reais e quarenta centavos).</t>
  </si>
  <si>
    <t>DOE:11.967 DOU: Nº 2</t>
  </si>
  <si>
    <t>07.355.957/0001-08</t>
  </si>
  <si>
    <t>134/2017</t>
  </si>
  <si>
    <t>5000/2017</t>
  </si>
  <si>
    <t>Contratação de Empresa para Execução de Serviços de Ampliação da Unidade de Saúde da Família – USF, na Rodovia AC 40, KM 09, Esquina com o Ramal da Palheira, no Município de Rio Branco – Acre.</t>
  </si>
  <si>
    <t>Alteração da CLÁUSULA QUINTA – DO VALOR DO CONTRATO – EMPENHO E DOTAÇÃO DO VALOR, para realização do reajuste contratual com base no Índice Nacional da Construção Civil – INCC, que perfaz o valor de R$ 53.996,25 (cinquenta e três mil novecentos e noventa e seis reais e vinte e cinco
centavos), devendo o mesmo ser acrescido ao valor do Contrato, conforme cálculos apresentados pela Secretaria Municipal de Obras Públicas, Parecer da Procuradoria Geral do Município e art. 65, inciso II, alínea “d”, da Lei nº. 8.666/93, com amparo legal previsto no Art. 65 §1º da Lei nº 8.666/1993.</t>
  </si>
  <si>
    <t xml:space="preserve">DOU: Nº 43 DOE:12.005    </t>
  </si>
  <si>
    <t xml:space="preserve">7 Lan comercio e serviços ltda </t>
  </si>
  <si>
    <t>BRAGA &amp; BRAGA IMPORTAÇÃO E EXPORTAÇÃO LTDA</t>
  </si>
  <si>
    <t>63.607.790/0001-98</t>
  </si>
  <si>
    <t xml:space="preserve">Manutenção e Suporte Técnico da Rede Metropolitanda Prefeitura Digital </t>
  </si>
  <si>
    <t>Alteração da CLÁUSULA QUARTA - PRAZO DE VIGÊNCIA DO CONTRATO, prorrogando o contrato original por mais 12 (doze) meses.
Fundamentação Legal: Inciso II do Art. 57 da Lei nº. 8.666/93.</t>
  </si>
  <si>
    <t>14171/2017</t>
  </si>
  <si>
    <t>Aquisição de Material de Consumo (Pneus)</t>
  </si>
  <si>
    <t>ÁGUIA AZUL PNEUS LTDA – EPP</t>
  </si>
  <si>
    <t>05.391.917/0001-88</t>
  </si>
  <si>
    <t>9504/2017</t>
  </si>
  <si>
    <t>Aquisição de Material de Médico Hospitalar (Accu-Check, Bateria, Kit Gravidez)</t>
  </si>
  <si>
    <t xml:space="preserve">DOU: Nº 89 DOE:12.049    </t>
  </si>
  <si>
    <t>145/2017</t>
  </si>
  <si>
    <t xml:space="preserve">DOU: Nº 66 DOE:12.027    </t>
  </si>
  <si>
    <t xml:space="preserve">146/2017  </t>
  </si>
  <si>
    <t>16130/2017</t>
  </si>
  <si>
    <t>Contratação de empresa para Prestação de Serviços de Limpeza Administrativa e Limpeza Hospitalar, visando à obtenção de adequadas condições de salubridade e higiene em dependências médico-hospitalares, com a disponibilização de mão-de-obra qualificada, produtos saneantes, materiais e equipamentos para atender as demandas da Secretaria Municipal de Saúde.</t>
  </si>
  <si>
    <t>147/2017</t>
  </si>
  <si>
    <t>Locação de Imóvel para Instalação do Centro de Atenção Psicossocial – CAPS da Secretaria Municipal de Saúde, não podendo ser mudada a sua destinação sem o consentimento expresso da locadora.</t>
  </si>
  <si>
    <t>16293/2017</t>
  </si>
  <si>
    <t>ARRAS ADMINISTRADORA DE BENS IMÓVEIS LIMPEZA E CONSERVAÇÃO LTDA</t>
  </si>
  <si>
    <t>63.600.449/0001-00</t>
  </si>
  <si>
    <t>3969/2017</t>
  </si>
  <si>
    <t>Aquisição de Material de Médico Hospitalar (Seringa de Insulina)</t>
  </si>
  <si>
    <t>461/2016</t>
  </si>
  <si>
    <t>TERMO DE ADESÃO A ATA Nº 461/2016 DO PREGÃO SRP 181/2016 - CPL 04</t>
  </si>
  <si>
    <t>Alteração da Cláusula Quarta - do Prazo de Vigência e Execução do Contrato, prorrogando o contrato original por mais 12 (doze) meses.
Fundamentação Legal: Art. 57, inciso IV da Lei Federal nº. 8.666/93.</t>
  </si>
  <si>
    <t>Alteração da CLÁUSULA OITAVA – DO PREÇO, para realização da repactuação dos valores contratuais com base no Acordo Coletivo de Trabalho 2017, resultando no acréscimo de R$ 1.609,12 (um mil seiscentos e nove reais e doze centavos) ao valor mensal, que passará de R$ 9.380,44 (nove mil trezentos e oitenta reais e quarenta e quatro centavos) para R$ 10.989,56 (dez mil novecentos e oitenta e nove reais e cinquenta e seis centavos), com amparo legal previsto no Art. 65, inciso II, alínea “d”, da Lei nº 8.666/93 e Parecer da
Procuradoria Geral do Município.                                                                                                                                             A presente repactuação tem efeitos financeiros retroativos a 01/01/2017</t>
  </si>
  <si>
    <t>16664/2017</t>
  </si>
  <si>
    <t>Aquisição de Testes de Hemograma com Cessão de Equipamento, para atender as necessidades da SEMSA</t>
  </si>
  <si>
    <t xml:space="preserve">3.3.90.30.00 </t>
  </si>
  <si>
    <t>16665/2017</t>
  </si>
  <si>
    <t>Aquisição de Testes de Coagulograma com Cessão de Equipamento, para atender as necessidades da SEMSA</t>
  </si>
  <si>
    <t>OLIVEIRA &amp; ALVES LTDA</t>
  </si>
  <si>
    <t>03.978.576/0001-16</t>
  </si>
  <si>
    <t xml:space="preserve">DOU: Nº 95 DOE:12.055   </t>
  </si>
  <si>
    <t xml:space="preserve">DOU: Nº 64 DOE:12.025   </t>
  </si>
  <si>
    <t>Alteração da CLÁUSULA TERCEIRA - DO PREÇO E CONDIÇÕES DE PAGAMENTO, para realização da repactuação dos valores contratuais com base no Acordo Coletivo de Trabalho 2017,
resultando no acréscimo de R$ 3.981,20 (três mil novecentos e oitenta e um reais e vinte centavos) ao valor mensal, que passará de R$ 64.237,25 (sessenta e quatro mil duzentos e trinta e sete reais e vinte e cinco centavos) para R$ 68.218,45 (sessenta e oito mil duzentos e dezoito reais e quarenta e cinco centavos), com amparo legal previsto no Art. 65, inciso II, alínea “d”, da Lei nº 8.666/93 e Parecer da Procuradoria Geral do Município.</t>
  </si>
  <si>
    <t xml:space="preserve">Termo de Adesão nº 020/2013 - Pregão Eletrônico nº. 006/2013 </t>
  </si>
  <si>
    <t>7439/2013</t>
  </si>
  <si>
    <t>Inciso X do art. 24 da Lei nº 8.666/93 e suas alterações.</t>
  </si>
  <si>
    <t>7362/2017</t>
  </si>
  <si>
    <t>Aquisição de Água Mineral Natural (em garrafões de 20 litros, em garrafa Pet de 500 ml e Garrafão cilíndrico de capacidade 20 litros), para atender a demanda da Secretaria Municipal de Saúde</t>
  </si>
  <si>
    <t>M. J. SILVA FERNANDES - ME</t>
  </si>
  <si>
    <t>9514/2017</t>
  </si>
  <si>
    <t>LARDEYS CONSTRUTORA E COMÉRCIO LTDA</t>
  </si>
  <si>
    <t xml:space="preserve">03.879.200/0001-54 </t>
  </si>
  <si>
    <t>Contratação de Empresa para Execução de Serviços de Construção de Unidade Básica de Saúde – Porte I, localizada na Rua Francisca Luzia, S/N. Bairro Albert Sampaio, no Município de Rio Branco – Acre.</t>
  </si>
  <si>
    <t>156/2017</t>
  </si>
  <si>
    <t>01 (R P) e 14 (SUS) – Proposta nº 84.317.205000/1150-13.</t>
  </si>
  <si>
    <t>12905/2017</t>
  </si>
  <si>
    <t>Locação de Imóvel para Instalação de Departamentos, para atender o Programa: Equipe Multiprofissional de Atenção Domiciliar – EMAD.</t>
  </si>
  <si>
    <t>157/2017</t>
  </si>
  <si>
    <t>P. H. GOMES BRASIL - ME</t>
  </si>
  <si>
    <t>21.914.919/0001-60</t>
  </si>
  <si>
    <t>Inciso X do art. 24 da Lei nº 8.666/93 e suas alterações</t>
  </si>
  <si>
    <t xml:space="preserve">DOU: Nº 34 DOE: 11.997  </t>
  </si>
  <si>
    <t>18879/2017</t>
  </si>
  <si>
    <t>Aquisição de Material Gráfico, para atender as demandas da Secretaria Municipal de Saúde</t>
  </si>
  <si>
    <t>CIPRIANI &amp; CIPRIANI LTDA - ME</t>
  </si>
  <si>
    <t>01.805.545/0001-38</t>
  </si>
  <si>
    <t>P. L. MARTINI</t>
  </si>
  <si>
    <t>G. S. SILVEIRA - ME</t>
  </si>
  <si>
    <t>84.313.923/0001-93</t>
  </si>
  <si>
    <t>S. L. DE CASTRO - ME</t>
  </si>
  <si>
    <t>08.629.283/0001-47</t>
  </si>
  <si>
    <t>STAR MOTOS LTDA</t>
  </si>
  <si>
    <t>01.444.283/0001-23</t>
  </si>
  <si>
    <t>Alteração da CLÁUSULA SEGUNDA – DO PREÇO E CONDIÇÕES DE PAGAMENTO, para realização do reajuste contratual com base no Índice de Preços do Consumidor – IPC, resultando no acréscimo de R$ 8.717,40 (oito mil setecentos e dezessete reais e quarenta centavos) ao valor mensal, que passará de R$ 196.717,50 (cento e noventa e seis mil setecentos e dezessete reais e cinquenta centavos), para R$ 205.434,90 (duzentos e cinco mil quatrocentos e trinta e quatro reais e noventa centavos), com amparo legal previsto no Art. 65, inciso II, alínea “d”, da Lei nº 8.666/93 e Parecer da Procuradoria Geral do Município.</t>
  </si>
  <si>
    <t xml:space="preserve">DOU: Nº 105 DOE:12.065   </t>
  </si>
  <si>
    <t>130940015/2013</t>
  </si>
  <si>
    <t>Alteração da CLÁUSULA QUARTA - PRAZO DE VIGÊNCIA DO CONTRATO, prorrogando o contrato original por mais 12 (doze) meses, com amparo legal previsto no inciso II do art. 57 da Lei nº. 8.666/93.</t>
  </si>
  <si>
    <t xml:space="preserve">PREGÃO ELETRÔNICO SRP </t>
  </si>
  <si>
    <t>Aquisição de Material Hospitalar Permanente – Através de Emenda Parlamentar</t>
  </si>
  <si>
    <t>01 (RP) e 14 (SUS); Proposta nº84.317.20500/1160-15; Emenda Parlamentar nº30480004.</t>
  </si>
  <si>
    <t>19289/2017</t>
  </si>
  <si>
    <t>Aquisição Material para Suprimento das Necessidades Assistenciais das Equipes de Atenção Básica – Kit Agente de Saúde, para atender as necessidades da SEMSA</t>
  </si>
  <si>
    <t>178/2017</t>
  </si>
  <si>
    <t>9559/2017</t>
  </si>
  <si>
    <t>APURINÃ EIRELI</t>
  </si>
  <si>
    <t>Contratação de Empresa para Execução de Serviços de Construção de Unidade Básica de Saúde – Porte IV, localizada na Rua Vertente, esquina com a Rua do Divisor, S/N, Bairro São Francisco, no Município de Rio Branco – Acre.</t>
  </si>
  <si>
    <t xml:space="preserve">03.200.207/0001-06 </t>
  </si>
  <si>
    <t>01 (RP) e 14 (SUS) – Proposta nº 84.317.205000/1150-10.</t>
  </si>
  <si>
    <t>Regime de empreitada por preço unitário</t>
  </si>
  <si>
    <t>Alteração da CLÁUSULA QUARTA - PRAZO DE VIGÊNCIA DO CONTRATO, prorrogando o contrato original por mais 12 (doze) meses.
Fundamentação Legal: inciso II do art. 57 da Lei Federal nº. 8.666/1993.</t>
  </si>
  <si>
    <t>18890/2017</t>
  </si>
  <si>
    <t>Aquisição de Insumos de Imagem</t>
  </si>
  <si>
    <t>IBF INDÚSTRIA BRASILEIRA DE FILMES S/A</t>
  </si>
  <si>
    <t>33.255.787/0001-91</t>
  </si>
  <si>
    <t>187/2017</t>
  </si>
  <si>
    <t>13107/2017</t>
  </si>
  <si>
    <t>CONSTRUTORA MIRANDA LTDA</t>
  </si>
  <si>
    <t xml:space="preserve">02.562.103/0001-70 </t>
  </si>
  <si>
    <t xml:space="preserve">Contratação de Empresa para Execução de Serviços de Construção do Centro de Apoio ao Diagnóstico – CAD Roney Meireles, localizado na Rua Gavião, Bairro Adalberto Sena, no Município de Rio Branco - Acre.
</t>
  </si>
  <si>
    <t>01 (RP) e 14 (SUS) – Convênio nº 2233/2007</t>
  </si>
  <si>
    <t>DOE:11372</t>
  </si>
  <si>
    <t xml:space="preserve">Alteração da CLÁUSULA QUARTA – DO PRAZO DE VIGÊNCIA, prorrogando o contrato original por mais 12 (doze) meses.
</t>
  </si>
  <si>
    <t xml:space="preserve"> 17/08/2018</t>
  </si>
  <si>
    <t>DOE:12.063DOU: Nº 104</t>
  </si>
  <si>
    <t>DOE:11024</t>
  </si>
  <si>
    <t>18892/2017</t>
  </si>
  <si>
    <t>Aquisição de Material de Consumo e Permanente Hospitalar</t>
  </si>
  <si>
    <t>DENTAL UNIVERSO EIRELI - EPP</t>
  </si>
  <si>
    <t>26.395.502/0001-52</t>
  </si>
  <si>
    <t>JAIRO A. DE MELO - ME</t>
  </si>
  <si>
    <t>A. TOMOKO IWAKURA NASCIMENTO – ME</t>
  </si>
  <si>
    <t>JASIEL ALVES DE MELO - ME</t>
  </si>
  <si>
    <t>05.393.194/0001-56</t>
  </si>
  <si>
    <t>ASSIS FRANCISCO A. LIMA - ME</t>
  </si>
  <si>
    <t>10.170.769/0001-01</t>
  </si>
  <si>
    <t>211/2017</t>
  </si>
  <si>
    <t>213/2017</t>
  </si>
  <si>
    <t>562/2017</t>
  </si>
  <si>
    <t>Contratação de Empresa especializada na execução de serviços de motoboy,para atender as demandas da Secretaria Municipal de Saúde</t>
  </si>
  <si>
    <t xml:space="preserve">18.765.432/0001-59 </t>
  </si>
  <si>
    <t>19178/2017</t>
  </si>
  <si>
    <t>Aquisição de Testes de Urinálise com Cessão de Equipamento, para atender as necessidades da SEMSA</t>
  </si>
  <si>
    <t>18552/2017</t>
  </si>
  <si>
    <t>PREDIAL CONSTRUÇÕES LTDA</t>
  </si>
  <si>
    <t xml:space="preserve">13.676.569/0001-13 </t>
  </si>
  <si>
    <t>Contratação de Empresa para Execução de Serviços de Construção de Unidade Básica de Saúde – Porte I, localizada na Rua Lídia Rodrigues, S/N, Vila Manoel Marques, no Município de Rio Branco – Acre.</t>
  </si>
  <si>
    <t>01 (Recurso Próprio) e 14 (SUS) – Proposta nº 84.317.205000/1150-12.</t>
  </si>
  <si>
    <t>TOK TOK IND. E COM. DE MÓVEIS LTDA</t>
  </si>
  <si>
    <t>84.328.228/0001-03</t>
  </si>
  <si>
    <t>COOPERATIVA DE PRODUÇÃO DOS MOVELEIROS DO ESTADO DO ACRE – COOPERMÓVEIS</t>
  </si>
  <si>
    <t>07.034.359/0001-29</t>
  </si>
  <si>
    <t>DOE:11.987DOU: Nº 24</t>
  </si>
  <si>
    <t>DOE:12.099DOU: Nº 138</t>
  </si>
  <si>
    <t xml:space="preserve"> 01/09/2018</t>
  </si>
  <si>
    <t>Alteração da CLÁUSULA QUINTA – DO VALOR DO CONTRATO – EMPENHO E DOTAÇÃO DO VALOR, acrescendo a importância de R$ 54.242,41 (cinquenta e quatro mil duzentos e quarenta
e dois reais e quarenta e um centavos), e, suprimindo a importância de R$ 5.552,47 (cinco mil quinhentos e cinquenta e dois reais e quarenta e sete centavos), perfazendo a diferença de R$ 48.689,94 (quarenta e oito mil seiscentos e oitenta e nove reais e noventa e quatro centavos) a ser acrescido ao valor contratado, conforme adequação apresentada
através do Ofício nº 1.748/GAB/SEOP.
Fundamentação Legal: Art. 65 §1º da Lei nº 8.666/1993.</t>
  </si>
  <si>
    <t>29344/2017</t>
  </si>
  <si>
    <t>Aquisição de Pomada (Stryphnodendronadstringens (Mart.) Coville extrato seco 50% 60 mg/g-Fitoterápico – Tubo com 20 g)</t>
  </si>
  <si>
    <t>01 (Recurso Próprio); 14 (SUS) e 15 (Convênio Estadual).</t>
  </si>
  <si>
    <t xml:space="preserve">DOU: Nº 164 DOE:12.126   </t>
  </si>
  <si>
    <t>05.392.144/0001-54</t>
  </si>
  <si>
    <t>63.603.997/0001-94</t>
  </si>
  <si>
    <t>22532/2017</t>
  </si>
  <si>
    <t>01 (RP) e 14 (SUS) e 15 (Convênio Estadual).</t>
  </si>
  <si>
    <t>W. I. PHARMA DISTRIBUIDORA LTDA - ME</t>
  </si>
  <si>
    <t>20.893.901/0001-67</t>
  </si>
  <si>
    <t>DISACRE COMERCIO E REPRESENTAÇÃO IMP. E EXP. LTDA</t>
  </si>
  <si>
    <t>PROMEFARMA REPRESENTAÇÕES COMERCIAIS LTDA</t>
  </si>
  <si>
    <t>81.706.251/0001-98</t>
  </si>
  <si>
    <t>RECMED COM. MAT. HOSPITALARES LTDA</t>
  </si>
  <si>
    <t>06.696.359/0001-21</t>
  </si>
  <si>
    <t>RB DISTRIBUIDORA E COM. DE CONSUMO, MEDICAMENTOS E MERC. EM GERAL LTDA</t>
  </si>
  <si>
    <t>07.987.265/0001-74</t>
  </si>
  <si>
    <t>Alteração da CLÁUSULA DÉCIMA SEGUNDA - DA VIGÊNCIA, prorrogando o contrato original por mais 12 (doze) meses, com amparo legal previsto no inciso II do art. 57 da Lei nº. 8.666/93
e suas alterações.</t>
  </si>
  <si>
    <t>Alteração da CLÁUSULA SEXTA – DA VIGÊNCIA DO CONTRATO, prorrogando a vigência do contrato original por mais 6 (seis) meses, conforme justificativa apresentada pela Secretaria Municipal de Obras Públicas, com amparo legal previsto no Art. 57, §1º, inciso
IV da Lei nº 8.666/93.</t>
  </si>
  <si>
    <t xml:space="preserve">Alteração da CLÁUSULA DÉCIMA SEGUNDA - DA VIGÊNCIA, prorrogando o contrato original por mais 12 (doze) meses, com amparo legal previsto no inciso II do art. 57 da Lei nº. 8.666/93
e suas alterações.
</t>
  </si>
  <si>
    <t>29345/2017</t>
  </si>
  <si>
    <t>Aquisição de Protetor Solar</t>
  </si>
  <si>
    <t>28179/2017</t>
  </si>
  <si>
    <t xml:space="preserve">DOU: Nº 168 DOE:12.129   </t>
  </si>
  <si>
    <t xml:space="preserve">DOU: Nº 164 DOE:12.125   </t>
  </si>
  <si>
    <t>Alteração da CLÁUSULA SEXTA – DA VIGÊNCIA DO CONTRATO, prorrogando a vigência contratual e execução dos serviços por mais 90 (noventa) dias, conforme justificativa apresentada pela Secretaria Municipal de Obras Públicas, com amparo legal previsto no Art.
57, §1º, inciso IV da Lei nº 8.666/93.</t>
  </si>
  <si>
    <t xml:space="preserve">DOU: Nº 147 DOE:12.107   </t>
  </si>
  <si>
    <t>Alteração da CLÁUSULA SEXTA – DA VIGÊNCIA DO CONTRATO, prorrogando a vigência contratual e o prazo de execução dos serviços por mais 90 (noventa) dias, conforme justificativa apresentada pela Secretaria Municipal de Obras Públicas, com amparo legal previsto no Art. 57, §1º, inciso VI da Lei nº 8.666/93.</t>
  </si>
  <si>
    <t>AMPLIAÇÃO</t>
  </si>
  <si>
    <t>CENTERMEDI COMÉRCIO DE PRODUTOS HOSPITALARES LTDA</t>
  </si>
  <si>
    <t>03.652.030/0001-70</t>
  </si>
  <si>
    <t>SUPERMÉDICA DISTRIBUIDORA HOSPITALAR EIRELI</t>
  </si>
  <si>
    <t>06.065.614/0001-38</t>
  </si>
  <si>
    <t>ESTAÇÃO DA RECARGA PRODUTOS DE INFORMÁTICA LTDA</t>
  </si>
  <si>
    <t>84.329.531/0001-12</t>
  </si>
  <si>
    <t>36731/2017</t>
  </si>
  <si>
    <t>Aquisição de Gás Liquefeito de Petróleo (GLP) em botijão de 13kg, para atender a Secretaria Municipal de Saúde</t>
  </si>
  <si>
    <t>253/2017</t>
  </si>
  <si>
    <t>254/2017</t>
  </si>
  <si>
    <t>24819/2017</t>
  </si>
  <si>
    <t>Contratação de Empresa para Execução de Serviços de Construção de Unidade Básica de Saúde – Porte I, localizada na Rua Travessa Ginásio Coberto, S/N, Bairro Aeroporto Velho, no Município de Rio Branco – Acre.</t>
  </si>
  <si>
    <t>01 (R P) e 14 (SUS) – Proposta nº 84.317.205000/1160-06</t>
  </si>
  <si>
    <t xml:space="preserve">DOU: Nº 135 DOE:12.096  </t>
  </si>
  <si>
    <t>17900/2017</t>
  </si>
  <si>
    <t>CODIL IMPORTAÇÃO E EXPORTAÇÃO EIRELI - EPP</t>
  </si>
  <si>
    <t>04.010.582/0001-48</t>
  </si>
  <si>
    <t>Aquisição de Insumos Diversos</t>
  </si>
  <si>
    <t>3.3.90.30.00 (Material de Consumo) e 4.4.90.52.00 (Material Permanente)</t>
  </si>
  <si>
    <t>EDIFICARE ENGENHARIA LTDA</t>
  </si>
  <si>
    <t>11.656.910/0001-43</t>
  </si>
  <si>
    <t>K. M. COSTA - ME</t>
  </si>
  <si>
    <t>20.784.174/0001-08</t>
  </si>
  <si>
    <t>MARÇAL E MATOS COMÉRCIO SERVIÇOS E CONSTRUÇÕES LTDA - EPP</t>
  </si>
  <si>
    <t>13.014.103/0001-52</t>
  </si>
  <si>
    <t xml:space="preserve">DOU: Nº 98 DOE:12.058  </t>
  </si>
  <si>
    <t>34428/2017</t>
  </si>
  <si>
    <t>CONVITE</t>
  </si>
  <si>
    <t>Contratação de Empresa para Execução de Serviços de Ampliação da Unidade de Saúde da Família – USF Santa Inês, localizada na Rua Edmundo Pinto, Nº 314, Bairro Santa Inês, no Município de Rio Branco - Acre.</t>
  </si>
  <si>
    <t>Ampliação</t>
  </si>
  <si>
    <t>AMAZÔNIA CONSTRUÇÕES E COMÉRCIO LTDA</t>
  </si>
  <si>
    <t>259/2017</t>
  </si>
  <si>
    <t xml:space="preserve">03.248.765/0001-33 </t>
  </si>
  <si>
    <t>26836/2017</t>
  </si>
  <si>
    <t>4.4.90.52.00 (Material Permanente)</t>
  </si>
  <si>
    <t xml:space="preserve">DOU: Nº 148 DOE:12.109  </t>
  </si>
  <si>
    <t>Alteração da CLÁUSULA TERCEIRA - DO PREÇO, CONDIÇÕES DE PAGAMENTO E REAJUSTE, acrescendo 25% (vinte e cinco por cento) ao item 01 contratado, que perfaz o valor de R$ 9.867,18 (nove mil oitocentos e sessenta e sete reais e dezoito centavos), com amparo legal previsto no §1º do art. 65 da Lei nº 8.666/93.</t>
  </si>
  <si>
    <t>Alteração da CLÁUSULA TERCEIRA - DO PREÇO E CONDIÇÕES DE PAGAMENTO, acrescendo 1,02% (um vírgula zero dois por cento) ao valor originalmente contratado, que perfaz a quantia de R$ 1.425,23 (um mil quatrocentos e vinte e cinco reais e vinte e três reais), referente a inclusão de um Doblô, duas caminhonetes L-200/Triton e uma motocicleta CG 160.
Fundamentação Legal: § 1º do Art. 65 da Lei nº 8.666/93.</t>
  </si>
  <si>
    <t>29370/2017</t>
  </si>
  <si>
    <t>DIMALAB ELETRONICS DO BRASIL EIRELI – EPP</t>
  </si>
  <si>
    <t>02.472.743/0001-90</t>
  </si>
  <si>
    <t>LABMEDIC COMÉRCIO E MANUTENÇÃO DE EQUIPAMENTOS MÉDICOS LTDA - ME</t>
  </si>
  <si>
    <t>21.947.632/0001-37</t>
  </si>
  <si>
    <t>01 (RP) e 14 (SUS); Proposta nº84.317.20500/1160-15; Emenda Parlamentar nº30480004</t>
  </si>
  <si>
    <t xml:space="preserve">DOU: Nº 187 DOE:12.148 </t>
  </si>
  <si>
    <t>27194/2017</t>
  </si>
  <si>
    <t>Aquisição de Testes de Bioquímica e Imunologia com Cessão de Equipamento</t>
  </si>
  <si>
    <t>DOU: Nº 158 DOE:12.119</t>
  </si>
  <si>
    <t>Alteração da CLÁUSULA SEXTA – DA VIGÊNCIA DO CONTRATO, prorrogando o contrato original por mais 6 (seis) meses, com amparo legal previsto no Art. 57, §1º, inciso VI da Lei nº 8.666/1993.</t>
  </si>
  <si>
    <t>43311/2017</t>
  </si>
  <si>
    <t xml:space="preserve">266/2017
</t>
  </si>
  <si>
    <t>Contratação de um profissional da saúde para atuar na definição e diagnóstico da localização geográfica das demandas do Dispositivo Móvel – Consultório na Rua (serviço itinerante para população em situação de Rua) do Município de Rio Branco - Acre.</t>
  </si>
  <si>
    <t>MIRLENE SILVEIRA LIMA</t>
  </si>
  <si>
    <t>002.584.782-17</t>
  </si>
  <si>
    <t>Art. 24, inciso II, da Lei Federal nº 8.666/93.</t>
  </si>
  <si>
    <t>Alteração da CLÁUSULA SEGUNDA – DO PRAZO DE VIGÊNCIA, prorrogando a vigência do contrato por mais 12 (doze) meses, tendo como valor mensal a importância de R$ 6.425,36
(seis mil quatrocentos e vinte e cinco reais e trinta e seis centavos), totalizando o valor global R$ 77.104,32 (setenta e sete mil cento e quatro reais e trinta e dois centavos).</t>
  </si>
  <si>
    <t>Alteração da CLÁUSULA SEGUNDA – DO PRAZO DE VIGÊNCIA, prorrogando a vigência do contrato por mais 12 (doze) meses, tendo como valor mensal a importância de R$ 11.494,23
(onze mil quatrocentos e noventa e quatro reais e vinte e três centavos), totalizando o valor global R$ 137.930,76 (cento e trinta e sete mil novecentos e trinta reais e setenta e seis centavos).</t>
  </si>
  <si>
    <t>Alteração da CLÁUSULA SEGUNDA – DO PRAZO DE VIGÊNCIA, prorrogando a vigência do contrato por mais 12 (doze) meses, tendo como valor mensal a importância de R$ 13.966,38 (treze mil novecentos e sessenta e seis reais e trinta e oito centavos), totalizando o valor global R$ 167.596,56 (cento e sessenta e sete mil quinhentos e noventa e seis reais e cinquenta e seis centavos).</t>
  </si>
  <si>
    <t>Alteração da CLÁUSULA SEGUNDA – DO PRAZO DE VIGÊNCIA, prorrogando a vigência do contrato por mais 12 (doze) meses, tendo como valor mensal a importância de R$ 6.581,01 (seis mil quinhentos e oitenta e um reais e um centavo), totalizando o valor global
R$ 78.972,12 (setenta e oito mil novecentos e setenta e dois reais e doze centavos).</t>
  </si>
  <si>
    <t xml:space="preserve">Alteração da CLÁUSULA SEGUNDA – DO PRAZO DE VIGÊNCIA, prorrogando a vigência do contrato por mais 12 (doze) meses, tendo como valor mensal a importância de R$ 7.114,83
(sete mil cento e quatorze reais e oitenta e três centavos), totalizando o valor global R$ 85.377,96 (oitenta e cinco mil trezentos e setenta e sete reais e noventa e seis centavos). </t>
  </si>
  <si>
    <t>Alteração da CLÁUSULA SEGUNDA – DO PRAZO DE VIGÊNCIA, prorrogando a vigência do contrato por mais 12 (doze) meses, tendo como valor mensal a importância de R$ 5.338,20
(cinco mil trezentos e trinta e oito reais e vinte centavos), totalizando o valor global R$ 64.058,40 (sessenta e quatro mil cinquenta e oito reais e quarenta centavos).</t>
  </si>
  <si>
    <t>Alteração da CLÁUSULA SEGUNDA – DO PRAZO DE VIGÊNCIA, prorrogando a vigência do contrato por mais 12 (doze) meses, tendo como valor mensal que passará a ser R$ 12.512,96 (doze mil quinhentos e doze reais e noventa e seis centavos), totalizando o valor
anual de R$ 150.155,52 (cento e cinquenta mil cento e cinquenta e cinco reais e cinquenta e dois centavos), até o término da vigência contratual.</t>
  </si>
  <si>
    <t>DOE:12.034DOU: Nº 74</t>
  </si>
  <si>
    <t>DOE:12.020DOU: Nº 59</t>
  </si>
  <si>
    <t>DOE:12.059DOU: Nº 152</t>
  </si>
  <si>
    <t xml:space="preserve">DOU: Nº 59 DOE:12.020   </t>
  </si>
  <si>
    <t>DOE:10.994</t>
  </si>
  <si>
    <t>DOE:10.969</t>
  </si>
  <si>
    <t>DOE:11.102</t>
  </si>
  <si>
    <t>DOE:11.211</t>
  </si>
  <si>
    <t>DOE:11.223</t>
  </si>
  <si>
    <t>Alteração da CLÁUSULA QUARTA - PRAZO DE VIGÊNCIA DO CONTRATO, Prorrogando o contrato original por mais 12 (doze) meses.
Fundamentação Legal: inciso II do Art. 57 da Lei nº. 8.666/93.</t>
  </si>
  <si>
    <t>001/2018</t>
  </si>
  <si>
    <t>002/2018</t>
  </si>
  <si>
    <t>003/2018</t>
  </si>
  <si>
    <t>004/2018</t>
  </si>
  <si>
    <t>005/2018</t>
  </si>
  <si>
    <t>006/2018</t>
  </si>
  <si>
    <t>007/2018</t>
  </si>
  <si>
    <t>008/2018</t>
  </si>
  <si>
    <t>009/2018</t>
  </si>
  <si>
    <t>010/2018</t>
  </si>
  <si>
    <t>011/2018</t>
  </si>
  <si>
    <t>012/2018</t>
  </si>
  <si>
    <t>013/2018</t>
  </si>
  <si>
    <t>014/2018</t>
  </si>
  <si>
    <t>015/2018</t>
  </si>
  <si>
    <t>016/2018</t>
  </si>
  <si>
    <t>017/2018</t>
  </si>
  <si>
    <t>018/2018</t>
  </si>
  <si>
    <t>019/2018</t>
  </si>
  <si>
    <t>020/2018</t>
  </si>
  <si>
    <t>35986/2017</t>
  </si>
  <si>
    <t>Contratação de empresa especializada em centrais de atendimento (call-centers) para oferecer prestação de serviço de tele-atendimento na Ouvidoria Municipal de Saúde,para atender as demandas da Secretaria Municipal de Saúde</t>
  </si>
  <si>
    <t>A. S. BASÍLIO - ME</t>
  </si>
  <si>
    <t>3.3.90.39.00 (Outros Serviços de Terceiros – Pessoa Jurídica)</t>
  </si>
  <si>
    <t>01 (Recurso Próprio) e 14 (Repasse SUS).</t>
  </si>
  <si>
    <t>01 (Recurso Próprio) e 14 (SUS).</t>
  </si>
  <si>
    <t>01 (Recurso Próprio)</t>
  </si>
  <si>
    <t>01 (Recurso Próprio) e 14 (SUS) e 15 (Convênio Estadual)</t>
  </si>
  <si>
    <t>01 (Recurso Próprio) e 14 (SUS)</t>
  </si>
  <si>
    <t>021/2018</t>
  </si>
  <si>
    <t>022/2018</t>
  </si>
  <si>
    <t>023/2018</t>
  </si>
  <si>
    <t>024/2018</t>
  </si>
  <si>
    <t>025/2018</t>
  </si>
  <si>
    <t>026/2018</t>
  </si>
  <si>
    <t>027/2018</t>
  </si>
  <si>
    <t>028/2018</t>
  </si>
  <si>
    <t>029/2018</t>
  </si>
  <si>
    <t>030/2018</t>
  </si>
  <si>
    <t>031/2018</t>
  </si>
  <si>
    <t>032/2018</t>
  </si>
  <si>
    <t>033/2018</t>
  </si>
  <si>
    <t>034/2018</t>
  </si>
  <si>
    <t>035/2018</t>
  </si>
  <si>
    <t>036/2018</t>
  </si>
  <si>
    <t>037/2018</t>
  </si>
  <si>
    <t>038/2018</t>
  </si>
  <si>
    <t xml:space="preserve">DOU: Nº 204 DOE:12.166 </t>
  </si>
  <si>
    <t>37307/2017</t>
  </si>
  <si>
    <t>Contratação de Empresa de Engenharia para Execução de Serviços de Construção do Centro de Atendimento ao Autista, localizada na Rua São Lázaro, Conjunto Tangará, Bairro Estação Experimental, no Município de Rio Branco - Acre.</t>
  </si>
  <si>
    <t>IMPERIAL COMÉRCIO E CONSTRUÇÃO EIRELI - ME</t>
  </si>
  <si>
    <t xml:space="preserve">20.238.239/0001-01 </t>
  </si>
  <si>
    <t>01 (Recurso Próprio) e 06 (Convênio Federal) – Contrato de Repasse nº 389.578-97/2012/MS/CAIXA – SICONV 772012/2012.</t>
  </si>
  <si>
    <t>26333/2017</t>
  </si>
  <si>
    <t>Aquisição de Material de Consumo Hospitalar e Laboratorial e Cessão de Equipamentos, para atender o CAD – Centro de Apoio e Diagnóstico, para atender as necessidades da SEMSA</t>
  </si>
  <si>
    <t>26329/2017</t>
  </si>
  <si>
    <t>Aquisição de Consumo Hospitalar e Laboratorial, para atender o Centro de Apoio e Diagnóstico – CAD</t>
  </si>
  <si>
    <t>DOE:12.106DOU: Nº 145</t>
  </si>
  <si>
    <t>DOU: Nº 141 DOE:12.117</t>
  </si>
  <si>
    <t>Alteração da CLÁUSULA QUARTA - PRAZO DE VIGÊNCIA DO REGISTRO DE PREÇOS E DO CONTRATO, prorrogando o contrato original por mais 6 (seis) meses, com amparo legal previsto no inciso II do art. 57 da Lei nº 8.666/93.</t>
  </si>
  <si>
    <t>Alteração da CLÁUSULA QUARTA - PRAZO DE VIGÊNCIA DO CONTRATO, prorrogando o contrato original por mais 6 (seis) meses, com amparo legal previsto no inciso II do Art. 57 da Lei nº 8.666/93.</t>
  </si>
  <si>
    <t>Alteração da CLÁUSULA QUARTA - PRAZO DE VIGÊNCIA DO CONTRATO, prorrogando o contrato original por mais 6 (seis) meses, com amparo legal previsto no inciso II do art. 57 da Lei nº 8.666/93.</t>
  </si>
  <si>
    <t>01 (Recurso Próprio) e14 (SUS)</t>
  </si>
  <si>
    <t>039/2018</t>
  </si>
  <si>
    <t>J. A. DA SILVA WALTER - ME</t>
  </si>
  <si>
    <t>07.941.947/0001-46</t>
  </si>
  <si>
    <t>040/2018</t>
  </si>
  <si>
    <t>041/2018</t>
  </si>
  <si>
    <t>35046/2017</t>
  </si>
  <si>
    <t>042/2018</t>
  </si>
  <si>
    <t>Aquisição de Material de Consumo (Fardamentos e Acessórios)</t>
  </si>
  <si>
    <t>043/2018</t>
  </si>
  <si>
    <t>MASTER UNIFORMES E BRINDES INDÚSTRIA E COMÉRCIO LTDA</t>
  </si>
  <si>
    <t>26.583.427/0001-45</t>
  </si>
  <si>
    <t>DOE:12.179DOU: Nº 217</t>
  </si>
  <si>
    <t>044/2018</t>
  </si>
  <si>
    <t>1 (Recurso Próprio) e 14 (SUS)</t>
  </si>
  <si>
    <t>045/2018</t>
  </si>
  <si>
    <t>01 (Recurso Próprio) e 14 (SUS) – Conta Financeira: 2111602314.</t>
  </si>
  <si>
    <t>046/2018</t>
  </si>
  <si>
    <t>41953/2017</t>
  </si>
  <si>
    <t>047/2018</t>
  </si>
  <si>
    <t>048/2018</t>
  </si>
  <si>
    <t>049/2018</t>
  </si>
  <si>
    <t>050/2018</t>
  </si>
  <si>
    <t xml:space="preserve">DOU: Nº 172 DOE:12.134    </t>
  </si>
  <si>
    <t xml:space="preserve">DOU: Nº 184 DOE:12.190    </t>
  </si>
  <si>
    <t>001-A/2018</t>
  </si>
  <si>
    <t>34337/2017</t>
  </si>
  <si>
    <t>Contratação de empresa especializada na prestação de serviços de manutenção preventiva e corretiva de veículos tipo motocicleta</t>
  </si>
  <si>
    <t xml:space="preserve">DOU: Nº 189 DOE:12.150 </t>
  </si>
  <si>
    <t>Alteração da CLÁUSULA QUARTA - PRAZO DE VIGÊNCIA DO CONTRATO, prorrogando o contrato original por mais 6 (seis) meses.
Fundamentação Legal: inciso II do Art. 57 da Lei nº. 8.666/93.</t>
  </si>
  <si>
    <t xml:space="preserve"> 04/08/2018</t>
  </si>
  <si>
    <t>VALOR/PRAZO</t>
  </si>
  <si>
    <t>Alteração das CLÁUSULAS TERCEIRA E QUARTA, suprimindo a importância de R$ 724.849,02 (setecentos e vinte e quatro mil oitocentos e quarenta e nove reais e dois centavos); e reduzindo a vigência contratual de 12 (doze) meses para 5 (cinco) meses.
Fundamentação Legal: Art. 65 §1º e §2º inciso II da Lei nº 8.666/93.</t>
  </si>
  <si>
    <t>Alteração da CLÁUSULA QUARTA – DO PRAZO DE VIGÊNCIA DO CONTRATO, prorrogando o contrato original por mais 6 (seis) meses, com amparo legal previsto no inciso II do art. 57 da Lei nº 8.666/93.</t>
  </si>
  <si>
    <t>051/2018</t>
  </si>
  <si>
    <t xml:space="preserve">052/2018
</t>
  </si>
  <si>
    <t xml:space="preserve">DOU: Nº 217 DOE:12.179 </t>
  </si>
  <si>
    <t>34335/2017</t>
  </si>
  <si>
    <t>Contratação de Empresa Especializada na locação de impressoras jato de tinta com sistema bulk ink</t>
  </si>
  <si>
    <t>053/2018</t>
  </si>
  <si>
    <t>054/2018</t>
  </si>
  <si>
    <t>001-B/2018</t>
  </si>
  <si>
    <t>37766/2017</t>
  </si>
  <si>
    <t>Contratação de empresa para realização de serviços de manutenção preventiva e corretiva, com fornecimento de peças, dos equipamentos odontológicos que constituem o patrimônio da Secretaria Municipal de Saúde.</t>
  </si>
  <si>
    <t>MASTER COMÉRCIO SERVIÇOS EIRELI</t>
  </si>
  <si>
    <t>1 (Recurso Próprio)</t>
  </si>
  <si>
    <t xml:space="preserve"> TERMO DE ADESÃO À ATA DE REGISTRO DE PREÇOS Nº 001/2017, decorrente do PREGÃO SRP Nº 643/2016 – CPL 04</t>
  </si>
  <si>
    <t xml:space="preserve">DOU: Nº 208 DOE:12.170 </t>
  </si>
  <si>
    <t xml:space="preserve">DOU: Nº 106 DOE:12.167   </t>
  </si>
  <si>
    <t>DOE: 11.934  DOU: 171</t>
  </si>
  <si>
    <t>055/2018</t>
  </si>
  <si>
    <t>38184/2017</t>
  </si>
  <si>
    <t>Contratação de Empresa Especializada na Prestação de Serviços de Borracharia</t>
  </si>
  <si>
    <t>M &amp; OLIVEIRA DE PNEUS AUTOMOTIVOS E LUBRIFICANTES LTDA</t>
  </si>
  <si>
    <t>07.263.826/0002-73</t>
  </si>
  <si>
    <t>056/2018</t>
  </si>
  <si>
    <t>28006/2017</t>
  </si>
  <si>
    <t>N. W. CONSTRUÇÕES E COMÉRCIO VITÓRIA LTDA</t>
  </si>
  <si>
    <t xml:space="preserve">23.256.272/0001-52 </t>
  </si>
  <si>
    <t>Contratação de Empresa para Execução de Serviços de Ampliação da Unidade de Saúde da Família – USF Vila da Amizade, localizada na Rua Monte Sinai, Nº 324, Santa Helena, no Município de Rio Branco - Acre.</t>
  </si>
  <si>
    <t>Alteração prorrogando a vigência do contrato original por mais 120 (cento e vinte) dias, e prorrogando o prazo de execução dos serviços por mais 90 (noventa) dias, conforme justificativa apresentada pela Secretaria Municipal de Obras Públicas.                                                                                    Fundamentação Legal: Art. 57, §1º, inciso VI da Lei nº 8.666/93.</t>
  </si>
  <si>
    <t>Alteração prorrogando a vigência do contrato original por mais 120 (cento e vinte) dias, e prorrogando o prazo de execução dos serviços por mais 90 (noventa) dias, conforme justificativa apresentada pela Secretaria Municipal de Obras Públicas.
Fundamentação Legal: Art. 57, §1º, inciso VI da Lei nº 8.666/93.</t>
  </si>
  <si>
    <t>Alteração da CLÁUSULA SEXTA – DA VIGÊNCIA DO CONTRATO, prorrogando a vigência do contrato original por mais 210 (duzentos e dez) dias, e prorrogando o prazo de execução dos serviços por mais 150 (cento e cinquenta) dias, conforme justificativa
apresentada pela Secretaria Municipal de Obras Públicas, com amparo legal previsto no Art. 57, §1º, inciso VI da Lei nº 8.666/93.</t>
  </si>
  <si>
    <t>Alteração da CLÁUSULA SEXTA – DA VIGÊNCIA DO CONTRATO, prorrogando o prazo de execução dos serviços por mais 90 (noventa) dias, conforme justificativa apresentada pela Secretaria Municipal de Obras Públicas.
Fundamentação Legal: Art. 57, §1º, inciso VI da Lei nº 8.666/93.</t>
  </si>
  <si>
    <t>057/2018</t>
  </si>
  <si>
    <t>44188/2017</t>
  </si>
  <si>
    <t>Contratação de empresa especializada em lavagem de automóveis e outros serviços com fornecimentos de materiais, equipamentos, pessoais e instalações próprias</t>
  </si>
  <si>
    <t>AMAZONAS COMÉRCIO, SERVIÇOS E REPRESENTAÇÕES LTDA</t>
  </si>
  <si>
    <t>08.580.940/0001-09</t>
  </si>
  <si>
    <t>6591/2018</t>
  </si>
  <si>
    <t>M &amp; R DISTRIBUIDORA LTDA - ME</t>
  </si>
  <si>
    <t>Aquisição de Kits de Limpeza, visando atender as necessidades da Secretaria Municipal de Saúde</t>
  </si>
  <si>
    <t>058/2018</t>
  </si>
  <si>
    <t>059/2018</t>
  </si>
  <si>
    <t>01 (RP) e 14 (SUS) – Portaria nº 323/2016; Conta Financeira nº 2211602365.</t>
  </si>
  <si>
    <t>060/2018</t>
  </si>
  <si>
    <t>01 (RP) e 14 (SUS) – Conta Financeira nº 2112602110.</t>
  </si>
  <si>
    <t>061/2018</t>
  </si>
  <si>
    <t>928/2018</t>
  </si>
  <si>
    <t>Contratação de Serviços de Reprografia (cópias simples, cópia colorida, carimbo e refil para carimbo e outros), para atender as demandas da Secretaria Municipal de Saúde</t>
  </si>
  <si>
    <t>062/2018</t>
  </si>
  <si>
    <t>01 (RP) e14 (SUS)</t>
  </si>
  <si>
    <t>063/2018</t>
  </si>
  <si>
    <t>064/2018</t>
  </si>
  <si>
    <t>065/2018</t>
  </si>
  <si>
    <t>066/2018</t>
  </si>
  <si>
    <t>067/2018</t>
  </si>
  <si>
    <t>068/2018</t>
  </si>
  <si>
    <t>069/2018</t>
  </si>
  <si>
    <t>070/2018</t>
  </si>
  <si>
    <t>071/2018</t>
  </si>
  <si>
    <t>072/2018</t>
  </si>
  <si>
    <t>073/2018</t>
  </si>
  <si>
    <t>074/2018</t>
  </si>
  <si>
    <t>Alteração da CLÁUSULA QUARTA - PRAZO DE VIGÊNCIA DO CONTRATO, prorrogando o contrato original por mais 6 (seis) meses, com amparo legal previsto no inciso II do art. 57 da Lei
nº 8.666/93.</t>
  </si>
  <si>
    <t>XI</t>
  </si>
  <si>
    <t>Alteração da CLÁUSULA SEXTA – DA VIGÊNCIA DO CONTRATO, prorrogando a vigência do contrato original por mais 120 (cento e vinte) dias, e prorrogando o prazo de execução dos serviços por mais 90 (noventa) dias, conforme justificativa apresentada pela Secretaria Municipal de Obras Públicas.
Fundamentação Legal: Art. 57, §1º, inciso VI da Lei nº 8.666/93.</t>
  </si>
  <si>
    <t>XII</t>
  </si>
  <si>
    <t>Alteração da CLÁUSULA QUINTA – DO VALOR DO CONTRATO – EMPENHO E DOTAÇÃO DO VALOR, acrescendo a importância de R$ 118.124,36 (cento e dezoito mil cento e vinte e quatro reais e trinta e seis centavos), conforme adequação apresentada através do Ofício nº 321/2018/GAB/SEOP.
Fundamentação Legal: Art. Art. 65 §1º da Lei nº 8.666/1993.</t>
  </si>
  <si>
    <t xml:space="preserve"> Inciso IV do art. 24 da Lei nº
8.666/93 e suas alterações.</t>
  </si>
  <si>
    <t>Alteração da CLÁUSULA QUARTA - PRAZO DE VIGÊNCIA DO CONTRATO, prorrogando o contrato original por mais 6 (seis) meses, com amparo legal previsto no inciso II do art. 57 da Lei
nº. 8.666/93.</t>
  </si>
  <si>
    <t>075/2018</t>
  </si>
  <si>
    <t>INEXIGIBILIDADE DE LICITAÇÃO</t>
  </si>
  <si>
    <t>3633/2018</t>
  </si>
  <si>
    <t>TERMO DE ADESÃO nº 004/2016 - Pregão SRP nº 018/2016</t>
  </si>
  <si>
    <t>076/2018</t>
  </si>
  <si>
    <t>077/2018</t>
  </si>
  <si>
    <t>078/2018</t>
  </si>
  <si>
    <t>079/2018</t>
  </si>
  <si>
    <t>080/2018</t>
  </si>
  <si>
    <t>081/2018</t>
  </si>
  <si>
    <t>082/2018</t>
  </si>
  <si>
    <t>083/2018</t>
  </si>
  <si>
    <t>084/2018</t>
  </si>
  <si>
    <t>085/2018</t>
  </si>
  <si>
    <t>086/2018</t>
  </si>
  <si>
    <t>088/2018</t>
  </si>
  <si>
    <t xml:space="preserve">DOU: Nº 208 DOE:12.170  </t>
  </si>
  <si>
    <t xml:space="preserve">DOU: Nº 148 DOE:12.216  </t>
  </si>
  <si>
    <t xml:space="preserve">DOU: Nº 135 DOE:12.096 </t>
  </si>
  <si>
    <t xml:space="preserve">DOU: Nº 17 DOE:12.226    </t>
  </si>
  <si>
    <t>057-A/2018</t>
  </si>
  <si>
    <t>14.288.275/0001-87</t>
  </si>
  <si>
    <t>Alteração da CLÁUSULA SEGUNDA – DO PREÇO E CONDIÇÕES DE PAGAMENTO, para realização da repactuação contratual com base no Acordo Coletiva de Trabalho 2017/2018, resultando no acréscimo de R$ 4.766,71 (quatro mil setecentos e sessenta e seis reais e setenta e um centavos) ao valor mensal, que passará de R$ 89.171,51 (oitenta e nove mil cento e setenta e um reais e cinquenta e um centavos) para R$ 93.698,22 (noventa e três mil seiscentos e noventa e oito reais e vinte e dois centavos).
Fundamentação Legal: Art. 65, inciso II, alínea “d”, da Lei nº 8.666/93 e Parecer da Procuradoria Geral do Município.</t>
  </si>
  <si>
    <t>087/2018</t>
  </si>
  <si>
    <t>Aquisição de Material Gráfico, para atender as demandas da Secretaria Municipal de Saúd</t>
  </si>
  <si>
    <t>01 (RP) e 14 (SUS) – Conta Financeira nº 2112602241</t>
  </si>
  <si>
    <t>089/2018</t>
  </si>
  <si>
    <t>090/2018</t>
  </si>
  <si>
    <t>01 (Recurso Próprio) e 14 (SUS) – Conta Financeira nº 2112602241.</t>
  </si>
  <si>
    <t>091/2018</t>
  </si>
  <si>
    <t>7753/2018</t>
  </si>
  <si>
    <t>JOSENILSON MAIA DE LIMA - ME</t>
  </si>
  <si>
    <t xml:space="preserve">05.729.287/0001-09 </t>
  </si>
  <si>
    <t>Contratação de Empresa para Prestação de Serviços de Locação de Barcos</t>
  </si>
  <si>
    <t>01 (RP), 07 (Convênio Estadual) e 14 (SUS).</t>
  </si>
  <si>
    <t>092/2018</t>
  </si>
  <si>
    <t>093/2018</t>
  </si>
  <si>
    <t>094/2018</t>
  </si>
  <si>
    <t>095/2018</t>
  </si>
  <si>
    <t>096/2018</t>
  </si>
  <si>
    <t>097/2018</t>
  </si>
  <si>
    <t>098/2018</t>
  </si>
  <si>
    <t>099/2018</t>
  </si>
  <si>
    <t>100/2018</t>
  </si>
  <si>
    <t>101/2018</t>
  </si>
  <si>
    <t>102/2018</t>
  </si>
  <si>
    <t>103/2018</t>
  </si>
  <si>
    <t>36812/2017</t>
  </si>
  <si>
    <t>071/2017</t>
  </si>
  <si>
    <t>Contratação de empresa especializada para prestação de serviços de agenciamento de viagens, bilhetes de passagens aéreas em território nacional</t>
  </si>
  <si>
    <t>M. A. VIAGENS E TURISMO LTDA - EPP</t>
  </si>
  <si>
    <t>05.543.356/0001-95</t>
  </si>
  <si>
    <t>14 (SUS).</t>
  </si>
  <si>
    <t>3.3.90.33.00 (Passagens e despesas com locomoção)</t>
  </si>
  <si>
    <t>104/2018</t>
  </si>
  <si>
    <t>105/2018</t>
  </si>
  <si>
    <t>106/2018</t>
  </si>
  <si>
    <t>45425/2017</t>
  </si>
  <si>
    <t xml:space="preserve">PREGÃO ELETRÔNICO </t>
  </si>
  <si>
    <t>Aquisição de Permanente Geral do CAD – Através de Emenda Parlamentar</t>
  </si>
  <si>
    <t>V. S. DOS SANTOS LIVRARIA E PAPELARIA - ME</t>
  </si>
  <si>
    <t>05.255.167/0001-17</t>
  </si>
  <si>
    <t>107/2018</t>
  </si>
  <si>
    <t>8560/2018</t>
  </si>
  <si>
    <t>108/2018</t>
  </si>
  <si>
    <t>109/2018</t>
  </si>
  <si>
    <t>110/2018</t>
  </si>
  <si>
    <t>111/2018</t>
  </si>
  <si>
    <t>050 e 054/2017</t>
  </si>
  <si>
    <t xml:space="preserve">DOU: Nº 204 DOE:12.166   </t>
  </si>
  <si>
    <t xml:space="preserve">DOU: Nº 11 DOE:12.221    </t>
  </si>
  <si>
    <t xml:space="preserve">DOU: Nº 43 DOE:12.253  </t>
  </si>
  <si>
    <t>Alteração da CLÁUSULA QUARTA - PRAZO DE VIGÊNCIA DO CONTRATO, prorrogando o contrato original por mais 6 (seis) meses.
Fundamentação Legal: Inciso II do Art. 57 da Lei nº. 8.666/93</t>
  </si>
  <si>
    <t>Alteração da CLÁUSULA QUARTA - PRAZO DE VIGÊNCIA DO CONTRATO, prorrogando o contrato original por mais 6 (seis) meses, com amparo legal previsto no inciso II do art. 57 da Lei nº. 8.666/93.</t>
  </si>
  <si>
    <t>Alteração da CLÁUSULA DÉCIMA SEGUNDA - DA VIGÊNCIA, prorrogando o contrato original por mais 6 (seis) meses, com amparo legal previsto no Art. 57, inciso II da Lei Federal nº. 8.666/93.</t>
  </si>
  <si>
    <t>Alteração da CLÁUSULA SEXTA – DA VIGÊNCIA DO CONTRATO, prorrogando a vigência do contrato original por mais 90 (noventa) dias, e prorrogando o prazo de execução dos serviços por mais 60 (sessenta)  dias, conforme justificativa apresentada pela Secretaria
Municipal de Obras Públicas.
Fundamentação Legal: Art. 57, §1º, inciso II da Lei nº 8.666/93.</t>
  </si>
  <si>
    <t>Alteração da CLÁUSULA TERCEIRA, prorrogando o contrato original por mais 6 (seis) meses, em caráter excepcional, com amparo legal previsto no Art. 57, §4º da Lei Federal nº. 8.666/93.</t>
  </si>
  <si>
    <t>Alteração da CLÁUSULA SEXTA – DA VIGÊNCIA DO CONTRATO, prorrogando a vigência contratual e o prazo de execução dos serviços por mais 90 (noventa) dias, conforme justificativa apresentada pela Secretaria Municipal de Obras Públicas, com amparo
legal previsto no Art. 57, §1º, inciso I e VI da Lei nº 8.666/93.</t>
  </si>
  <si>
    <t>112/2018</t>
  </si>
  <si>
    <t>113/2018</t>
  </si>
  <si>
    <t>114/2018</t>
  </si>
  <si>
    <t>115/2018</t>
  </si>
  <si>
    <t>116/2018</t>
  </si>
  <si>
    <t>117/2018</t>
  </si>
  <si>
    <t>Alteração da CLÁUSULA SEXTA – DA VIGÊNCIA DO CONTRATO, prorrogando a vigência contratual por mais 90 (noventa) dias, conforme justificativa apresentada pela Secretaria Municipal de Obras Públicas, com amparo legal previsto no Art. 57, §1º, inciso VI da
Lei nº 8.666/93.</t>
  </si>
  <si>
    <t>118/2018</t>
  </si>
  <si>
    <t>43150/2017</t>
  </si>
  <si>
    <t>3.3.90.30.00 e 4.4.90.52.00</t>
  </si>
  <si>
    <t>119/2018</t>
  </si>
  <si>
    <t>DOE:12.211DOU: Nº 249</t>
  </si>
  <si>
    <t>120/2018</t>
  </si>
  <si>
    <t>121/2018</t>
  </si>
  <si>
    <t>123/2018</t>
  </si>
  <si>
    <t>11093/2018</t>
  </si>
  <si>
    <t>LIFE TECHNOLOGIES BRASIL COMÉRCIO E INDÚSTRIA DE PRODUTOS PARA BIOTECNOLOGIA LTDA</t>
  </si>
  <si>
    <t>63.067.904/0005-88</t>
  </si>
  <si>
    <t>Aquisição de Kit de Calibração, para atender as demandas da Secretaria Municipal de Saúde, conforme especificações contidas no Processo nº 11093/2018.</t>
  </si>
  <si>
    <t>14 (SUS) – Conta Financeira nº 2112602277.</t>
  </si>
  <si>
    <t>122/2018</t>
  </si>
  <si>
    <t>124/2018</t>
  </si>
  <si>
    <t>11678/2018</t>
  </si>
  <si>
    <t>LOACRE – LOCAÇÃO E COMÉRCIO DE MAQUINAS E EQUIPAMENTOS PARA CONSTRUÇÃO LTDA - EPP</t>
  </si>
  <si>
    <t xml:space="preserve">03.520.514/0001-66 </t>
  </si>
  <si>
    <t>Contratação de empresa para prestação de serviços de locação de veículo de apoio, tipo passeio, com condutor, para atender as demandas da Secretaria Municipal de Saúde, conforme o disposto no Termo de Referência - Anexo I, do Edital do Pregão Presencial para Registro de Preços nº. 053/2017 - CPL 01, constante do processo administrativo n. 11678/2018</t>
  </si>
  <si>
    <t>Departamento de Estradas de Rodagem, Infraestrutura Hidroviária e Aeroportuária
do Acre – DERACRE,</t>
  </si>
  <si>
    <t>125/2018</t>
  </si>
  <si>
    <t>13652/2018</t>
  </si>
  <si>
    <t>Aplicação de Película Fumê/Jateado, visando atender as necessidades da Secretaria Municipal de Saúde, conforme Processo n° 13652/2018.</t>
  </si>
  <si>
    <t>AC DISTRIBUIDORA IMPORTAÇÃO E EXPORTAÇÃO EIRELI</t>
  </si>
  <si>
    <t>2196/2018</t>
  </si>
  <si>
    <t>126/2018</t>
  </si>
  <si>
    <t>Contratação de Empresa Especializada em Fornecimento de Combustível (Diesel S10 e Gasolina), conforme especificações contidas no Termo de Referência Anexo I do Edital.</t>
  </si>
  <si>
    <t>TERMO DE RESCISÃO</t>
  </si>
  <si>
    <t>Fica RESCINDIDO DE FORMA UNILATERAL a partir desta data o Contrato nº. 003/2018, firmado em 03/01/2018, cuja finalidade era Aquisição de Produto de Uso Veterinário, para atender o Departamento de Controle de Zoonoses no Município de Rio Branco - Acre.
A presente rescisão encontra-se motivada no Despacho da Assessoria Jurídica do Fundo Municipal de Saúde.</t>
  </si>
  <si>
    <t>DOE:12.023</t>
  </si>
  <si>
    <t>DOE:12.239DOU: Nº 29</t>
  </si>
  <si>
    <t>Alteração da CLÁUSULA QUARTA – DO PRAZO DE VIGÊNCIA DO CONTRATO, prorrogando o contrato original por mais 6 (seis) meses, com amparo legal previsto no inciso II do art. 57 da Lei nº. 8.666/93.</t>
  </si>
  <si>
    <t>01 (Recurso Próprio) e 14 (SUS) .</t>
  </si>
  <si>
    <t>Alteração da CLÁUSULA QUARTA - PRAZO DE VIGÊNCIA DO CONTRATO, prorrogando o contrato original por mais 6 (seis) meses.
Fundamentação Legal: Art. 57, inciso II da Lei Federal nº. 8.666/93.</t>
  </si>
  <si>
    <t>Alteração da CLÁUSULA QUINTA – DO VALOR DO CONTRATO – EMPENHO E DOTAÇÃO DO VALOR, acrescendo a importância de R$ 35.221,77 (trinta e cinco mil duzentos e vinte e um reais e setenta e sete centavos), e, suprimindo a importância de R$ 581,78 (quinhentos e oitenta e um reais e setenta e oito centavos), perfazendo a diferença de R$ 34.639,99 (trinta e quatro mil seiscentos e trinta e nove reais e noventa e nove centavos) a ser acrescido do valor contratado, conforme adequação apresentada através do Ofício nº 1.551/GAB/SEOP/SEMSA Fundamentação Legal: Art. 65 §1º da Lei nº 8.666/1993.</t>
  </si>
  <si>
    <t>127/2018</t>
  </si>
  <si>
    <t>9859/2018</t>
  </si>
  <si>
    <t>W. L. ISRAEL - ME</t>
  </si>
  <si>
    <t>27.582.639/0001-89</t>
  </si>
  <si>
    <t>Contratação de Pessoa Jurídica para Prestação de Serviços de Transporte, Veículo Tipo Pick-Up (com condutor), para atender a demandas da Secretaria Municipal de Saúde</t>
  </si>
  <si>
    <t>01 (Recursos Próprios) e 14 (SUS).</t>
  </si>
  <si>
    <t>128/2018</t>
  </si>
  <si>
    <t>1076/2018</t>
  </si>
  <si>
    <t>E. J. ENGENHARIA LTDA - ME</t>
  </si>
  <si>
    <t>11.621.292/0001-04</t>
  </si>
  <si>
    <t>Aquisição de Material de Expediente (Escritório)</t>
  </si>
  <si>
    <t>1 (Recurso Próprio) e 14 (SUS).</t>
  </si>
  <si>
    <t>DOU:59  DOE:12.268</t>
  </si>
  <si>
    <t>DOU:17 DOE:12.226</t>
  </si>
  <si>
    <t>129/2018</t>
  </si>
  <si>
    <t>37706/2017</t>
  </si>
  <si>
    <t>077/2017</t>
  </si>
  <si>
    <t>Aquisição de Material de Consumo e Permanente Odontológico, para atender as necessidades da Secretaria Municipal de Saúde – SEMSA</t>
  </si>
  <si>
    <t>130/2018</t>
  </si>
  <si>
    <t>131/2018</t>
  </si>
  <si>
    <t>132/2018</t>
  </si>
  <si>
    <t>DENTAL MED SUL ARTIGOS ODONTOLÓGICOS LTDA</t>
  </si>
  <si>
    <t>02.477.571/0001-47</t>
  </si>
  <si>
    <t>133/2018</t>
  </si>
  <si>
    <t>134/2018</t>
  </si>
  <si>
    <t>135/2018</t>
  </si>
  <si>
    <t>136/2018</t>
  </si>
  <si>
    <t>3.3.90.30.00 (Material de Consumo); 44.90.52.00 (Material Permanente)</t>
  </si>
  <si>
    <t>: 01 (Recurso Próprio) e 14 (SUS).</t>
  </si>
  <si>
    <t>137/2018</t>
  </si>
  <si>
    <t>138/2018</t>
  </si>
  <si>
    <t>139/2018</t>
  </si>
  <si>
    <t>140/2018</t>
  </si>
  <si>
    <t>DOU: 209 DOE:12.171</t>
  </si>
  <si>
    <t xml:space="preserve">DOU: Nº 104 DOE:12.064    </t>
  </si>
  <si>
    <t xml:space="preserve">DOU: Nº 191 DOE:12.069   </t>
  </si>
  <si>
    <t>Art. 24, Inciso II da Lei nº 8.666/93.</t>
  </si>
  <si>
    <t>141/2018</t>
  </si>
  <si>
    <t>142/2018</t>
  </si>
  <si>
    <t>10738/2018</t>
  </si>
  <si>
    <t>CENTERDATA ANÁLISE DE SISTEMAS E SERVIÇOS LTDA</t>
  </si>
  <si>
    <t>02.596.872/0001-90</t>
  </si>
  <si>
    <t>Aquisição de Material Permanente de Informática, para atender as necessidades da Secretaria Municipal de Saúde</t>
  </si>
  <si>
    <t>Alteração da CLÁUSULA SEXTA – DA VIGÊNCIA DO CONTRATO, prorrogando a vigência do contrato original por mais 210 (duzentos e dez) dias, e prorrogando o prazo de execução dos serviços por mais 180 (cento e oitenta) dias, conforme justificativa apresentada pela Secretaria Municipal de Obras Públicas
Fundamentação Legal: Art. 57, §1º, inciso I da Lei nº 8.666/93.</t>
  </si>
  <si>
    <t xml:space="preserve"> DOE:12.268   </t>
  </si>
  <si>
    <t>CANCELADO</t>
  </si>
  <si>
    <t>PRESTAÇÃO DE CONTAS MENSAL - EXERCÍCIO 2018</t>
  </si>
  <si>
    <t xml:space="preserve"> Alteração da CLÁUSULA QUINTA – DO VALOR DO CONTRATO – EMPENHO E DOTAÇÃO DO VALOR, para realização do 2º reajuste contratual com base no Índice Nacional da Construção Civil – INCC, que perfaz o valor de R$ 8.627,70 (oito mil seiscentos e vinte e sete reais e setenta centavos), devendo o mesmo ser acrescido ao valor contratado, conforme cálculos apresentados pela Secretaria Municipal de Obras Públicas, Parecer da Procuradoria Geral do Município e Art. 65, inciso II, alínea “d”, da Lei nº. 8.666/93.</t>
  </si>
  <si>
    <t>01(RP)</t>
  </si>
  <si>
    <t>143/2018</t>
  </si>
  <si>
    <t>01 (Recurso Próprio) e 14 (SUS) e 15 (Convênio Estadual).</t>
  </si>
  <si>
    <t>144/2018</t>
  </si>
  <si>
    <t>3.3.90.30.00 (Material de Consumo);</t>
  </si>
  <si>
    <t>145/2018</t>
  </si>
  <si>
    <t>146/2018</t>
  </si>
  <si>
    <t>942/2018</t>
  </si>
  <si>
    <t>Aquisição de Material Permanente, para atender a demanda da SEMSA, no Município de Rio Branco - AC</t>
  </si>
  <si>
    <t>147/2018</t>
  </si>
  <si>
    <t>ACRE JET INFOMÁTICA LTDA</t>
  </si>
  <si>
    <t>06.082.078/0001-89</t>
  </si>
  <si>
    <t>148/2018</t>
  </si>
  <si>
    <t xml:space="preserve"> Alteração acrescendo 10% (dez por cento) aos itens 2 - Diesel S10 e 3 - Gasolina contratados, que perfaz a quantia de R$ 31.726,26 (trinta e um mil setecentos e vinte e seis reais e vinte e seis centavos).
Fundamentação Legal: Art. 65 §1º da Lei nº 8.666/93.</t>
  </si>
  <si>
    <t xml:space="preserve">DOU: Nº 17 DOE:12.226   </t>
  </si>
  <si>
    <t>149/2018</t>
  </si>
  <si>
    <t>150/2018</t>
  </si>
  <si>
    <t>151/2018</t>
  </si>
  <si>
    <t>152/2018</t>
  </si>
  <si>
    <t>M S SERVIÇOS COMÉRCIO E REPRESENTAÇÕES - ME</t>
  </si>
  <si>
    <t>22.172.177/0001-08</t>
  </si>
  <si>
    <t>153/2018</t>
  </si>
  <si>
    <t>154/2018</t>
  </si>
  <si>
    <t>155/2018</t>
  </si>
  <si>
    <t>156/2018</t>
  </si>
  <si>
    <t>157/2018</t>
  </si>
  <si>
    <t>158/2018</t>
  </si>
  <si>
    <t>159/2018</t>
  </si>
  <si>
    <t>160/2018</t>
  </si>
  <si>
    <t>161/2018</t>
  </si>
  <si>
    <t>162/2018</t>
  </si>
  <si>
    <t>163/2018</t>
  </si>
  <si>
    <t>Alteração da CLÁUSULA SEGUNDA - DO PRAZO DE VIGÊNCIA, prorrogando a vigência do contrato por mais 6 (seis) meses, tendo como valor mensal a importância de R$ 12.299,20 (doze mil duzentos e noventa e nove reais e vinte centavos), totalizando o valor global R$ 73.795,20 (setenta e três mil setecentos e noventa e cinco reais e vinte centavos).</t>
  </si>
  <si>
    <t>Alteração da CLÁUSULA SEXTA – DA VIGÊNCIA DO CONTRATO, prorrogando o prazo de execução dos serviços por mais 90 (noventa) dias, conforme justificativa apresentada pela Secretaria Municipal de Obras Públicas, com amparo legal previsto no Art. 57,
§1º, inciso I e VI da Lei nº 8.666/93.</t>
  </si>
  <si>
    <t>Alteração da CLÁUSULA SEXTA – DA VIGÊNCIA DO CONTRATO, prorrogando a vigência do contrato original por mais 90 (noventa) dias, conforme justificativa apresentada pela Secretaria Municipal de Obras Públicas, com amparo legal previsto no Art. 57, §1º,
inciso VI da Lei nº 8.666/93.</t>
  </si>
  <si>
    <t>Alteração da CLÁUSULA QUINTA – DO VALOR DO CONTRATO – EMPENHO E DOTAÇÃO DO VALOR, acrescendo a importância de R$ 16.046,02 (dezesseis mil quarenta e seis reais e dois centavos), e, suprimindo a importância de R$ 9.069,35 (nove mil sessenta e nove reais e trinta e cinco centavos), perfazendo a diferença de R$ 6.976,67 (seis mil novecentos e setenta e seis reais e sessenta e sete centavos) a ser acrescido do valor contratado, conforme adequação apresentada através do Ofício nº 0851/2018/GAB/SEOP.
Fundamentação Legal: Art. 65 §1º da Lei nº 8.666/1993.</t>
  </si>
  <si>
    <t>Alteração da CLÁUSULA TERCEIRA - DO PREÇO E CONDIÇÕES DE PAGAMENTO, acrescendo 25% (vinte e cinco por cento) aos itens 37, 38, 42 e 86 contratados, que perfaz a quantia de R$ 10.250,00 (dez mil duzentos e cinquenta reais), devendo o referido valor ser somado ao valor inicialmente contratado, com amparo legal
previsto no § 1º do Art. 65 da Lei nº 8.666/93.</t>
  </si>
  <si>
    <t>Alteração da CLÁUSULA TERCEIRA - DO PREÇO E CONDIÇÕES DE PAGAMENTO, acrescendo 25% (vinte e cinco por cento) aos itens 116, 127 e 197 contratados, que perfaz a quantia de R$ 1.701,00 (um mil e setecentos e um reais), devendo o referido valor ser somado ao valor inicialmente contratado, com amparo legal previsto no § 1º do Art. 65 da Lei nº 8.666/93.</t>
  </si>
  <si>
    <t>Alteração da CLÁUSULA TERCEIRA - DO PREÇO E CONDIÇÕES DE PAGAMENTO, acrescendo 25% (vinte e cinco por cento) aos itens 158 e 170 contratados, que perfaz a quantia de R$ 4.175,00 (quatro mil cento e setenta e cinco reais), devendo o referido valor ser somado ao valor inicialmente contratado, com amparo legal previsto no § 1º do Art. 65 da Lei nº 8.666/93.</t>
  </si>
  <si>
    <t>Alteração da CLÁUSULA TERCEIRA - DO PREÇO E CONDIÇÕES DE PAGAMENTO, acrescendo 25% (vinte e cinco por cento) aos itens 7, 9, 41, 64, 68, 74, 95, 99, 106, 168 e 192 contratados, que perfaz a quantia de R$ 24.982,50 (vinte e quatro mil novecentos
e oitenta e dois reais e cinquenta centavos), devendo o referido valor ser somado ao valor inicialmente contratado, com amparo legal previsto no § 1º do Art. 65 da Lei nº 8.666/93.</t>
  </si>
  <si>
    <t>Alteração da CLÁUSULA TERCEIRA - DO PREÇO E CONDIÇÕES DE PAGAMENTO, acrescendo 25% (vinte e cinco por cento) aos itens 12, 17, 28, 31, 48, 51, 67, 76, 79,108, 109, 132, 133, 136, 138, 142, 151, 162, 163, 164, 177 e 182 contratados, que perfaz a quantia de R$ 63.439,25 (sessenta e três mil quatrocentos e trinta e nove reais e vinte e cinco centavos), devendo o referido valor ser somado ao valor inicialmente contratado, com amparo legal previsto no § 1º do Art. 65 da Lei nº 8.666/93.</t>
  </si>
  <si>
    <t>Alteração da CLÁUSULA TERCEIRA - DO PREÇO E CONDIÇÕES DE PAGAMENTO, acrescendo 25% (vinte e cinco por cento) aos itens 8, 15, 16, 17, 31, 48, 51, 67, 69, 76, 79, 108, 132, 133, 136, 138, 142, 146, 148, 151, 177 e 182 contratados, que perfaz a quantia de R$ 79.199,50 (setenta e nove mil cento e noventa e nove reais e cinquenta centavos), devendo o referido valor ser somado ao valor inicialmente contratado, com amparo legal previsto no § 1º do Art. 65 da Lei nº 8.666/93.</t>
  </si>
  <si>
    <t>Alteração da CLÁUSULA TERCEIRA - DO PREÇO E CONDIÇÕES DE PAGAMENTO, acrescendo 25% (vinte e cinco por cento) ao item 145 contratado, que perfaz a quantia de R$ 7.940,00 (sete mil e novecentos e quarenta reais), devendo o referido valor ser
somado ao valor inicialmente contratado, com amparo legal previsto no § 1º do Art. 65 da Lei nº 8.666/93.</t>
  </si>
  <si>
    <t>Alteração da CLÁUSULA TERCEIRA - DO PREÇO E CONDIÇÕES DE PAGAMENTO, acrescendo 25% (vinte e cinco por cento) aos itens 37, 38, 42, 63, 86 e 97 contratados, que perfaz a quantia de R$ 13.837,50 (treze mil oitocentos e trinta e sete reais e cinquenta centavos), devendo o referido valor ser somado ao valor inicialmente contratado, com amparo legal previsto no § 1º do Art. 65 da Lei nº 8.666/93.</t>
  </si>
  <si>
    <t>Alteração da CLÁUSULA TERCEIRA - DO PREÇO E CONDIÇÕES DE PAGAMENTO, acrescendo 25% (vinte e cinco por cento) ao item 33 contratado, que perfaz a quantia de R$ 15.750,00 (quinze mil setecentos e cinquenta reais), devendo o referido valor ser
somado ao valor inicialmente contratado, com amparo legal previsto no § 1º do Art. 65 da Lei nº 8.666/93.</t>
  </si>
  <si>
    <t>Alteração da CLÁUSULA TERCEIRA - DO PREÇO E CONDIÇÕES DE PAGAMENTO, acrescendo 25% (vinte e cinco por cento) aos itens 43, 98, 125, 126 e 165 contratados, que perfaz a quantia de R$ 5.637,00 (cinco mil seiscentos e trinta e sete reais), devendo
o referido valor ser somado ao valor inicialmente contratado, com amparo legal previsto no § 1º do Art. 65 da Lei nº 8.666/93.</t>
  </si>
  <si>
    <t>Alteração da CLÁUSULA TERCEIRA - DO PREÇO E CONDIÇÕES DE PAGAMENTO, acrescendo 25% (vinte e cinco por cento) aos itens 158 e 170 contratados, que perfaz a quantia de R$ 6.200,00 (seis mil e duzentos reais), devendo o referido valor ser somado
ao valor inicialmente contratado, com amparo legal previsto no § 1º do Art. 65 da Lei nº 8.666/93.</t>
  </si>
  <si>
    <t>Alteração da CLÁUSULA TERCEIRA - DO PREÇO E CONDIÇÕES DE PAGAMENTO, acrescendo 25% (vinte e cinco por cento) aos itens 4, 9, 41, 95, 99, 106, 135, 143, 168, 198 e 199 contratados, que perfaz a quantia de R$ 25.827,50 (vinte e cinco mil
oitocentos e vinte e sete reais e cinquenta centavos), devendo o referido valor ser somado ao valor inicialmente contratado, com amparo legal previsto no § 1º do Art. 65 da Lei nº 8.666/93.</t>
  </si>
  <si>
    <t>Alteração da CLÁUSULA TERCEIRA - DO PREÇO E CONDIÇÕES DE PAGAMENTO, acrescendo 25% (vinte e cinco por cento) aos itens 29, 56, 78, 107, 141, 160 e 184 contratados, que perfaz a quantia de R$ 24.237,50 (vinte e quatro mil duzentos e trinta e
sete reais e cinquenta centavos), devendo o referido valor ser somado ao valor inicialmente contratado, com amparo legal previsto no § 1º do Art. 65 da Lei nº 8.666/93.</t>
  </si>
  <si>
    <t>Aquisição de Material de Consumo de Informática (Cartuchos e Tonners),para atender as demandas da Secretaria Municipal de Saúde, no Município de Rio Branco - AC</t>
  </si>
  <si>
    <t>164/2018</t>
  </si>
  <si>
    <t>165/2018</t>
  </si>
  <si>
    <t>11812/2018</t>
  </si>
  <si>
    <t xml:space="preserve">TERMO DE ADESÃO Nº 004/2018
PREGÃO PRESENCIAL SRP Nº 020/2017
</t>
  </si>
  <si>
    <t>Contratação de empresa especializada em produção e reprodução de material publicitário e gráfico a ser utilizado em atividades educativas e divulgação, conforme o disposto no Termo de Referência - Anexo I, do Edital do Pregão Presencial para Registro de Preços nº. 020/2017, constante do processo administrativo n. 11812/2018.</t>
  </si>
  <si>
    <t>MINISTÉRIO PÚBLICO DO ESTADO DO ACRE</t>
  </si>
  <si>
    <t>DE/MPAC Nº 074/2017</t>
  </si>
  <si>
    <t>Alteração da CLÁUSULA TERCEIRA - DO PREÇO E CONDIÇÕES DE PAGAMENTO, acrescendo 25% (vinte e cinco por cento) ao item 3 contratado, resultando em 2 (dois) postos e acréscimo no valor mensal de R$ 4.465,24 (quatro mil quatrocentos e sessenta e cinco reais e vinte e quatro centavos).
Fundamentação Legal: §1º do Art. 65 da Lei nº 8.666/93.</t>
  </si>
  <si>
    <t>166/2018</t>
  </si>
  <si>
    <t>7961/2018</t>
  </si>
  <si>
    <t>Aquisição de Gêneros Alimentícios, Material de Higiene Pessoal e Material de Limpeza e Uso Geral, para atender a demanda da Secretaria Municipal de Saúde</t>
  </si>
  <si>
    <t>00.415.832/0001-79</t>
  </si>
  <si>
    <t>167/2018</t>
  </si>
  <si>
    <t>168/2018</t>
  </si>
  <si>
    <t>ABREU DE SOUZA &amp; CIA LTDA</t>
  </si>
  <si>
    <t>21.214.851/0001-07</t>
  </si>
  <si>
    <t>169/2018</t>
  </si>
  <si>
    <t>170/2018</t>
  </si>
  <si>
    <t>Alteração da CLÁUSULA TERCEIRA - DO PREÇO E CONDIÇÕES DE PAGAMENTO, acrescendo 25% (vinte e cinco por cento) aos itens 29, 56 e 160 contratados, que perfaz a quantia de R$ 47.855,80 (quarenta e sete mil oitocentos e cinquenta e cinco reais e oitenta centavos), devendo o referido valor ser somado ao valor inicialmente contratado, com amparo legal previsto no § 1º do Art. 65 da Lei nº 8.666/93.</t>
  </si>
  <si>
    <t xml:space="preserve">DOU: Nº 48 DOE:12.257   </t>
  </si>
  <si>
    <t>Constitui objeto deste Termo, alterar a CLÁUSULA QUARTA – PRAZO DA VIGÊNCIA DO REGISTRO DE PREÇO E DO CONTRATO que passa ter a seguinte redação: CLÁUSULA QUARTA – PRAZO DA VIGÊNCIA DO REGISTRO DE PREÇO E DO CONTRATO: Fica prorrogado o prazo de execução dos serviços objeto deste Termo Aditivo até 03 de março de 2019, podendo ser prorrogado.</t>
  </si>
  <si>
    <t>PRAZO/VALOR</t>
  </si>
  <si>
    <t>Alteração da CLÁUSULA OITAVA – DO PREÇO, para realização da repactuação dos valores contratuais com base no Acordo Coletivo de Trabalho 2017, resultando no acréscimo de R$
804,56 (oitocentos e quatro reais e cinquenta e seis centavos) ao valor mensal, que passará de R$ 4.690,22 (quatro mil seiscentos e noventa reais e vinte e dois centavos) para R$ 5.494,78 (cinco mil quatrocentos e noventa e quatro reais e setenta e oito centavos), com amparo legal previsto no Art. 65, inciso II, alínea “d”, da Lei nº 8.666/93 e Parecer da
Procuradoria Geral do Município.                                                                                                                                        presente repactuação tem efeitos financeiros retroativos a 01/01/2017</t>
  </si>
  <si>
    <t>Alterar as Cláusulas Segunda, Terceira e Décima
Sexta do Contrato original, prorrogando a vigência do citado contrato
por mais 12 (doze) meses, a partir do dia 31/12/2011 até 31/12/2012.</t>
  </si>
  <si>
    <t>Alterar as Cláusulas Segunda, Terceira e Décima
Sexta do Contrato original, prorrogando a vigência do citado contrato
por mais 12 (doze) meses, a partir do dia 31/12/2012 até 31/12/2013.</t>
  </si>
  <si>
    <t>Alterar as Cláusulas Segunda, Terceira e Décima
Sexta do Contrato original, prorrogando a vigência do citado contrato
por mais 12 (doze) meses, a partir do dia 31/12/2013 até 31/12/2014.</t>
  </si>
  <si>
    <t>Alterar as Cláusulas Segunda, Terceira e Décima Sexta do
Contrato nº 001/2012, prorrogando a vigência do citado contrato por
mais 12 (doze) meses, a partir do dia 31/12/2012 até 31/12/2013.</t>
  </si>
  <si>
    <t>Alterar as Cláusulas Segunda, Terceira e Décima Sexta do
Contrato nº 005/2012, prorrogando a vigência do citado contrato por
mais 12 (doze) meses, a partir do dia 31/12/2012 até 31/12/2013.</t>
  </si>
  <si>
    <t>Alterar as Cláusulas Segunda, Terceira e Décima Sexta do
Contrato nº 004/2012, prorrogando a vigência do citado contrato por
mais 12 (doze) meses, a partir do dia 31/12/2012 até 31/12/2013.</t>
  </si>
  <si>
    <t>Alterar as Cláusulas Segunda, Terceira e Décima
Sexta do Contrato nº 10/2011, prorrogando a vigência do citado contrato
por mais 12 (doze) meses, a partir do dia 30/12/2011 até 31/12/2012.
Fundamentação Legal: Inciso X do artigo 24 da Lei nº 8.666/93</t>
  </si>
  <si>
    <t>Alterar as Cláusulas Segunda, Terceira e Décima Sexta do
Contrato nº 010/2011, prorrogando a vigência do citado contrato por
mais 12 (doze) meses, a partir do dia 31/12/2012 até 31/12/2013.</t>
  </si>
  <si>
    <t>171/2018</t>
  </si>
  <si>
    <t>18581/2018</t>
  </si>
  <si>
    <t>Contratação de Empresa Especializada na Prestação de Serviços de Manutenção Preventiva e Corretiva de Elevadores – com fornecimento de peças, ferramentas, equipamentos, materiais de consumo, e materiais de reposição imediata necessários para execução dos serviços nos locais onde estão instalados os equipamentos,conforme especificações contidas no Termo de Referência do Edital - Pregão SRP nº 016/2018.</t>
  </si>
  <si>
    <t xml:space="preserve">TERMO DE ADESÃO Nº 005/2018
PREGÃO SRP Nº 016/2018 - CPL
</t>
  </si>
  <si>
    <t>AMAZONELEV LTDA</t>
  </si>
  <si>
    <t>22.391.531/0001-95</t>
  </si>
  <si>
    <t>SECRETARIA MUNICIPAL DA CASA CIVIL</t>
  </si>
  <si>
    <t>172/2018</t>
  </si>
  <si>
    <t>A. C. S. MARQUES - ME</t>
  </si>
  <si>
    <t>15.245.891/0001-13</t>
  </si>
  <si>
    <t>173/2018</t>
  </si>
  <si>
    <t>174/2018</t>
  </si>
  <si>
    <t>Alteração da CLÁUSULA QUARTA - PRAZO DE VIGÊNCIA DO CONTRATO, prorrogando o contrato original por mais 06 (seis) meses.
Fundamentação Legal: Inciso II do Art. 57 da Lei nº. 8.666/93.</t>
  </si>
  <si>
    <t>Alteração da CLÁUSULA TERCEIRA - DO PREÇO E CONDIÇÕES DE PAGAMENTO, acrescendo 17% (dezessete por cento) ao item 1 (serviços de cozinheiro) contratado, resultando em 1 (um) posto de trabalho e acréscimo no valor mensal de R$ 2.387,22 (dois mil trezentos e oitenta e sete reais e vinte e dois centavos), perfazendo a diferença total de R$ 11.936,10 (onze mil novecentos e trinta e seis reais e dez centavos).
Fundamentação Legal: §1º do Art. 65 da Lei nº 8.666/93.</t>
  </si>
  <si>
    <t>Alteração da CLÁUSULA QUINTA – DO VALOR DO CONTRATO – EMPENHO E DOTAÇÃO DO VALOR, acrescendo a importância de R$ 4.953,51 (quatro mil novecentos e cinquenta e três reais e cinquenta e um centavos), e, suprimindo a importância de R$ 2.028,92 (dois mil vinte e oito reais e noventa e dois centavos), perfazendo a diferença de R$ 2.924,59 (dois mil novecentos e vinte e quatro reais e cinquenta e nove centavos) a ser acrescido do valor contratado, conforme adequação apresentada através do Ofício nº 1053/2018/GAB/SEOP.
Fundamentação Legal: Art. 65 §1º da Lei nº 8.666/1993.</t>
  </si>
  <si>
    <t>Alteração da CLÁUSULA QUINTA – DO VALOR DO CONTRATO – EMPENHO E DOTAÇÃO DO VALOR, acrescendo a importância de R$ 169.353,68 (cento e sessenta e nove mil trezentos e cinquenta e três reais e sessenta e oito centavos), e, suprimindo a importância de R$ 2.985,03 (dois mil novecentos e oitenta e cinco reais e três centavos), perfazendo a diferença de R$ 166.368,65 (cento e sessenta e seis mil trezentos e sessenta e oito reais e sessenta e cinco centavos) a ser acrescido do valor contratado, conforme adequação apresentada através do Ofício nº 1064/2018/GAB/SEOP.
Fundamentação Legal: Art. 65 §1º da Lei nº 8.666/1993</t>
  </si>
  <si>
    <t xml:space="preserve">DOE N.º 12.224 </t>
  </si>
  <si>
    <t>175/2018</t>
  </si>
  <si>
    <t>SB DISTRIBUIDORA EIRELI</t>
  </si>
  <si>
    <t>176/2018</t>
  </si>
  <si>
    <t>177/2018</t>
  </si>
  <si>
    <t>178/2018</t>
  </si>
  <si>
    <t>21700/2018</t>
  </si>
  <si>
    <t>TERMO DE ADESÃO Nº 006/2018 - PREGÃO PRESENCIAL SRP Nº 343/2017</t>
  </si>
  <si>
    <t>343/2017</t>
  </si>
  <si>
    <t>Aquisição de Motocicletas, estilo cross, zero km</t>
  </si>
  <si>
    <t>SECRETARIA DE ESTADO DE EDUCAÇÃO E ESPORTE</t>
  </si>
  <si>
    <t>DOE N.º 12.098</t>
  </si>
  <si>
    <t xml:space="preserve">DOU: Nº 19 DOE:12.055   </t>
  </si>
  <si>
    <t>Alteração da CLÁUSULA QUARTA - DO PRAZO DE VIGÊNCIA E EXECUÇÃO DO CONTRATO, prorrogando o contrato original por mais 6 (seis) meses e 15 (quinze) dias.
Fundamentação Legal: Art. 57, inciso IV da Lei Federal nº. 8.666/93.</t>
  </si>
  <si>
    <t>Alteração da CLÁUSULA QUARTA – DO PRAZO DE VIGÊNCIA DO CONTRATO, prorrogando o contrato original por mais 6 (seis) meses e 13 (treze) dias.
Fundamentação Legal: Art. 57, inciso IV da Lei nº 8.666/1993.</t>
  </si>
  <si>
    <t xml:space="preserve">02.035.162/0001-90 </t>
  </si>
  <si>
    <t>Alteração da CLÁUSULA TERCEIRA - DO PREÇO E CONDIÇÕES DE PAGAMENTO, acrescendo 25% (vinte e cinco por cento) ao item 01 contratado, que perfaz a quantia de R$ 237.000,00 (duzentos e trinta e sete mil reais), devendo o referido valor ser somado
ao valor inicialmente contratado, com amparo legal previsto no § 1º do Art. 65 da Lei nº 8.666/93.</t>
  </si>
  <si>
    <t>Aquisição de Material de Médico Hospitalar (Accu-Check, Bateria, Kit Gravidez),</t>
  </si>
  <si>
    <t>179/2018</t>
  </si>
  <si>
    <t>JOSÉ SANTOS DE ANDRADE</t>
  </si>
  <si>
    <t>587.193.509-53</t>
  </si>
  <si>
    <t>Locação de Imóvel para a realização de aulas de equoterapia para crianças especiais.</t>
  </si>
  <si>
    <t xml:space="preserve">3.3.90.36.00 </t>
  </si>
  <si>
    <t>20715/2018</t>
  </si>
  <si>
    <t>180/2018</t>
  </si>
  <si>
    <t>181/2018</t>
  </si>
  <si>
    <t>6718/2018</t>
  </si>
  <si>
    <t>Aquisição de Fórmulas Nutricionais</t>
  </si>
  <si>
    <t>182/2018</t>
  </si>
  <si>
    <t>183/2018</t>
  </si>
  <si>
    <t>184/2018</t>
  </si>
  <si>
    <t>BIOLAR IMP. E EXP. LTDA</t>
  </si>
  <si>
    <t>06.987.995/0001-02</t>
  </si>
  <si>
    <t>6716/2018</t>
  </si>
  <si>
    <t>185/2018</t>
  </si>
  <si>
    <t>Aquisição de curativos especiais e insumos médicos</t>
  </si>
  <si>
    <t>186/2018</t>
  </si>
  <si>
    <t xml:space="preserve">DOU: Nº 42 DOE:12.051   </t>
  </si>
  <si>
    <t xml:space="preserve">DOU: Nº 43 DOE:12.253   </t>
  </si>
  <si>
    <t>187/2018</t>
  </si>
  <si>
    <t>188/2018</t>
  </si>
  <si>
    <t>189/2018</t>
  </si>
  <si>
    <t>25064/2018</t>
  </si>
  <si>
    <t>Aquisição de Material de Expediente (Papel A4), visando atender as necessidades da Secretaria Municipal de Saúde</t>
  </si>
  <si>
    <t>190/2018</t>
  </si>
  <si>
    <t>14508/2018</t>
  </si>
  <si>
    <t>ESTAÇÃO VIP SEGURANÇA PRIVADA EIRELI</t>
  </si>
  <si>
    <t>Contratação de empresa para prestação de Serviços Terceirizados de Vigilância Eletrônica através de SISTEMA DIGITAL DE CÂMERAS DE MONITORAMENTO EM CIRCUITO FECHADO (CFTV) COM ACESSO REMOTO via IP (Internet Protocol) E SISTEMA DE ALARMES, Monitorada 24h por dia, 07 (sete) dias por semana, com monitoramento remoto de sistemas de alarmes e de vistoria de Pronta Resposta, com fornecimento de equipamentos e serviço para instalação e configuração do sistema de alarme, mediante cessão gratuita (comodato)</t>
  </si>
  <si>
    <t>191/2018</t>
  </si>
  <si>
    <t>3.3.90.32.00 (Material de Consumo)</t>
  </si>
  <si>
    <t>192/2018</t>
  </si>
  <si>
    <t>193/2018</t>
  </si>
  <si>
    <t>22349/2018</t>
  </si>
  <si>
    <t>TERMO DE ADESÃO Nº 008/2018 – PREGÃO SRP Nº 047/2018 - CPL</t>
  </si>
  <si>
    <t>W. ANDRADE SILVA - ME</t>
  </si>
  <si>
    <t>17.940.616/0001-45</t>
  </si>
  <si>
    <t>Contratação de Empresa para o serviço de geração/produção e veiculação de busdoor de publicidade e propaganda</t>
  </si>
  <si>
    <t>12543/2018</t>
  </si>
  <si>
    <t>194/2018</t>
  </si>
  <si>
    <t>O. LIMA DE ARAÚJO - ME</t>
  </si>
  <si>
    <t>23.141.967/0001-99</t>
  </si>
  <si>
    <t>Aquisição de Água Potável, através de caminhão pipa, para atender as demandas da Secretaria Municipal de Saúde</t>
  </si>
  <si>
    <t>J. S. CORDEIRO - EPP</t>
  </si>
  <si>
    <t>195/2018</t>
  </si>
  <si>
    <t>196/2018</t>
  </si>
  <si>
    <t>197/2018</t>
  </si>
  <si>
    <t>198/2018</t>
  </si>
  <si>
    <t>12526/2018</t>
  </si>
  <si>
    <t>199/2018</t>
  </si>
  <si>
    <t>Aquisição de Equipamento e Material Permanente de Informática, para atender a demanda da SEMSA</t>
  </si>
  <si>
    <t>Inciso XI do art. 24 da Lei nº 8.666/93 e suas alterações.</t>
  </si>
  <si>
    <t xml:space="preserve">DOU: Nº 62 DOE:12.270    </t>
  </si>
  <si>
    <t>PREFEITURA MUNICIPAL DE RIO BRANCO
SUPERINTENDÊNCIA MUNICIPAL DE TRANSPORTES E TRÂNSITO – RBTRANS</t>
  </si>
  <si>
    <t xml:space="preserve">DOU: Nº 75 DOE:12.285    </t>
  </si>
  <si>
    <t>RESCISÃO</t>
  </si>
  <si>
    <t>Fica RESCINDIDO DE FORMA UNILATERAL a partir desta data o Contrato nº. 128/2018, firmado em 18/04/2018, cuja finalidade era Aquisição de Material de Expediente (Escritório).
A presente rescisão encontra-se motivada no Parecer nº 067/2018 da Assessoria
Jurídica do FMS e Decisão do Secretário Municipal de Saúde.</t>
  </si>
  <si>
    <t>Fica RESCINDIDO DE FORMA UNILATERAL a partir desta data o Contrato nº. 174/2018, firmado em 04/06/2018, cuja finalidade era Aquisição de Material de Expediente (Escritório).
A presente rescisão encontra-se motivada no Parecer nº 067/2018 da Assessoria
Jurídica do FMS e Decisão do Secretário Municipal de Saúde.</t>
  </si>
  <si>
    <t>Alteração da CLÁUSULA SEGUNDA - DO PRAZO DE VIGÊNCIA, prorrogando a vigência do contrato por mais 6 (seis) meses e 16 (dezesseis) dias, tendo como valor mensal a importância de R$ 2.500,00 (dois mil e quinhentos reais), totalizando o valor global de R$ 16.333,28 (dezesseis mil trezentos e trinta e três reais e vinte e oito centavos).</t>
  </si>
  <si>
    <t>Alteração da CLÁUSULA SEXTA – DA VIGÊNCIA DO CONTRATO, prorrogando a vigência contratual por mais 60 (sessenta) dias, conforme justificativa apresentada pela Secretaria Municipal de Obras Públicas, com amparo legal previsto no Art. 57, §1º, inciso VI da Lei nº 8.666/93.</t>
  </si>
  <si>
    <t>Alteração da CLÁUSULA QUARTA - PRAZO DE  VIGÊNCIA DO REGISTRO DE PREÇOS E DO CONTRATO, prorrogando o contrato original por mais 6 (seis) meses, com amparo legal previsto no inciso II do art. 57 da Lei nº 8.666/93.</t>
  </si>
  <si>
    <t xml:space="preserve">Alteração da CLÁUSULA QUARTA – DO PRAZO DE VIGÊNCIA DO CONTRATO,  prorrogando o contrato original por mais 6 (seis) meses, com amparo legal previsto no inciso II do art. 57 da Lei nº 8.666/93. </t>
  </si>
  <si>
    <t>Alteração da CLÁUSULA TERCEIRA - DO PREÇO E CONDIÇÕES DE PAGAMENTO, acrescendo 25% (vinte e cinco por cento) ao item 22 contratado, que perfaz a quantia de R$ 4.937,50 (quatro mil novecentos e trinta e sete reais e cinquenta centavos), devendo
o referido valor ser somado ao valor inicialmente contratado, com amparo legal previsto no § 1º do Art. 65 da Lei nº 8.666/93.</t>
  </si>
  <si>
    <t>Alteração da CLÁUSULA DÉCIMA SEGUNDA - DA VIGÊNCIA, prorrogando o contrato original por mais 6 (seis) meses e 16 (dezesseis) dias, com amparo legal previsto no Art. 57, inciso II da Lei Federal nº. 8.666/93.</t>
  </si>
  <si>
    <t xml:space="preserve">Alteração da CLÁUSULA QUARTA – DO PRAZO DE VIGÊNCIA DO CONTRATO, prorrogando o contrato original por mais 6 (seis) meses, com amparo legal previsto no inciso II do art. 57 da Lei nº 8.666/93.
</t>
  </si>
  <si>
    <t>Fica RESCINDIDO DE FORMA AMIGÁVEL, a partir desta data o Contrato nº. 069/2013, firmado em 25/03/2013, cuja finalidade era Contratação de Prestação de Serviço de Segurança Eletrônica, para atender a Secretaria de Saúde do Município de Rio Branco - AC.
A presente rescisão encontra-se motivada no Parecer Jurídico nº 088/2018 da Assessoria Jurídica do Fundo Municipal de Saúde.</t>
  </si>
  <si>
    <t>Alteração da CLÁUSULA PRIMEIRA - DA DESTINAÇÃO DO IMÓVEL, passando a destinação do imóvel para a instalação do Arquivo/Depósito da SEMSA.</t>
  </si>
  <si>
    <t>Fica RESCINDIDO DE FORMA UNILATERAL, a partir do dia 01/07/2018, o Contrato nº. 002/2015, firmado em 02/01/2015, cuja finalidade era a Locação de Imóvel para Instalação do Conselho Municipal de Saúde, localizado na Estrada do Aviário, nº 310 – Bairro Morada do Sol, no Município de Rio Branco - Acre.
A presente rescisão encerra toda e qualquer obrigação entre as partes,
inclusive no que tange ao pagamento de aluguel, não havendo créditos
a serem recebidos pela parte locadora.</t>
  </si>
  <si>
    <t>Alteração da CLÁUSULA QUINTA – DO VALOR DO CONTRATO – EMPENHO E DOTAÇÃO DO VALOR, acrescendo a importância de R$ 254.892,03 (duzentos e cinquenta e quatro mil oitocentos e noventa e dois reais e três centavos), e, suprimindo a importância de R$ 66.226,13 (sessenta e seis mil e duzentos e vinte e seis reais e treze centavos), perfazendo a diferença de R$ 188.665,90 (cento e oitenta e oito mil seiscentos e sessenta e cinco reais e noventa centavos) a ser acrescido do valor contratado, conforme adequação apresentada através do Ofício nº 1.235/2018/GAB/SEOP
Fundamentação Legal: Art. 65 §1º da Lei nº 8.666/1993.</t>
  </si>
  <si>
    <t>Alteração das CLÁUSULAS PRIMEIRA E SEGUNDA, passando a destinação do imóvel para a instalação do departamento de vigilância sanitária da SEMSA e Conselho Municipal de Saúde; e prorrogando a vigência do contrato por mais 6 (seis) meses, tendo como valor mensal a importância de R$ 12.000,00 (doze mil reais), totalizando o valor global de R$ 72.000,00 (setenta e dois mil reais), até o término da vigência contratual.</t>
  </si>
  <si>
    <t>Alteração prorrogando o contrato original por mais 5 (cinco) meses e 18 (dezoito) dias, com amparo legal previsto no inciso II do art. 57 da Lei nº. 8.666/93.</t>
  </si>
  <si>
    <t>Alteração da CLÁUSULA TERCEIRA - DO PREÇO E CONDIÇÕES DE PAGAMENTO, acrescendo 25% (vinte e cinco por cento) ao item 20 contratado, que perfaz a quantia de R$ 2.875,00 (dois mil oitocentos e setenta e cinco reais), devendo o referido valor ser somado ao valor inicialmente contratado, com amparo legal previsto no § 1º do Art. 65 da Lei nº 8.666/93.</t>
  </si>
  <si>
    <t>Alteração da CLÁUSULA TERCEIRA - DO PREÇO E CONDIÇÕES DE PAGAMENTO, acrescendo 25% (vinte e cinco por cento) aos itens 14 e 24 contratados, que perfaz a quantia de R$ 5.223,75 (cinco mil duzentos e vinte e três reais e setenta e cinco centavos), devendo o referido valor ser somado ao valor inicialmente contratado, com amparo legal previsto no § 1º do Art. 65 da Lei nº 8.666/93.</t>
  </si>
  <si>
    <t>Alteração da CLÁUSULA QUARTA - PRAZO DE VIGÊNCIA DO CONTRATO, prorrogando o contrato original por mais 6 (seis) meses e 6 (seis) dias, com amparo legal previsto no inciso II do
art. 57 da Lei nº. 8.666/93.</t>
  </si>
  <si>
    <t>Alteração da CLÁUSULA SEXTA – DA VIGÊNCIA DO CONTRATO, prorrogando a vigência do contrato original por mais 180 (cento e oitenta) dias, e prorrogando o prazo de execução dos serviços por mais 150 (cento e cinquenta) dias, conforme justificativa
apresentada pela Secretaria Municipal de Obras Públicas.                                              Fundamentação Legal: Art. 57, §1º, inciso I, II e III da Lei nº 8.666/93.</t>
  </si>
  <si>
    <t>Alteração da CLÁUSULA TERCEIRA - DO PREÇO E CONDIÇÕES DE PAGAMENTO, acrescendo 25% (vinte e cinco por cento) aos itens 12 e 131 contratados, que perfaz a quantia de R$ 16.675,00 (dezesseis mil seiscentos e setenta e cinco reais), devendo o
referido valor ser somado ao valor inicialmente contratado, com amparo legal previsto no § 1º do Art. 65 da Lei nº 8.666/93.</t>
  </si>
  <si>
    <t>200/2018</t>
  </si>
  <si>
    <t>201/2018</t>
  </si>
  <si>
    <t>202/2018</t>
  </si>
  <si>
    <t>203/2018</t>
  </si>
  <si>
    <t>204/2018</t>
  </si>
  <si>
    <t xml:space="preserve">SUPERMÉDICA DISTRIBUIDORA HOSPITALAR EIRELI, </t>
  </si>
  <si>
    <t>205/2018</t>
  </si>
  <si>
    <t>21960/2018</t>
  </si>
  <si>
    <t xml:space="preserve">TERMO DE ADESÃO Nº 007/2018
PREGÃO ELETRÔNICO SRP Nº 228/2017
</t>
  </si>
  <si>
    <t>CARVALHO &amp; NERY LTDA</t>
  </si>
  <si>
    <t xml:space="preserve">00.285.660/0001-66 </t>
  </si>
  <si>
    <t>01 (Recurso Próprio).</t>
  </si>
  <si>
    <t>Contratação de serviços laboratoriais para realização de exames de triagem sorológica de gestantes, com coleta de soro por punção venosa ou em amostras de sangue em papel filtro por punção digital, para diagnóstico das seguintes doenças: toxoplasmose, citomegalovirose, hepatite B, hepatite C, hemoglobinopatia S, HTLV, Chagas e dosagem de TSH por meio de Sistema de Registro de Preços (SRP) para atender as necessidades da Secretaria Municipal de Saúde</t>
  </si>
  <si>
    <t>206/2018</t>
  </si>
  <si>
    <t>207/2018</t>
  </si>
  <si>
    <t>Alteração da CLÁUSULA QUARTA - PRAZO DE VIGÊNCIA DO CONTRATO, prorrogando o contrato original por mais 4 (quatro) meses e 26 (vinte e seis) dias.
Fundamentação Legal: Art. 57, inciso II da Lei Federal nº. 8.666/93.</t>
  </si>
  <si>
    <t xml:space="preserve">Alteração da CLÁUSULA QUARTA - PRAZO DE VIGÊNCIA DO CONTRATO, prorrogando o contrato original por mais 5 (cinco) meses e 4 (quatro) dias.                                                                             Fundamentação Legal: Art. 57, inciso II da Lei Federal nº. 8.666/93.                                                                                                                                                                  </t>
  </si>
  <si>
    <t>Alteração da CLÁUSULA QUARTA – DO PRAZO DE VIGÊNCIA DO CONTRATO, prorrogando o contrato original por mais 5 (cinco) meses.
Fundamentação Legal: Art. 57, inciso II da Lei nº 8.666/1993.</t>
  </si>
  <si>
    <t>Alteração da CLÁUSULA SEXTA – DA VIGÊNCIA DO CONTRATO, prorrogando a vigência contratual por mais 90 (noventa) dias, conforme justificativa apresentada pela Secretaria Municipal de Obras Públicas.
Fundamentação Legal: Art. 57, §1º, inciso IV da Lei nº 8.666/93.</t>
  </si>
  <si>
    <t>Alteração da CLÁUSULA QUINTA – DO VALOR DO CONTRATO – EMPENHO E DOTAÇÃO DO VALOR, acrescendo a importância de R$ 19.050,20 (dezenove mil cinquenta reais e vinte centavos),
e, suprimindo a importância de R$ 11.316,25 (onze mil trezentos e dezesseis reais e vinte e cinco centavos), perfazendo a diferença de R$ 7.733,95 (sete mil setecentos e trinta e três reais e noventa e cinco centavos) a ser acrescido ao valor contratado, conforme adequação
apresentada através do Ofício nº 0813/GAB/SEOP.
Fundamentação Legal: Art. 65 §1º da Lei nº 8.666/1993.</t>
  </si>
  <si>
    <t>Alteração da CLÁUSULA QUARTA - PRAZO DE VIGÊNCIA DO CONTRATO, prorrogando o contrato original por mais 4 (quatro) meses e 17 (dezessete) dias.
Fundamentação Legal: inciso II do art. 57 da Lei Federal nº. 8.666/1993.</t>
  </si>
  <si>
    <t>Alteração da CLÁUSULA QUARTA - PRAZO DE VIGÊNCIA DO CONTRATO, prorrogando o contrato original por mais 5 (cinco) meses, com amparo legal previsto no inciso II do art. 57 da Lei nº. 8.666/93.</t>
  </si>
  <si>
    <t>208/2018</t>
  </si>
  <si>
    <t>209/2018</t>
  </si>
  <si>
    <t xml:space="preserve">DOU: Nº 92 DOE:12.303   </t>
  </si>
  <si>
    <t>Alteração da CLÁUSULA TERCEIRA - DO PREÇO E CONDIÇÕES DE PAGAMENTO, acrescendo 25% (vinte e cinco por cento) ao item 39 contratado, que perfaz a quantia de R$ 7.400,00 (sete mil e quatrocentos reais).
Fundamentação Legal: § 1º do Art. 65 da Lei nº 8.666/93.</t>
  </si>
  <si>
    <t>Alteração da CLÁUSULA QUARTA - PRAZO DE VIGÊNCIA DO CONTRATO, prorrogando o contrato original por mais 4 (quatro) meses e 11 (onze) dias.
Fundamentação Legal: Art. 57, inciso II da Lei nº 8.666/1993.</t>
  </si>
  <si>
    <t>Alteração da CLÁUSULA TERCEIRA - DO PREÇO E CONDIÇÕES DE PAGAMENTO, acrescendo 25% (vinte e cinco por cento) ao item 39 contratado, que perfaz a quantia de R$ 1.850,00 (um mil oitocentos e cinquenta reais).
Fundamentação Legal: § 1º do Art. 65 da Lei nº 8.666/93.</t>
  </si>
  <si>
    <t>210/2018</t>
  </si>
  <si>
    <t>2776/2018</t>
  </si>
  <si>
    <t>Aquisição de Material Gráfico, para atender as demandas da Secretaria Municipal de Saúde no município de Rio Branco – AC</t>
  </si>
  <si>
    <t xml:space="preserve">DOU: Nº 29 DOE:12.239 </t>
  </si>
  <si>
    <t>211/2018</t>
  </si>
  <si>
    <t>17585/2018</t>
  </si>
  <si>
    <t>TECSERV TERCEIRIZAÇÃO COMÉRCIO E SERVIÇOS LTDA</t>
  </si>
  <si>
    <t>14.840.259/0001-55</t>
  </si>
  <si>
    <t>Contratação de pessoa jurídica para prestação de serviços de apoio administrativo: Serviços de Digitação, a fim de atender as necessidades da Secretaria Municipal de Saúde</t>
  </si>
  <si>
    <t>3.3.90.39.00 (Pessoa Jurídica)</t>
  </si>
  <si>
    <t>Contratação de pessoa jurídica para prestação de serviços de apoio administrativo: Recepção, a fim de atender as necessidades da Secretaria Municipal de Saúde</t>
  </si>
  <si>
    <t>KRONOS PROJETOS E SERVIÇOS LTDA</t>
  </si>
  <si>
    <t>03.082.817/0001-44</t>
  </si>
  <si>
    <t>212/2018</t>
  </si>
  <si>
    <t xml:space="preserve">DOU: Nº 115 DOE:12.325 </t>
  </si>
  <si>
    <t>Alteração da CLÁUSULA SEXTA – DA VIGÊNCIA DO CONTRATO, prorrogando a vigência do contrato original por mais 330 (trezentos e trinta) dias, e prorrogando o prazo de execução dos serviços por mais 300 (trezentos) dias, conforme justificativa apresentada
pela Secretaria Municipal de Obras Públicas.</t>
  </si>
  <si>
    <t>Alteração da CLÁUSULA SEXTA – DA VIGÊNCIA DO CONTRATO, prorrogando a vigência do contrato original por mais 120 (cento e vinte) dias, e prorrogando o prazo de execução dos serviços por mais 120 (cento e vinte) dias, conforme justificativa apresentada
pela Secretaria Municipal de Obras Públicas.
Fundamentação Legal: Art. 57, §1º, inciso I, II e III da Lei nº 8.666/93.</t>
  </si>
  <si>
    <t>Alteração da CLÁUSULA TERCEIRA - DO PREÇO E CONDIÇÕES DE PAGAMENTO, acrescendo 25% (vinte e cinco por cento) aos itens 26, 58, 70, 73, 169, 188 e 195 contratados, que perfaz a quantia de R$ 27.900,00 (vinte e sete mil e novecentos reais).
Fundamentação Legal: § 1º do Art. 65 da Lei nº 8.666/93.</t>
  </si>
  <si>
    <t>Alteração da CLÁUSULA TERCEIRA - DO PREÇO E CONDIÇÕES DE PAGAMENTO, acrescendo 25% (vinte e cinco por cento) aos itens 46 e 66 contratados, que perfaz a quantia de R$ 27.225,00 (vinte e sete mil duzentos e vinte e cinco reais).
Fundamentação Legal: § 1º do Art. 65 da Lei nº 8.666/93.</t>
  </si>
  <si>
    <t>Alteração da CLÁUSULA TERCEIRA - DO PREÇO E CONDIÇÕES DE PAGAMENTO, acrescendo 25% (vinte e cinco por cento) aos itens 91 e 166 contratados, que perfaz a quantia de R$ 1.453,50 (um mil quatrocentos e cinquenta e três reais e cinquenta centavos).
Fundamentação Legal: § 1º do Art. 65 da Lei nº 8.666/93.</t>
  </si>
  <si>
    <t>Alteração da CLÁUSULA TERCEIRA - DO PREÇO E CONDIÇÕES DE PAGAMENTO, acrescendo 25% (vinte e cinco por cento) ao item 66 contratado, que perfaz a quantia de R$ 135,00 (cento e trinta e cinco reais).
Fundamentação Legal: § 1º do Art. 65 da Lei nº 8.666/93.</t>
  </si>
  <si>
    <t>Alteração da CLÁUSULA TERCEIRA - DO PREÇO E CONDIÇÕES DE PAGAMENTO, acrescendo 25% (vinte e cinco por cento) aos itens 91 e 166 contratados, que perfaz a quantia de R$ 1.523,00 (um mil quinhentos e vinte e três reais).
Fundamentação Legal: § 1º do Art. 65 da Lei nº 8.666/93.</t>
  </si>
  <si>
    <t>Alteração da CLÁUSULA TERCEIRA - DO PREÇO E CONDIÇÕES DE PAGAMENTO, acrescendo 25% (vinte e cinco por cento) aos itens 58, 169, 183, 188 e 195 contratados, que perfaz a quantia de R$ 18.875,00 (dezoito mil oitocentos e setenta e cinco reais).
Fundamentação Legal: § 1º do Art. 65 da Lei nº 8.666/93.</t>
  </si>
  <si>
    <t>Alteração da CLÁUSULA TERCEIRA - DO PREÇO E CONDIÇÕES DE PAGAMENTO, acrescendo 25% (vinte e cinco por cento) aos itens 26, 58, 70, 169, 188 e 195 contratados, que perfaz a quantia de R$ 23.075,00 (vinte e três mil e setenta e cinco reais).
Fundamentação Legal: § 1º do Art. 65 da Lei nº 8.666/93.</t>
  </si>
  <si>
    <t>Alteração da CLÁUSULA QUARTA - PRAZO DE VIGÊNCIA DO CONTRATO, prorrogando o contrato original por mais 5 (cinco) meses.
Fundamentação Legal: Art. 57, inciso II da Lei nº 8.666/1993.</t>
  </si>
  <si>
    <t>Alteração da CLÁUSULA TERCEIRA - DO PREÇO E CONDIÇÕES DE PAGAMENTO, acrescendo 25% (vinte e cinco por cento) aos itens 45 e 180 contratados, que perfaz a quantia de R$ 19.250,00 (dezenove mil duzentos e cinquenta reais).
Fundamentação Legal: § 1º do Art. 65 da Lei nº 8.666/93.</t>
  </si>
  <si>
    <t>228/2017-A/SES/DF</t>
  </si>
  <si>
    <t>DOU Nº 242</t>
  </si>
  <si>
    <t>SECRETARIA DE ESTADO DE SAÚDE DO DISTRITO FEDERAL</t>
  </si>
  <si>
    <t>Alteração da CLÁUSULA QUARTA - PRAZO DE VIGÊNCIA DO CONTRATO, prorrogando o contrato original por mais 4 (quatro) meses e 4 (quatro) dias.
Fundamentação Legal: inciso II do art. 57 da Lei Federal nº. 8.666/1993.</t>
  </si>
  <si>
    <t>Alteração da CLÁUSULA QUARTA - PRAZO DE VIGÊNCIA DO CONTRATO, prorrogando o contrato original por mais 4 (quatro) meses e 2 (dois) dias.
Fundamentação Legal: inciso II do art. 57 da Lei Federal nº. 8.666/1993.</t>
  </si>
  <si>
    <t>Contratação de Serviço de Transporte (veículo tipo Pick-Up). Objeto do Aditamento: Alteração da CLÁUSULA QUARTA - PRAZO DE VIGÊNCIA DO CONTRATO, prorrogando o contrato original por mais 4 (quatro) meses e 12 (doze) dias.
Fundamentação Legal: inciso II do art. 57 da Lei Federal nº. 8.666/1993.</t>
  </si>
  <si>
    <t>213/2018</t>
  </si>
  <si>
    <t>.3.90.30.00 (Material de Consumo)</t>
  </si>
  <si>
    <t>214/2018</t>
  </si>
  <si>
    <t>215/2018</t>
  </si>
  <si>
    <t>216/2018</t>
  </si>
  <si>
    <t>GRUPO E IMPORTAÇÃO E EXPORTAÇÃO LTDA</t>
  </si>
  <si>
    <t>17.410.071/0001-65</t>
  </si>
  <si>
    <t>217/2018</t>
  </si>
  <si>
    <t>218/2018</t>
  </si>
  <si>
    <t>9119/2018</t>
  </si>
  <si>
    <t>Aquisição de Material de Consumo e Permanente Médico Hospitalar</t>
  </si>
  <si>
    <t>219/2018</t>
  </si>
  <si>
    <t>220/2018</t>
  </si>
  <si>
    <t>221/2018</t>
  </si>
  <si>
    <t>222/2018</t>
  </si>
  <si>
    <t>223/2018</t>
  </si>
  <si>
    <t>224/2018</t>
  </si>
  <si>
    <t>BIODENTE COMÉRCIO IMP. E EXP. LTDA</t>
  </si>
  <si>
    <t>27.664.758/0001-80</t>
  </si>
  <si>
    <t>227/2018</t>
  </si>
  <si>
    <t>KOLPLAST C I S/A</t>
  </si>
  <si>
    <t>59.231.530/0001-93</t>
  </si>
  <si>
    <t>DOU: Nº 57 DOE:12.266</t>
  </si>
  <si>
    <t>225/2018</t>
  </si>
  <si>
    <t>226/2018</t>
  </si>
  <si>
    <t>C. M. DA SILVA – ME</t>
  </si>
  <si>
    <t>22.074.643/0001-12</t>
  </si>
  <si>
    <t>Alteração da CLÁUSULA QUARTA - PRAZO DE VIGÊNCIA DO CONTRATO, prorrogando o contrato original por mais 4 (quatro) meses e 13 (treze) dias.
Fundamentação Legal: inciso II do art. 57 da Lei Federal nº. 8.666/1993.</t>
  </si>
  <si>
    <t>228/2018</t>
  </si>
  <si>
    <t>15614/2018</t>
  </si>
  <si>
    <t>01 (Recurso Próprio), 14 (SUS) e 15 (Convênio Estadual).</t>
  </si>
  <si>
    <t>229/2018</t>
  </si>
  <si>
    <t>230/2018</t>
  </si>
  <si>
    <t>231/2018</t>
  </si>
  <si>
    <t>232/2018</t>
  </si>
  <si>
    <t>233/2018</t>
  </si>
  <si>
    <t>234/2018</t>
  </si>
  <si>
    <t>235/2018</t>
  </si>
  <si>
    <t>236/2018</t>
  </si>
  <si>
    <t>237/2018</t>
  </si>
  <si>
    <t>238/2018</t>
  </si>
  <si>
    <t>DOU: Nº 87 DOE:12.285</t>
  </si>
  <si>
    <t>Alteração da CLÁUSULA QUARTA - PRAZO DE VIGÊNCIA DO CONTRATO, prorrogando o contrato original por mais 4 (quatro) meses e 13 (treze) dias, com amparo legal previsto no inciso II
do art. 57 da Lei nº 8.666/93.</t>
  </si>
  <si>
    <t>239/2018</t>
  </si>
  <si>
    <t>240/2018</t>
  </si>
  <si>
    <t>241/2018</t>
  </si>
  <si>
    <t>ARNALDO COMÉRCIO E REPRESENTAÇÕES EIRELI - EPP</t>
  </si>
  <si>
    <t>04.517.439/0001-47</t>
  </si>
  <si>
    <t>242/2018</t>
  </si>
  <si>
    <t>243/2018</t>
  </si>
  <si>
    <t>244/2018</t>
  </si>
  <si>
    <t>26478/2018</t>
  </si>
  <si>
    <t>Aquisição de Material de Consumo (Fraldas Descartáveis)</t>
  </si>
  <si>
    <t>01 (Recursos Próprios) e 14 (SUS)</t>
  </si>
  <si>
    <t>245/2018</t>
  </si>
  <si>
    <t>DOU:143 DOE:12.352</t>
  </si>
  <si>
    <t>Alteração da CLÁUSULA SEGUNDA - DO PRAZO DE VIGÊNCIA, prorrogando a vigência do contrato por mais 4 (quatro) meses, tendo como valor mensal a importância de R$ 1.692,11 (um mil e seiscentos e noventa e dois reais e onze centavos), totalizando o valor global de R$ 6.768,44 (seis mil setecentos e sessenta e oito reais e quarenta e quatro centavos).</t>
  </si>
  <si>
    <t>Alteração da CLÁUSULA QUARTA - PRAZO DE VIGÊNCIA DO CONTRATO, prorrogando o contrato original por mais 3 (três) meses e 14 (quatorze) dias.
Fundamentação Legal: Inciso II do Art. 57 da Lei nº. 8.666/93</t>
  </si>
  <si>
    <t>Alteração da CLÁUSULA QUARTA - PRAZO DE VIGÊNCIA DO CONTRATO, prorrogando o contrato original por mais 3 (três) meses e 10 (dez) dias.
Fundamentação Legal: Inciso II do art. 57 da Lei nº. 8.666/93.</t>
  </si>
  <si>
    <t>246/2018</t>
  </si>
  <si>
    <t>Alteração da CLÁUSULA QUARTA - PRAZO DE VIGÊNCIA DO CONTRATO, prorrogando o contrato original por mais 4 (quatro) meses.
Fundamentação Legal: Inciso II do Art. 57 da Lei nº 8.666/93.</t>
  </si>
  <si>
    <t>Alteração da CLÁUSULA TERCEIRA - DO PREÇO E CONDIÇÕES DE PAGAMENTO, acrescendo 12% (doze por cento) ao item 1 contratado, que perfaz a quantia estimada de R$ 17.304,00 (dezessete mil trezentos e quatro reais).
Fundamentação Legal: § 1º do Art. 65 da Lei nº 8.666/93.</t>
  </si>
  <si>
    <t>Alteração prorrogando a vigência do contrato original por mais 90 (noventa) dias, e prorrogando o prazo de execução dos serviços por mais 90 (noventa) dias, conforme justificativa apresentada pela Secretaria Municipal de Obras Públicas.
Fundamentação Legal: Art. 57, §1º, inciso I e VI da Lei nº 8.666/93.</t>
  </si>
  <si>
    <t>247/2018</t>
  </si>
  <si>
    <t>248/2018</t>
  </si>
  <si>
    <t>249/2018</t>
  </si>
  <si>
    <t>250/2018</t>
  </si>
  <si>
    <t>25153/2018</t>
  </si>
  <si>
    <t>R. O. CAMPOS EIRELI - ME</t>
  </si>
  <si>
    <t>24.661.053/0001-11</t>
  </si>
  <si>
    <t>Contratação de empresa especializada na realização de exames de apoio diagnóstico por imagem, para atender as necessidades da Secretaria Municipal de Saúde – SEMSA</t>
  </si>
  <si>
    <t>251/2018</t>
  </si>
  <si>
    <t>24295/2018</t>
  </si>
  <si>
    <t>Aquisição de Material Gráfico de Divulgação, para atender as demandas da Secretaria Municipal de Saúde no município de Rio Branco – AC</t>
  </si>
  <si>
    <t>JAQUELINE C. DE OLIVEIRA - ME</t>
  </si>
  <si>
    <t>06.916.063/0001-79</t>
  </si>
  <si>
    <t>252/2018</t>
  </si>
  <si>
    <t>DOU: Nº 141 DOE:12.350</t>
  </si>
  <si>
    <t>253/2018</t>
  </si>
  <si>
    <t>DOU: Nº 134 DOE:12.343</t>
  </si>
  <si>
    <t>Alteração da CLÁUSULA SEXTA – DA VIGÊNCIA DO CONTRATO, prorrogando a vigência do contrato original por mais 150 (cento e cinquenta) dias, e prorrogando o prazo de execução dos serviços por mais 150 (cento e cinquenta) dias, conforme justificativa apresentada pela Secretaria Municipal de Obras Públicas.
Fundamentação Legal: Art. 57, §1º, inciso I da Lei nº 8.666/93.</t>
  </si>
  <si>
    <t>Alteração da CLÁUSULA QUINTA – DO VALOR DO CONTRATO – EMPENHO E DOTAÇÃO DO VALOR, acrescendo a importância de R$ 83.911,45 (oitenta e três mil novecentos e onze reais e quarenta e cinco centavos), e, suprimindo a importância de R$ 32.329,87
(trinta e dois mil trezentos e vinte e nove reais e oitenta e sete centavos), perfazendo a diferença de R$ 51.581,58 (cinquenta e um mil quinhentos e oitenta e um reais e cinquenta e oito centavos) a ser acrescido do valor contratado, conforme adequação apresentada através do Ofício nº 1707/2018/GAB/SEOP.
Fundamentação Legal: Art. 65 §1º da Lei nº 8.666/1993.</t>
  </si>
  <si>
    <t>Alteração da CLÁUSULA TERCEIRA - DO PREÇO E CONDIÇÕES DE PAGAMENTO, acrescendo 25% (vinte e cinco por cento) ao item 33 contratado, que perfaz a quantia de R$ 60,00 (sessenta reais).
Fundamentação Legal: § 1º do Art. 65 da Lei nº 8.666/93.</t>
  </si>
  <si>
    <t>Alteração da CLÁUSULA TERCEIRA - DO PREÇO E CONDIÇÕES DE PAGAMENTO, acrescendo 1,06% (um virgula zero seis por cento) ao item 2 contratado, que perfaz a quantia de R$ 5.840,00 (cinco mil oitocentos e quarenta reais).
Fundamentação Legal: § 1º do Art. 65 da Lei nº 8.666/93.</t>
  </si>
  <si>
    <t>Alteração da CLÁUSULA QUARTA – DO PRAZO DE VIGÊNCIA, prorrogando o contrato original por mais 76 (setenta e seis) dias, com amparo legal previsto no §4º do Art. 57 da Lei nº. 8.666/93 e Despacho da Assessoria Jurídica do Fundo Municipal de Saúde - SEMSA.</t>
  </si>
  <si>
    <t>254/2018</t>
  </si>
  <si>
    <t>255/2018</t>
  </si>
  <si>
    <t>256/2018</t>
  </si>
  <si>
    <t>257/2018</t>
  </si>
  <si>
    <t>26.583.427/0001-53</t>
  </si>
  <si>
    <t>258/2018</t>
  </si>
  <si>
    <t>24292/2018</t>
  </si>
  <si>
    <t>Aquisição de Fardamentos</t>
  </si>
  <si>
    <t xml:space="preserve">DOU: Nº 136 DOE:12.345 </t>
  </si>
  <si>
    <t>259/2018</t>
  </si>
  <si>
    <t>FIBRATEX INDÚSTRIA E COMÉRCIO LTDA</t>
  </si>
  <si>
    <t>02.889.493/0001-98</t>
  </si>
  <si>
    <t>260/2018</t>
  </si>
  <si>
    <t>24787/2018</t>
  </si>
  <si>
    <t>Aquisição de Material de Consumo (seringas com agulha e tubo de coleta)</t>
  </si>
  <si>
    <t xml:space="preserve">DOU: Nº 134 DOE:12.343 </t>
  </si>
  <si>
    <t>Alteração da CLÁUSULA DÉCIMA SEGUNDA - DA VIGÊNCIA, prorrogando o contrato original por mais 2 (dois) meses e 17 (dezessete) dias, com amparo legal previsto no inciso II do art. 57
da Lei nº. 8.666/93 e suas alterações.</t>
  </si>
  <si>
    <t>Alteração da CLÁUSULA DÉCIMA SEGUNDA - DA VIGÊNCIA, prorrogando o contrato original por mais 3 (três) meses, com amparo legal previsto no inciso II do art. 57 da Lei nº. 8.666/93 e
suas alterações.</t>
  </si>
  <si>
    <t>Alteração da CLÁUSULA DÉCIMA SEGUNDA - DA VIGÊNCIA, prorrogando o contrato original por mais 3 (três) meses e 15 (quinze) dias, com amparo legal previsto no Art. 57, inciso II da Lei
Federal nº. 8.666/93.</t>
  </si>
  <si>
    <t>30184/2018</t>
  </si>
  <si>
    <t>261/2018</t>
  </si>
  <si>
    <t>Aquisição de Material Permanente de Informática (Tablets)</t>
  </si>
  <si>
    <t>CASTRO &amp; CIA REPRESENTAÇÃO COMÉRCIO E SERVIÇOS LTDA</t>
  </si>
  <si>
    <t>25.236.543/0001-33</t>
  </si>
  <si>
    <t>01 (Recurso Próprio) e 14 (SUS) – Proposta de Emenda nº 84317.205000/1180-04</t>
  </si>
  <si>
    <t xml:space="preserve">DOU: Nº 163 DOE:12.371 </t>
  </si>
  <si>
    <t>Alteração da CLÁUSULA QUARTA – DO PRAZO DE VIGÊNCIA DO CONTRATO, prorrogando o contrato original por mais 3 (três) meses, com amparo legal previsto no inciso II do Art. 57 da Lei nº. 8.666/93.</t>
  </si>
  <si>
    <t>MUDANÇA DE FINALIDADE</t>
  </si>
  <si>
    <t>RESCISÃO UNILATERAL</t>
  </si>
  <si>
    <t>Fica RESCINDIDO DE FORMA UNILATERAL, a partir do dia 01/10/2018, o Contrato nº. 010/2011, firmado em 20/09/2011, cuja finalidade era a Locação de Imóvel para instalação do Arquivo/Depósito da SEMSA, localizado na Rua 10 de Janeiro, Nº. 10, Bairro Boa União, no Município de Rio Branco - Acre.
A presente rescisão encerra toda e qualquer obrigação entre as partes, inclusive no que tange ao pagamento de aluguel, não havendo créditos a
serem recebidos pela parte locadora.</t>
  </si>
  <si>
    <t>262/2018</t>
  </si>
  <si>
    <t>263/2018</t>
  </si>
  <si>
    <t>Alteração da CLÁUSULA QUARTA - PRAZO DE VIGÊNCIA DO CONTRATO, prorrogando o contrato original por mais 02 (dois) meses e 02 (dois) dias.
Fundamentação Legal: Art. 57, inciso II da Lei Federal nº. 8.666/93.</t>
  </si>
  <si>
    <t>Alteração da CLÁUSULA TERCEIRA - DO PREÇO E CONDIÇÕES DE PAGAMENTO, acrescendo 20% (vinte por cento) aos itens 1 e 2 contratados, que perfaz a quantia de R$ 11.960,00 (onze mil e novecentos e sessenta reais).
Fundamentação Legal: §1º do Art. 65 da Lei nº 8.666/93.</t>
  </si>
  <si>
    <t>Alteração da CLÁUSULA QUARTA - PRAZO DE VIGÊNCIA DO CONTRATO, prorrogando o contrato original por mais 02 (dois) meses e 13 (treze) dias.
Fundamentação Legal: Art. 57, inciso II da Lei Federal nº. 8.666/93.</t>
  </si>
  <si>
    <t>Alteração da CLÁUSULA QUARTA - PRAZO DE VIGÊNCIA DO CONTRATO, prorrogando o contrato original por mais 1 (um) mês e 26 (vinte e seis) dias.
Fundamentação Legal: Art. 57, inciso II da Lei Federal nº. 8.666/93.</t>
  </si>
  <si>
    <t>SEM EFEITO</t>
  </si>
  <si>
    <t>TORNA SEM EFEITO o Extrato do I Termo Aditivo ao Contrato nº 045/2018, publicado no DOE n.º 12.413, de 23/10/2018, pág. 50, referente ao Pregão SRP n.º 008/2017, contida nos autos do Processo n.º 1619/2016, que tem como objeto a Aquisição de Gêneros Alimentícios (Café e Açúcar), em conformidade com a Súmula n.º 473/69 do STF.</t>
  </si>
  <si>
    <t>TERMO DE ADESÃO - Pregão SRP nº 053/2017
– CPL 01</t>
  </si>
  <si>
    <t>Alteração da CLÁUSULA SEXTA - DA VIGÊNCIA, prorrogando o contrato original por mais 2 (dois) meses e 24 (vinte e quatro) dias.
Fundamentação Legal: Art. 57, inciso II da Lei Federal nº. 8.666/93.</t>
  </si>
  <si>
    <t>06/10/ E 19/10/2017</t>
  </si>
  <si>
    <t>06/10 E 19/10/2018</t>
  </si>
  <si>
    <t>06/10 E 19/10/2017</t>
  </si>
  <si>
    <t>264/2018</t>
  </si>
  <si>
    <t>Aquisição de Fórmulas Nutricionais, para atender as necessidades da SEMSA</t>
  </si>
  <si>
    <t>265/2018</t>
  </si>
  <si>
    <t>266/2018</t>
  </si>
  <si>
    <t>267/2018</t>
  </si>
  <si>
    <t>268/2018</t>
  </si>
  <si>
    <t>269/2018</t>
  </si>
  <si>
    <t>270/2018</t>
  </si>
  <si>
    <t>271/2018</t>
  </si>
  <si>
    <t>Alteração da CLÁUSULA SEXTA – DA VIGÊNCIA DO CONTRATO, prorrogando a vigência do contrato original por mais 180 (cento e oitenta) dias, e prorrogando o prazo de execução dos serviços por mais 150 (cento e cinquenta) dias, conforme justificativa
apresentada pela Secretaria Municipal de Obras Públicas.
Fundamentação Legal: Art. 57, §1º, incisos I, IV e VI da Lei nº 8.666/93.</t>
  </si>
  <si>
    <t>Alteração da CLÁUSULA QUINTA – DO VALOR DO CONTRATO – EMPENHO E DOTAÇÃO DO VALOR, para realização do reajuste contratual com base no Índice Nacional da Construção Civil – INCC, que perfaz o valor de R$ 4.126,20 (quatro mil cento e vinte e seis reais e vinte centavos), conforme cálculos apresentados pela Secretaria Municipal de Obras Públicas e Parecer da Procuradoria Geral do Município.
Fundamentação Legal: Art. 65, inciso II, alínea “d”, da Lei nº. 8.666/93.</t>
  </si>
  <si>
    <t>Alteração da CLÁUSULA QUINTA – DO VALOR DO CONTRATO – EMPENHO E DOTAÇÃO DO VALOR, para realização do reajuste contratual com base no Índice Nacional da Construção Civil – INCC, que perfaz o valor de R$ 13.501,66 (treze mil quinhentos e
um reais e sessenta e seis centavos), conforme cálculos apresentados
pela Secretaria Municipal de Obras Públicas.
Fundamentação Legal: Art. 65, inciso II, alínea “d”, da Lei nº. 8.666/93.</t>
  </si>
  <si>
    <t>Alteração da CLÁUSULA SEXTA – DA VIGÊNCIA DO CONTRATO, prorrogando a vigência do contrato original por mais 60 (sessenta) dias, conforme justificativa apresentada pela Secretaria Municipal de Obras Públicas.
Fundamentação Legal: Art. 57, §1º, inciso VI da Lei nº 8.666/93.</t>
  </si>
  <si>
    <t>Alteração da CLÁUSULA QUARTA - PRAZO DE VIGÊNCIA DO CONTRATO, prorrogando o contrato original por mais 2 (dois) meses.
Fundamentação Legal: Art. 57, inciso II da Lei Federal nº. 8.666/93.</t>
  </si>
  <si>
    <r>
      <t xml:space="preserve">Alterar a Cláusula  Décima Sexta - VALOR GLOBAL do Contrato original - </t>
    </r>
    <r>
      <rPr>
        <b/>
        <sz val="11"/>
        <rFont val="Calibri"/>
        <family val="2"/>
        <scheme val="minor"/>
      </rPr>
      <t>AMPLIAÇÃO DO ESPAÇO</t>
    </r>
  </si>
  <si>
    <t>ALPHA PRESTAÇÃO DE  SERVIÇOS LTDA</t>
  </si>
  <si>
    <r>
      <t xml:space="preserve">ÓRGÃO/ENTIDADE/FUNDO: </t>
    </r>
    <r>
      <rPr>
        <b/>
        <sz val="11"/>
        <rFont val="Calibri"/>
        <family val="2"/>
        <scheme val="minor"/>
      </rPr>
      <t>SECRETARIA MUNICIPAL DE SAÚDE - SEMSA</t>
    </r>
  </si>
  <si>
    <r>
      <t>MÊS/ANO:</t>
    </r>
    <r>
      <rPr>
        <b/>
        <sz val="11"/>
        <rFont val="Calibri"/>
        <family val="2"/>
        <scheme val="minor"/>
      </rPr>
      <t xml:space="preserve"> JANEIRO A OUTUBRO/2018</t>
    </r>
  </si>
  <si>
    <t>DATA DA ÚLTIMA ATUALIZAÇÃO: 31/10/2018</t>
  </si>
  <si>
    <t>TOTAL</t>
  </si>
  <si>
    <r>
      <t xml:space="preserve">Nome do responsável pela elaboração: </t>
    </r>
    <r>
      <rPr>
        <b/>
        <sz val="11"/>
        <rFont val="Calibri"/>
        <family val="2"/>
        <scheme val="minor"/>
      </rPr>
      <t>Marilda Nascimento Lima Filha</t>
    </r>
  </si>
  <si>
    <r>
      <t xml:space="preserve">Nome do titular do Órgão/Entidade/Fundo (no exercício do cargo): </t>
    </r>
    <r>
      <rPr>
        <b/>
        <sz val="11"/>
        <rFont val="Calibri"/>
        <family val="2"/>
        <scheme val="minor"/>
      </rPr>
      <t>Oteniel Almeida dos Santos</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</si>
</sst>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R$&quot;\ * #,##0.00_-;\-&quot;R$&quot;\ * #,##0.00_-;_-&quot;R$&quot;\ * &quot;-&quot;??_-;_-@_-"/>
    <numFmt numFmtId="43" formatCode="_-* #,##0.00_-;\-* #,##0.00_-;_-* &quot;-&quot;??_-;_-@_-"/>
    <numFmt numFmtId="164" formatCode="_(&quot;R$ &quot;* #,##0.00_);_(&quot;R$ &quot;* \(#,##0.00\);_(&quot;R$ &quot;* &quot;-&quot;??_);_(@_)"/>
    <numFmt numFmtId="165" formatCode="0.00000"/>
    <numFmt numFmtId="166" formatCode="0.0000000"/>
    <numFmt numFmtId="167" formatCode="0.000"/>
  </numFmts>
  <fonts count="5" x14ac:knownFonts="1">
    <font>
      <sz val="11"/>
      <color theme="1"/>
      <name val="Calibri"/>
      <family val="2"/>
      <scheme val="minor"/>
    </font>
    <font>
      <sz val="11"/>
      <color theme="1"/>
      <name val="Calibri"/>
      <family val="2"/>
      <scheme val="minor"/>
    </font>
    <font>
      <sz val="11"/>
      <name val="Calibri"/>
      <family val="2"/>
      <scheme val="minor"/>
    </font>
    <font>
      <b/>
      <sz val="11"/>
      <name val="Calibri"/>
      <family val="2"/>
      <scheme val="minor"/>
    </font>
    <font>
      <i/>
      <sz val="11"/>
      <name val="Calibri"/>
      <family val="2"/>
      <scheme val="minor"/>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7">
    <xf numFmtId="0" fontId="0" fillId="0" borderId="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cellStyleXfs>
  <cellXfs count="213">
    <xf numFmtId="0" fontId="0" fillId="0" borderId="0" xfId="0"/>
    <xf numFmtId="0" fontId="2" fillId="0" borderId="0" xfId="0" applyFont="1" applyFill="1" applyBorder="1" applyAlignment="1">
      <alignment vertical="center"/>
    </xf>
    <xf numFmtId="0" fontId="2" fillId="0" borderId="0" xfId="0" applyNumberFormat="1" applyFont="1" applyFill="1" applyBorder="1" applyAlignment="1">
      <alignment horizontal="left" vertical="center"/>
    </xf>
    <xf numFmtId="0" fontId="2"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NumberFormat="1" applyFont="1" applyFill="1" applyBorder="1" applyAlignment="1">
      <alignment horizontal="center" vertical="center"/>
    </xf>
    <xf numFmtId="0" fontId="2" fillId="0" borderId="0" xfId="0" applyFont="1" applyFill="1" applyBorder="1" applyAlignment="1">
      <alignment horizontal="right" vertical="center"/>
    </xf>
    <xf numFmtId="44" fontId="2" fillId="0" borderId="0" xfId="6" applyFont="1" applyFill="1" applyBorder="1" applyAlignment="1">
      <alignment vertical="center" wrapText="1"/>
    </xf>
    <xf numFmtId="44" fontId="2" fillId="0" borderId="0" xfId="6" applyFont="1" applyFill="1" applyBorder="1" applyAlignment="1">
      <alignment vertical="center"/>
    </xf>
    <xf numFmtId="44" fontId="2" fillId="0" borderId="0" xfId="6" applyFont="1" applyFill="1" applyBorder="1" applyAlignment="1">
      <alignment horizontal="center" vertical="center" wrapText="1"/>
    </xf>
    <xf numFmtId="44" fontId="2" fillId="0" borderId="0" xfId="6" applyFont="1" applyFill="1" applyBorder="1" applyAlignment="1">
      <alignment horizontal="center" vertical="center"/>
    </xf>
    <xf numFmtId="44" fontId="2" fillId="0" borderId="0" xfId="6" applyFont="1" applyFill="1" applyBorder="1" applyAlignment="1">
      <alignment horizontal="left" vertical="center" wrapText="1"/>
    </xf>
    <xf numFmtId="44" fontId="2" fillId="0" borderId="0" xfId="6" applyFont="1" applyFill="1" applyBorder="1" applyAlignment="1">
      <alignment horizontal="left" vertical="center"/>
    </xf>
    <xf numFmtId="0" fontId="3" fillId="0" borderId="0"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2" fillId="0" borderId="0" xfId="0" applyFont="1" applyFill="1" applyAlignment="1">
      <alignment horizontal="center" vertical="center"/>
    </xf>
    <xf numFmtId="0" fontId="3"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4" fontId="2" fillId="0" borderId="1" xfId="6"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vertical="center" wrapText="1"/>
    </xf>
    <xf numFmtId="3" fontId="2" fillId="0" borderId="1" xfId="0" applyNumberFormat="1" applyFont="1" applyFill="1" applyBorder="1" applyAlignment="1">
      <alignment horizontal="left" vertical="center" wrapText="1"/>
    </xf>
    <xf numFmtId="14" fontId="2" fillId="0" borderId="1" xfId="0" applyNumberFormat="1" applyFont="1" applyFill="1" applyBorder="1" applyAlignment="1">
      <alignment horizontal="center" vertical="center" wrapText="1"/>
    </xf>
    <xf numFmtId="3" fontId="2" fillId="0" borderId="1" xfId="0" applyNumberFormat="1" applyFont="1" applyFill="1" applyBorder="1" applyAlignment="1">
      <alignment vertical="center" wrapText="1"/>
    </xf>
    <xf numFmtId="14" fontId="2" fillId="0" borderId="1" xfId="0" applyNumberFormat="1" applyFont="1" applyFill="1" applyBorder="1" applyAlignment="1">
      <alignmen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3"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2" fillId="0" borderId="1" xfId="0" applyFont="1" applyFill="1" applyBorder="1" applyAlignment="1">
      <alignment horizontal="right" vertical="center" wrapText="1"/>
    </xf>
    <xf numFmtId="44" fontId="2" fillId="0" borderId="1" xfId="0" applyNumberFormat="1" applyFont="1" applyFill="1" applyBorder="1" applyAlignment="1">
      <alignment horizontal="center" vertical="center" wrapText="1"/>
    </xf>
    <xf numFmtId="44" fontId="2" fillId="0" borderId="1" xfId="6" applyFont="1" applyFill="1" applyBorder="1" applyAlignment="1">
      <alignment horizontal="center" vertical="center" wrapText="1"/>
    </xf>
    <xf numFmtId="44" fontId="2" fillId="0" borderId="1" xfId="0" applyNumberFormat="1" applyFont="1" applyFill="1" applyBorder="1" applyAlignment="1">
      <alignment horizontal="center" vertical="center" wrapText="1"/>
    </xf>
    <xf numFmtId="43" fontId="2" fillId="0" borderId="1" xfId="1" applyFont="1" applyFill="1" applyBorder="1" applyAlignment="1">
      <alignment horizontal="center" vertical="center" wrapText="1"/>
    </xf>
    <xf numFmtId="0" fontId="2" fillId="0" borderId="0" xfId="0" applyFont="1" applyFill="1" applyAlignment="1">
      <alignment vertical="center"/>
    </xf>
    <xf numFmtId="43" fontId="2" fillId="0" borderId="1" xfId="1" applyFont="1" applyFill="1" applyBorder="1" applyAlignment="1">
      <alignment horizontal="center" vertical="center" wrapText="1"/>
    </xf>
    <xf numFmtId="0" fontId="2" fillId="0" borderId="1" xfId="0" applyFont="1" applyFill="1" applyBorder="1" applyAlignment="1">
      <alignment vertical="center" wrapText="1"/>
    </xf>
    <xf numFmtId="14"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44" fontId="2" fillId="0" borderId="1" xfId="1" applyNumberFormat="1" applyFont="1" applyFill="1" applyBorder="1" applyAlignment="1">
      <alignment vertical="center" wrapText="1"/>
    </xf>
    <xf numFmtId="2" fontId="2" fillId="0"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3" fontId="2" fillId="0" borderId="1" xfId="0" applyNumberFormat="1" applyFont="1" applyFill="1" applyBorder="1" applyAlignment="1">
      <alignment horizontal="center" vertical="center" wrapText="1"/>
    </xf>
    <xf numFmtId="165" fontId="2" fillId="0" borderId="1" xfId="0" applyNumberFormat="1" applyFont="1" applyFill="1" applyBorder="1" applyAlignment="1">
      <alignment horizontal="right" vertical="center" wrapText="1"/>
    </xf>
    <xf numFmtId="166" fontId="2" fillId="0" borderId="1" xfId="0" applyNumberFormat="1" applyFont="1" applyFill="1" applyBorder="1" applyAlignment="1">
      <alignment horizontal="right" vertical="center" wrapText="1"/>
    </xf>
    <xf numFmtId="44" fontId="2" fillId="0" borderId="1" xfId="0" applyNumberFormat="1" applyFont="1" applyFill="1" applyBorder="1" applyAlignment="1">
      <alignment vertical="center" wrapText="1"/>
    </xf>
    <xf numFmtId="0" fontId="2" fillId="0" borderId="1" xfId="0" applyNumberFormat="1" applyFont="1" applyFill="1" applyBorder="1" applyAlignment="1">
      <alignment horizontal="left" vertical="center" wrapText="1"/>
    </xf>
    <xf numFmtId="14" fontId="2" fillId="0" borderId="1" xfId="0" applyNumberFormat="1" applyFont="1" applyFill="1" applyBorder="1" applyAlignment="1">
      <alignment horizontal="left" vertical="center" wrapText="1"/>
    </xf>
    <xf numFmtId="0" fontId="2" fillId="0" borderId="1" xfId="0" applyNumberFormat="1" applyFont="1" applyFill="1" applyBorder="1" applyAlignment="1">
      <alignment vertical="center" wrapText="1"/>
    </xf>
    <xf numFmtId="0" fontId="2" fillId="0" borderId="1" xfId="0" applyNumberFormat="1" applyFont="1" applyFill="1" applyBorder="1" applyAlignment="1">
      <alignment vertical="center" wrapText="1"/>
    </xf>
    <xf numFmtId="167" fontId="2" fillId="0" borderId="1" xfId="0" applyNumberFormat="1" applyFont="1" applyFill="1" applyBorder="1" applyAlignment="1">
      <alignment horizontal="right" vertical="center" wrapText="1"/>
    </xf>
    <xf numFmtId="14" fontId="2" fillId="0" borderId="1" xfId="0" applyNumberFormat="1" applyFont="1" applyFill="1" applyBorder="1" applyAlignment="1">
      <alignment horizontal="left" vertical="center" wrapText="1"/>
    </xf>
    <xf numFmtId="0" fontId="2" fillId="0" borderId="1" xfId="0" applyFont="1" applyFill="1" applyBorder="1" applyAlignment="1">
      <alignment vertical="center"/>
    </xf>
    <xf numFmtId="14" fontId="2" fillId="0" borderId="1" xfId="0" applyNumberFormat="1" applyFont="1" applyFill="1" applyBorder="1" applyAlignment="1">
      <alignment vertical="center" wrapText="1"/>
    </xf>
    <xf numFmtId="44" fontId="2" fillId="0" borderId="1" xfId="0" applyNumberFormat="1" applyFont="1" applyFill="1" applyBorder="1" applyAlignment="1">
      <alignment vertical="center"/>
    </xf>
    <xf numFmtId="14" fontId="2" fillId="0" borderId="1" xfId="0" applyNumberFormat="1" applyFont="1" applyFill="1" applyBorder="1" applyAlignment="1">
      <alignment horizontal="center" vertical="center"/>
    </xf>
    <xf numFmtId="3" fontId="2" fillId="0" borderId="1" xfId="0" applyNumberFormat="1" applyFont="1" applyFill="1" applyBorder="1" applyAlignment="1">
      <alignment horizontal="center" vertical="center"/>
    </xf>
    <xf numFmtId="14" fontId="2" fillId="0" borderId="1" xfId="0" applyNumberFormat="1" applyFont="1" applyFill="1" applyBorder="1" applyAlignment="1">
      <alignment vertical="center"/>
    </xf>
    <xf numFmtId="0" fontId="2" fillId="0" borderId="1" xfId="0" applyFont="1" applyFill="1" applyBorder="1" applyAlignment="1">
      <alignment horizontal="right" vertical="center"/>
    </xf>
    <xf numFmtId="44" fontId="2" fillId="0" borderId="1" xfId="0" applyNumberFormat="1" applyFont="1" applyFill="1" applyBorder="1" applyAlignment="1">
      <alignment horizontal="center" vertical="center"/>
    </xf>
    <xf numFmtId="9" fontId="2" fillId="0" borderId="1" xfId="0" applyNumberFormat="1" applyFont="1" applyFill="1" applyBorder="1" applyAlignment="1">
      <alignment horizontal="right" vertical="center"/>
    </xf>
    <xf numFmtId="44" fontId="2" fillId="0" borderId="1" xfId="0" applyNumberFormat="1" applyFont="1" applyFill="1" applyBorder="1" applyAlignment="1">
      <alignment horizontal="center" vertical="center"/>
    </xf>
    <xf numFmtId="0" fontId="2" fillId="0" borderId="1" xfId="0" applyFont="1" applyFill="1" applyBorder="1" applyAlignment="1">
      <alignment vertical="center"/>
    </xf>
    <xf numFmtId="3" fontId="2" fillId="0" borderId="1" xfId="0" applyNumberFormat="1" applyFont="1" applyFill="1" applyBorder="1" applyAlignment="1">
      <alignment horizontal="left" vertical="center"/>
    </xf>
    <xf numFmtId="0" fontId="2" fillId="0" borderId="1" xfId="0" applyFont="1" applyFill="1" applyBorder="1" applyAlignment="1">
      <alignment horizontal="left" vertical="center"/>
    </xf>
    <xf numFmtId="3" fontId="2" fillId="0" borderId="1" xfId="0" applyNumberFormat="1" applyFont="1" applyFill="1" applyBorder="1" applyAlignment="1">
      <alignment vertical="center"/>
    </xf>
    <xf numFmtId="44" fontId="2" fillId="0" borderId="1" xfId="6" applyFont="1" applyFill="1" applyBorder="1" applyAlignment="1">
      <alignment vertical="center"/>
    </xf>
    <xf numFmtId="44" fontId="2" fillId="0" borderId="1" xfId="6" applyFont="1" applyFill="1" applyBorder="1" applyAlignment="1">
      <alignment horizontal="center" vertical="center"/>
    </xf>
    <xf numFmtId="3" fontId="2" fillId="0" borderId="1" xfId="0" applyNumberFormat="1" applyFont="1" applyFill="1" applyBorder="1" applyAlignment="1">
      <alignment vertical="center" wrapText="1"/>
    </xf>
    <xf numFmtId="44" fontId="2" fillId="0" borderId="1" xfId="6" applyFont="1" applyFill="1" applyBorder="1" applyAlignment="1">
      <alignment vertical="center" wrapText="1"/>
    </xf>
    <xf numFmtId="44" fontId="2" fillId="0" borderId="1" xfId="6" applyFont="1" applyFill="1" applyBorder="1" applyAlignment="1">
      <alignment vertical="center" wrapText="1"/>
    </xf>
    <xf numFmtId="14" fontId="2" fillId="0" borderId="1" xfId="0" applyNumberFormat="1" applyFont="1" applyFill="1" applyBorder="1" applyAlignment="1">
      <alignment horizontal="right" vertical="center" wrapText="1"/>
    </xf>
    <xf numFmtId="49" fontId="2" fillId="0" borderId="1" xfId="0" applyNumberFormat="1" applyFont="1" applyFill="1" applyBorder="1" applyAlignment="1">
      <alignment vertical="center" wrapText="1"/>
    </xf>
    <xf numFmtId="49" fontId="2" fillId="0" borderId="1" xfId="0" applyNumberFormat="1" applyFont="1" applyFill="1" applyBorder="1" applyAlignment="1">
      <alignment vertical="center" wrapText="1"/>
    </xf>
    <xf numFmtId="0"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xf>
    <xf numFmtId="44" fontId="2" fillId="0" borderId="1" xfId="6" applyFont="1" applyFill="1" applyBorder="1" applyAlignment="1">
      <alignment horizontal="center" vertical="center"/>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44" fontId="4" fillId="0" borderId="1" xfId="6" applyFont="1" applyFill="1" applyBorder="1" applyAlignment="1">
      <alignment horizontal="center" vertical="center" wrapText="1"/>
    </xf>
    <xf numFmtId="14" fontId="4" fillId="0" borderId="1" xfId="0" applyNumberFormat="1" applyFont="1" applyFill="1" applyBorder="1" applyAlignment="1">
      <alignment vertical="center" wrapText="1"/>
    </xf>
    <xf numFmtId="43" fontId="4" fillId="0" borderId="1" xfId="1" applyFont="1" applyFill="1" applyBorder="1" applyAlignment="1">
      <alignment horizontal="center" vertical="center" wrapText="1"/>
    </xf>
    <xf numFmtId="43" fontId="4" fillId="0" borderId="1" xfId="1" applyFont="1" applyFill="1" applyBorder="1" applyAlignment="1">
      <alignment horizontal="center" vertical="center" wrapText="1"/>
    </xf>
    <xf numFmtId="44" fontId="4" fillId="0" borderId="1" xfId="6" applyFont="1" applyFill="1" applyBorder="1" applyAlignment="1">
      <alignment vertical="center" wrapText="1"/>
    </xf>
    <xf numFmtId="0" fontId="2" fillId="0" borderId="0" xfId="0" applyFont="1" applyFill="1" applyAlignment="1">
      <alignment horizontal="right" vertical="center"/>
    </xf>
    <xf numFmtId="0" fontId="2" fillId="0" borderId="0" xfId="0" applyFont="1" applyFill="1" applyAlignment="1">
      <alignment horizontal="left" vertical="center"/>
    </xf>
    <xf numFmtId="0" fontId="2" fillId="0" borderId="0" xfId="0" applyNumberFormat="1" applyFont="1" applyFill="1" applyAlignment="1">
      <alignment horizontal="center" vertical="center"/>
    </xf>
    <xf numFmtId="44" fontId="2" fillId="0" borderId="0" xfId="6" applyFont="1" applyFill="1" applyAlignment="1">
      <alignment vertical="center" wrapText="1"/>
    </xf>
    <xf numFmtId="44" fontId="2" fillId="0" borderId="0" xfId="6" applyFont="1" applyFill="1" applyAlignment="1">
      <alignment vertical="center"/>
    </xf>
    <xf numFmtId="0" fontId="3" fillId="0" borderId="0" xfId="0" applyFont="1" applyFill="1" applyBorder="1" applyAlignment="1">
      <alignment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NumberFormat="1" applyFont="1" applyFill="1" applyBorder="1" applyAlignment="1">
      <alignment horizontal="center" vertical="center"/>
    </xf>
    <xf numFmtId="0" fontId="3" fillId="0" borderId="0" xfId="0" applyFont="1" applyFill="1" applyBorder="1" applyAlignment="1">
      <alignment horizontal="right" vertical="center"/>
    </xf>
    <xf numFmtId="44" fontId="3" fillId="0" borderId="0" xfId="6" applyFont="1" applyFill="1" applyBorder="1" applyAlignment="1">
      <alignment vertical="center" wrapText="1"/>
    </xf>
    <xf numFmtId="44" fontId="3" fillId="0" borderId="0" xfId="6" applyFont="1" applyFill="1" applyBorder="1" applyAlignment="1">
      <alignment vertical="center"/>
    </xf>
    <xf numFmtId="0" fontId="3" fillId="0" borderId="0" xfId="0" applyNumberFormat="1" applyFont="1" applyFill="1" applyBorder="1" applyAlignment="1">
      <alignment vertical="center"/>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44" fontId="3" fillId="0" borderId="1" xfId="6" applyFont="1" applyFill="1" applyBorder="1" applyAlignment="1">
      <alignment horizontal="center" vertical="center" wrapText="1"/>
    </xf>
    <xf numFmtId="0" fontId="3" fillId="0" borderId="1" xfId="0"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3" xfId="0" applyFont="1" applyFill="1" applyBorder="1" applyAlignment="1">
      <alignment vertical="center" wrapText="1"/>
    </xf>
    <xf numFmtId="3" fontId="2" fillId="0" borderId="3" xfId="0" applyNumberFormat="1" applyFont="1" applyFill="1" applyBorder="1" applyAlignment="1">
      <alignment horizontal="left" vertical="center" wrapText="1"/>
    </xf>
    <xf numFmtId="0" fontId="2" fillId="0" borderId="3" xfId="0" applyNumberFormat="1" applyFont="1" applyFill="1" applyBorder="1" applyAlignment="1">
      <alignment horizontal="center" vertical="center" wrapText="1"/>
    </xf>
    <xf numFmtId="14" fontId="2" fillId="0" borderId="3" xfId="0" applyNumberFormat="1" applyFont="1" applyFill="1" applyBorder="1" applyAlignment="1">
      <alignment horizontal="center" vertical="center" wrapText="1"/>
    </xf>
    <xf numFmtId="3" fontId="2" fillId="0" borderId="3" xfId="0" applyNumberFormat="1" applyFont="1" applyFill="1" applyBorder="1" applyAlignment="1">
      <alignment vertical="center" wrapText="1"/>
    </xf>
    <xf numFmtId="14" fontId="2" fillId="0" borderId="3" xfId="0" applyNumberFormat="1" applyFont="1" applyFill="1" applyBorder="1" applyAlignment="1">
      <alignment vertical="center" wrapText="1"/>
    </xf>
    <xf numFmtId="0" fontId="2" fillId="0" borderId="3"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3" xfId="0" applyFont="1" applyFill="1" applyBorder="1" applyAlignment="1">
      <alignment horizontal="center" vertical="center" wrapText="1"/>
    </xf>
    <xf numFmtId="3" fontId="2" fillId="0" borderId="3" xfId="0" applyNumberFormat="1" applyFont="1" applyFill="1" applyBorder="1" applyAlignment="1">
      <alignment horizontal="center" vertical="center" wrapText="1"/>
    </xf>
    <xf numFmtId="14" fontId="2" fillId="0" borderId="3" xfId="0" applyNumberFormat="1" applyFont="1" applyFill="1" applyBorder="1" applyAlignment="1">
      <alignment horizontal="center" vertical="center" wrapText="1"/>
    </xf>
    <xf numFmtId="0" fontId="2" fillId="0" borderId="3" xfId="0" applyFont="1" applyFill="1" applyBorder="1" applyAlignment="1">
      <alignment horizontal="right" vertical="center" wrapText="1"/>
    </xf>
    <xf numFmtId="44" fontId="2" fillId="0" borderId="3" xfId="0" applyNumberFormat="1" applyFont="1" applyFill="1" applyBorder="1" applyAlignment="1">
      <alignment horizontal="center" vertical="center" wrapText="1"/>
    </xf>
    <xf numFmtId="44" fontId="2" fillId="0" borderId="3" xfId="6" applyFont="1" applyFill="1" applyBorder="1" applyAlignment="1">
      <alignment horizontal="center" vertical="center" wrapText="1"/>
    </xf>
    <xf numFmtId="44" fontId="2" fillId="0" borderId="3" xfId="0" applyNumberFormat="1" applyFont="1" applyFill="1" applyBorder="1" applyAlignment="1">
      <alignment horizontal="center" vertical="center" wrapText="1"/>
    </xf>
    <xf numFmtId="43" fontId="2" fillId="0" borderId="3" xfId="1" applyFont="1" applyFill="1" applyBorder="1" applyAlignment="1">
      <alignment horizontal="center" vertical="center" wrapText="1"/>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0" fontId="3" fillId="0" borderId="13" xfId="0" applyNumberFormat="1" applyFont="1" applyFill="1" applyBorder="1" applyAlignment="1">
      <alignment horizontal="center" vertical="center" wrapText="1"/>
    </xf>
    <xf numFmtId="44" fontId="3" fillId="0" borderId="13" xfId="6" applyFont="1" applyFill="1" applyBorder="1" applyAlignment="1">
      <alignment horizontal="center" vertical="center" wrapText="1"/>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 xfId="0" applyFont="1" applyFill="1" applyBorder="1" applyAlignment="1">
      <alignment horizontal="left" vertical="center" wrapText="1"/>
    </xf>
    <xf numFmtId="4" fontId="2" fillId="0" borderId="1" xfId="0" applyNumberFormat="1"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xf>
    <xf numFmtId="0" fontId="3" fillId="0" borderId="0" xfId="0" applyFont="1" applyFill="1" applyAlignment="1">
      <alignment horizontal="left" vertical="center"/>
    </xf>
    <xf numFmtId="44" fontId="2" fillId="0" borderId="3" xfId="6" applyFont="1" applyFill="1" applyBorder="1" applyAlignment="1">
      <alignment vertical="center" wrapText="1"/>
    </xf>
    <xf numFmtId="44" fontId="2" fillId="0" borderId="3" xfId="6" applyFont="1" applyFill="1" applyBorder="1" applyAlignment="1">
      <alignment horizontal="left" vertical="center" wrapText="1"/>
    </xf>
    <xf numFmtId="44" fontId="2" fillId="0" borderId="1" xfId="6" applyFont="1" applyFill="1" applyBorder="1" applyAlignment="1">
      <alignment horizontal="left" vertical="center" wrapText="1"/>
    </xf>
    <xf numFmtId="44" fontId="2" fillId="0" borderId="1" xfId="6" applyFont="1" applyFill="1" applyBorder="1" applyAlignment="1">
      <alignment horizontal="left" vertical="center" wrapText="1"/>
    </xf>
    <xf numFmtId="44" fontId="3" fillId="0" borderId="1" xfId="6" applyFont="1" applyFill="1" applyBorder="1" applyAlignment="1">
      <alignment horizontal="center" vertical="center" wrapText="1"/>
    </xf>
    <xf numFmtId="44" fontId="2" fillId="0" borderId="3" xfId="6" applyFont="1" applyFill="1" applyBorder="1" applyAlignment="1">
      <alignment horizontal="center" vertical="center" wrapText="1"/>
    </xf>
    <xf numFmtId="44" fontId="2" fillId="0" borderId="1" xfId="6" applyFont="1" applyFill="1" applyBorder="1" applyAlignment="1">
      <alignment horizontal="right" vertical="center"/>
    </xf>
    <xf numFmtId="0" fontId="2" fillId="0" borderId="6" xfId="0" applyFont="1" applyFill="1" applyBorder="1" applyAlignment="1">
      <alignment horizontal="right" vertical="center" wrapText="1"/>
    </xf>
    <xf numFmtId="0" fontId="2" fillId="0" borderId="4" xfId="0" applyFont="1" applyFill="1" applyBorder="1" applyAlignment="1">
      <alignment horizontal="right" vertical="center" wrapText="1"/>
    </xf>
    <xf numFmtId="0" fontId="2" fillId="0" borderId="4" xfId="0" applyFont="1" applyFill="1" applyBorder="1" applyAlignment="1">
      <alignment horizontal="right" vertical="center" wrapText="1"/>
    </xf>
    <xf numFmtId="0" fontId="2" fillId="0" borderId="4" xfId="0" applyFont="1" applyFill="1" applyBorder="1" applyAlignment="1">
      <alignment horizontal="right" vertical="center"/>
    </xf>
    <xf numFmtId="49" fontId="2" fillId="0" borderId="4" xfId="0" applyNumberFormat="1" applyFont="1" applyFill="1" applyBorder="1" applyAlignment="1">
      <alignment horizontal="right" vertical="center" wrapText="1"/>
    </xf>
    <xf numFmtId="0" fontId="3" fillId="0" borderId="15"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6" xfId="0" applyFont="1" applyFill="1" applyBorder="1" applyAlignment="1">
      <alignment horizontal="center" vertical="center"/>
    </xf>
    <xf numFmtId="0" fontId="3" fillId="0" borderId="16" xfId="0" applyFont="1" applyFill="1" applyBorder="1" applyAlignment="1">
      <alignment vertical="center"/>
    </xf>
    <xf numFmtId="0" fontId="3" fillId="0" borderId="16" xfId="0" applyFont="1" applyFill="1" applyBorder="1" applyAlignment="1">
      <alignment horizontal="center" vertical="center" wrapText="1"/>
    </xf>
    <xf numFmtId="0" fontId="3" fillId="0" borderId="16" xfId="0" applyFont="1" applyFill="1" applyBorder="1" applyAlignment="1">
      <alignment horizontal="center" vertical="center"/>
    </xf>
    <xf numFmtId="0" fontId="2" fillId="0" borderId="2" xfId="0" applyFont="1" applyFill="1" applyBorder="1" applyAlignment="1">
      <alignment horizontal="right"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vertical="center" wrapText="1"/>
    </xf>
    <xf numFmtId="0" fontId="2" fillId="0" borderId="2" xfId="0" applyFont="1" applyFill="1" applyBorder="1" applyAlignment="1">
      <alignment horizontal="left" vertical="center" wrapText="1"/>
    </xf>
    <xf numFmtId="44" fontId="2" fillId="0" borderId="2" xfId="6" applyFont="1" applyFill="1" applyBorder="1" applyAlignment="1">
      <alignment vertical="center" wrapText="1"/>
    </xf>
    <xf numFmtId="14" fontId="2" fillId="0" borderId="2" xfId="0" applyNumberFormat="1" applyFont="1" applyFill="1" applyBorder="1" applyAlignment="1">
      <alignment horizontal="center" vertical="center" wrapText="1"/>
    </xf>
    <xf numFmtId="3" fontId="2" fillId="0" borderId="2" xfId="0" applyNumberFormat="1" applyFont="1" applyFill="1" applyBorder="1" applyAlignment="1">
      <alignment horizontal="center" vertical="center" wrapText="1"/>
    </xf>
    <xf numFmtId="44" fontId="2" fillId="0" borderId="2" xfId="6" applyFont="1" applyFill="1" applyBorder="1" applyAlignment="1">
      <alignment horizontal="center" vertical="center" wrapText="1"/>
    </xf>
    <xf numFmtId="43" fontId="4" fillId="0" borderId="2" xfId="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2" fillId="0" borderId="0" xfId="0" applyFont="1" applyFill="1" applyBorder="1" applyAlignment="1">
      <alignment vertical="center" wrapText="1"/>
    </xf>
    <xf numFmtId="0" fontId="2" fillId="0" borderId="0" xfId="0" applyFont="1" applyFill="1" applyBorder="1" applyAlignment="1">
      <alignment horizontal="righ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14"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2" fillId="0" borderId="0" xfId="0" applyNumberFormat="1" applyFont="1" applyFill="1" applyBorder="1" applyAlignment="1">
      <alignment vertical="center" wrapText="1"/>
    </xf>
    <xf numFmtId="0" fontId="3" fillId="0" borderId="17" xfId="0" applyFont="1" applyFill="1" applyBorder="1" applyAlignment="1">
      <alignment horizontal="center" vertical="center" wrapText="1"/>
    </xf>
    <xf numFmtId="0" fontId="2" fillId="0" borderId="5" xfId="0" applyFont="1" applyFill="1" applyBorder="1" applyAlignment="1">
      <alignment horizontal="right"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vertical="center" wrapText="1"/>
    </xf>
    <xf numFmtId="0" fontId="2" fillId="0" borderId="2" xfId="0" applyFont="1" applyFill="1" applyBorder="1" applyAlignment="1">
      <alignment horizontal="left" vertical="center" wrapText="1"/>
    </xf>
    <xf numFmtId="3" fontId="2" fillId="0" borderId="2" xfId="0" applyNumberFormat="1" applyFont="1" applyFill="1" applyBorder="1" applyAlignment="1">
      <alignment horizontal="left" vertical="center" wrapText="1"/>
    </xf>
    <xf numFmtId="0" fontId="2" fillId="0" borderId="2"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3" fillId="0" borderId="2" xfId="0" applyFont="1" applyFill="1" applyBorder="1" applyAlignment="1">
      <alignment horizontal="left" vertical="center" wrapText="1"/>
    </xf>
    <xf numFmtId="14" fontId="2" fillId="0" borderId="2" xfId="0" applyNumberFormat="1" applyFont="1" applyFill="1" applyBorder="1" applyAlignment="1">
      <alignment vertical="center" wrapText="1"/>
    </xf>
    <xf numFmtId="44" fontId="2" fillId="0" borderId="2" xfId="6" applyFont="1" applyFill="1" applyBorder="1" applyAlignment="1">
      <alignment vertical="center" wrapText="1"/>
    </xf>
    <xf numFmtId="3" fontId="2" fillId="0" borderId="2" xfId="0" applyNumberFormat="1" applyFont="1" applyFill="1" applyBorder="1" applyAlignment="1">
      <alignment vertical="center" wrapText="1"/>
    </xf>
    <xf numFmtId="44" fontId="2" fillId="0" borderId="2" xfId="6" applyFont="1" applyFill="1" applyBorder="1" applyAlignment="1">
      <alignment horizontal="center" vertical="center" wrapText="1"/>
    </xf>
    <xf numFmtId="0" fontId="4" fillId="0" borderId="2" xfId="0" applyFont="1" applyFill="1" applyBorder="1" applyAlignment="1">
      <alignment horizontal="left" vertical="center" wrapText="1"/>
    </xf>
    <xf numFmtId="44" fontId="4" fillId="0" borderId="2" xfId="6"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vertical="center" wrapText="1"/>
    </xf>
    <xf numFmtId="44" fontId="3" fillId="0" borderId="21" xfId="6" applyFont="1" applyFill="1" applyBorder="1" applyAlignment="1">
      <alignment vertical="center" wrapText="1"/>
    </xf>
    <xf numFmtId="0" fontId="3" fillId="0" borderId="21" xfId="0" applyFont="1" applyFill="1" applyBorder="1" applyAlignment="1">
      <alignment horizontal="left" vertical="center" wrapText="1"/>
    </xf>
    <xf numFmtId="44" fontId="3" fillId="0" borderId="21" xfId="6" applyFont="1" applyFill="1" applyBorder="1" applyAlignment="1">
      <alignment horizontal="left" vertical="center" wrapText="1"/>
    </xf>
    <xf numFmtId="0" fontId="3" fillId="0" borderId="21" xfId="0" applyFont="1" applyFill="1" applyBorder="1" applyAlignment="1">
      <alignment horizontal="center" vertical="center" wrapText="1"/>
    </xf>
    <xf numFmtId="14" fontId="3" fillId="0" borderId="21" xfId="0" applyNumberFormat="1" applyFont="1" applyFill="1" applyBorder="1" applyAlignment="1">
      <alignment horizontal="center" vertical="center" wrapText="1"/>
    </xf>
    <xf numFmtId="3" fontId="3" fillId="0" borderId="21" xfId="0" applyNumberFormat="1" applyFont="1" applyFill="1" applyBorder="1" applyAlignment="1">
      <alignment horizontal="center" vertical="center" wrapText="1"/>
    </xf>
    <xf numFmtId="0" fontId="3" fillId="0" borderId="21" xfId="0" applyFont="1" applyFill="1" applyBorder="1" applyAlignment="1">
      <alignment horizontal="right" vertical="center" wrapText="1"/>
    </xf>
    <xf numFmtId="44" fontId="3" fillId="0" borderId="21" xfId="6" applyFont="1" applyFill="1" applyBorder="1" applyAlignment="1">
      <alignment horizontal="center" vertical="center" wrapText="1"/>
    </xf>
    <xf numFmtId="0" fontId="3" fillId="0" borderId="21" xfId="0" applyNumberFormat="1" applyFont="1" applyFill="1" applyBorder="1" applyAlignment="1">
      <alignment horizontal="center" vertical="center" wrapText="1"/>
    </xf>
    <xf numFmtId="0" fontId="3" fillId="0" borderId="21" xfId="0" applyNumberFormat="1" applyFont="1" applyFill="1" applyBorder="1" applyAlignment="1">
      <alignment vertical="center" wrapText="1"/>
    </xf>
    <xf numFmtId="0" fontId="3" fillId="0" borderId="22" xfId="0" applyNumberFormat="1" applyFont="1" applyFill="1" applyBorder="1" applyAlignment="1">
      <alignment horizontal="center" vertical="center" wrapText="1"/>
    </xf>
  </cellXfs>
  <cellStyles count="7">
    <cellStyle name="Moeda" xfId="6" builtinId="4"/>
    <cellStyle name="Moeda 10" xfId="5"/>
    <cellStyle name="Moeda 3" xfId="2"/>
    <cellStyle name="Moeda 7" xfId="3"/>
    <cellStyle name="Moeda 8" xfId="4"/>
    <cellStyle name="Normal" xfId="0" builtinId="0"/>
    <cellStyle name="Vírgula"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981075</xdr:colOff>
      <xdr:row>0</xdr:row>
      <xdr:rowOff>85725</xdr:rowOff>
    </xdr:from>
    <xdr:to>
      <xdr:col>11</xdr:col>
      <xdr:colOff>981075</xdr:colOff>
      <xdr:row>2</xdr:row>
      <xdr:rowOff>161925</xdr:rowOff>
    </xdr:to>
    <xdr:pic>
      <xdr:nvPicPr>
        <xdr:cNvPr id="2" name="Imagem 1" descr="pmrb_evandro"/>
        <xdr:cNvPicPr/>
      </xdr:nvPicPr>
      <xdr:blipFill>
        <a:blip xmlns:r="http://schemas.openxmlformats.org/officeDocument/2006/relationships" r:embed="rId1" cstate="print"/>
        <a:srcRect/>
        <a:stretch>
          <a:fillRect/>
        </a:stretch>
      </xdr:blipFill>
      <xdr:spPr bwMode="auto">
        <a:xfrm>
          <a:off x="10725150" y="85725"/>
          <a:ext cx="0" cy="457200"/>
        </a:xfrm>
        <a:prstGeom prst="rect">
          <a:avLst/>
        </a:prstGeom>
        <a:noFill/>
        <a:ln w="9525">
          <a:noFill/>
          <a:miter lim="800000"/>
          <a:headEnd/>
          <a:tailEnd/>
        </a:ln>
      </xdr:spPr>
    </xdr:pic>
    <xdr:clientData/>
  </xdr:twoCellAnchor>
  <xdr:twoCellAnchor editAs="oneCell">
    <xdr:from>
      <xdr:col>11</xdr:col>
      <xdr:colOff>981075</xdr:colOff>
      <xdr:row>0</xdr:row>
      <xdr:rowOff>85725</xdr:rowOff>
    </xdr:from>
    <xdr:to>
      <xdr:col>11</xdr:col>
      <xdr:colOff>981075</xdr:colOff>
      <xdr:row>2</xdr:row>
      <xdr:rowOff>161925</xdr:rowOff>
    </xdr:to>
    <xdr:pic>
      <xdr:nvPicPr>
        <xdr:cNvPr id="5" name="Imagem 4" descr="pmrb_evandro"/>
        <xdr:cNvPicPr/>
      </xdr:nvPicPr>
      <xdr:blipFill>
        <a:blip xmlns:r="http://schemas.openxmlformats.org/officeDocument/2006/relationships" r:embed="rId1" cstate="print"/>
        <a:srcRect/>
        <a:stretch>
          <a:fillRect/>
        </a:stretch>
      </xdr:blipFill>
      <xdr:spPr bwMode="auto">
        <a:xfrm>
          <a:off x="10610850" y="85725"/>
          <a:ext cx="0" cy="457200"/>
        </a:xfrm>
        <a:prstGeom prst="rect">
          <a:avLst/>
        </a:prstGeom>
        <a:noFill/>
        <a:ln w="9525">
          <a:noFill/>
          <a:miter lim="800000"/>
          <a:headEnd/>
          <a:tailEnd/>
        </a:ln>
      </xdr:spPr>
    </xdr:pic>
    <xdr:clientData/>
  </xdr:twoCellAnchor>
  <xdr:twoCellAnchor editAs="oneCell">
    <xdr:from>
      <xdr:col>11</xdr:col>
      <xdr:colOff>981075</xdr:colOff>
      <xdr:row>0</xdr:row>
      <xdr:rowOff>85725</xdr:rowOff>
    </xdr:from>
    <xdr:to>
      <xdr:col>11</xdr:col>
      <xdr:colOff>981075</xdr:colOff>
      <xdr:row>2</xdr:row>
      <xdr:rowOff>161925</xdr:rowOff>
    </xdr:to>
    <xdr:pic>
      <xdr:nvPicPr>
        <xdr:cNvPr id="7" name="Imagem 6" descr="pmrb_evandro"/>
        <xdr:cNvPicPr/>
      </xdr:nvPicPr>
      <xdr:blipFill>
        <a:blip xmlns:r="http://schemas.openxmlformats.org/officeDocument/2006/relationships" r:embed="rId1" cstate="print"/>
        <a:srcRect/>
        <a:stretch>
          <a:fillRect/>
        </a:stretch>
      </xdr:blipFill>
      <xdr:spPr bwMode="auto">
        <a:xfrm>
          <a:off x="10610850" y="85725"/>
          <a:ext cx="0" cy="457200"/>
        </a:xfrm>
        <a:prstGeom prst="rect">
          <a:avLst/>
        </a:prstGeom>
        <a:noFill/>
        <a:ln w="9525">
          <a:noFill/>
          <a:miter lim="800000"/>
          <a:headEnd/>
          <a:tailEnd/>
        </a:ln>
      </xdr:spPr>
    </xdr:pic>
    <xdr:clientData/>
  </xdr:twoCellAnchor>
  <xdr:twoCellAnchor editAs="oneCell">
    <xdr:from>
      <xdr:col>1</xdr:col>
      <xdr:colOff>38100</xdr:colOff>
      <xdr:row>0</xdr:row>
      <xdr:rowOff>47625</xdr:rowOff>
    </xdr:from>
    <xdr:to>
      <xdr:col>1</xdr:col>
      <xdr:colOff>651782</xdr:colOff>
      <xdr:row>3</xdr:row>
      <xdr:rowOff>12246</xdr:rowOff>
    </xdr:to>
    <xdr:pic>
      <xdr:nvPicPr>
        <xdr:cNvPr id="9" name="Imagem 8" descr="pmrb_evandro"/>
        <xdr:cNvPicPr/>
      </xdr:nvPicPr>
      <xdr:blipFill>
        <a:blip xmlns:r="http://schemas.openxmlformats.org/officeDocument/2006/relationships" r:embed="rId1" cstate="print"/>
        <a:srcRect/>
        <a:stretch>
          <a:fillRect/>
        </a:stretch>
      </xdr:blipFill>
      <xdr:spPr bwMode="auto">
        <a:xfrm>
          <a:off x="561975" y="47625"/>
          <a:ext cx="613682" cy="53612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676"/>
  <sheetViews>
    <sheetView tabSelected="1" workbookViewId="0">
      <selection activeCell="B8" sqref="B8"/>
    </sheetView>
  </sheetViews>
  <sheetFormatPr defaultRowHeight="15" x14ac:dyDescent="0.25"/>
  <cols>
    <col min="1" max="1" width="7.85546875" style="41" customWidth="1"/>
    <col min="2" max="2" width="17" style="92" customWidth="1"/>
    <col min="3" max="3" width="10.7109375" style="17" customWidth="1"/>
    <col min="4" max="4" width="13.28515625" style="41" customWidth="1"/>
    <col min="5" max="5" width="9.140625" style="17" customWidth="1"/>
    <col min="6" max="6" width="52.7109375" style="93" customWidth="1"/>
    <col min="7" max="7" width="12" style="93" customWidth="1"/>
    <col min="8" max="8" width="13.28515625" style="94" customWidth="1"/>
    <col min="9" max="10" width="10.7109375" style="94" bestFit="1" customWidth="1"/>
    <col min="11" max="11" width="11.5703125" style="17" customWidth="1"/>
    <col min="12" max="12" width="35.42578125" style="145" customWidth="1"/>
    <col min="13" max="13" width="18.28515625" style="41" bestFit="1" customWidth="1"/>
    <col min="14" max="14" width="10.85546875" style="41" customWidth="1"/>
    <col min="15" max="15" width="16.28515625" style="96" bestFit="1" customWidth="1"/>
    <col min="16" max="16" width="11.5703125" style="41" customWidth="1"/>
    <col min="17" max="17" width="10.42578125" style="41" customWidth="1"/>
    <col min="18" max="18" width="11.42578125" style="41" customWidth="1"/>
    <col min="19" max="19" width="18.5703125" style="41" customWidth="1"/>
    <col min="20" max="20" width="18.5703125" style="17" customWidth="1"/>
    <col min="21" max="21" width="13.7109375" style="96" customWidth="1"/>
    <col min="22" max="22" width="14.5703125" style="96" customWidth="1"/>
    <col min="23" max="23" width="13.5703125" style="93" customWidth="1"/>
    <col min="24" max="24" width="11.42578125" style="93" customWidth="1"/>
    <col min="25" max="25" width="9.42578125" style="17" customWidth="1"/>
    <col min="26" max="26" width="12.28515625" style="17" customWidth="1"/>
    <col min="27" max="27" width="11.140625" style="17" customWidth="1"/>
    <col min="28" max="28" width="62.7109375" style="93" customWidth="1"/>
    <col min="29" max="29" width="12.7109375" style="41" customWidth="1"/>
    <col min="30" max="30" width="11.28515625" style="41" customWidth="1"/>
    <col min="31" max="31" width="12.85546875" style="92" customWidth="1"/>
    <col min="32" max="32" width="11.140625" style="41" customWidth="1"/>
    <col min="33" max="33" width="18" style="96" bestFit="1" customWidth="1"/>
    <col min="34" max="34" width="15.28515625" style="96" bestFit="1" customWidth="1"/>
    <col min="35" max="35" width="13" style="96" customWidth="1"/>
    <col min="36" max="36" width="15.7109375" style="96" customWidth="1"/>
    <col min="37" max="37" width="13" style="96" customWidth="1"/>
    <col min="38" max="38" width="17.42578125" style="96" bestFit="1" customWidth="1"/>
    <col min="39" max="39" width="16.7109375" style="95" bestFit="1" customWidth="1"/>
    <col min="40" max="40" width="16.28515625" style="96" bestFit="1" customWidth="1"/>
    <col min="41" max="41" width="16.5703125" style="96" bestFit="1" customWidth="1"/>
    <col min="42" max="42" width="13.28515625" style="41" bestFit="1" customWidth="1"/>
    <col min="43" max="44" width="13.7109375" style="41" bestFit="1" customWidth="1"/>
    <col min="45" max="45" width="29.42578125" style="41" bestFit="1" customWidth="1"/>
    <col min="46" max="46" width="28.42578125" style="41" customWidth="1"/>
    <col min="47" max="47" width="14.5703125" style="41" customWidth="1"/>
    <col min="48" max="48" width="16.28515625" style="41" customWidth="1"/>
    <col min="49" max="49" width="16.5703125" style="41" customWidth="1"/>
    <col min="50" max="50" width="15" style="41" customWidth="1"/>
    <col min="51" max="51" width="10.7109375" style="41" bestFit="1" customWidth="1"/>
    <col min="52" max="52" width="14.42578125" style="41" customWidth="1"/>
    <col min="53" max="53" width="10.7109375" style="41" bestFit="1" customWidth="1"/>
    <col min="54" max="54" width="10.5703125" style="17" customWidth="1"/>
    <col min="55" max="55" width="9.28515625" style="41" bestFit="1" customWidth="1"/>
    <col min="56" max="57" width="10.85546875" style="41" bestFit="1" customWidth="1"/>
    <col min="58" max="59" width="9.140625" style="41"/>
    <col min="60" max="60" width="10.7109375" style="41" bestFit="1" customWidth="1"/>
    <col min="61" max="61" width="12.42578125" style="41" customWidth="1"/>
    <col min="62" max="62" width="16.5703125" style="41" customWidth="1"/>
    <col min="63" max="63" width="9.140625" style="41"/>
    <col min="64" max="64" width="10.7109375" style="41" bestFit="1" customWidth="1"/>
    <col min="65" max="65" width="7.42578125" style="41" bestFit="1" customWidth="1"/>
    <col min="66" max="16384" width="9.140625" style="41"/>
  </cols>
  <sheetData>
    <row r="1" spans="1:65" s="1" customFormat="1" x14ac:dyDescent="0.25">
      <c r="F1" s="3"/>
      <c r="L1" s="99"/>
      <c r="O1" s="8"/>
      <c r="U1" s="8"/>
      <c r="V1" s="8"/>
      <c r="AG1" s="8"/>
      <c r="AH1" s="8"/>
      <c r="AI1" s="8"/>
      <c r="AJ1" s="8"/>
      <c r="AK1" s="8"/>
      <c r="AL1" s="8"/>
      <c r="AM1" s="8"/>
      <c r="AN1" s="8"/>
      <c r="AO1" s="8"/>
      <c r="AP1" s="2"/>
      <c r="AQ1" s="2"/>
      <c r="AR1" s="2"/>
      <c r="AS1" s="2"/>
      <c r="AT1" s="3"/>
      <c r="AU1" s="3"/>
      <c r="AV1" s="4"/>
      <c r="AW1" s="3"/>
      <c r="AX1" s="3"/>
      <c r="AY1" s="3"/>
      <c r="AZ1" s="3"/>
      <c r="BA1" s="3"/>
      <c r="BB1" s="4"/>
    </row>
    <row r="2" spans="1:65" s="1" customFormat="1" x14ac:dyDescent="0.25">
      <c r="F2" s="3"/>
      <c r="L2" s="99"/>
      <c r="O2" s="8"/>
      <c r="U2" s="8"/>
      <c r="V2" s="8"/>
      <c r="AG2" s="8"/>
      <c r="AH2" s="8"/>
      <c r="AI2" s="8"/>
      <c r="AJ2" s="8"/>
      <c r="AK2" s="8"/>
      <c r="AL2" s="8"/>
      <c r="AM2" s="8"/>
      <c r="AN2" s="8"/>
      <c r="AO2" s="8"/>
      <c r="AP2" s="2"/>
      <c r="AQ2" s="2"/>
      <c r="AR2" s="2"/>
      <c r="AS2" s="2"/>
      <c r="AT2" s="3"/>
      <c r="AU2" s="3"/>
      <c r="AV2" s="4"/>
      <c r="AW2" s="3"/>
      <c r="AX2" s="3"/>
      <c r="AY2" s="3"/>
      <c r="AZ2" s="3"/>
      <c r="BA2" s="3"/>
      <c r="BB2" s="4"/>
    </row>
    <row r="3" spans="1:65" s="1" customFormat="1" x14ac:dyDescent="0.25">
      <c r="F3" s="3"/>
      <c r="L3" s="99"/>
      <c r="O3" s="8"/>
      <c r="U3" s="8"/>
      <c r="V3" s="8"/>
      <c r="AG3" s="8"/>
      <c r="AH3" s="8"/>
      <c r="AI3" s="8"/>
      <c r="AJ3" s="8"/>
      <c r="AK3" s="8"/>
      <c r="AL3" s="8"/>
      <c r="AM3" s="8"/>
      <c r="AN3" s="8"/>
      <c r="AO3" s="8"/>
      <c r="AP3" s="2"/>
      <c r="AQ3" s="2"/>
      <c r="AR3" s="2"/>
      <c r="AS3" s="2"/>
      <c r="AT3" s="3"/>
      <c r="AU3" s="3"/>
      <c r="AV3" s="4"/>
      <c r="AW3" s="3"/>
      <c r="AX3" s="3"/>
      <c r="AY3" s="3"/>
      <c r="AZ3" s="3"/>
      <c r="BA3" s="3"/>
      <c r="BB3" s="4"/>
    </row>
    <row r="4" spans="1:65" s="97" customFormat="1" x14ac:dyDescent="0.25">
      <c r="A4" s="97" t="s">
        <v>49</v>
      </c>
      <c r="C4" s="98"/>
      <c r="E4" s="98"/>
      <c r="F4" s="99"/>
      <c r="G4" s="99"/>
      <c r="H4" s="100"/>
      <c r="I4" s="100"/>
      <c r="J4" s="100"/>
      <c r="K4" s="98"/>
      <c r="L4" s="99"/>
      <c r="O4" s="103"/>
      <c r="T4" s="98"/>
      <c r="U4" s="103"/>
      <c r="V4" s="103"/>
      <c r="W4" s="99"/>
      <c r="X4" s="99"/>
      <c r="Y4" s="98"/>
      <c r="Z4" s="98"/>
      <c r="AA4" s="98"/>
      <c r="AB4" s="99"/>
      <c r="AE4" s="101"/>
      <c r="AG4" s="103"/>
      <c r="AH4" s="103"/>
      <c r="AI4" s="103"/>
      <c r="AJ4" s="103"/>
      <c r="AK4" s="103"/>
      <c r="AL4" s="103"/>
      <c r="AM4" s="102"/>
      <c r="AN4" s="103"/>
      <c r="AO4" s="103"/>
      <c r="AP4" s="104"/>
      <c r="AQ4" s="104"/>
      <c r="AR4" s="104"/>
      <c r="AS4" s="104"/>
      <c r="AV4" s="98"/>
      <c r="BB4" s="98"/>
    </row>
    <row r="5" spans="1:65" s="1" customFormat="1" x14ac:dyDescent="0.25">
      <c r="A5" s="4"/>
      <c r="B5" s="6"/>
      <c r="C5" s="4"/>
      <c r="E5" s="4"/>
      <c r="F5" s="3"/>
      <c r="G5" s="3"/>
      <c r="H5" s="5"/>
      <c r="I5" s="5"/>
      <c r="J5" s="5"/>
      <c r="K5" s="4"/>
      <c r="L5" s="99"/>
      <c r="O5" s="8"/>
      <c r="T5" s="4"/>
      <c r="U5" s="10"/>
      <c r="V5" s="10"/>
      <c r="W5" s="3"/>
      <c r="X5" s="3"/>
      <c r="Y5" s="4"/>
      <c r="Z5" s="4"/>
      <c r="AA5" s="4"/>
      <c r="AB5" s="3"/>
      <c r="AC5" s="4"/>
      <c r="AD5" s="4"/>
      <c r="AE5" s="6"/>
      <c r="AF5" s="4"/>
      <c r="AG5" s="10"/>
      <c r="AH5" s="10"/>
      <c r="AI5" s="10"/>
      <c r="AJ5" s="10"/>
      <c r="AK5" s="10"/>
      <c r="AL5" s="10"/>
      <c r="AM5" s="9"/>
      <c r="AN5" s="10"/>
      <c r="AO5" s="10"/>
      <c r="AP5" s="5"/>
      <c r="AQ5" s="5"/>
      <c r="AR5" s="5"/>
      <c r="AS5" s="5"/>
      <c r="AT5" s="4"/>
      <c r="AU5" s="4"/>
      <c r="AV5" s="4"/>
      <c r="AW5" s="4"/>
      <c r="AX5" s="4"/>
      <c r="AY5" s="4"/>
      <c r="AZ5" s="4"/>
      <c r="BA5" s="4"/>
      <c r="BB5" s="4"/>
    </row>
    <row r="6" spans="1:65" s="97" customFormat="1" x14ac:dyDescent="0.25">
      <c r="A6" s="97" t="s">
        <v>1497</v>
      </c>
      <c r="F6" s="99"/>
      <c r="L6" s="99"/>
      <c r="O6" s="103"/>
      <c r="U6" s="103"/>
      <c r="V6" s="103"/>
      <c r="AG6" s="103"/>
      <c r="AH6" s="103"/>
      <c r="AI6" s="103"/>
      <c r="AJ6" s="103"/>
      <c r="AK6" s="103"/>
      <c r="AL6" s="103"/>
      <c r="AM6" s="103"/>
      <c r="AN6" s="103"/>
      <c r="AO6" s="103"/>
    </row>
    <row r="7" spans="1:65" s="1" customFormat="1" x14ac:dyDescent="0.25">
      <c r="A7" s="1" t="s">
        <v>109</v>
      </c>
      <c r="F7" s="3"/>
      <c r="L7" s="99"/>
      <c r="O7" s="8"/>
      <c r="T7" s="4"/>
      <c r="U7" s="12"/>
      <c r="V7" s="12"/>
      <c r="W7" s="3"/>
      <c r="X7" s="3"/>
      <c r="Y7" s="4"/>
      <c r="Z7" s="4"/>
      <c r="AA7" s="4"/>
      <c r="AB7" s="3"/>
      <c r="AC7" s="3"/>
      <c r="AD7" s="3"/>
      <c r="AE7" s="6"/>
      <c r="AF7" s="3"/>
      <c r="AG7" s="12"/>
      <c r="AH7" s="12"/>
      <c r="AI7" s="12"/>
      <c r="AJ7" s="12"/>
      <c r="AK7" s="12"/>
      <c r="AL7" s="12"/>
      <c r="AM7" s="11"/>
      <c r="AN7" s="12"/>
      <c r="AO7" s="12"/>
      <c r="AP7" s="2"/>
      <c r="AQ7" s="2"/>
      <c r="AR7" s="2"/>
      <c r="AS7" s="2"/>
      <c r="AT7" s="3"/>
      <c r="AU7" s="3"/>
      <c r="AV7" s="4"/>
      <c r="AW7" s="3"/>
      <c r="AX7" s="3"/>
      <c r="AY7" s="3"/>
      <c r="AZ7" s="3"/>
      <c r="BA7" s="3"/>
      <c r="BB7" s="4"/>
    </row>
    <row r="8" spans="1:65" s="1" customFormat="1" x14ac:dyDescent="0.25">
      <c r="A8" s="1" t="s">
        <v>81</v>
      </c>
      <c r="F8" s="3"/>
      <c r="G8" s="3"/>
      <c r="H8" s="5"/>
      <c r="I8" s="5"/>
      <c r="J8" s="5"/>
      <c r="K8" s="4"/>
      <c r="L8" s="99"/>
      <c r="O8" s="8"/>
      <c r="T8" s="4"/>
      <c r="U8" s="12"/>
      <c r="V8" s="12"/>
      <c r="W8" s="3"/>
      <c r="X8" s="3"/>
      <c r="Y8" s="4"/>
      <c r="Z8" s="4"/>
      <c r="AA8" s="4"/>
      <c r="AB8" s="3"/>
      <c r="AC8" s="3"/>
      <c r="AD8" s="3"/>
      <c r="AE8" s="6"/>
      <c r="AF8" s="3"/>
      <c r="AG8" s="12"/>
      <c r="AH8" s="12"/>
      <c r="AI8" s="12"/>
      <c r="AJ8" s="12"/>
      <c r="AK8" s="12"/>
      <c r="AL8" s="12"/>
      <c r="AM8" s="11"/>
      <c r="AN8" s="12"/>
      <c r="AO8" s="12"/>
      <c r="AP8" s="2"/>
      <c r="AQ8" s="2"/>
      <c r="AR8" s="2"/>
      <c r="AS8" s="2"/>
      <c r="AT8" s="3"/>
      <c r="AU8" s="3"/>
      <c r="AV8" s="4"/>
      <c r="AW8" s="3"/>
      <c r="AX8" s="3"/>
      <c r="AY8" s="3"/>
      <c r="AZ8" s="3"/>
      <c r="BA8" s="3"/>
      <c r="BB8" s="4"/>
    </row>
    <row r="9" spans="1:65" s="1" customFormat="1" x14ac:dyDescent="0.25">
      <c r="A9" s="4"/>
      <c r="B9" s="6"/>
      <c r="C9" s="4"/>
      <c r="E9" s="4"/>
      <c r="F9" s="3"/>
      <c r="G9" s="3"/>
      <c r="H9" s="5"/>
      <c r="I9" s="5"/>
      <c r="J9" s="5"/>
      <c r="K9" s="4"/>
      <c r="L9" s="99"/>
      <c r="O9" s="8"/>
      <c r="T9" s="4"/>
      <c r="U9" s="10"/>
      <c r="V9" s="10"/>
      <c r="W9" s="3"/>
      <c r="X9" s="3"/>
      <c r="Y9" s="4"/>
      <c r="Z9" s="4"/>
      <c r="AA9" s="4"/>
      <c r="AB9" s="3"/>
      <c r="AC9" s="4"/>
      <c r="AD9" s="4"/>
      <c r="AE9" s="6"/>
      <c r="AF9" s="4"/>
      <c r="AG9" s="10"/>
      <c r="AH9" s="10"/>
      <c r="AI9" s="10"/>
      <c r="AJ9" s="10"/>
      <c r="AK9" s="10"/>
      <c r="AL9" s="10"/>
      <c r="AM9" s="9"/>
      <c r="AN9" s="10"/>
      <c r="AO9" s="10"/>
      <c r="AP9" s="5"/>
      <c r="AQ9" s="5"/>
      <c r="AR9" s="5"/>
      <c r="AS9" s="5"/>
      <c r="AT9" s="4"/>
      <c r="AU9" s="4"/>
      <c r="AV9" s="4"/>
      <c r="AW9" s="4"/>
      <c r="AX9" s="4"/>
      <c r="AY9" s="4"/>
      <c r="AZ9" s="4"/>
      <c r="BA9" s="4"/>
      <c r="BB9" s="4"/>
    </row>
    <row r="10" spans="1:65" s="1" customFormat="1" x14ac:dyDescent="0.25">
      <c r="A10" s="1" t="s">
        <v>1895</v>
      </c>
      <c r="F10" s="3"/>
      <c r="L10" s="99"/>
      <c r="O10" s="8"/>
      <c r="U10" s="8"/>
      <c r="V10" s="8"/>
      <c r="AG10" s="8"/>
      <c r="AH10" s="8"/>
      <c r="AI10" s="8"/>
      <c r="AJ10" s="8"/>
      <c r="AK10" s="8"/>
      <c r="AL10" s="8"/>
      <c r="AM10" s="8"/>
      <c r="AN10" s="8"/>
      <c r="AO10" s="8"/>
    </row>
    <row r="11" spans="1:65" s="1" customFormat="1" x14ac:dyDescent="0.25">
      <c r="A11" s="1" t="s">
        <v>1896</v>
      </c>
      <c r="F11" s="3"/>
      <c r="L11" s="99"/>
      <c r="O11" s="8"/>
      <c r="U11" s="8"/>
      <c r="V11" s="8"/>
      <c r="AG11" s="8"/>
      <c r="AH11" s="8"/>
      <c r="AI11" s="8"/>
      <c r="AJ11" s="8"/>
      <c r="AK11" s="8"/>
      <c r="AL11" s="8"/>
      <c r="AM11" s="8"/>
      <c r="AN11" s="8"/>
      <c r="AO11" s="8"/>
    </row>
    <row r="12" spans="1:65" s="1" customFormat="1" x14ac:dyDescent="0.25">
      <c r="A12" s="1" t="s">
        <v>1897</v>
      </c>
      <c r="F12" s="3"/>
      <c r="L12" s="99"/>
      <c r="O12" s="8"/>
      <c r="U12" s="8"/>
      <c r="V12" s="8"/>
      <c r="AG12" s="8"/>
      <c r="AH12" s="8"/>
      <c r="AI12" s="8"/>
      <c r="AJ12" s="8"/>
      <c r="AK12" s="8"/>
      <c r="AL12" s="8"/>
      <c r="AM12" s="8"/>
      <c r="AN12" s="8"/>
      <c r="AO12" s="8"/>
    </row>
    <row r="13" spans="1:65" s="1" customFormat="1" x14ac:dyDescent="0.25">
      <c r="F13" s="3"/>
      <c r="L13" s="99"/>
      <c r="O13" s="8"/>
      <c r="T13" s="4"/>
      <c r="U13" s="10"/>
      <c r="V13" s="10"/>
      <c r="W13" s="3"/>
      <c r="X13" s="3"/>
      <c r="Y13" s="4"/>
      <c r="Z13" s="4"/>
      <c r="AA13" s="4"/>
      <c r="AB13" s="3"/>
      <c r="AC13" s="4"/>
      <c r="AD13" s="4"/>
      <c r="AE13" s="6"/>
      <c r="AF13" s="4"/>
      <c r="AG13" s="10"/>
      <c r="AH13" s="10"/>
      <c r="AI13" s="10"/>
      <c r="AJ13" s="10"/>
      <c r="AK13" s="10"/>
      <c r="AL13" s="10"/>
      <c r="AM13" s="9"/>
      <c r="AN13" s="10"/>
      <c r="AO13" s="10"/>
      <c r="AP13" s="5"/>
      <c r="AQ13" s="5"/>
      <c r="AR13" s="5"/>
      <c r="AS13" s="5"/>
      <c r="AT13" s="4"/>
      <c r="AU13" s="4"/>
      <c r="AV13" s="4"/>
      <c r="AW13" s="4"/>
      <c r="AX13" s="4"/>
      <c r="AY13" s="4"/>
      <c r="AZ13" s="4"/>
      <c r="BA13" s="4"/>
      <c r="BB13" s="4"/>
    </row>
    <row r="14" spans="1:65" s="1" customFormat="1" ht="15.75" thickBot="1" x14ac:dyDescent="0.3">
      <c r="A14" s="97" t="s">
        <v>77</v>
      </c>
      <c r="B14" s="6"/>
      <c r="C14" s="4"/>
      <c r="E14" s="4"/>
      <c r="F14" s="3"/>
      <c r="G14" s="3"/>
      <c r="H14" s="13"/>
      <c r="I14" s="13"/>
      <c r="J14" s="13"/>
      <c r="K14" s="4"/>
      <c r="L14" s="99"/>
      <c r="O14" s="8"/>
      <c r="R14" s="1" t="s">
        <v>318</v>
      </c>
      <c r="T14" s="4"/>
      <c r="U14" s="8"/>
      <c r="V14" s="8"/>
      <c r="W14" s="3"/>
      <c r="X14" s="3"/>
      <c r="Y14" s="4"/>
      <c r="Z14" s="4"/>
      <c r="AA14" s="4"/>
      <c r="AB14" s="3"/>
      <c r="AE14" s="6"/>
      <c r="AG14" s="8"/>
      <c r="AH14" s="8"/>
      <c r="AI14" s="8"/>
      <c r="AJ14" s="8"/>
      <c r="AK14" s="8"/>
      <c r="AL14" s="8"/>
      <c r="AM14" s="7"/>
      <c r="AN14" s="8"/>
      <c r="AO14" s="8"/>
      <c r="BB14" s="4"/>
    </row>
    <row r="15" spans="1:65" s="17" customFormat="1" x14ac:dyDescent="0.25">
      <c r="A15" s="126" t="s">
        <v>52</v>
      </c>
      <c r="B15" s="127" t="s">
        <v>20</v>
      </c>
      <c r="C15" s="127"/>
      <c r="D15" s="127"/>
      <c r="E15" s="127"/>
      <c r="F15" s="127"/>
      <c r="G15" s="127"/>
      <c r="H15" s="128"/>
      <c r="I15" s="128"/>
      <c r="J15" s="128"/>
      <c r="K15" s="127" t="s">
        <v>78</v>
      </c>
      <c r="L15" s="127"/>
      <c r="M15" s="127"/>
      <c r="N15" s="127"/>
      <c r="O15" s="127"/>
      <c r="P15" s="127"/>
      <c r="Q15" s="127"/>
      <c r="R15" s="127"/>
      <c r="S15" s="127"/>
      <c r="T15" s="127"/>
      <c r="U15" s="127"/>
      <c r="V15" s="127"/>
      <c r="W15" s="127"/>
      <c r="X15" s="127"/>
      <c r="Y15" s="127"/>
      <c r="Z15" s="127"/>
      <c r="AA15" s="127"/>
      <c r="AB15" s="127"/>
      <c r="AC15" s="127"/>
      <c r="AD15" s="127"/>
      <c r="AE15" s="127"/>
      <c r="AF15" s="127"/>
      <c r="AG15" s="127"/>
      <c r="AH15" s="127"/>
      <c r="AI15" s="127"/>
      <c r="AJ15" s="127"/>
      <c r="AK15" s="127"/>
      <c r="AL15" s="127"/>
      <c r="AM15" s="127"/>
      <c r="AN15" s="127"/>
      <c r="AO15" s="127"/>
      <c r="AP15" s="127" t="s">
        <v>88</v>
      </c>
      <c r="AQ15" s="127"/>
      <c r="AR15" s="127"/>
      <c r="AS15" s="127"/>
      <c r="AT15" s="127"/>
      <c r="AU15" s="127"/>
      <c r="AV15" s="127" t="s">
        <v>108</v>
      </c>
      <c r="AW15" s="127"/>
      <c r="AX15" s="127"/>
      <c r="AY15" s="127"/>
      <c r="AZ15" s="127"/>
      <c r="BA15" s="127"/>
      <c r="BB15" s="127" t="s">
        <v>79</v>
      </c>
      <c r="BC15" s="127"/>
      <c r="BD15" s="127"/>
      <c r="BE15" s="127"/>
      <c r="BF15" s="127"/>
      <c r="BG15" s="127"/>
      <c r="BH15" s="127"/>
      <c r="BI15" s="127"/>
      <c r="BJ15" s="127"/>
      <c r="BK15" s="127"/>
      <c r="BL15" s="127"/>
      <c r="BM15" s="129"/>
    </row>
    <row r="16" spans="1:65" s="17" customFormat="1" x14ac:dyDescent="0.25">
      <c r="A16" s="130"/>
      <c r="B16" s="15"/>
      <c r="C16" s="15"/>
      <c r="D16" s="15"/>
      <c r="E16" s="15"/>
      <c r="F16" s="15"/>
      <c r="G16" s="15"/>
      <c r="H16" s="18" t="s">
        <v>716</v>
      </c>
      <c r="I16" s="18"/>
      <c r="J16" s="18"/>
      <c r="K16" s="15" t="s">
        <v>50</v>
      </c>
      <c r="L16" s="15"/>
      <c r="M16" s="15"/>
      <c r="N16" s="15"/>
      <c r="O16" s="15"/>
      <c r="P16" s="15"/>
      <c r="Q16" s="15"/>
      <c r="R16" s="15"/>
      <c r="S16" s="15"/>
      <c r="T16" s="15"/>
      <c r="U16" s="15"/>
      <c r="V16" s="15"/>
      <c r="W16" s="15"/>
      <c r="X16" s="15" t="s">
        <v>717</v>
      </c>
      <c r="Y16" s="15"/>
      <c r="Z16" s="15"/>
      <c r="AA16" s="15"/>
      <c r="AB16" s="15"/>
      <c r="AC16" s="15"/>
      <c r="AD16" s="15"/>
      <c r="AE16" s="15"/>
      <c r="AF16" s="15"/>
      <c r="AG16" s="15"/>
      <c r="AH16" s="15"/>
      <c r="AI16" s="150" t="s">
        <v>718</v>
      </c>
      <c r="AJ16" s="150"/>
      <c r="AK16" s="150"/>
      <c r="AL16" s="150" t="s">
        <v>51</v>
      </c>
      <c r="AM16" s="150"/>
      <c r="AN16" s="150"/>
      <c r="AO16" s="150"/>
      <c r="AP16" s="15" t="s">
        <v>90</v>
      </c>
      <c r="AQ16" s="15" t="s">
        <v>719</v>
      </c>
      <c r="AR16" s="15"/>
      <c r="AS16" s="15" t="s">
        <v>91</v>
      </c>
      <c r="AT16" s="15" t="s">
        <v>89</v>
      </c>
      <c r="AU16" s="15" t="s">
        <v>92</v>
      </c>
      <c r="AV16" s="15" t="s">
        <v>97</v>
      </c>
      <c r="AW16" s="15" t="s">
        <v>98</v>
      </c>
      <c r="AX16" s="15" t="s">
        <v>99</v>
      </c>
      <c r="AY16" s="15" t="s">
        <v>101</v>
      </c>
      <c r="AZ16" s="15" t="s">
        <v>100</v>
      </c>
      <c r="BA16" s="15" t="s">
        <v>101</v>
      </c>
      <c r="BB16" s="15" t="s">
        <v>1</v>
      </c>
      <c r="BC16" s="15" t="s">
        <v>57</v>
      </c>
      <c r="BD16" s="105" t="s">
        <v>61</v>
      </c>
      <c r="BE16" s="105"/>
      <c r="BF16" s="105"/>
      <c r="BG16" s="105" t="s">
        <v>64</v>
      </c>
      <c r="BH16" s="105"/>
      <c r="BI16" s="15" t="s">
        <v>720</v>
      </c>
      <c r="BJ16" s="15" t="s">
        <v>721</v>
      </c>
      <c r="BK16" s="105" t="s">
        <v>67</v>
      </c>
      <c r="BL16" s="105"/>
      <c r="BM16" s="131"/>
    </row>
    <row r="17" spans="1:65" s="17" customFormat="1" x14ac:dyDescent="0.25">
      <c r="A17" s="130"/>
      <c r="B17" s="15"/>
      <c r="C17" s="15"/>
      <c r="D17" s="15"/>
      <c r="E17" s="15"/>
      <c r="F17" s="15"/>
      <c r="G17" s="15"/>
      <c r="H17" s="18" t="s">
        <v>722</v>
      </c>
      <c r="I17" s="18" t="s">
        <v>719</v>
      </c>
      <c r="J17" s="18"/>
      <c r="K17" s="15"/>
      <c r="L17" s="15"/>
      <c r="M17" s="15"/>
      <c r="N17" s="15"/>
      <c r="O17" s="15"/>
      <c r="P17" s="15"/>
      <c r="Q17" s="15"/>
      <c r="R17" s="15"/>
      <c r="S17" s="15"/>
      <c r="T17" s="15"/>
      <c r="U17" s="15"/>
      <c r="V17" s="15"/>
      <c r="W17" s="15"/>
      <c r="X17" s="15"/>
      <c r="Y17" s="15"/>
      <c r="Z17" s="15"/>
      <c r="AA17" s="15"/>
      <c r="AB17" s="15"/>
      <c r="AC17" s="15" t="s">
        <v>723</v>
      </c>
      <c r="AD17" s="15"/>
      <c r="AE17" s="15" t="s">
        <v>724</v>
      </c>
      <c r="AF17" s="15"/>
      <c r="AG17" s="15"/>
      <c r="AH17" s="15"/>
      <c r="AI17" s="150" t="s">
        <v>725</v>
      </c>
      <c r="AJ17" s="150"/>
      <c r="AK17" s="150"/>
      <c r="AL17" s="107"/>
      <c r="AM17" s="150" t="s">
        <v>726</v>
      </c>
      <c r="AN17" s="150"/>
      <c r="AO17" s="150"/>
      <c r="AP17" s="15"/>
      <c r="AQ17" s="15"/>
      <c r="AR17" s="15"/>
      <c r="AS17" s="15"/>
      <c r="AT17" s="15"/>
      <c r="AU17" s="15"/>
      <c r="AV17" s="15"/>
      <c r="AW17" s="15"/>
      <c r="AX17" s="15"/>
      <c r="AY17" s="15"/>
      <c r="AZ17" s="15"/>
      <c r="BA17" s="15"/>
      <c r="BB17" s="15"/>
      <c r="BC17" s="15"/>
      <c r="BD17" s="105"/>
      <c r="BE17" s="105"/>
      <c r="BF17" s="105"/>
      <c r="BG17" s="105"/>
      <c r="BH17" s="105"/>
      <c r="BI17" s="15"/>
      <c r="BJ17" s="15"/>
      <c r="BK17" s="105"/>
      <c r="BL17" s="105"/>
      <c r="BM17" s="131"/>
    </row>
    <row r="18" spans="1:65" s="17" customFormat="1" ht="45" x14ac:dyDescent="0.25">
      <c r="A18" s="130"/>
      <c r="B18" s="21" t="s">
        <v>6</v>
      </c>
      <c r="C18" s="21" t="s">
        <v>7</v>
      </c>
      <c r="D18" s="21" t="s">
        <v>0</v>
      </c>
      <c r="E18" s="21" t="s">
        <v>1</v>
      </c>
      <c r="F18" s="21" t="s">
        <v>2</v>
      </c>
      <c r="G18" s="21" t="s">
        <v>8</v>
      </c>
      <c r="H18" s="18"/>
      <c r="I18" s="16" t="s">
        <v>58</v>
      </c>
      <c r="J18" s="16" t="s">
        <v>59</v>
      </c>
      <c r="K18" s="106" t="s">
        <v>9</v>
      </c>
      <c r="L18" s="21" t="s">
        <v>3</v>
      </c>
      <c r="M18" s="21" t="s">
        <v>19</v>
      </c>
      <c r="N18" s="21" t="s">
        <v>10</v>
      </c>
      <c r="O18" s="107" t="s">
        <v>47</v>
      </c>
      <c r="P18" s="21" t="s">
        <v>14</v>
      </c>
      <c r="Q18" s="21" t="s">
        <v>13</v>
      </c>
      <c r="R18" s="21" t="s">
        <v>12</v>
      </c>
      <c r="S18" s="21" t="s">
        <v>4</v>
      </c>
      <c r="T18" s="21" t="s">
        <v>85</v>
      </c>
      <c r="U18" s="107" t="s">
        <v>53</v>
      </c>
      <c r="V18" s="107" t="s">
        <v>54</v>
      </c>
      <c r="W18" s="21" t="s">
        <v>5</v>
      </c>
      <c r="X18" s="21" t="s">
        <v>1</v>
      </c>
      <c r="Y18" s="21" t="s">
        <v>727</v>
      </c>
      <c r="Z18" s="21" t="s">
        <v>10</v>
      </c>
      <c r="AA18" s="21" t="s">
        <v>14</v>
      </c>
      <c r="AB18" s="21" t="s">
        <v>11</v>
      </c>
      <c r="AC18" s="21" t="s">
        <v>13</v>
      </c>
      <c r="AD18" s="21" t="s">
        <v>12</v>
      </c>
      <c r="AE18" s="21" t="s">
        <v>15</v>
      </c>
      <c r="AF18" s="21" t="s">
        <v>16</v>
      </c>
      <c r="AG18" s="107" t="s">
        <v>17</v>
      </c>
      <c r="AH18" s="107" t="s">
        <v>18</v>
      </c>
      <c r="AI18" s="107" t="s">
        <v>728</v>
      </c>
      <c r="AJ18" s="107" t="s">
        <v>729</v>
      </c>
      <c r="AK18" s="107" t="s">
        <v>730</v>
      </c>
      <c r="AL18" s="107" t="s">
        <v>21</v>
      </c>
      <c r="AM18" s="107" t="s">
        <v>731</v>
      </c>
      <c r="AN18" s="107" t="s">
        <v>732</v>
      </c>
      <c r="AO18" s="107" t="s">
        <v>733</v>
      </c>
      <c r="AP18" s="15"/>
      <c r="AQ18" s="21" t="s">
        <v>58</v>
      </c>
      <c r="AR18" s="21" t="s">
        <v>59</v>
      </c>
      <c r="AS18" s="15"/>
      <c r="AT18" s="15"/>
      <c r="AU18" s="15"/>
      <c r="AV18" s="15"/>
      <c r="AW18" s="15"/>
      <c r="AX18" s="15"/>
      <c r="AY18" s="15"/>
      <c r="AZ18" s="15"/>
      <c r="BA18" s="15"/>
      <c r="BB18" s="15"/>
      <c r="BC18" s="15"/>
      <c r="BD18" s="108" t="s">
        <v>58</v>
      </c>
      <c r="BE18" s="108" t="s">
        <v>59</v>
      </c>
      <c r="BF18" s="108" t="s">
        <v>60</v>
      </c>
      <c r="BG18" s="108" t="s">
        <v>62</v>
      </c>
      <c r="BH18" s="21" t="s">
        <v>63</v>
      </c>
      <c r="BI18" s="15"/>
      <c r="BJ18" s="15"/>
      <c r="BK18" s="108" t="s">
        <v>58</v>
      </c>
      <c r="BL18" s="108" t="s">
        <v>66</v>
      </c>
      <c r="BM18" s="132" t="s">
        <v>65</v>
      </c>
    </row>
    <row r="19" spans="1:65" s="17" customFormat="1" ht="30.75" thickBot="1" x14ac:dyDescent="0.3">
      <c r="A19" s="133"/>
      <c r="B19" s="134" t="s">
        <v>22</v>
      </c>
      <c r="C19" s="134" t="s">
        <v>23</v>
      </c>
      <c r="D19" s="135" t="s">
        <v>46</v>
      </c>
      <c r="E19" s="134" t="s">
        <v>24</v>
      </c>
      <c r="F19" s="134" t="s">
        <v>25</v>
      </c>
      <c r="G19" s="134" t="s">
        <v>26</v>
      </c>
      <c r="H19" s="136" t="s">
        <v>27</v>
      </c>
      <c r="I19" s="136" t="s">
        <v>28</v>
      </c>
      <c r="J19" s="136" t="s">
        <v>29</v>
      </c>
      <c r="K19" s="135" t="s">
        <v>30</v>
      </c>
      <c r="L19" s="134" t="s">
        <v>31</v>
      </c>
      <c r="M19" s="134" t="s">
        <v>32</v>
      </c>
      <c r="N19" s="134" t="s">
        <v>33</v>
      </c>
      <c r="O19" s="137" t="s">
        <v>34</v>
      </c>
      <c r="P19" s="134" t="s">
        <v>35</v>
      </c>
      <c r="Q19" s="134" t="s">
        <v>36</v>
      </c>
      <c r="R19" s="134" t="s">
        <v>37</v>
      </c>
      <c r="S19" s="134" t="s">
        <v>48</v>
      </c>
      <c r="T19" s="134" t="s">
        <v>38</v>
      </c>
      <c r="U19" s="137" t="s">
        <v>82</v>
      </c>
      <c r="V19" s="137" t="s">
        <v>39</v>
      </c>
      <c r="W19" s="134" t="s">
        <v>40</v>
      </c>
      <c r="X19" s="134" t="s">
        <v>41</v>
      </c>
      <c r="Y19" s="134" t="s">
        <v>42</v>
      </c>
      <c r="Z19" s="134" t="s">
        <v>43</v>
      </c>
      <c r="AA19" s="134" t="s">
        <v>44</v>
      </c>
      <c r="AB19" s="134" t="s">
        <v>55</v>
      </c>
      <c r="AC19" s="134" t="s">
        <v>45</v>
      </c>
      <c r="AD19" s="134" t="s">
        <v>83</v>
      </c>
      <c r="AE19" s="134" t="s">
        <v>84</v>
      </c>
      <c r="AF19" s="134" t="s">
        <v>56</v>
      </c>
      <c r="AG19" s="137" t="s">
        <v>86</v>
      </c>
      <c r="AH19" s="137" t="s">
        <v>87</v>
      </c>
      <c r="AI19" s="137" t="s">
        <v>68</v>
      </c>
      <c r="AJ19" s="137" t="s">
        <v>69</v>
      </c>
      <c r="AK19" s="137" t="s">
        <v>70</v>
      </c>
      <c r="AL19" s="137" t="s">
        <v>734</v>
      </c>
      <c r="AM19" s="137" t="s">
        <v>71</v>
      </c>
      <c r="AN19" s="137" t="s">
        <v>72</v>
      </c>
      <c r="AO19" s="137" t="s">
        <v>735</v>
      </c>
      <c r="AP19" s="134" t="s">
        <v>73</v>
      </c>
      <c r="AQ19" s="134" t="s">
        <v>74</v>
      </c>
      <c r="AR19" s="134" t="s">
        <v>75</v>
      </c>
      <c r="AS19" s="134" t="s">
        <v>76</v>
      </c>
      <c r="AT19" s="134" t="s">
        <v>80</v>
      </c>
      <c r="AU19" s="138" t="s">
        <v>93</v>
      </c>
      <c r="AV19" s="138" t="s">
        <v>94</v>
      </c>
      <c r="AW19" s="138" t="s">
        <v>95</v>
      </c>
      <c r="AX19" s="138" t="s">
        <v>102</v>
      </c>
      <c r="AY19" s="138" t="s">
        <v>96</v>
      </c>
      <c r="AZ19" s="138" t="s">
        <v>103</v>
      </c>
      <c r="BA19" s="138" t="s">
        <v>104</v>
      </c>
      <c r="BB19" s="138" t="s">
        <v>105</v>
      </c>
      <c r="BC19" s="138" t="s">
        <v>106</v>
      </c>
      <c r="BD19" s="138" t="s">
        <v>107</v>
      </c>
      <c r="BE19" s="138" t="s">
        <v>736</v>
      </c>
      <c r="BF19" s="138" t="s">
        <v>737</v>
      </c>
      <c r="BG19" s="138" t="s">
        <v>738</v>
      </c>
      <c r="BH19" s="138" t="s">
        <v>739</v>
      </c>
      <c r="BI19" s="138" t="s">
        <v>740</v>
      </c>
      <c r="BJ19" s="138" t="s">
        <v>741</v>
      </c>
      <c r="BK19" s="138" t="s">
        <v>742</v>
      </c>
      <c r="BL19" s="138" t="s">
        <v>743</v>
      </c>
      <c r="BM19" s="139" t="s">
        <v>744</v>
      </c>
    </row>
    <row r="20" spans="1:65" ht="225" x14ac:dyDescent="0.25">
      <c r="A20" s="158">
        <v>1</v>
      </c>
      <c r="B20" s="153" t="s">
        <v>126</v>
      </c>
      <c r="C20" s="109" t="s">
        <v>127</v>
      </c>
      <c r="D20" s="110" t="s">
        <v>128</v>
      </c>
      <c r="E20" s="109" t="s">
        <v>124</v>
      </c>
      <c r="F20" s="116" t="s">
        <v>129</v>
      </c>
      <c r="G20" s="111" t="s">
        <v>1162</v>
      </c>
      <c r="H20" s="112" t="s">
        <v>206</v>
      </c>
      <c r="I20" s="113">
        <v>41354</v>
      </c>
      <c r="J20" s="113">
        <v>41719</v>
      </c>
      <c r="K20" s="109" t="s">
        <v>125</v>
      </c>
      <c r="L20" s="142" t="s">
        <v>130</v>
      </c>
      <c r="M20" s="110" t="s">
        <v>131</v>
      </c>
      <c r="N20" s="110" t="s">
        <v>132</v>
      </c>
      <c r="O20" s="146">
        <v>4297968</v>
      </c>
      <c r="P20" s="114" t="s">
        <v>1036</v>
      </c>
      <c r="Q20" s="110" t="s">
        <v>132</v>
      </c>
      <c r="R20" s="115">
        <v>41723</v>
      </c>
      <c r="S20" s="110" t="s">
        <v>133</v>
      </c>
      <c r="T20" s="116"/>
      <c r="U20" s="147"/>
      <c r="V20" s="147"/>
      <c r="W20" s="116" t="s">
        <v>135</v>
      </c>
      <c r="X20" s="117" t="s">
        <v>1570</v>
      </c>
      <c r="Y20" s="118" t="s">
        <v>136</v>
      </c>
      <c r="Z20" s="118" t="s">
        <v>137</v>
      </c>
      <c r="AA20" s="119">
        <v>11273</v>
      </c>
      <c r="AB20" s="117" t="s">
        <v>479</v>
      </c>
      <c r="AC20" s="120">
        <v>41723</v>
      </c>
      <c r="AD20" s="120">
        <v>42088</v>
      </c>
      <c r="AE20" s="121"/>
      <c r="AF20" s="118"/>
      <c r="AG20" s="151">
        <v>2106000</v>
      </c>
      <c r="AH20" s="151"/>
      <c r="AI20" s="151"/>
      <c r="AJ20" s="151"/>
      <c r="AK20" s="151"/>
      <c r="AL20" s="123">
        <f>O20-AH20+AG20-AH21+AG21-AH22+AG22-AH23+AG23-AH24+AG24-AH25+AG25</f>
        <v>14568406.200000001</v>
      </c>
      <c r="AM20" s="123">
        <f>5475768.4+1550445+132600+132600+132600+154072.44+148631+148631+148631+150816.75+150816.75+150816.75+150816.75+150816.75+155188.25+155188.25+155188.25+159559.5+157374+158612.59+166630.53+166630.53+166630.53+166630.53+166630.53+166630.53</f>
        <v>10718956.609999996</v>
      </c>
      <c r="AN20" s="123">
        <f>166630.53+333261.06+169225.46+166630.53+170139.23</f>
        <v>1005886.8099999999</v>
      </c>
      <c r="AO20" s="123">
        <f>AM20+AN20</f>
        <v>11724843.419999996</v>
      </c>
      <c r="AP20" s="124"/>
      <c r="AQ20" s="122"/>
      <c r="AR20" s="122"/>
      <c r="AS20" s="112"/>
      <c r="AT20" s="125"/>
      <c r="AU20" s="109"/>
      <c r="AV20" s="109"/>
      <c r="AW20" s="109"/>
      <c r="AX20" s="109"/>
      <c r="AY20" s="109"/>
      <c r="AZ20" s="109"/>
      <c r="BA20" s="109"/>
      <c r="BB20" s="109"/>
      <c r="BC20" s="110"/>
      <c r="BD20" s="109"/>
      <c r="BE20" s="109"/>
      <c r="BF20" s="109"/>
      <c r="BG20" s="109"/>
      <c r="BH20" s="109"/>
      <c r="BI20" s="109"/>
      <c r="BJ20" s="109"/>
      <c r="BK20" s="109"/>
      <c r="BL20" s="109"/>
      <c r="BM20" s="109"/>
    </row>
    <row r="21" spans="1:65" ht="45" x14ac:dyDescent="0.25">
      <c r="A21" s="159"/>
      <c r="B21" s="154"/>
      <c r="C21" s="19"/>
      <c r="D21" s="27"/>
      <c r="E21" s="19"/>
      <c r="F21" s="32"/>
      <c r="G21" s="28"/>
      <c r="H21" s="20"/>
      <c r="I21" s="29"/>
      <c r="J21" s="29"/>
      <c r="K21" s="19"/>
      <c r="L21" s="143"/>
      <c r="M21" s="27"/>
      <c r="N21" s="27"/>
      <c r="O21" s="78"/>
      <c r="P21" s="30"/>
      <c r="Q21" s="27"/>
      <c r="R21" s="31"/>
      <c r="S21" s="27"/>
      <c r="T21" s="32"/>
      <c r="U21" s="148"/>
      <c r="V21" s="148"/>
      <c r="W21" s="32"/>
      <c r="X21" s="33" t="s">
        <v>1570</v>
      </c>
      <c r="Y21" s="22" t="s">
        <v>140</v>
      </c>
      <c r="Z21" s="35">
        <v>42086</v>
      </c>
      <c r="AA21" s="34">
        <v>11523</v>
      </c>
      <c r="AB21" s="33" t="s">
        <v>357</v>
      </c>
      <c r="AC21" s="35">
        <v>42088</v>
      </c>
      <c r="AD21" s="35">
        <v>42454</v>
      </c>
      <c r="AE21" s="36"/>
      <c r="AF21" s="22"/>
      <c r="AG21" s="25">
        <v>2106000</v>
      </c>
      <c r="AH21" s="25"/>
      <c r="AI21" s="25"/>
      <c r="AJ21" s="25"/>
      <c r="AK21" s="25"/>
      <c r="AL21" s="38"/>
      <c r="AM21" s="38"/>
      <c r="AN21" s="38"/>
      <c r="AO21" s="38"/>
      <c r="AP21" s="39"/>
      <c r="AQ21" s="23"/>
      <c r="AR21" s="23"/>
      <c r="AS21" s="20"/>
      <c r="AT21" s="40"/>
      <c r="AU21" s="19"/>
      <c r="AV21" s="19"/>
      <c r="AW21" s="19"/>
      <c r="AX21" s="19"/>
      <c r="AY21" s="19"/>
      <c r="AZ21" s="19"/>
      <c r="BA21" s="19"/>
      <c r="BB21" s="19"/>
      <c r="BC21" s="27"/>
      <c r="BD21" s="19"/>
      <c r="BE21" s="19"/>
      <c r="BF21" s="19"/>
      <c r="BG21" s="19"/>
      <c r="BH21" s="19"/>
      <c r="BI21" s="19"/>
      <c r="BJ21" s="19"/>
      <c r="BK21" s="19"/>
      <c r="BL21" s="19"/>
      <c r="BM21" s="19"/>
    </row>
    <row r="22" spans="1:65" ht="195" x14ac:dyDescent="0.25">
      <c r="A22" s="159"/>
      <c r="B22" s="154"/>
      <c r="C22" s="19"/>
      <c r="D22" s="27"/>
      <c r="E22" s="19"/>
      <c r="F22" s="32"/>
      <c r="G22" s="28"/>
      <c r="H22" s="20"/>
      <c r="I22" s="29"/>
      <c r="J22" s="29"/>
      <c r="K22" s="19"/>
      <c r="L22" s="143"/>
      <c r="M22" s="27"/>
      <c r="N22" s="27"/>
      <c r="O22" s="78"/>
      <c r="P22" s="27"/>
      <c r="Q22" s="27"/>
      <c r="R22" s="27"/>
      <c r="S22" s="27"/>
      <c r="T22" s="32"/>
      <c r="U22" s="148"/>
      <c r="V22" s="148"/>
      <c r="W22" s="32"/>
      <c r="X22" s="33" t="s">
        <v>1570</v>
      </c>
      <c r="Y22" s="22" t="s">
        <v>185</v>
      </c>
      <c r="Z22" s="35">
        <v>42452</v>
      </c>
      <c r="AA22" s="34">
        <v>11777</v>
      </c>
      <c r="AB22" s="33" t="s">
        <v>567</v>
      </c>
      <c r="AC22" s="35">
        <v>42454</v>
      </c>
      <c r="AD22" s="35">
        <v>42819</v>
      </c>
      <c r="AE22" s="36"/>
      <c r="AF22" s="22"/>
      <c r="AG22" s="25">
        <v>2360610</v>
      </c>
      <c r="AH22" s="25"/>
      <c r="AI22" s="25"/>
      <c r="AJ22" s="25"/>
      <c r="AK22" s="25"/>
      <c r="AL22" s="38"/>
      <c r="AM22" s="38"/>
      <c r="AN22" s="38"/>
      <c r="AO22" s="38"/>
      <c r="AP22" s="39"/>
      <c r="AQ22" s="20"/>
      <c r="AR22" s="20"/>
      <c r="AS22" s="20"/>
      <c r="AT22" s="40"/>
      <c r="AU22" s="19"/>
      <c r="AV22" s="19"/>
      <c r="AW22" s="19"/>
      <c r="AX22" s="19"/>
      <c r="AY22" s="19"/>
      <c r="AZ22" s="19"/>
      <c r="BA22" s="19"/>
      <c r="BB22" s="19"/>
      <c r="BC22" s="27"/>
      <c r="BD22" s="19"/>
      <c r="BE22" s="19"/>
      <c r="BF22" s="19"/>
      <c r="BG22" s="19"/>
      <c r="BH22" s="19"/>
      <c r="BI22" s="19"/>
      <c r="BJ22" s="19"/>
      <c r="BK22" s="19"/>
      <c r="BL22" s="19"/>
      <c r="BM22" s="19"/>
    </row>
    <row r="23" spans="1:65" ht="45" x14ac:dyDescent="0.25">
      <c r="A23" s="159"/>
      <c r="B23" s="154"/>
      <c r="C23" s="19"/>
      <c r="D23" s="27"/>
      <c r="E23" s="19"/>
      <c r="F23" s="32"/>
      <c r="G23" s="28"/>
      <c r="H23" s="20"/>
      <c r="I23" s="29"/>
      <c r="J23" s="29"/>
      <c r="K23" s="19"/>
      <c r="L23" s="143"/>
      <c r="M23" s="27"/>
      <c r="N23" s="27"/>
      <c r="O23" s="78"/>
      <c r="P23" s="27"/>
      <c r="Q23" s="27"/>
      <c r="R23" s="27"/>
      <c r="S23" s="27"/>
      <c r="T23" s="32"/>
      <c r="U23" s="148"/>
      <c r="V23" s="148"/>
      <c r="W23" s="32"/>
      <c r="X23" s="33" t="s">
        <v>1570</v>
      </c>
      <c r="Y23" s="22" t="s">
        <v>186</v>
      </c>
      <c r="Z23" s="35">
        <v>42818</v>
      </c>
      <c r="AA23" s="34">
        <v>12027</v>
      </c>
      <c r="AB23" s="33" t="s">
        <v>877</v>
      </c>
      <c r="AC23" s="35">
        <v>42819</v>
      </c>
      <c r="AD23" s="35">
        <v>43184</v>
      </c>
      <c r="AE23" s="36"/>
      <c r="AF23" s="22"/>
      <c r="AG23" s="25">
        <v>2360610</v>
      </c>
      <c r="AH23" s="25"/>
      <c r="AI23" s="25"/>
      <c r="AJ23" s="25"/>
      <c r="AK23" s="25"/>
      <c r="AL23" s="38"/>
      <c r="AM23" s="38"/>
      <c r="AN23" s="38"/>
      <c r="AO23" s="38"/>
      <c r="AP23" s="39"/>
      <c r="AQ23" s="20"/>
      <c r="AR23" s="20"/>
      <c r="AS23" s="20"/>
      <c r="AT23" s="40"/>
      <c r="AU23" s="19"/>
      <c r="AV23" s="19"/>
      <c r="AW23" s="19"/>
      <c r="AX23" s="19"/>
      <c r="AY23" s="19"/>
      <c r="AZ23" s="19"/>
      <c r="BA23" s="19"/>
      <c r="BB23" s="19"/>
      <c r="BC23" s="27"/>
      <c r="BD23" s="19"/>
      <c r="BE23" s="19"/>
      <c r="BF23" s="19"/>
      <c r="BG23" s="19"/>
      <c r="BH23" s="19"/>
      <c r="BI23" s="19"/>
      <c r="BJ23" s="19"/>
      <c r="BK23" s="19"/>
      <c r="BL23" s="19"/>
      <c r="BM23" s="19"/>
    </row>
    <row r="24" spans="1:65" ht="150" x14ac:dyDescent="0.25">
      <c r="A24" s="159"/>
      <c r="B24" s="154"/>
      <c r="C24" s="19"/>
      <c r="D24" s="27"/>
      <c r="E24" s="19"/>
      <c r="F24" s="32"/>
      <c r="G24" s="28"/>
      <c r="H24" s="20"/>
      <c r="I24" s="29"/>
      <c r="J24" s="29"/>
      <c r="K24" s="19"/>
      <c r="L24" s="143"/>
      <c r="M24" s="27"/>
      <c r="N24" s="27"/>
      <c r="O24" s="78"/>
      <c r="P24" s="27"/>
      <c r="Q24" s="27"/>
      <c r="R24" s="27"/>
      <c r="S24" s="27"/>
      <c r="T24" s="32"/>
      <c r="U24" s="148"/>
      <c r="V24" s="148"/>
      <c r="W24" s="32"/>
      <c r="X24" s="33" t="s">
        <v>365</v>
      </c>
      <c r="Y24" s="22" t="s">
        <v>187</v>
      </c>
      <c r="Z24" s="35">
        <v>42919</v>
      </c>
      <c r="AA24" s="34">
        <v>12091</v>
      </c>
      <c r="AB24" s="33" t="s">
        <v>1005</v>
      </c>
      <c r="AC24" s="35"/>
      <c r="AD24" s="35"/>
      <c r="AE24" s="36"/>
      <c r="AF24" s="22"/>
      <c r="AG24" s="25">
        <v>104608.8</v>
      </c>
      <c r="AH24" s="25"/>
      <c r="AI24" s="25"/>
      <c r="AJ24" s="25"/>
      <c r="AK24" s="25"/>
      <c r="AL24" s="38"/>
      <c r="AM24" s="38"/>
      <c r="AN24" s="38"/>
      <c r="AO24" s="38"/>
      <c r="AP24" s="39"/>
      <c r="AQ24" s="20"/>
      <c r="AR24" s="20"/>
      <c r="AS24" s="20"/>
      <c r="AT24" s="40"/>
      <c r="AU24" s="19"/>
      <c r="AV24" s="19"/>
      <c r="AW24" s="19"/>
      <c r="AX24" s="19"/>
      <c r="AY24" s="19"/>
      <c r="AZ24" s="19"/>
      <c r="BA24" s="19"/>
      <c r="BB24" s="19"/>
      <c r="BC24" s="27"/>
      <c r="BD24" s="19"/>
      <c r="BE24" s="19"/>
      <c r="BF24" s="19"/>
      <c r="BG24" s="19"/>
      <c r="BH24" s="19"/>
      <c r="BI24" s="19"/>
      <c r="BJ24" s="19"/>
      <c r="BK24" s="19"/>
      <c r="BL24" s="19"/>
      <c r="BM24" s="19"/>
    </row>
    <row r="25" spans="1:65" ht="45" x14ac:dyDescent="0.25">
      <c r="A25" s="159"/>
      <c r="B25" s="154"/>
      <c r="C25" s="19"/>
      <c r="D25" s="27"/>
      <c r="E25" s="19"/>
      <c r="F25" s="32"/>
      <c r="G25" s="28"/>
      <c r="H25" s="20"/>
      <c r="I25" s="29"/>
      <c r="J25" s="29"/>
      <c r="K25" s="19"/>
      <c r="L25" s="143"/>
      <c r="M25" s="27"/>
      <c r="N25" s="27"/>
      <c r="O25" s="78"/>
      <c r="P25" s="27"/>
      <c r="Q25" s="27"/>
      <c r="R25" s="27"/>
      <c r="S25" s="27"/>
      <c r="T25" s="32"/>
      <c r="U25" s="148"/>
      <c r="V25" s="148"/>
      <c r="W25" s="32"/>
      <c r="X25" s="33" t="s">
        <v>861</v>
      </c>
      <c r="Y25" s="22" t="s">
        <v>117</v>
      </c>
      <c r="Z25" s="35">
        <v>43182</v>
      </c>
      <c r="AA25" s="34">
        <v>12272</v>
      </c>
      <c r="AB25" s="33" t="s">
        <v>1407</v>
      </c>
      <c r="AC25" s="35">
        <v>43184</v>
      </c>
      <c r="AD25" s="35">
        <v>43368</v>
      </c>
      <c r="AE25" s="36"/>
      <c r="AF25" s="22"/>
      <c r="AG25" s="25">
        <v>1232609.3999999999</v>
      </c>
      <c r="AH25" s="25"/>
      <c r="AI25" s="25"/>
      <c r="AJ25" s="25"/>
      <c r="AK25" s="25"/>
      <c r="AL25" s="38"/>
      <c r="AM25" s="38"/>
      <c r="AN25" s="38"/>
      <c r="AO25" s="38"/>
      <c r="AP25" s="39"/>
      <c r="AQ25" s="20"/>
      <c r="AR25" s="20"/>
      <c r="AS25" s="20"/>
      <c r="AT25" s="40"/>
      <c r="AU25" s="19"/>
      <c r="AV25" s="19"/>
      <c r="AW25" s="19"/>
      <c r="AX25" s="19"/>
      <c r="AY25" s="19"/>
      <c r="AZ25" s="19"/>
      <c r="BA25" s="19"/>
      <c r="BB25" s="19"/>
      <c r="BC25" s="27"/>
      <c r="BD25" s="19"/>
      <c r="BE25" s="19"/>
      <c r="BF25" s="19"/>
      <c r="BG25" s="19"/>
      <c r="BH25" s="19"/>
      <c r="BI25" s="19"/>
      <c r="BJ25" s="19"/>
      <c r="BK25" s="19"/>
      <c r="BL25" s="19"/>
      <c r="BM25" s="19"/>
    </row>
    <row r="26" spans="1:65" ht="90" x14ac:dyDescent="0.25">
      <c r="A26" s="159"/>
      <c r="B26" s="154"/>
      <c r="C26" s="19"/>
      <c r="D26" s="27"/>
      <c r="E26" s="19"/>
      <c r="F26" s="32"/>
      <c r="G26" s="28"/>
      <c r="H26" s="20"/>
      <c r="I26" s="29"/>
      <c r="J26" s="29"/>
      <c r="K26" s="19"/>
      <c r="L26" s="143"/>
      <c r="M26" s="27"/>
      <c r="N26" s="27"/>
      <c r="O26" s="78"/>
      <c r="P26" s="27"/>
      <c r="Q26" s="27"/>
      <c r="R26" s="27"/>
      <c r="S26" s="27"/>
      <c r="T26" s="32"/>
      <c r="U26" s="148"/>
      <c r="V26" s="148"/>
      <c r="W26" s="32"/>
      <c r="X26" s="33" t="s">
        <v>1670</v>
      </c>
      <c r="Y26" s="22" t="s">
        <v>1443</v>
      </c>
      <c r="Z26" s="35">
        <v>43280</v>
      </c>
      <c r="AA26" s="34">
        <v>12347</v>
      </c>
      <c r="AB26" s="33" t="s">
        <v>1680</v>
      </c>
      <c r="AC26" s="35"/>
      <c r="AD26" s="35"/>
      <c r="AE26" s="36"/>
      <c r="AF26" s="22"/>
      <c r="AG26" s="25"/>
      <c r="AH26" s="25"/>
      <c r="AI26" s="25"/>
      <c r="AJ26" s="25"/>
      <c r="AK26" s="25"/>
      <c r="AL26" s="38"/>
      <c r="AM26" s="38"/>
      <c r="AN26" s="38"/>
      <c r="AO26" s="38"/>
      <c r="AP26" s="37"/>
      <c r="AQ26" s="23"/>
      <c r="AR26" s="23"/>
      <c r="AS26" s="23"/>
      <c r="AT26" s="42"/>
      <c r="AU26" s="22"/>
      <c r="AV26" s="22"/>
      <c r="AW26" s="22"/>
      <c r="AX26" s="22"/>
      <c r="AY26" s="22"/>
      <c r="AZ26" s="22"/>
      <c r="BA26" s="22"/>
      <c r="BB26" s="22"/>
      <c r="BC26" s="43"/>
      <c r="BD26" s="22"/>
      <c r="BE26" s="22"/>
      <c r="BF26" s="22"/>
      <c r="BG26" s="22"/>
      <c r="BH26" s="22"/>
      <c r="BI26" s="22"/>
      <c r="BJ26" s="22"/>
      <c r="BK26" s="22"/>
      <c r="BL26" s="22"/>
      <c r="BM26" s="22"/>
    </row>
    <row r="27" spans="1:65" ht="30" x14ac:dyDescent="0.25">
      <c r="A27" s="159">
        <v>2</v>
      </c>
      <c r="B27" s="154" t="s">
        <v>364</v>
      </c>
      <c r="C27" s="19" t="s">
        <v>145</v>
      </c>
      <c r="D27" s="27" t="s">
        <v>143</v>
      </c>
      <c r="E27" s="19" t="s">
        <v>144</v>
      </c>
      <c r="F27" s="32" t="s">
        <v>146</v>
      </c>
      <c r="G27" s="28" t="s">
        <v>1163</v>
      </c>
      <c r="H27" s="14" t="s">
        <v>745</v>
      </c>
      <c r="I27" s="44">
        <v>41353</v>
      </c>
      <c r="J27" s="44">
        <v>41718</v>
      </c>
      <c r="K27" s="45" t="s">
        <v>147</v>
      </c>
      <c r="L27" s="143" t="s">
        <v>374</v>
      </c>
      <c r="M27" s="27" t="s">
        <v>148</v>
      </c>
      <c r="N27" s="31">
        <v>41373</v>
      </c>
      <c r="O27" s="78">
        <v>17376</v>
      </c>
      <c r="P27" s="30" t="s">
        <v>512</v>
      </c>
      <c r="Q27" s="31">
        <v>41374</v>
      </c>
      <c r="R27" s="31">
        <v>41739</v>
      </c>
      <c r="S27" s="27" t="s">
        <v>133</v>
      </c>
      <c r="T27" s="32"/>
      <c r="U27" s="148"/>
      <c r="V27" s="148"/>
      <c r="W27" s="32" t="s">
        <v>116</v>
      </c>
      <c r="X27" s="33" t="s">
        <v>1570</v>
      </c>
      <c r="Y27" s="22" t="s">
        <v>141</v>
      </c>
      <c r="Z27" s="35">
        <v>41738</v>
      </c>
      <c r="AA27" s="34">
        <v>11288</v>
      </c>
      <c r="AB27" s="33" t="s">
        <v>284</v>
      </c>
      <c r="AC27" s="35">
        <v>41739</v>
      </c>
      <c r="AD27" s="35">
        <v>42104</v>
      </c>
      <c r="AE27" s="36"/>
      <c r="AF27" s="22"/>
      <c r="AG27" s="77">
        <v>17376</v>
      </c>
      <c r="AH27" s="25"/>
      <c r="AI27" s="25"/>
      <c r="AJ27" s="25"/>
      <c r="AK27" s="25"/>
      <c r="AL27" s="38">
        <f>O27-AH27+AG27-AH28+AG28-AH29+AG29-AH30+AG30</f>
        <v>86880</v>
      </c>
      <c r="AM27" s="38">
        <f>29587.47+17376+1448+1448+1448+0+1448+1448+1448+2896+1448+1448+2896+1448+1448+1448+1448+1448+1448+2896+1448+1448+1448</f>
        <v>80267.47</v>
      </c>
      <c r="AN27" s="38">
        <f>1448+1448+1448+1448+482.7</f>
        <v>6274.7</v>
      </c>
      <c r="AO27" s="38">
        <f>AM27+AN27</f>
        <v>86542.17</v>
      </c>
      <c r="AP27" s="39"/>
      <c r="AQ27" s="23"/>
      <c r="AR27" s="23"/>
      <c r="AS27" s="20"/>
      <c r="AT27" s="47"/>
      <c r="AU27" s="47"/>
      <c r="AV27" s="47"/>
      <c r="AW27" s="47"/>
      <c r="AX27" s="47"/>
      <c r="AY27" s="47"/>
      <c r="AZ27" s="47"/>
      <c r="BA27" s="47"/>
      <c r="BB27" s="19"/>
      <c r="BC27" s="27"/>
      <c r="BD27" s="19"/>
      <c r="BE27" s="19"/>
      <c r="BF27" s="19"/>
      <c r="BG27" s="19"/>
      <c r="BH27" s="19"/>
      <c r="BI27" s="19"/>
      <c r="BJ27" s="19"/>
      <c r="BK27" s="19"/>
      <c r="BL27" s="19"/>
      <c r="BM27" s="19"/>
    </row>
    <row r="28" spans="1:65" ht="45" x14ac:dyDescent="0.25">
      <c r="A28" s="159"/>
      <c r="B28" s="154"/>
      <c r="C28" s="19"/>
      <c r="D28" s="27"/>
      <c r="E28" s="19"/>
      <c r="F28" s="32"/>
      <c r="G28" s="28"/>
      <c r="H28" s="14"/>
      <c r="I28" s="44"/>
      <c r="J28" s="44"/>
      <c r="K28" s="45"/>
      <c r="L28" s="143"/>
      <c r="M28" s="27"/>
      <c r="N28" s="31"/>
      <c r="O28" s="78"/>
      <c r="P28" s="30"/>
      <c r="Q28" s="31"/>
      <c r="R28" s="31"/>
      <c r="S28" s="27"/>
      <c r="T28" s="32"/>
      <c r="U28" s="148"/>
      <c r="V28" s="148"/>
      <c r="W28" s="32"/>
      <c r="X28" s="33" t="s">
        <v>1570</v>
      </c>
      <c r="Y28" s="22" t="s">
        <v>140</v>
      </c>
      <c r="Z28" s="35">
        <v>42104</v>
      </c>
      <c r="AA28" s="34">
        <v>11538</v>
      </c>
      <c r="AB28" s="33" t="s">
        <v>363</v>
      </c>
      <c r="AC28" s="35">
        <v>42104</v>
      </c>
      <c r="AD28" s="35">
        <v>42470</v>
      </c>
      <c r="AE28" s="36"/>
      <c r="AF28" s="22"/>
      <c r="AG28" s="77">
        <v>17376</v>
      </c>
      <c r="AH28" s="25"/>
      <c r="AI28" s="25"/>
      <c r="AJ28" s="25"/>
      <c r="AK28" s="25"/>
      <c r="AL28" s="38"/>
      <c r="AM28" s="38"/>
      <c r="AN28" s="38"/>
      <c r="AO28" s="38"/>
      <c r="AP28" s="20"/>
      <c r="AQ28" s="23"/>
      <c r="AR28" s="23"/>
      <c r="AS28" s="20"/>
      <c r="AT28" s="47"/>
      <c r="AU28" s="47"/>
      <c r="AV28" s="47"/>
      <c r="AW28" s="47"/>
      <c r="AX28" s="47"/>
      <c r="AY28" s="47"/>
      <c r="AZ28" s="47"/>
      <c r="BA28" s="47"/>
      <c r="BB28" s="19"/>
      <c r="BC28" s="27"/>
      <c r="BD28" s="19"/>
      <c r="BE28" s="19"/>
      <c r="BF28" s="19"/>
      <c r="BG28" s="19"/>
      <c r="BH28" s="19"/>
      <c r="BI28" s="19"/>
      <c r="BJ28" s="19"/>
      <c r="BK28" s="19"/>
      <c r="BL28" s="19"/>
      <c r="BM28" s="19"/>
    </row>
    <row r="29" spans="1:65" ht="60" x14ac:dyDescent="0.25">
      <c r="A29" s="159"/>
      <c r="B29" s="154"/>
      <c r="C29" s="19"/>
      <c r="D29" s="27"/>
      <c r="E29" s="19"/>
      <c r="F29" s="32"/>
      <c r="G29" s="28"/>
      <c r="H29" s="14"/>
      <c r="I29" s="44"/>
      <c r="J29" s="44"/>
      <c r="K29" s="45"/>
      <c r="L29" s="143"/>
      <c r="M29" s="27"/>
      <c r="N29" s="31"/>
      <c r="O29" s="78"/>
      <c r="P29" s="30"/>
      <c r="Q29" s="31"/>
      <c r="R29" s="31"/>
      <c r="S29" s="27"/>
      <c r="T29" s="32"/>
      <c r="U29" s="148"/>
      <c r="V29" s="148"/>
      <c r="W29" s="32"/>
      <c r="X29" s="33" t="s">
        <v>1570</v>
      </c>
      <c r="Y29" s="22" t="s">
        <v>185</v>
      </c>
      <c r="Z29" s="35">
        <v>42467</v>
      </c>
      <c r="AA29" s="34">
        <v>11785</v>
      </c>
      <c r="AB29" s="33" t="s">
        <v>571</v>
      </c>
      <c r="AC29" s="35">
        <v>42470</v>
      </c>
      <c r="AD29" s="35">
        <v>42835</v>
      </c>
      <c r="AE29" s="36"/>
      <c r="AF29" s="22"/>
      <c r="AG29" s="77">
        <v>17376</v>
      </c>
      <c r="AH29" s="25"/>
      <c r="AI29" s="25"/>
      <c r="AJ29" s="25"/>
      <c r="AK29" s="25"/>
      <c r="AL29" s="38"/>
      <c r="AM29" s="38"/>
      <c r="AN29" s="38"/>
      <c r="AO29" s="38"/>
      <c r="AP29" s="20"/>
      <c r="AQ29" s="23"/>
      <c r="AR29" s="23"/>
      <c r="AS29" s="20"/>
      <c r="AT29" s="47"/>
      <c r="AU29" s="47"/>
      <c r="AV29" s="47"/>
      <c r="AW29" s="47"/>
      <c r="AX29" s="47"/>
      <c r="AY29" s="47"/>
      <c r="AZ29" s="47"/>
      <c r="BA29" s="47"/>
      <c r="BB29" s="19"/>
      <c r="BC29" s="27"/>
      <c r="BD29" s="19"/>
      <c r="BE29" s="19"/>
      <c r="BF29" s="19"/>
      <c r="BG29" s="19"/>
      <c r="BH29" s="19"/>
      <c r="BI29" s="19"/>
      <c r="BJ29" s="19"/>
      <c r="BK29" s="19"/>
      <c r="BL29" s="19"/>
      <c r="BM29" s="19"/>
    </row>
    <row r="30" spans="1:65" ht="60" x14ac:dyDescent="0.25">
      <c r="A30" s="159"/>
      <c r="B30" s="154"/>
      <c r="C30" s="19"/>
      <c r="D30" s="27"/>
      <c r="E30" s="19"/>
      <c r="F30" s="32"/>
      <c r="G30" s="28"/>
      <c r="H30" s="14"/>
      <c r="I30" s="44"/>
      <c r="J30" s="44"/>
      <c r="K30" s="45"/>
      <c r="L30" s="143"/>
      <c r="M30" s="27"/>
      <c r="N30" s="27"/>
      <c r="O30" s="78"/>
      <c r="P30" s="27"/>
      <c r="Q30" s="27"/>
      <c r="R30" s="27"/>
      <c r="S30" s="27"/>
      <c r="T30" s="32"/>
      <c r="U30" s="148"/>
      <c r="V30" s="148"/>
      <c r="W30" s="32"/>
      <c r="X30" s="33" t="s">
        <v>1570</v>
      </c>
      <c r="Y30" s="22" t="s">
        <v>186</v>
      </c>
      <c r="Z30" s="35">
        <v>42835</v>
      </c>
      <c r="AA30" s="34">
        <v>12035</v>
      </c>
      <c r="AB30" s="33" t="s">
        <v>571</v>
      </c>
      <c r="AC30" s="35">
        <v>42835</v>
      </c>
      <c r="AD30" s="35">
        <v>43200</v>
      </c>
      <c r="AE30" s="36"/>
      <c r="AF30" s="22"/>
      <c r="AG30" s="77">
        <v>17376</v>
      </c>
      <c r="AH30" s="25"/>
      <c r="AI30" s="25"/>
      <c r="AJ30" s="25"/>
      <c r="AK30" s="25"/>
      <c r="AL30" s="38"/>
      <c r="AM30" s="38"/>
      <c r="AN30" s="38"/>
      <c r="AO30" s="38"/>
      <c r="AP30" s="23"/>
      <c r="AQ30" s="23"/>
      <c r="AR30" s="23"/>
      <c r="AS30" s="23"/>
      <c r="AT30" s="48"/>
      <c r="AU30" s="48"/>
      <c r="AV30" s="48"/>
      <c r="AW30" s="48"/>
      <c r="AX30" s="48"/>
      <c r="AY30" s="48"/>
      <c r="AZ30" s="48"/>
      <c r="BA30" s="48"/>
      <c r="BB30" s="22"/>
      <c r="BC30" s="43"/>
      <c r="BD30" s="22"/>
      <c r="BE30" s="22"/>
      <c r="BF30" s="22"/>
      <c r="BG30" s="22"/>
      <c r="BH30" s="22"/>
      <c r="BI30" s="22"/>
      <c r="BJ30" s="22"/>
      <c r="BK30" s="22"/>
      <c r="BL30" s="22"/>
      <c r="BM30" s="22"/>
    </row>
    <row r="31" spans="1:65" ht="30" x14ac:dyDescent="0.25">
      <c r="A31" s="159">
        <v>3</v>
      </c>
      <c r="B31" s="154" t="s">
        <v>364</v>
      </c>
      <c r="C31" s="19" t="s">
        <v>145</v>
      </c>
      <c r="D31" s="27" t="s">
        <v>143</v>
      </c>
      <c r="E31" s="19" t="s">
        <v>278</v>
      </c>
      <c r="F31" s="32" t="s">
        <v>149</v>
      </c>
      <c r="G31" s="28" t="s">
        <v>1163</v>
      </c>
      <c r="H31" s="19" t="s">
        <v>745</v>
      </c>
      <c r="I31" s="29">
        <v>41353</v>
      </c>
      <c r="J31" s="29">
        <v>41718</v>
      </c>
      <c r="K31" s="45" t="s">
        <v>153</v>
      </c>
      <c r="L31" s="143" t="s">
        <v>154</v>
      </c>
      <c r="M31" s="27" t="s">
        <v>161</v>
      </c>
      <c r="N31" s="31">
        <v>41373</v>
      </c>
      <c r="O31" s="78">
        <v>18000</v>
      </c>
      <c r="P31" s="30" t="s">
        <v>512</v>
      </c>
      <c r="Q31" s="31">
        <v>41374</v>
      </c>
      <c r="R31" s="31">
        <v>41739</v>
      </c>
      <c r="S31" s="27" t="s">
        <v>133</v>
      </c>
      <c r="T31" s="32"/>
      <c r="U31" s="148"/>
      <c r="V31" s="148"/>
      <c r="W31" s="32" t="s">
        <v>116</v>
      </c>
      <c r="X31" s="33" t="s">
        <v>1570</v>
      </c>
      <c r="Y31" s="22" t="s">
        <v>141</v>
      </c>
      <c r="Z31" s="35">
        <v>41738</v>
      </c>
      <c r="AA31" s="34">
        <v>11291</v>
      </c>
      <c r="AB31" s="33" t="s">
        <v>284</v>
      </c>
      <c r="AC31" s="35">
        <v>41739</v>
      </c>
      <c r="AD31" s="35">
        <v>42104</v>
      </c>
      <c r="AE31" s="36"/>
      <c r="AF31" s="22"/>
      <c r="AG31" s="77">
        <v>18000</v>
      </c>
      <c r="AH31" s="25"/>
      <c r="AI31" s="25"/>
      <c r="AJ31" s="25"/>
      <c r="AK31" s="25"/>
      <c r="AL31" s="38">
        <f>O31+AG31+AG32+AG33+AG34</f>
        <v>90000</v>
      </c>
      <c r="AM31" s="38">
        <f>30750+18000+1500+1500+1500+1500+1500+1500+3000+1500+1500+3000+1500+1500+1500+1500+1500+1500+3000+1500+1500+1500</f>
        <v>83250</v>
      </c>
      <c r="AN31" s="38">
        <f>1500+1500+1500+1500+500</f>
        <v>6500</v>
      </c>
      <c r="AO31" s="38">
        <f>AM31+AN31</f>
        <v>89750</v>
      </c>
      <c r="AP31" s="39"/>
      <c r="AQ31" s="23"/>
      <c r="AR31" s="23"/>
      <c r="AS31" s="20"/>
      <c r="AT31" s="47"/>
      <c r="AU31" s="47"/>
      <c r="AV31" s="47"/>
      <c r="AW31" s="47"/>
      <c r="AX31" s="47"/>
      <c r="AY31" s="47"/>
      <c r="AZ31" s="47"/>
      <c r="BA31" s="47"/>
      <c r="BB31" s="19"/>
      <c r="BC31" s="27"/>
      <c r="BD31" s="19"/>
      <c r="BE31" s="19"/>
      <c r="BF31" s="19"/>
      <c r="BG31" s="19"/>
      <c r="BH31" s="19"/>
      <c r="BI31" s="19"/>
      <c r="BJ31" s="19"/>
      <c r="BK31" s="19"/>
      <c r="BL31" s="19"/>
      <c r="BM31" s="19"/>
    </row>
    <row r="32" spans="1:65" ht="45" x14ac:dyDescent="0.25">
      <c r="A32" s="159"/>
      <c r="B32" s="154"/>
      <c r="C32" s="19"/>
      <c r="D32" s="27"/>
      <c r="E32" s="19"/>
      <c r="F32" s="32"/>
      <c r="G32" s="28"/>
      <c r="H32" s="19"/>
      <c r="I32" s="19"/>
      <c r="J32" s="19"/>
      <c r="K32" s="45"/>
      <c r="L32" s="143"/>
      <c r="M32" s="27"/>
      <c r="N32" s="31"/>
      <c r="O32" s="78"/>
      <c r="P32" s="30"/>
      <c r="Q32" s="31"/>
      <c r="R32" s="31"/>
      <c r="S32" s="27"/>
      <c r="T32" s="32"/>
      <c r="U32" s="148"/>
      <c r="V32" s="148"/>
      <c r="W32" s="32"/>
      <c r="X32" s="33" t="s">
        <v>1570</v>
      </c>
      <c r="Y32" s="22" t="s">
        <v>140</v>
      </c>
      <c r="Z32" s="35">
        <v>42104</v>
      </c>
      <c r="AA32" s="34">
        <v>11538</v>
      </c>
      <c r="AB32" s="33" t="s">
        <v>502</v>
      </c>
      <c r="AC32" s="35">
        <v>42104</v>
      </c>
      <c r="AD32" s="35">
        <v>42470</v>
      </c>
      <c r="AE32" s="36"/>
      <c r="AF32" s="22"/>
      <c r="AG32" s="77">
        <v>18000</v>
      </c>
      <c r="AH32" s="25"/>
      <c r="AI32" s="25"/>
      <c r="AJ32" s="25"/>
      <c r="AK32" s="25"/>
      <c r="AL32" s="38"/>
      <c r="AM32" s="38"/>
      <c r="AN32" s="38"/>
      <c r="AO32" s="38"/>
      <c r="AP32" s="20"/>
      <c r="AQ32" s="23"/>
      <c r="AR32" s="23"/>
      <c r="AS32" s="20"/>
      <c r="AT32" s="47"/>
      <c r="AU32" s="47"/>
      <c r="AV32" s="47"/>
      <c r="AW32" s="47"/>
      <c r="AX32" s="47"/>
      <c r="AY32" s="47"/>
      <c r="AZ32" s="47"/>
      <c r="BA32" s="47"/>
      <c r="BB32" s="19"/>
      <c r="BC32" s="27"/>
      <c r="BD32" s="19"/>
      <c r="BE32" s="19"/>
      <c r="BF32" s="19"/>
      <c r="BG32" s="19"/>
      <c r="BH32" s="19"/>
      <c r="BI32" s="19"/>
      <c r="BJ32" s="19"/>
      <c r="BK32" s="19"/>
      <c r="BL32" s="19"/>
      <c r="BM32" s="19"/>
    </row>
    <row r="33" spans="1:65" ht="60" x14ac:dyDescent="0.25">
      <c r="A33" s="159"/>
      <c r="B33" s="154"/>
      <c r="C33" s="19"/>
      <c r="D33" s="27"/>
      <c r="E33" s="19"/>
      <c r="F33" s="32"/>
      <c r="G33" s="32"/>
      <c r="H33" s="19"/>
      <c r="I33" s="19"/>
      <c r="J33" s="19"/>
      <c r="K33" s="19"/>
      <c r="L33" s="143"/>
      <c r="M33" s="27"/>
      <c r="N33" s="27"/>
      <c r="O33" s="78"/>
      <c r="P33" s="27"/>
      <c r="Q33" s="27"/>
      <c r="R33" s="27"/>
      <c r="S33" s="27"/>
      <c r="T33" s="32"/>
      <c r="U33" s="148"/>
      <c r="V33" s="148"/>
      <c r="W33" s="32"/>
      <c r="X33" s="33" t="s">
        <v>1570</v>
      </c>
      <c r="Y33" s="22" t="s">
        <v>185</v>
      </c>
      <c r="Z33" s="35">
        <v>42467</v>
      </c>
      <c r="AA33" s="34">
        <v>11785</v>
      </c>
      <c r="AB33" s="33" t="s">
        <v>571</v>
      </c>
      <c r="AC33" s="35">
        <v>42470</v>
      </c>
      <c r="AD33" s="35" t="s">
        <v>572</v>
      </c>
      <c r="AE33" s="36"/>
      <c r="AF33" s="22"/>
      <c r="AG33" s="77">
        <v>18000</v>
      </c>
      <c r="AH33" s="25"/>
      <c r="AI33" s="25"/>
      <c r="AJ33" s="25"/>
      <c r="AK33" s="25"/>
      <c r="AL33" s="38"/>
      <c r="AM33" s="38"/>
      <c r="AN33" s="38"/>
      <c r="AO33" s="38"/>
      <c r="AP33" s="20"/>
      <c r="AQ33" s="23"/>
      <c r="AR33" s="23"/>
      <c r="AS33" s="20"/>
      <c r="AT33" s="47"/>
      <c r="AU33" s="47"/>
      <c r="AV33" s="47"/>
      <c r="AW33" s="47"/>
      <c r="AX33" s="47"/>
      <c r="AY33" s="47"/>
      <c r="AZ33" s="47"/>
      <c r="BA33" s="47"/>
      <c r="BB33" s="19"/>
      <c r="BC33" s="27"/>
      <c r="BD33" s="19"/>
      <c r="BE33" s="19"/>
      <c r="BF33" s="19"/>
      <c r="BG33" s="19"/>
      <c r="BH33" s="19"/>
      <c r="BI33" s="19"/>
      <c r="BJ33" s="19"/>
      <c r="BK33" s="19"/>
      <c r="BL33" s="19"/>
      <c r="BM33" s="19"/>
    </row>
    <row r="34" spans="1:65" ht="60" x14ac:dyDescent="0.25">
      <c r="A34" s="159"/>
      <c r="B34" s="154"/>
      <c r="C34" s="19"/>
      <c r="D34" s="27"/>
      <c r="E34" s="19"/>
      <c r="F34" s="32"/>
      <c r="G34" s="32"/>
      <c r="H34" s="19"/>
      <c r="I34" s="19"/>
      <c r="J34" s="19"/>
      <c r="K34" s="19"/>
      <c r="L34" s="143"/>
      <c r="M34" s="27"/>
      <c r="N34" s="27"/>
      <c r="O34" s="78"/>
      <c r="P34" s="27"/>
      <c r="Q34" s="27"/>
      <c r="R34" s="27"/>
      <c r="S34" s="27"/>
      <c r="T34" s="32"/>
      <c r="U34" s="148"/>
      <c r="V34" s="148"/>
      <c r="W34" s="32"/>
      <c r="X34" s="33" t="s">
        <v>1570</v>
      </c>
      <c r="Y34" s="22" t="s">
        <v>186</v>
      </c>
      <c r="Z34" s="35">
        <v>42835</v>
      </c>
      <c r="AA34" s="34">
        <v>12035</v>
      </c>
      <c r="AB34" s="33" t="s">
        <v>571</v>
      </c>
      <c r="AC34" s="35" t="s">
        <v>572</v>
      </c>
      <c r="AD34" s="35" t="s">
        <v>879</v>
      </c>
      <c r="AE34" s="36"/>
      <c r="AF34" s="22"/>
      <c r="AG34" s="77">
        <v>18000</v>
      </c>
      <c r="AH34" s="25"/>
      <c r="AI34" s="25"/>
      <c r="AJ34" s="25"/>
      <c r="AK34" s="25"/>
      <c r="AL34" s="38"/>
      <c r="AM34" s="38"/>
      <c r="AN34" s="38"/>
      <c r="AO34" s="38"/>
      <c r="AP34" s="23"/>
      <c r="AQ34" s="23"/>
      <c r="AR34" s="23"/>
      <c r="AS34" s="23"/>
      <c r="AT34" s="48"/>
      <c r="AU34" s="48"/>
      <c r="AV34" s="48"/>
      <c r="AW34" s="48"/>
      <c r="AX34" s="48"/>
      <c r="AY34" s="48"/>
      <c r="AZ34" s="48"/>
      <c r="BA34" s="48"/>
      <c r="BB34" s="22"/>
      <c r="BC34" s="43"/>
      <c r="BD34" s="22"/>
      <c r="BE34" s="22"/>
      <c r="BF34" s="22"/>
      <c r="BG34" s="22"/>
      <c r="BH34" s="22"/>
      <c r="BI34" s="22"/>
      <c r="BJ34" s="22"/>
      <c r="BK34" s="22"/>
      <c r="BL34" s="22"/>
      <c r="BM34" s="22"/>
    </row>
    <row r="35" spans="1:65" ht="30" x14ac:dyDescent="0.25">
      <c r="A35" s="159">
        <v>4</v>
      </c>
      <c r="B35" s="154" t="s">
        <v>364</v>
      </c>
      <c r="C35" s="19" t="s">
        <v>145</v>
      </c>
      <c r="D35" s="27" t="s">
        <v>143</v>
      </c>
      <c r="E35" s="19" t="s">
        <v>278</v>
      </c>
      <c r="F35" s="32" t="s">
        <v>150</v>
      </c>
      <c r="G35" s="28" t="s">
        <v>1163</v>
      </c>
      <c r="H35" s="19" t="s">
        <v>745</v>
      </c>
      <c r="I35" s="29">
        <v>41353</v>
      </c>
      <c r="J35" s="29">
        <v>41718</v>
      </c>
      <c r="K35" s="45" t="s">
        <v>155</v>
      </c>
      <c r="L35" s="143" t="s">
        <v>156</v>
      </c>
      <c r="M35" s="27" t="s">
        <v>162</v>
      </c>
      <c r="N35" s="31">
        <v>41373</v>
      </c>
      <c r="O35" s="78">
        <v>17280</v>
      </c>
      <c r="P35" s="30" t="s">
        <v>512</v>
      </c>
      <c r="Q35" s="31">
        <v>41374</v>
      </c>
      <c r="R35" s="31">
        <v>41739</v>
      </c>
      <c r="S35" s="27" t="s">
        <v>133</v>
      </c>
      <c r="T35" s="32"/>
      <c r="U35" s="148"/>
      <c r="V35" s="148"/>
      <c r="W35" s="32" t="s">
        <v>116</v>
      </c>
      <c r="X35" s="33" t="s">
        <v>1570</v>
      </c>
      <c r="Y35" s="22" t="s">
        <v>141</v>
      </c>
      <c r="Z35" s="35">
        <v>41738</v>
      </c>
      <c r="AA35" s="34">
        <v>11288</v>
      </c>
      <c r="AB35" s="33" t="s">
        <v>284</v>
      </c>
      <c r="AC35" s="35">
        <v>41739</v>
      </c>
      <c r="AD35" s="35">
        <v>42104</v>
      </c>
      <c r="AE35" s="36"/>
      <c r="AF35" s="22"/>
      <c r="AG35" s="77">
        <v>17280</v>
      </c>
      <c r="AH35" s="25"/>
      <c r="AI35" s="25"/>
      <c r="AJ35" s="25"/>
      <c r="AK35" s="25"/>
      <c r="AL35" s="38">
        <f>O35-AH35+AG35-AH36+AG36-AH37+AG37-AH38+AG38</f>
        <v>86400</v>
      </c>
      <c r="AM35" s="38">
        <f>29520+17280+1440+1440+1440+1440+1440+1440+2880+1440+1440+2880+1440+1440+1440+1440+1440+1440+2880+1440+1440+1440</f>
        <v>79920</v>
      </c>
      <c r="AN35" s="38">
        <f>1440+1440+1440+1440+480</f>
        <v>6240</v>
      </c>
      <c r="AO35" s="38">
        <f>AM35+AN35</f>
        <v>86160</v>
      </c>
      <c r="AP35" s="39"/>
      <c r="AQ35" s="23"/>
      <c r="AR35" s="23"/>
      <c r="AS35" s="20"/>
      <c r="AT35" s="47"/>
      <c r="AU35" s="47"/>
      <c r="AV35" s="47"/>
      <c r="AW35" s="47"/>
      <c r="AX35" s="47"/>
      <c r="AY35" s="47"/>
      <c r="AZ35" s="47"/>
      <c r="BA35" s="47"/>
      <c r="BB35" s="19"/>
      <c r="BC35" s="27"/>
      <c r="BD35" s="19"/>
      <c r="BE35" s="19"/>
      <c r="BF35" s="19"/>
      <c r="BG35" s="19"/>
      <c r="BH35" s="19"/>
      <c r="BI35" s="19"/>
      <c r="BJ35" s="19"/>
      <c r="BK35" s="19"/>
      <c r="BL35" s="19"/>
      <c r="BM35" s="19"/>
    </row>
    <row r="36" spans="1:65" ht="45" x14ac:dyDescent="0.25">
      <c r="A36" s="159"/>
      <c r="B36" s="154"/>
      <c r="C36" s="19"/>
      <c r="D36" s="27"/>
      <c r="E36" s="19"/>
      <c r="F36" s="32"/>
      <c r="G36" s="28"/>
      <c r="H36" s="19"/>
      <c r="I36" s="19"/>
      <c r="J36" s="19"/>
      <c r="K36" s="45"/>
      <c r="L36" s="143"/>
      <c r="M36" s="27"/>
      <c r="N36" s="31"/>
      <c r="O36" s="78"/>
      <c r="P36" s="30"/>
      <c r="Q36" s="31"/>
      <c r="R36" s="31"/>
      <c r="S36" s="27"/>
      <c r="T36" s="32"/>
      <c r="U36" s="148"/>
      <c r="V36" s="148"/>
      <c r="W36" s="32"/>
      <c r="X36" s="33" t="s">
        <v>1570</v>
      </c>
      <c r="Y36" s="22" t="s">
        <v>140</v>
      </c>
      <c r="Z36" s="35">
        <v>42104</v>
      </c>
      <c r="AA36" s="34">
        <v>11538</v>
      </c>
      <c r="AB36" s="33" t="s">
        <v>502</v>
      </c>
      <c r="AC36" s="35">
        <v>42104</v>
      </c>
      <c r="AD36" s="35">
        <v>42470</v>
      </c>
      <c r="AE36" s="36"/>
      <c r="AF36" s="22"/>
      <c r="AG36" s="77">
        <v>17280</v>
      </c>
      <c r="AH36" s="25"/>
      <c r="AI36" s="25"/>
      <c r="AJ36" s="25"/>
      <c r="AK36" s="25"/>
      <c r="AL36" s="38"/>
      <c r="AM36" s="38"/>
      <c r="AN36" s="38"/>
      <c r="AO36" s="38"/>
      <c r="AP36" s="20"/>
      <c r="AQ36" s="23"/>
      <c r="AR36" s="23"/>
      <c r="AS36" s="20"/>
      <c r="AT36" s="47"/>
      <c r="AU36" s="47"/>
      <c r="AV36" s="47"/>
      <c r="AW36" s="47"/>
      <c r="AX36" s="47"/>
      <c r="AY36" s="47"/>
      <c r="AZ36" s="47"/>
      <c r="BA36" s="47"/>
      <c r="BB36" s="19"/>
      <c r="BC36" s="27"/>
      <c r="BD36" s="19"/>
      <c r="BE36" s="19"/>
      <c r="BF36" s="19"/>
      <c r="BG36" s="19"/>
      <c r="BH36" s="19"/>
      <c r="BI36" s="19"/>
      <c r="BJ36" s="19"/>
      <c r="BK36" s="19"/>
      <c r="BL36" s="19"/>
      <c r="BM36" s="19"/>
    </row>
    <row r="37" spans="1:65" ht="60" x14ac:dyDescent="0.25">
      <c r="A37" s="159"/>
      <c r="B37" s="154"/>
      <c r="C37" s="19"/>
      <c r="D37" s="27"/>
      <c r="E37" s="19"/>
      <c r="F37" s="32"/>
      <c r="G37" s="28"/>
      <c r="H37" s="19"/>
      <c r="I37" s="19"/>
      <c r="J37" s="19"/>
      <c r="K37" s="45"/>
      <c r="L37" s="143"/>
      <c r="M37" s="27"/>
      <c r="N37" s="31"/>
      <c r="O37" s="78"/>
      <c r="P37" s="30"/>
      <c r="Q37" s="31"/>
      <c r="R37" s="31"/>
      <c r="S37" s="27"/>
      <c r="T37" s="32"/>
      <c r="U37" s="148"/>
      <c r="V37" s="148"/>
      <c r="W37" s="32"/>
      <c r="X37" s="33" t="s">
        <v>1570</v>
      </c>
      <c r="Y37" s="22" t="s">
        <v>185</v>
      </c>
      <c r="Z37" s="35">
        <v>42467</v>
      </c>
      <c r="AA37" s="34">
        <v>11785</v>
      </c>
      <c r="AB37" s="33" t="s">
        <v>571</v>
      </c>
      <c r="AC37" s="35">
        <v>42470</v>
      </c>
      <c r="AD37" s="35" t="s">
        <v>572</v>
      </c>
      <c r="AE37" s="36"/>
      <c r="AF37" s="22"/>
      <c r="AG37" s="77">
        <v>17280</v>
      </c>
      <c r="AH37" s="25"/>
      <c r="AI37" s="25"/>
      <c r="AJ37" s="25"/>
      <c r="AK37" s="25"/>
      <c r="AL37" s="38"/>
      <c r="AM37" s="38"/>
      <c r="AN37" s="38"/>
      <c r="AO37" s="38"/>
      <c r="AP37" s="20"/>
      <c r="AQ37" s="23"/>
      <c r="AR37" s="23"/>
      <c r="AS37" s="20"/>
      <c r="AT37" s="47"/>
      <c r="AU37" s="47"/>
      <c r="AV37" s="47"/>
      <c r="AW37" s="47"/>
      <c r="AX37" s="47"/>
      <c r="AY37" s="47"/>
      <c r="AZ37" s="47"/>
      <c r="BA37" s="47"/>
      <c r="BB37" s="19"/>
      <c r="BC37" s="27"/>
      <c r="BD37" s="19"/>
      <c r="BE37" s="19"/>
      <c r="BF37" s="19"/>
      <c r="BG37" s="19"/>
      <c r="BH37" s="19"/>
      <c r="BI37" s="19"/>
      <c r="BJ37" s="19"/>
      <c r="BK37" s="19"/>
      <c r="BL37" s="19"/>
      <c r="BM37" s="19"/>
    </row>
    <row r="38" spans="1:65" ht="60" x14ac:dyDescent="0.25">
      <c r="A38" s="159"/>
      <c r="B38" s="154"/>
      <c r="C38" s="19"/>
      <c r="D38" s="27"/>
      <c r="E38" s="19"/>
      <c r="F38" s="32"/>
      <c r="G38" s="32"/>
      <c r="H38" s="19"/>
      <c r="I38" s="19"/>
      <c r="J38" s="19"/>
      <c r="K38" s="19"/>
      <c r="L38" s="143"/>
      <c r="M38" s="27"/>
      <c r="N38" s="27"/>
      <c r="O38" s="78"/>
      <c r="P38" s="27"/>
      <c r="Q38" s="27"/>
      <c r="R38" s="27"/>
      <c r="S38" s="27"/>
      <c r="T38" s="32"/>
      <c r="U38" s="148"/>
      <c r="V38" s="148"/>
      <c r="W38" s="32"/>
      <c r="X38" s="33" t="s">
        <v>1570</v>
      </c>
      <c r="Y38" s="22" t="s">
        <v>186</v>
      </c>
      <c r="Z38" s="35">
        <v>42835</v>
      </c>
      <c r="AA38" s="34">
        <v>12035</v>
      </c>
      <c r="AB38" s="33" t="s">
        <v>571</v>
      </c>
      <c r="AC38" s="35" t="s">
        <v>572</v>
      </c>
      <c r="AD38" s="35" t="s">
        <v>879</v>
      </c>
      <c r="AE38" s="36"/>
      <c r="AF38" s="22"/>
      <c r="AG38" s="77">
        <v>17280</v>
      </c>
      <c r="AH38" s="25"/>
      <c r="AI38" s="25"/>
      <c r="AJ38" s="25"/>
      <c r="AK38" s="25"/>
      <c r="AL38" s="38"/>
      <c r="AM38" s="38"/>
      <c r="AN38" s="38"/>
      <c r="AO38" s="38"/>
      <c r="AP38" s="23"/>
      <c r="AQ38" s="23"/>
      <c r="AR38" s="23"/>
      <c r="AS38" s="23"/>
      <c r="AT38" s="48"/>
      <c r="AU38" s="48"/>
      <c r="AV38" s="48"/>
      <c r="AW38" s="48"/>
      <c r="AX38" s="48"/>
      <c r="AY38" s="48"/>
      <c r="AZ38" s="48"/>
      <c r="BA38" s="48"/>
      <c r="BB38" s="22"/>
      <c r="BC38" s="43"/>
      <c r="BD38" s="22"/>
      <c r="BE38" s="22"/>
      <c r="BF38" s="22"/>
      <c r="BG38" s="22"/>
      <c r="BH38" s="22"/>
      <c r="BI38" s="22"/>
      <c r="BJ38" s="22"/>
      <c r="BK38" s="22"/>
      <c r="BL38" s="22"/>
      <c r="BM38" s="22"/>
    </row>
    <row r="39" spans="1:65" ht="30" x14ac:dyDescent="0.25">
      <c r="A39" s="159">
        <v>5</v>
      </c>
      <c r="B39" s="154" t="s">
        <v>364</v>
      </c>
      <c r="C39" s="19" t="s">
        <v>145</v>
      </c>
      <c r="D39" s="27" t="s">
        <v>143</v>
      </c>
      <c r="E39" s="19" t="s">
        <v>278</v>
      </c>
      <c r="F39" s="32" t="s">
        <v>151</v>
      </c>
      <c r="G39" s="28" t="s">
        <v>1163</v>
      </c>
      <c r="H39" s="19" t="s">
        <v>745</v>
      </c>
      <c r="I39" s="29">
        <v>41353</v>
      </c>
      <c r="J39" s="29">
        <v>41718</v>
      </c>
      <c r="K39" s="45" t="s">
        <v>157</v>
      </c>
      <c r="L39" s="143" t="s">
        <v>158</v>
      </c>
      <c r="M39" s="27" t="s">
        <v>163</v>
      </c>
      <c r="N39" s="31">
        <v>41373</v>
      </c>
      <c r="O39" s="78">
        <v>17640</v>
      </c>
      <c r="P39" s="30" t="s">
        <v>512</v>
      </c>
      <c r="Q39" s="31">
        <v>41374</v>
      </c>
      <c r="R39" s="31">
        <v>41739</v>
      </c>
      <c r="S39" s="27" t="s">
        <v>133</v>
      </c>
      <c r="T39" s="32"/>
      <c r="U39" s="148" t="s">
        <v>307</v>
      </c>
      <c r="V39" s="148"/>
      <c r="W39" s="32" t="s">
        <v>116</v>
      </c>
      <c r="X39" s="33" t="s">
        <v>1570</v>
      </c>
      <c r="Y39" s="22" t="s">
        <v>141</v>
      </c>
      <c r="Z39" s="35">
        <v>41738</v>
      </c>
      <c r="AA39" s="34">
        <v>11288</v>
      </c>
      <c r="AB39" s="33" t="s">
        <v>284</v>
      </c>
      <c r="AC39" s="35">
        <v>41739</v>
      </c>
      <c r="AD39" s="35">
        <v>42104</v>
      </c>
      <c r="AE39" s="36"/>
      <c r="AF39" s="22"/>
      <c r="AG39" s="77">
        <v>17640</v>
      </c>
      <c r="AH39" s="25"/>
      <c r="AI39" s="25"/>
      <c r="AJ39" s="25"/>
      <c r="AK39" s="25"/>
      <c r="AL39" s="38">
        <f>O39-AH39+AG39-AH40+AG40-AH41+AG41-AH42+AG42</f>
        <v>88200</v>
      </c>
      <c r="AM39" s="38">
        <f>30135+17640+1470+1470+1470+1470+1470+1470+2940+1470+1470+2940+1470+1470+1470+1470+1470+1470+2940+1470+1470+1470</f>
        <v>81585</v>
      </c>
      <c r="AN39" s="38">
        <f>1470+1470+1470+1470+490</f>
        <v>6370</v>
      </c>
      <c r="AO39" s="38">
        <f>AM39+AN39</f>
        <v>87955</v>
      </c>
      <c r="AP39" s="39"/>
      <c r="AQ39" s="23"/>
      <c r="AR39" s="23"/>
      <c r="AS39" s="20"/>
      <c r="AT39" s="47"/>
      <c r="AU39" s="47"/>
      <c r="AV39" s="47"/>
      <c r="AW39" s="47"/>
      <c r="AX39" s="47"/>
      <c r="AY39" s="47"/>
      <c r="AZ39" s="47"/>
      <c r="BA39" s="47"/>
      <c r="BB39" s="19"/>
      <c r="BC39" s="27"/>
      <c r="BD39" s="19"/>
      <c r="BE39" s="19"/>
      <c r="BF39" s="19"/>
      <c r="BG39" s="19"/>
      <c r="BH39" s="19"/>
      <c r="BI39" s="19"/>
      <c r="BJ39" s="19"/>
      <c r="BK39" s="19"/>
      <c r="BL39" s="19"/>
      <c r="BM39" s="19"/>
    </row>
    <row r="40" spans="1:65" ht="45" x14ac:dyDescent="0.25">
      <c r="A40" s="159"/>
      <c r="B40" s="154"/>
      <c r="C40" s="19"/>
      <c r="D40" s="27"/>
      <c r="E40" s="19"/>
      <c r="F40" s="32"/>
      <c r="G40" s="28"/>
      <c r="H40" s="19"/>
      <c r="I40" s="19"/>
      <c r="J40" s="19"/>
      <c r="K40" s="45"/>
      <c r="L40" s="143"/>
      <c r="M40" s="27"/>
      <c r="N40" s="31"/>
      <c r="O40" s="78"/>
      <c r="P40" s="30"/>
      <c r="Q40" s="31"/>
      <c r="R40" s="31"/>
      <c r="S40" s="27"/>
      <c r="T40" s="32"/>
      <c r="U40" s="148"/>
      <c r="V40" s="148"/>
      <c r="W40" s="32"/>
      <c r="X40" s="33" t="s">
        <v>1570</v>
      </c>
      <c r="Y40" s="22" t="s">
        <v>140</v>
      </c>
      <c r="Z40" s="35">
        <v>42104</v>
      </c>
      <c r="AA40" s="34">
        <v>11538</v>
      </c>
      <c r="AB40" s="33" t="s">
        <v>363</v>
      </c>
      <c r="AC40" s="35">
        <v>42104</v>
      </c>
      <c r="AD40" s="35">
        <v>42470</v>
      </c>
      <c r="AE40" s="36"/>
      <c r="AF40" s="22"/>
      <c r="AG40" s="77">
        <v>17640</v>
      </c>
      <c r="AH40" s="25"/>
      <c r="AI40" s="25"/>
      <c r="AJ40" s="25"/>
      <c r="AK40" s="25"/>
      <c r="AL40" s="38"/>
      <c r="AM40" s="38"/>
      <c r="AN40" s="38"/>
      <c r="AO40" s="38"/>
      <c r="AP40" s="20"/>
      <c r="AQ40" s="23"/>
      <c r="AR40" s="23"/>
      <c r="AS40" s="20"/>
      <c r="AT40" s="47"/>
      <c r="AU40" s="47"/>
      <c r="AV40" s="47"/>
      <c r="AW40" s="47"/>
      <c r="AX40" s="47"/>
      <c r="AY40" s="47"/>
      <c r="AZ40" s="47"/>
      <c r="BA40" s="47"/>
      <c r="BB40" s="19"/>
      <c r="BC40" s="27"/>
      <c r="BD40" s="19"/>
      <c r="BE40" s="19"/>
      <c r="BF40" s="19"/>
      <c r="BG40" s="19"/>
      <c r="BH40" s="19"/>
      <c r="BI40" s="19"/>
      <c r="BJ40" s="19"/>
      <c r="BK40" s="19"/>
      <c r="BL40" s="19"/>
      <c r="BM40" s="19"/>
    </row>
    <row r="41" spans="1:65" ht="60" x14ac:dyDescent="0.25">
      <c r="A41" s="159"/>
      <c r="B41" s="154"/>
      <c r="C41" s="19"/>
      <c r="D41" s="27"/>
      <c r="E41" s="19"/>
      <c r="F41" s="32"/>
      <c r="G41" s="32"/>
      <c r="H41" s="19"/>
      <c r="I41" s="19"/>
      <c r="J41" s="19"/>
      <c r="K41" s="19"/>
      <c r="L41" s="143"/>
      <c r="M41" s="27"/>
      <c r="N41" s="27"/>
      <c r="O41" s="78"/>
      <c r="P41" s="27"/>
      <c r="Q41" s="27"/>
      <c r="R41" s="27"/>
      <c r="S41" s="27"/>
      <c r="T41" s="32"/>
      <c r="U41" s="148"/>
      <c r="V41" s="148"/>
      <c r="W41" s="32"/>
      <c r="X41" s="33" t="s">
        <v>1570</v>
      </c>
      <c r="Y41" s="22" t="s">
        <v>185</v>
      </c>
      <c r="Z41" s="35">
        <v>42467</v>
      </c>
      <c r="AA41" s="34">
        <v>11785</v>
      </c>
      <c r="AB41" s="33" t="s">
        <v>571</v>
      </c>
      <c r="AC41" s="35">
        <v>42470</v>
      </c>
      <c r="AD41" s="35" t="s">
        <v>572</v>
      </c>
      <c r="AE41" s="36"/>
      <c r="AF41" s="22"/>
      <c r="AG41" s="77">
        <v>17640</v>
      </c>
      <c r="AH41" s="25"/>
      <c r="AI41" s="25"/>
      <c r="AJ41" s="25"/>
      <c r="AK41" s="25"/>
      <c r="AL41" s="38"/>
      <c r="AM41" s="38"/>
      <c r="AN41" s="38"/>
      <c r="AO41" s="38"/>
      <c r="AP41" s="20"/>
      <c r="AQ41" s="23"/>
      <c r="AR41" s="23"/>
      <c r="AS41" s="20"/>
      <c r="AT41" s="47"/>
      <c r="AU41" s="47"/>
      <c r="AV41" s="47"/>
      <c r="AW41" s="47"/>
      <c r="AX41" s="47"/>
      <c r="AY41" s="47"/>
      <c r="AZ41" s="47"/>
      <c r="BA41" s="47"/>
      <c r="BB41" s="19"/>
      <c r="BC41" s="27"/>
      <c r="BD41" s="19"/>
      <c r="BE41" s="19"/>
      <c r="BF41" s="19"/>
      <c r="BG41" s="19"/>
      <c r="BH41" s="19"/>
      <c r="BI41" s="19"/>
      <c r="BJ41" s="19"/>
      <c r="BK41" s="19"/>
      <c r="BL41" s="19"/>
      <c r="BM41" s="19"/>
    </row>
    <row r="42" spans="1:65" ht="60" x14ac:dyDescent="0.25">
      <c r="A42" s="159"/>
      <c r="B42" s="154"/>
      <c r="C42" s="19"/>
      <c r="D42" s="27"/>
      <c r="E42" s="19"/>
      <c r="F42" s="32"/>
      <c r="G42" s="32"/>
      <c r="H42" s="19"/>
      <c r="I42" s="19"/>
      <c r="J42" s="19"/>
      <c r="K42" s="19"/>
      <c r="L42" s="143"/>
      <c r="M42" s="27"/>
      <c r="N42" s="27"/>
      <c r="O42" s="78"/>
      <c r="P42" s="27"/>
      <c r="Q42" s="27"/>
      <c r="R42" s="27"/>
      <c r="S42" s="27"/>
      <c r="T42" s="32"/>
      <c r="U42" s="148"/>
      <c r="V42" s="148"/>
      <c r="W42" s="32"/>
      <c r="X42" s="33" t="s">
        <v>1570</v>
      </c>
      <c r="Y42" s="22" t="s">
        <v>186</v>
      </c>
      <c r="Z42" s="35">
        <v>42835</v>
      </c>
      <c r="AA42" s="34">
        <v>12035</v>
      </c>
      <c r="AB42" s="33" t="s">
        <v>571</v>
      </c>
      <c r="AC42" s="35" t="s">
        <v>572</v>
      </c>
      <c r="AD42" s="35" t="s">
        <v>879</v>
      </c>
      <c r="AE42" s="36"/>
      <c r="AF42" s="22"/>
      <c r="AG42" s="77">
        <v>17640</v>
      </c>
      <c r="AH42" s="25"/>
      <c r="AI42" s="25"/>
      <c r="AJ42" s="25"/>
      <c r="AK42" s="25"/>
      <c r="AL42" s="38"/>
      <c r="AM42" s="38"/>
      <c r="AN42" s="38"/>
      <c r="AO42" s="38"/>
      <c r="AP42" s="23"/>
      <c r="AQ42" s="23"/>
      <c r="AR42" s="23"/>
      <c r="AS42" s="23"/>
      <c r="AT42" s="48"/>
      <c r="AU42" s="48"/>
      <c r="AV42" s="48"/>
      <c r="AW42" s="48"/>
      <c r="AX42" s="48"/>
      <c r="AY42" s="48"/>
      <c r="AZ42" s="48"/>
      <c r="BA42" s="48"/>
      <c r="BB42" s="22"/>
      <c r="BC42" s="43"/>
      <c r="BD42" s="22"/>
      <c r="BE42" s="22"/>
      <c r="BF42" s="22"/>
      <c r="BG42" s="22"/>
      <c r="BH42" s="22"/>
      <c r="BI42" s="22"/>
      <c r="BJ42" s="22"/>
      <c r="BK42" s="22"/>
      <c r="BL42" s="22"/>
      <c r="BM42" s="22"/>
    </row>
    <row r="43" spans="1:65" ht="30" x14ac:dyDescent="0.25">
      <c r="A43" s="159">
        <v>6</v>
      </c>
      <c r="B43" s="154" t="s">
        <v>364</v>
      </c>
      <c r="C43" s="19" t="s">
        <v>145</v>
      </c>
      <c r="D43" s="27" t="s">
        <v>143</v>
      </c>
      <c r="E43" s="19" t="s">
        <v>278</v>
      </c>
      <c r="F43" s="32" t="s">
        <v>152</v>
      </c>
      <c r="G43" s="28" t="s">
        <v>1163</v>
      </c>
      <c r="H43" s="19" t="s">
        <v>745</v>
      </c>
      <c r="I43" s="29">
        <v>41353</v>
      </c>
      <c r="J43" s="29">
        <v>41718</v>
      </c>
      <c r="K43" s="45" t="s">
        <v>159</v>
      </c>
      <c r="L43" s="143" t="s">
        <v>160</v>
      </c>
      <c r="M43" s="27" t="s">
        <v>164</v>
      </c>
      <c r="N43" s="31">
        <v>41373</v>
      </c>
      <c r="O43" s="78">
        <v>38988</v>
      </c>
      <c r="P43" s="30" t="s">
        <v>513</v>
      </c>
      <c r="Q43" s="31">
        <v>41374</v>
      </c>
      <c r="R43" s="31">
        <v>41739</v>
      </c>
      <c r="S43" s="27" t="s">
        <v>133</v>
      </c>
      <c r="T43" s="32"/>
      <c r="U43" s="148"/>
      <c r="V43" s="148"/>
      <c r="W43" s="32" t="s">
        <v>116</v>
      </c>
      <c r="X43" s="33" t="s">
        <v>1570</v>
      </c>
      <c r="Y43" s="22" t="s">
        <v>141</v>
      </c>
      <c r="Z43" s="35">
        <v>41738</v>
      </c>
      <c r="AA43" s="34">
        <v>11294</v>
      </c>
      <c r="AB43" s="33" t="s">
        <v>284</v>
      </c>
      <c r="AC43" s="35">
        <v>41739</v>
      </c>
      <c r="AD43" s="35">
        <v>42104</v>
      </c>
      <c r="AE43" s="36"/>
      <c r="AF43" s="22"/>
      <c r="AG43" s="77">
        <v>38988</v>
      </c>
      <c r="AH43" s="25"/>
      <c r="AI43" s="25"/>
      <c r="AJ43" s="25"/>
      <c r="AK43" s="25"/>
      <c r="AL43" s="38">
        <f>O43-AH43+AG43-AH44+AG44-AH45+AG45-AH46+AG46</f>
        <v>194940</v>
      </c>
      <c r="AM43" s="38">
        <f>66202.06+38988+3249+3249+3249+3249+3249+3249+6498+3249+3249+6498+3249+3249+3249+3249+3249+3249+6498+3249+3249+3249</f>
        <v>179917.06</v>
      </c>
      <c r="AN43" s="38">
        <f>3249+3249+3249+3249+1083</f>
        <v>14079</v>
      </c>
      <c r="AO43" s="38">
        <f>AM43+AN43</f>
        <v>193996.06</v>
      </c>
      <c r="AP43" s="39"/>
      <c r="AQ43" s="23"/>
      <c r="AR43" s="23"/>
      <c r="AS43" s="20"/>
      <c r="AT43" s="47"/>
      <c r="AU43" s="47"/>
      <c r="AV43" s="47"/>
      <c r="AW43" s="47"/>
      <c r="AX43" s="47"/>
      <c r="AY43" s="47"/>
      <c r="AZ43" s="47"/>
      <c r="BA43" s="47"/>
      <c r="BB43" s="19"/>
      <c r="BC43" s="27"/>
      <c r="BD43" s="19"/>
      <c r="BE43" s="19"/>
      <c r="BF43" s="19"/>
      <c r="BG43" s="19"/>
      <c r="BH43" s="19"/>
      <c r="BI43" s="19"/>
      <c r="BJ43" s="19"/>
      <c r="BK43" s="19"/>
      <c r="BL43" s="19"/>
      <c r="BM43" s="19"/>
    </row>
    <row r="44" spans="1:65" ht="45" x14ac:dyDescent="0.25">
      <c r="A44" s="159"/>
      <c r="B44" s="154"/>
      <c r="C44" s="19"/>
      <c r="D44" s="27"/>
      <c r="E44" s="19"/>
      <c r="F44" s="32"/>
      <c r="G44" s="28"/>
      <c r="H44" s="19"/>
      <c r="I44" s="19"/>
      <c r="J44" s="19"/>
      <c r="K44" s="45"/>
      <c r="L44" s="143"/>
      <c r="M44" s="27"/>
      <c r="N44" s="31"/>
      <c r="O44" s="78"/>
      <c r="P44" s="30"/>
      <c r="Q44" s="31"/>
      <c r="R44" s="31"/>
      <c r="S44" s="27"/>
      <c r="T44" s="32"/>
      <c r="U44" s="148"/>
      <c r="V44" s="148"/>
      <c r="W44" s="32"/>
      <c r="X44" s="33" t="s">
        <v>1570</v>
      </c>
      <c r="Y44" s="22" t="s">
        <v>140</v>
      </c>
      <c r="Z44" s="35">
        <v>42104</v>
      </c>
      <c r="AA44" s="34">
        <v>11538</v>
      </c>
      <c r="AB44" s="33" t="s">
        <v>362</v>
      </c>
      <c r="AC44" s="35">
        <v>42104</v>
      </c>
      <c r="AD44" s="35">
        <v>42470</v>
      </c>
      <c r="AE44" s="36"/>
      <c r="AF44" s="22"/>
      <c r="AG44" s="77">
        <v>38988</v>
      </c>
      <c r="AH44" s="25"/>
      <c r="AI44" s="25"/>
      <c r="AJ44" s="25"/>
      <c r="AK44" s="25"/>
      <c r="AL44" s="38"/>
      <c r="AM44" s="38"/>
      <c r="AN44" s="38"/>
      <c r="AO44" s="38"/>
      <c r="AP44" s="20"/>
      <c r="AQ44" s="23"/>
      <c r="AR44" s="23"/>
      <c r="AS44" s="20"/>
      <c r="AT44" s="47"/>
      <c r="AU44" s="47"/>
      <c r="AV44" s="47"/>
      <c r="AW44" s="47"/>
      <c r="AX44" s="47"/>
      <c r="AY44" s="47"/>
      <c r="AZ44" s="47"/>
      <c r="BA44" s="47"/>
      <c r="BB44" s="19"/>
      <c r="BC44" s="27"/>
      <c r="BD44" s="19"/>
      <c r="BE44" s="19"/>
      <c r="BF44" s="19"/>
      <c r="BG44" s="19"/>
      <c r="BH44" s="19"/>
      <c r="BI44" s="19"/>
      <c r="BJ44" s="19"/>
      <c r="BK44" s="19"/>
      <c r="BL44" s="19"/>
      <c r="BM44" s="19"/>
    </row>
    <row r="45" spans="1:65" ht="60" x14ac:dyDescent="0.25">
      <c r="A45" s="159"/>
      <c r="B45" s="154"/>
      <c r="C45" s="19"/>
      <c r="D45" s="27"/>
      <c r="E45" s="19"/>
      <c r="F45" s="32"/>
      <c r="G45" s="28"/>
      <c r="H45" s="19"/>
      <c r="I45" s="19"/>
      <c r="J45" s="19"/>
      <c r="K45" s="45"/>
      <c r="L45" s="143"/>
      <c r="M45" s="27"/>
      <c r="N45" s="31"/>
      <c r="O45" s="78"/>
      <c r="P45" s="30"/>
      <c r="Q45" s="31"/>
      <c r="R45" s="31"/>
      <c r="S45" s="27"/>
      <c r="T45" s="32"/>
      <c r="U45" s="148"/>
      <c r="V45" s="148"/>
      <c r="W45" s="32"/>
      <c r="X45" s="33" t="s">
        <v>1570</v>
      </c>
      <c r="Y45" s="22" t="s">
        <v>185</v>
      </c>
      <c r="Z45" s="35">
        <v>42467</v>
      </c>
      <c r="AA45" s="34">
        <v>11785</v>
      </c>
      <c r="AB45" s="33" t="s">
        <v>571</v>
      </c>
      <c r="AC45" s="35">
        <v>42470</v>
      </c>
      <c r="AD45" s="35" t="s">
        <v>572</v>
      </c>
      <c r="AE45" s="36"/>
      <c r="AF45" s="22"/>
      <c r="AG45" s="77">
        <v>38988</v>
      </c>
      <c r="AH45" s="25"/>
      <c r="AI45" s="25"/>
      <c r="AJ45" s="25"/>
      <c r="AK45" s="25"/>
      <c r="AL45" s="38"/>
      <c r="AM45" s="38"/>
      <c r="AN45" s="38"/>
      <c r="AO45" s="38"/>
      <c r="AP45" s="20"/>
      <c r="AQ45" s="23"/>
      <c r="AR45" s="23"/>
      <c r="AS45" s="20"/>
      <c r="AT45" s="47"/>
      <c r="AU45" s="47"/>
      <c r="AV45" s="47"/>
      <c r="AW45" s="47"/>
      <c r="AX45" s="47"/>
      <c r="AY45" s="47"/>
      <c r="AZ45" s="47"/>
      <c r="BA45" s="47"/>
      <c r="BB45" s="19"/>
      <c r="BC45" s="27"/>
      <c r="BD45" s="19"/>
      <c r="BE45" s="19"/>
      <c r="BF45" s="19"/>
      <c r="BG45" s="19"/>
      <c r="BH45" s="19"/>
      <c r="BI45" s="19"/>
      <c r="BJ45" s="19"/>
      <c r="BK45" s="19"/>
      <c r="BL45" s="19"/>
      <c r="BM45" s="19"/>
    </row>
    <row r="46" spans="1:65" ht="60" x14ac:dyDescent="0.25">
      <c r="A46" s="159"/>
      <c r="B46" s="154"/>
      <c r="C46" s="19"/>
      <c r="D46" s="27"/>
      <c r="E46" s="19"/>
      <c r="F46" s="32"/>
      <c r="G46" s="32"/>
      <c r="H46" s="19"/>
      <c r="I46" s="19"/>
      <c r="J46" s="19"/>
      <c r="K46" s="19"/>
      <c r="L46" s="143"/>
      <c r="M46" s="27"/>
      <c r="N46" s="27"/>
      <c r="O46" s="78"/>
      <c r="P46" s="27"/>
      <c r="Q46" s="27"/>
      <c r="R46" s="27"/>
      <c r="S46" s="27"/>
      <c r="T46" s="32"/>
      <c r="U46" s="148"/>
      <c r="V46" s="148"/>
      <c r="W46" s="32"/>
      <c r="X46" s="33" t="s">
        <v>1570</v>
      </c>
      <c r="Y46" s="22" t="s">
        <v>186</v>
      </c>
      <c r="Z46" s="35">
        <v>42835</v>
      </c>
      <c r="AA46" s="34">
        <v>12035</v>
      </c>
      <c r="AB46" s="33" t="s">
        <v>571</v>
      </c>
      <c r="AC46" s="35" t="s">
        <v>572</v>
      </c>
      <c r="AD46" s="35" t="s">
        <v>879</v>
      </c>
      <c r="AE46" s="36"/>
      <c r="AF46" s="22"/>
      <c r="AG46" s="77">
        <v>38988</v>
      </c>
      <c r="AH46" s="25"/>
      <c r="AI46" s="25"/>
      <c r="AJ46" s="25"/>
      <c r="AK46" s="25"/>
      <c r="AL46" s="38"/>
      <c r="AM46" s="38"/>
      <c r="AN46" s="38"/>
      <c r="AO46" s="38"/>
      <c r="AP46" s="23"/>
      <c r="AQ46" s="23"/>
      <c r="AR46" s="23"/>
      <c r="AS46" s="23"/>
      <c r="AT46" s="48"/>
      <c r="AU46" s="48"/>
      <c r="AV46" s="48"/>
      <c r="AW46" s="48"/>
      <c r="AX46" s="48"/>
      <c r="AY46" s="48"/>
      <c r="AZ46" s="48"/>
      <c r="BA46" s="48"/>
      <c r="BB46" s="22"/>
      <c r="BC46" s="43"/>
      <c r="BD46" s="22"/>
      <c r="BE46" s="22"/>
      <c r="BF46" s="22"/>
      <c r="BG46" s="22"/>
      <c r="BH46" s="22"/>
      <c r="BI46" s="22"/>
      <c r="BJ46" s="22"/>
      <c r="BK46" s="22"/>
      <c r="BL46" s="22"/>
      <c r="BM46" s="22"/>
    </row>
    <row r="47" spans="1:65" ht="30" x14ac:dyDescent="0.25">
      <c r="A47" s="159">
        <v>7</v>
      </c>
      <c r="B47" s="154" t="s">
        <v>364</v>
      </c>
      <c r="C47" s="19" t="s">
        <v>145</v>
      </c>
      <c r="D47" s="27" t="s">
        <v>143</v>
      </c>
      <c r="E47" s="19" t="s">
        <v>278</v>
      </c>
      <c r="F47" s="32" t="s">
        <v>169</v>
      </c>
      <c r="G47" s="28" t="s">
        <v>1163</v>
      </c>
      <c r="H47" s="19" t="s">
        <v>745</v>
      </c>
      <c r="I47" s="29">
        <v>41353</v>
      </c>
      <c r="J47" s="29">
        <v>41718</v>
      </c>
      <c r="K47" s="45" t="s">
        <v>167</v>
      </c>
      <c r="L47" s="143" t="s">
        <v>165</v>
      </c>
      <c r="M47" s="27" t="s">
        <v>171</v>
      </c>
      <c r="N47" s="31">
        <v>41380</v>
      </c>
      <c r="O47" s="78">
        <v>39240</v>
      </c>
      <c r="P47" s="30" t="s">
        <v>512</v>
      </c>
      <c r="Q47" s="31">
        <v>41380</v>
      </c>
      <c r="R47" s="31">
        <v>41745</v>
      </c>
      <c r="S47" s="27" t="s">
        <v>133</v>
      </c>
      <c r="T47" s="32"/>
      <c r="U47" s="148"/>
      <c r="V47" s="148"/>
      <c r="W47" s="32" t="s">
        <v>116</v>
      </c>
      <c r="X47" s="33" t="s">
        <v>1570</v>
      </c>
      <c r="Y47" s="22" t="s">
        <v>141</v>
      </c>
      <c r="Z47" s="35">
        <v>41744</v>
      </c>
      <c r="AA47" s="34">
        <v>11292</v>
      </c>
      <c r="AB47" s="33" t="s">
        <v>284</v>
      </c>
      <c r="AC47" s="35">
        <v>41745</v>
      </c>
      <c r="AD47" s="35">
        <v>42110</v>
      </c>
      <c r="AE47" s="36"/>
      <c r="AF47" s="22"/>
      <c r="AG47" s="77">
        <v>39240</v>
      </c>
      <c r="AH47" s="25"/>
      <c r="AI47" s="25"/>
      <c r="AJ47" s="25"/>
      <c r="AK47" s="25"/>
      <c r="AL47" s="38">
        <f>O47-AH47+AG47-AH48+AG48-AH49+AG49-AH50+AG50</f>
        <v>196200</v>
      </c>
      <c r="AM47" s="38">
        <f>66054+39240+3270+3270+3270+3270+3270+3270+6540+3270+3270+6540+3270+3270+3270+3270+3270+3270+6540+3270+3270+3270</f>
        <v>180504</v>
      </c>
      <c r="AN47" s="38">
        <f>3270+3270+3270+3270+1744</f>
        <v>14824</v>
      </c>
      <c r="AO47" s="38">
        <f>AM47+AN47</f>
        <v>195328</v>
      </c>
      <c r="AP47" s="39"/>
      <c r="AQ47" s="23"/>
      <c r="AR47" s="23"/>
      <c r="AS47" s="20"/>
      <c r="AT47" s="47"/>
      <c r="AU47" s="47"/>
      <c r="AV47" s="47"/>
      <c r="AW47" s="47"/>
      <c r="AX47" s="47"/>
      <c r="AY47" s="47"/>
      <c r="AZ47" s="47"/>
      <c r="BA47" s="47"/>
      <c r="BB47" s="19"/>
      <c r="BC47" s="27"/>
      <c r="BD47" s="19"/>
      <c r="BE47" s="19"/>
      <c r="BF47" s="19"/>
      <c r="BG47" s="19"/>
      <c r="BH47" s="19"/>
      <c r="BI47" s="19"/>
      <c r="BJ47" s="19"/>
      <c r="BK47" s="19"/>
      <c r="BL47" s="19"/>
      <c r="BM47" s="19"/>
    </row>
    <row r="48" spans="1:65" ht="45" x14ac:dyDescent="0.25">
      <c r="A48" s="159"/>
      <c r="B48" s="154"/>
      <c r="C48" s="19"/>
      <c r="D48" s="27"/>
      <c r="E48" s="19"/>
      <c r="F48" s="32"/>
      <c r="G48" s="28"/>
      <c r="H48" s="19"/>
      <c r="I48" s="19"/>
      <c r="J48" s="19"/>
      <c r="K48" s="45"/>
      <c r="L48" s="143"/>
      <c r="M48" s="27"/>
      <c r="N48" s="31"/>
      <c r="O48" s="78"/>
      <c r="P48" s="30"/>
      <c r="Q48" s="31"/>
      <c r="R48" s="31"/>
      <c r="S48" s="27"/>
      <c r="T48" s="32"/>
      <c r="U48" s="148"/>
      <c r="V48" s="148"/>
      <c r="W48" s="32"/>
      <c r="X48" s="33" t="s">
        <v>1570</v>
      </c>
      <c r="Y48" s="22" t="s">
        <v>140</v>
      </c>
      <c r="Z48" s="35">
        <v>42104</v>
      </c>
      <c r="AA48" s="34">
        <v>11538</v>
      </c>
      <c r="AB48" s="33" t="s">
        <v>363</v>
      </c>
      <c r="AC48" s="35">
        <v>42110</v>
      </c>
      <c r="AD48" s="35">
        <v>42476</v>
      </c>
      <c r="AE48" s="36"/>
      <c r="AF48" s="22"/>
      <c r="AG48" s="77">
        <v>39240</v>
      </c>
      <c r="AH48" s="25"/>
      <c r="AI48" s="25"/>
      <c r="AJ48" s="25"/>
      <c r="AK48" s="25"/>
      <c r="AL48" s="38"/>
      <c r="AM48" s="38"/>
      <c r="AN48" s="38"/>
      <c r="AO48" s="38"/>
      <c r="AP48" s="20"/>
      <c r="AQ48" s="23"/>
      <c r="AR48" s="23"/>
      <c r="AS48" s="20"/>
      <c r="AT48" s="47"/>
      <c r="AU48" s="47"/>
      <c r="AV48" s="47"/>
      <c r="AW48" s="47"/>
      <c r="AX48" s="47"/>
      <c r="AY48" s="47"/>
      <c r="AZ48" s="47"/>
      <c r="BA48" s="47"/>
      <c r="BB48" s="19"/>
      <c r="BC48" s="27"/>
      <c r="BD48" s="19"/>
      <c r="BE48" s="19"/>
      <c r="BF48" s="19"/>
      <c r="BG48" s="19"/>
      <c r="BH48" s="19"/>
      <c r="BI48" s="19"/>
      <c r="BJ48" s="19"/>
      <c r="BK48" s="19"/>
      <c r="BL48" s="19"/>
      <c r="BM48" s="19"/>
    </row>
    <row r="49" spans="1:65" ht="60" x14ac:dyDescent="0.25">
      <c r="A49" s="159"/>
      <c r="B49" s="154"/>
      <c r="C49" s="19"/>
      <c r="D49" s="27"/>
      <c r="E49" s="19"/>
      <c r="F49" s="32"/>
      <c r="G49" s="28"/>
      <c r="H49" s="19"/>
      <c r="I49" s="19"/>
      <c r="J49" s="19"/>
      <c r="K49" s="45"/>
      <c r="L49" s="143"/>
      <c r="M49" s="27"/>
      <c r="N49" s="31"/>
      <c r="O49" s="78"/>
      <c r="P49" s="30"/>
      <c r="Q49" s="31"/>
      <c r="R49" s="31"/>
      <c r="S49" s="27"/>
      <c r="T49" s="32"/>
      <c r="U49" s="148"/>
      <c r="V49" s="148"/>
      <c r="W49" s="32"/>
      <c r="X49" s="33" t="s">
        <v>1570</v>
      </c>
      <c r="Y49" s="22" t="s">
        <v>185</v>
      </c>
      <c r="Z49" s="35">
        <v>42467</v>
      </c>
      <c r="AA49" s="34">
        <v>11785</v>
      </c>
      <c r="AB49" s="33" t="s">
        <v>571</v>
      </c>
      <c r="AC49" s="35">
        <v>42476</v>
      </c>
      <c r="AD49" s="35" t="s">
        <v>573</v>
      </c>
      <c r="AE49" s="36"/>
      <c r="AF49" s="22"/>
      <c r="AG49" s="77">
        <v>39240</v>
      </c>
      <c r="AH49" s="25"/>
      <c r="AI49" s="25"/>
      <c r="AJ49" s="25"/>
      <c r="AK49" s="25"/>
      <c r="AL49" s="38"/>
      <c r="AM49" s="38"/>
      <c r="AN49" s="38"/>
      <c r="AO49" s="38"/>
      <c r="AP49" s="20"/>
      <c r="AQ49" s="23"/>
      <c r="AR49" s="23"/>
      <c r="AS49" s="20"/>
      <c r="AT49" s="47"/>
      <c r="AU49" s="47"/>
      <c r="AV49" s="47"/>
      <c r="AW49" s="47"/>
      <c r="AX49" s="47"/>
      <c r="AY49" s="47"/>
      <c r="AZ49" s="47"/>
      <c r="BA49" s="47"/>
      <c r="BB49" s="19"/>
      <c r="BC49" s="27"/>
      <c r="BD49" s="19"/>
      <c r="BE49" s="19"/>
      <c r="BF49" s="19"/>
      <c r="BG49" s="19"/>
      <c r="BH49" s="19"/>
      <c r="BI49" s="19"/>
      <c r="BJ49" s="19"/>
      <c r="BK49" s="19"/>
      <c r="BL49" s="19"/>
      <c r="BM49" s="19"/>
    </row>
    <row r="50" spans="1:65" ht="60" x14ac:dyDescent="0.25">
      <c r="A50" s="159"/>
      <c r="B50" s="154"/>
      <c r="C50" s="19"/>
      <c r="D50" s="27"/>
      <c r="E50" s="19"/>
      <c r="F50" s="32"/>
      <c r="G50" s="32"/>
      <c r="H50" s="19"/>
      <c r="I50" s="19"/>
      <c r="J50" s="19"/>
      <c r="K50" s="19"/>
      <c r="L50" s="143"/>
      <c r="M50" s="27"/>
      <c r="N50" s="27"/>
      <c r="O50" s="78"/>
      <c r="P50" s="27"/>
      <c r="Q50" s="27"/>
      <c r="R50" s="27"/>
      <c r="S50" s="27"/>
      <c r="T50" s="32"/>
      <c r="U50" s="148"/>
      <c r="V50" s="148"/>
      <c r="W50" s="32"/>
      <c r="X50" s="33" t="s">
        <v>1570</v>
      </c>
      <c r="Y50" s="22" t="s">
        <v>186</v>
      </c>
      <c r="Z50" s="35">
        <v>42835</v>
      </c>
      <c r="AA50" s="34">
        <v>12035</v>
      </c>
      <c r="AB50" s="33" t="s">
        <v>571</v>
      </c>
      <c r="AC50" s="35" t="s">
        <v>573</v>
      </c>
      <c r="AD50" s="35" t="s">
        <v>880</v>
      </c>
      <c r="AE50" s="36"/>
      <c r="AF50" s="22"/>
      <c r="AG50" s="77">
        <v>39240</v>
      </c>
      <c r="AH50" s="25"/>
      <c r="AI50" s="25"/>
      <c r="AJ50" s="25"/>
      <c r="AK50" s="25"/>
      <c r="AL50" s="38"/>
      <c r="AM50" s="38"/>
      <c r="AN50" s="38"/>
      <c r="AO50" s="38"/>
      <c r="AP50" s="23"/>
      <c r="AQ50" s="23"/>
      <c r="AR50" s="23"/>
      <c r="AS50" s="23"/>
      <c r="AT50" s="48"/>
      <c r="AU50" s="48"/>
      <c r="AV50" s="48"/>
      <c r="AW50" s="48"/>
      <c r="AX50" s="48"/>
      <c r="AY50" s="48"/>
      <c r="AZ50" s="48"/>
      <c r="BA50" s="48"/>
      <c r="BB50" s="22"/>
      <c r="BC50" s="43"/>
      <c r="BD50" s="22"/>
      <c r="BE50" s="22"/>
      <c r="BF50" s="22"/>
      <c r="BG50" s="22"/>
      <c r="BH50" s="22"/>
      <c r="BI50" s="22"/>
      <c r="BJ50" s="22"/>
      <c r="BK50" s="22"/>
      <c r="BL50" s="22"/>
      <c r="BM50" s="22"/>
    </row>
    <row r="51" spans="1:65" ht="30" x14ac:dyDescent="0.25">
      <c r="A51" s="159">
        <v>8</v>
      </c>
      <c r="B51" s="154" t="s">
        <v>364</v>
      </c>
      <c r="C51" s="19" t="s">
        <v>145</v>
      </c>
      <c r="D51" s="27" t="s">
        <v>143</v>
      </c>
      <c r="E51" s="19" t="s">
        <v>278</v>
      </c>
      <c r="F51" s="32" t="s">
        <v>170</v>
      </c>
      <c r="G51" s="28" t="s">
        <v>1163</v>
      </c>
      <c r="H51" s="19" t="s">
        <v>745</v>
      </c>
      <c r="I51" s="29">
        <v>41353</v>
      </c>
      <c r="J51" s="29">
        <v>41718</v>
      </c>
      <c r="K51" s="45" t="s">
        <v>168</v>
      </c>
      <c r="L51" s="143" t="s">
        <v>166</v>
      </c>
      <c r="M51" s="27" t="s">
        <v>172</v>
      </c>
      <c r="N51" s="31">
        <v>41393</v>
      </c>
      <c r="O51" s="78">
        <v>19800</v>
      </c>
      <c r="P51" s="30" t="s">
        <v>514</v>
      </c>
      <c r="Q51" s="31">
        <v>41393</v>
      </c>
      <c r="R51" s="31">
        <v>41758</v>
      </c>
      <c r="S51" s="27" t="s">
        <v>133</v>
      </c>
      <c r="T51" s="32"/>
      <c r="U51" s="148"/>
      <c r="V51" s="148"/>
      <c r="W51" s="32" t="s">
        <v>116</v>
      </c>
      <c r="X51" s="33" t="s">
        <v>1570</v>
      </c>
      <c r="Y51" s="22" t="s">
        <v>141</v>
      </c>
      <c r="Z51" s="35">
        <v>41757</v>
      </c>
      <c r="AA51" s="34">
        <v>11297</v>
      </c>
      <c r="AB51" s="33" t="s">
        <v>284</v>
      </c>
      <c r="AC51" s="35">
        <v>41758</v>
      </c>
      <c r="AD51" s="35">
        <v>42123</v>
      </c>
      <c r="AE51" s="36"/>
      <c r="AF51" s="22"/>
      <c r="AG51" s="77">
        <v>19800</v>
      </c>
      <c r="AH51" s="25"/>
      <c r="AI51" s="25"/>
      <c r="AJ51" s="25"/>
      <c r="AK51" s="25"/>
      <c r="AL51" s="38">
        <f>O51-AH51+AG51-AH52+AG52-AH53+AG53-AH54+AG54</f>
        <v>99000</v>
      </c>
      <c r="AM51" s="38">
        <f>32450+19800+1650+1650+1650+1650+1650+1650+1650+3300+1650+1650+3300+1650+1650+1650+1650+1650+1650+3300+1650+1650+1650</f>
        <v>91850</v>
      </c>
      <c r="AN51" s="38">
        <f>1650+1650+1650+1650+550</f>
        <v>7150</v>
      </c>
      <c r="AO51" s="38">
        <f>AM51+AN51</f>
        <v>99000</v>
      </c>
      <c r="AP51" s="39"/>
      <c r="AQ51" s="23"/>
      <c r="AR51" s="23"/>
      <c r="AS51" s="20"/>
      <c r="AT51" s="47"/>
      <c r="AU51" s="47"/>
      <c r="AV51" s="47"/>
      <c r="AW51" s="47"/>
      <c r="AX51" s="47"/>
      <c r="AY51" s="47"/>
      <c r="AZ51" s="47"/>
      <c r="BA51" s="47"/>
      <c r="BB51" s="19"/>
      <c r="BC51" s="27"/>
      <c r="BD51" s="19"/>
      <c r="BE51" s="19"/>
      <c r="BF51" s="19"/>
      <c r="BG51" s="19"/>
      <c r="BH51" s="19"/>
      <c r="BI51" s="19"/>
      <c r="BJ51" s="19"/>
      <c r="BK51" s="19"/>
      <c r="BL51" s="19"/>
      <c r="BM51" s="19"/>
    </row>
    <row r="52" spans="1:65" ht="45" x14ac:dyDescent="0.25">
      <c r="A52" s="159"/>
      <c r="B52" s="154"/>
      <c r="C52" s="19"/>
      <c r="D52" s="27"/>
      <c r="E52" s="19"/>
      <c r="F52" s="32"/>
      <c r="G52" s="28"/>
      <c r="H52" s="19"/>
      <c r="I52" s="19"/>
      <c r="J52" s="19"/>
      <c r="K52" s="45"/>
      <c r="L52" s="143"/>
      <c r="M52" s="27"/>
      <c r="N52" s="31"/>
      <c r="O52" s="78"/>
      <c r="P52" s="30"/>
      <c r="Q52" s="31"/>
      <c r="R52" s="31"/>
      <c r="S52" s="27"/>
      <c r="T52" s="32"/>
      <c r="U52" s="148"/>
      <c r="V52" s="148"/>
      <c r="W52" s="32"/>
      <c r="X52" s="33" t="s">
        <v>1570</v>
      </c>
      <c r="Y52" s="22" t="s">
        <v>140</v>
      </c>
      <c r="Z52" s="35">
        <v>42104</v>
      </c>
      <c r="AA52" s="34">
        <v>11538</v>
      </c>
      <c r="AB52" s="33" t="s">
        <v>363</v>
      </c>
      <c r="AC52" s="35">
        <v>42123</v>
      </c>
      <c r="AD52" s="35">
        <v>42489</v>
      </c>
      <c r="AE52" s="36"/>
      <c r="AF52" s="22"/>
      <c r="AG52" s="77">
        <v>19800</v>
      </c>
      <c r="AH52" s="25"/>
      <c r="AI52" s="25"/>
      <c r="AJ52" s="25"/>
      <c r="AK52" s="25"/>
      <c r="AL52" s="38"/>
      <c r="AM52" s="38"/>
      <c r="AN52" s="38"/>
      <c r="AO52" s="38"/>
      <c r="AP52" s="20"/>
      <c r="AQ52" s="23"/>
      <c r="AR52" s="23"/>
      <c r="AS52" s="20"/>
      <c r="AT52" s="47"/>
      <c r="AU52" s="47"/>
      <c r="AV52" s="47"/>
      <c r="AW52" s="47"/>
      <c r="AX52" s="47"/>
      <c r="AY52" s="47"/>
      <c r="AZ52" s="47"/>
      <c r="BA52" s="47"/>
      <c r="BB52" s="19"/>
      <c r="BC52" s="27"/>
      <c r="BD52" s="19"/>
      <c r="BE52" s="19"/>
      <c r="BF52" s="19"/>
      <c r="BG52" s="19"/>
      <c r="BH52" s="19"/>
      <c r="BI52" s="19"/>
      <c r="BJ52" s="19"/>
      <c r="BK52" s="19"/>
      <c r="BL52" s="19"/>
      <c r="BM52" s="19"/>
    </row>
    <row r="53" spans="1:65" ht="60" x14ac:dyDescent="0.25">
      <c r="A53" s="159"/>
      <c r="B53" s="154"/>
      <c r="C53" s="19"/>
      <c r="D53" s="27"/>
      <c r="E53" s="19"/>
      <c r="F53" s="32"/>
      <c r="G53" s="28"/>
      <c r="H53" s="19"/>
      <c r="I53" s="19"/>
      <c r="J53" s="19"/>
      <c r="K53" s="45"/>
      <c r="L53" s="143"/>
      <c r="M53" s="27"/>
      <c r="N53" s="31"/>
      <c r="O53" s="78"/>
      <c r="P53" s="30"/>
      <c r="Q53" s="31"/>
      <c r="R53" s="31"/>
      <c r="S53" s="27"/>
      <c r="T53" s="32"/>
      <c r="U53" s="148"/>
      <c r="V53" s="148"/>
      <c r="W53" s="32"/>
      <c r="X53" s="33" t="s">
        <v>1570</v>
      </c>
      <c r="Y53" s="22" t="s">
        <v>185</v>
      </c>
      <c r="Z53" s="35">
        <v>42467</v>
      </c>
      <c r="AA53" s="34">
        <v>11785</v>
      </c>
      <c r="AB53" s="33" t="s">
        <v>571</v>
      </c>
      <c r="AC53" s="35">
        <v>42489</v>
      </c>
      <c r="AD53" s="35" t="s">
        <v>574</v>
      </c>
      <c r="AE53" s="36"/>
      <c r="AF53" s="22"/>
      <c r="AG53" s="77">
        <v>19800</v>
      </c>
      <c r="AH53" s="25"/>
      <c r="AI53" s="25"/>
      <c r="AJ53" s="25"/>
      <c r="AK53" s="25"/>
      <c r="AL53" s="38"/>
      <c r="AM53" s="38"/>
      <c r="AN53" s="38"/>
      <c r="AO53" s="38"/>
      <c r="AP53" s="20"/>
      <c r="AQ53" s="23"/>
      <c r="AR53" s="23"/>
      <c r="AS53" s="20"/>
      <c r="AT53" s="47"/>
      <c r="AU53" s="47"/>
      <c r="AV53" s="47"/>
      <c r="AW53" s="47"/>
      <c r="AX53" s="47"/>
      <c r="AY53" s="47"/>
      <c r="AZ53" s="47"/>
      <c r="BA53" s="47"/>
      <c r="BB53" s="19"/>
      <c r="BC53" s="27"/>
      <c r="BD53" s="19"/>
      <c r="BE53" s="19"/>
      <c r="BF53" s="19"/>
      <c r="BG53" s="19"/>
      <c r="BH53" s="19"/>
      <c r="BI53" s="19"/>
      <c r="BJ53" s="19"/>
      <c r="BK53" s="19"/>
      <c r="BL53" s="19"/>
      <c r="BM53" s="19"/>
    </row>
    <row r="54" spans="1:65" ht="60" x14ac:dyDescent="0.25">
      <c r="A54" s="159"/>
      <c r="B54" s="154"/>
      <c r="C54" s="19"/>
      <c r="D54" s="27"/>
      <c r="E54" s="19"/>
      <c r="F54" s="32"/>
      <c r="G54" s="32"/>
      <c r="H54" s="19"/>
      <c r="I54" s="19"/>
      <c r="J54" s="19"/>
      <c r="K54" s="19"/>
      <c r="L54" s="143"/>
      <c r="M54" s="27"/>
      <c r="N54" s="27"/>
      <c r="O54" s="78"/>
      <c r="P54" s="27"/>
      <c r="Q54" s="27"/>
      <c r="R54" s="27"/>
      <c r="S54" s="27"/>
      <c r="T54" s="32"/>
      <c r="U54" s="148"/>
      <c r="V54" s="148"/>
      <c r="W54" s="32"/>
      <c r="X54" s="33" t="s">
        <v>1570</v>
      </c>
      <c r="Y54" s="22" t="s">
        <v>186</v>
      </c>
      <c r="Z54" s="35">
        <v>42835</v>
      </c>
      <c r="AA54" s="34">
        <v>12035</v>
      </c>
      <c r="AB54" s="33" t="s">
        <v>571</v>
      </c>
      <c r="AC54" s="35" t="s">
        <v>574</v>
      </c>
      <c r="AD54" s="35" t="s">
        <v>881</v>
      </c>
      <c r="AE54" s="36"/>
      <c r="AF54" s="22"/>
      <c r="AG54" s="77">
        <v>19800</v>
      </c>
      <c r="AH54" s="25"/>
      <c r="AI54" s="25"/>
      <c r="AJ54" s="25"/>
      <c r="AK54" s="25"/>
      <c r="AL54" s="38"/>
      <c r="AM54" s="38"/>
      <c r="AN54" s="38"/>
      <c r="AO54" s="38"/>
      <c r="AP54" s="23"/>
      <c r="AQ54" s="23"/>
      <c r="AR54" s="23"/>
      <c r="AS54" s="23"/>
      <c r="AT54" s="48"/>
      <c r="AU54" s="48"/>
      <c r="AV54" s="48"/>
      <c r="AW54" s="48"/>
      <c r="AX54" s="48"/>
      <c r="AY54" s="48"/>
      <c r="AZ54" s="48"/>
      <c r="BA54" s="48"/>
      <c r="BB54" s="22"/>
      <c r="BC54" s="43"/>
      <c r="BD54" s="22"/>
      <c r="BE54" s="22"/>
      <c r="BF54" s="22"/>
      <c r="BG54" s="22"/>
      <c r="BH54" s="22"/>
      <c r="BI54" s="22"/>
      <c r="BJ54" s="22"/>
      <c r="BK54" s="22"/>
      <c r="BL54" s="22"/>
      <c r="BM54" s="22"/>
    </row>
    <row r="55" spans="1:65" ht="135" x14ac:dyDescent="0.25">
      <c r="A55" s="159">
        <v>9</v>
      </c>
      <c r="B55" s="154" t="s">
        <v>928</v>
      </c>
      <c r="C55" s="19" t="s">
        <v>276</v>
      </c>
      <c r="D55" s="27" t="s">
        <v>138</v>
      </c>
      <c r="E55" s="19"/>
      <c r="F55" s="141" t="s">
        <v>810</v>
      </c>
      <c r="G55" s="28" t="s">
        <v>275</v>
      </c>
      <c r="H55" s="20"/>
      <c r="I55" s="20"/>
      <c r="J55" s="20"/>
      <c r="K55" s="45" t="s">
        <v>173</v>
      </c>
      <c r="L55" s="143" t="s">
        <v>174</v>
      </c>
      <c r="M55" s="27" t="s">
        <v>175</v>
      </c>
      <c r="N55" s="31">
        <v>41414</v>
      </c>
      <c r="O55" s="78">
        <v>132000</v>
      </c>
      <c r="P55" s="30" t="s">
        <v>515</v>
      </c>
      <c r="Q55" s="31">
        <v>41414</v>
      </c>
      <c r="R55" s="31">
        <v>41779</v>
      </c>
      <c r="S55" s="27" t="s">
        <v>133</v>
      </c>
      <c r="T55" s="32"/>
      <c r="U55" s="148"/>
      <c r="V55" s="148"/>
      <c r="W55" s="32" t="s">
        <v>135</v>
      </c>
      <c r="X55" s="33" t="s">
        <v>1570</v>
      </c>
      <c r="Y55" s="22" t="s">
        <v>136</v>
      </c>
      <c r="Z55" s="35">
        <v>41778</v>
      </c>
      <c r="AA55" s="34">
        <v>11311</v>
      </c>
      <c r="AB55" s="33" t="s">
        <v>308</v>
      </c>
      <c r="AC55" s="49">
        <v>41779</v>
      </c>
      <c r="AD55" s="35">
        <v>42144</v>
      </c>
      <c r="AE55" s="36">
        <v>7.9837199999999999</v>
      </c>
      <c r="AF55" s="22"/>
      <c r="AG55" s="91">
        <v>142538.51999999999</v>
      </c>
      <c r="AH55" s="25"/>
      <c r="AI55" s="25"/>
      <c r="AJ55" s="25"/>
      <c r="AK55" s="25"/>
      <c r="AL55" s="38">
        <f>O55-AH55+AG55-AH56+AG56-AH57+AG57-AH58+AG58-AH59+AG59</f>
        <v>791104.92</v>
      </c>
      <c r="AM55" s="38">
        <f>219898.75+147590.4+12299.2+12299.2+12299.2+12299.2+12299.2+12299.2+12299.2+12299.2+12299.2+12299.2+12299.2+12299.2+12299.2+12299.2+12299.2+12299.2+12299.2+12299.2+12299.2+12299.2+12299.2+12299.2+12299.2+12299.2</f>
        <v>662669.9499999996</v>
      </c>
      <c r="AN55" s="38">
        <f>12299.2+12299.2+12299.2+12299.2+12299.2+12299.2+12299.2+12299.2+12299.2+12299.2</f>
        <v>122991.99999999999</v>
      </c>
      <c r="AO55" s="38">
        <f>AM55+AN55</f>
        <v>785661.9499999996</v>
      </c>
      <c r="AP55" s="39"/>
      <c r="AQ55" s="23"/>
      <c r="AR55" s="23"/>
      <c r="AS55" s="20"/>
      <c r="AT55" s="20"/>
      <c r="AU55" s="20"/>
      <c r="AV55" s="47" t="s">
        <v>121</v>
      </c>
      <c r="AW55" s="19" t="s">
        <v>139</v>
      </c>
      <c r="AX55" s="50" t="s">
        <v>555</v>
      </c>
      <c r="AY55" s="29">
        <v>41403</v>
      </c>
      <c r="AZ55" s="50" t="s">
        <v>558</v>
      </c>
      <c r="BA55" s="29">
        <v>41411</v>
      </c>
      <c r="BB55" s="19"/>
      <c r="BC55" s="27"/>
      <c r="BD55" s="19"/>
      <c r="BE55" s="19"/>
      <c r="BF55" s="19"/>
      <c r="BG55" s="19"/>
      <c r="BH55" s="19"/>
      <c r="BI55" s="19"/>
      <c r="BJ55" s="19"/>
      <c r="BK55" s="19"/>
      <c r="BL55" s="19"/>
      <c r="BM55" s="19"/>
    </row>
    <row r="56" spans="1:65" ht="135" x14ac:dyDescent="0.25">
      <c r="A56" s="159"/>
      <c r="B56" s="154"/>
      <c r="C56" s="19"/>
      <c r="D56" s="27"/>
      <c r="E56" s="19"/>
      <c r="F56" s="141"/>
      <c r="G56" s="28"/>
      <c r="H56" s="20"/>
      <c r="I56" s="20"/>
      <c r="J56" s="20"/>
      <c r="K56" s="45"/>
      <c r="L56" s="143"/>
      <c r="M56" s="27"/>
      <c r="N56" s="31"/>
      <c r="O56" s="78"/>
      <c r="P56" s="30"/>
      <c r="Q56" s="31"/>
      <c r="R56" s="31"/>
      <c r="S56" s="27"/>
      <c r="T56" s="32"/>
      <c r="U56" s="148"/>
      <c r="V56" s="148"/>
      <c r="W56" s="32"/>
      <c r="X56" s="33" t="s">
        <v>1570</v>
      </c>
      <c r="Y56" s="22" t="s">
        <v>140</v>
      </c>
      <c r="Z56" s="35">
        <v>42143</v>
      </c>
      <c r="AA56" s="34">
        <v>11559</v>
      </c>
      <c r="AB56" s="33" t="s">
        <v>370</v>
      </c>
      <c r="AC56" s="49">
        <v>42144</v>
      </c>
      <c r="AD56" s="35">
        <v>42510</v>
      </c>
      <c r="AE56" s="36">
        <v>3.5442</v>
      </c>
      <c r="AF56" s="22"/>
      <c r="AG56" s="91">
        <v>147590.39999999999</v>
      </c>
      <c r="AH56" s="25"/>
      <c r="AI56" s="25"/>
      <c r="AJ56" s="25"/>
      <c r="AK56" s="25"/>
      <c r="AL56" s="38"/>
      <c r="AM56" s="38"/>
      <c r="AN56" s="38"/>
      <c r="AO56" s="38"/>
      <c r="AP56" s="20"/>
      <c r="AQ56" s="23"/>
      <c r="AR56" s="23"/>
      <c r="AS56" s="20"/>
      <c r="AT56" s="20"/>
      <c r="AU56" s="20"/>
      <c r="AV56" s="47"/>
      <c r="AW56" s="19"/>
      <c r="AX56" s="50"/>
      <c r="AY56" s="29"/>
      <c r="AZ56" s="50"/>
      <c r="BA56" s="29"/>
      <c r="BB56" s="19"/>
      <c r="BC56" s="27"/>
      <c r="BD56" s="19"/>
      <c r="BE56" s="19"/>
      <c r="BF56" s="19"/>
      <c r="BG56" s="19"/>
      <c r="BH56" s="19"/>
      <c r="BI56" s="19"/>
      <c r="BJ56" s="19"/>
      <c r="BK56" s="19"/>
      <c r="BL56" s="19"/>
      <c r="BM56" s="19"/>
    </row>
    <row r="57" spans="1:65" ht="120" x14ac:dyDescent="0.25">
      <c r="A57" s="159"/>
      <c r="B57" s="154"/>
      <c r="C57" s="19"/>
      <c r="D57" s="27"/>
      <c r="E57" s="19"/>
      <c r="F57" s="141"/>
      <c r="G57" s="28"/>
      <c r="H57" s="20"/>
      <c r="I57" s="20"/>
      <c r="J57" s="20"/>
      <c r="K57" s="45"/>
      <c r="L57" s="143"/>
      <c r="M57" s="27"/>
      <c r="N57" s="31"/>
      <c r="O57" s="78"/>
      <c r="P57" s="30"/>
      <c r="Q57" s="31"/>
      <c r="R57" s="31"/>
      <c r="S57" s="27"/>
      <c r="T57" s="32"/>
      <c r="U57" s="148"/>
      <c r="V57" s="148"/>
      <c r="W57" s="32"/>
      <c r="X57" s="33" t="s">
        <v>1570</v>
      </c>
      <c r="Y57" s="22" t="s">
        <v>185</v>
      </c>
      <c r="Z57" s="35">
        <v>42506</v>
      </c>
      <c r="AA57" s="34">
        <v>11807</v>
      </c>
      <c r="AB57" s="33" t="s">
        <v>593</v>
      </c>
      <c r="AC57" s="49">
        <v>42510</v>
      </c>
      <c r="AD57" s="35">
        <v>42875</v>
      </c>
      <c r="AE57" s="36"/>
      <c r="AF57" s="22"/>
      <c r="AG57" s="91">
        <v>147590.39999999999</v>
      </c>
      <c r="AH57" s="25"/>
      <c r="AI57" s="25"/>
      <c r="AJ57" s="25"/>
      <c r="AK57" s="25"/>
      <c r="AL57" s="38"/>
      <c r="AM57" s="38"/>
      <c r="AN57" s="38"/>
      <c r="AO57" s="38"/>
      <c r="AP57" s="20"/>
      <c r="AQ57" s="23"/>
      <c r="AR57" s="23"/>
      <c r="AS57" s="20"/>
      <c r="AT57" s="20"/>
      <c r="AU57" s="20"/>
      <c r="AV57" s="47"/>
      <c r="AW57" s="19"/>
      <c r="AX57" s="50"/>
      <c r="AY57" s="29"/>
      <c r="AZ57" s="50"/>
      <c r="BA57" s="29"/>
      <c r="BB57" s="19"/>
      <c r="BC57" s="27"/>
      <c r="BD57" s="19"/>
      <c r="BE57" s="19"/>
      <c r="BF57" s="19"/>
      <c r="BG57" s="19"/>
      <c r="BH57" s="19"/>
      <c r="BI57" s="19"/>
      <c r="BJ57" s="19"/>
      <c r="BK57" s="19"/>
      <c r="BL57" s="19"/>
      <c r="BM57" s="19"/>
    </row>
    <row r="58" spans="1:65" ht="90" x14ac:dyDescent="0.25">
      <c r="A58" s="159"/>
      <c r="B58" s="154"/>
      <c r="C58" s="19"/>
      <c r="D58" s="27"/>
      <c r="E58" s="19"/>
      <c r="F58" s="32"/>
      <c r="G58" s="32"/>
      <c r="H58" s="20"/>
      <c r="I58" s="20"/>
      <c r="J58" s="20"/>
      <c r="K58" s="19"/>
      <c r="L58" s="143"/>
      <c r="M58" s="27"/>
      <c r="N58" s="27"/>
      <c r="O58" s="78"/>
      <c r="P58" s="27"/>
      <c r="Q58" s="27"/>
      <c r="R58" s="27"/>
      <c r="S58" s="27"/>
      <c r="T58" s="32"/>
      <c r="U58" s="148"/>
      <c r="V58" s="148"/>
      <c r="W58" s="32"/>
      <c r="X58" s="33" t="s">
        <v>1570</v>
      </c>
      <c r="Y58" s="22" t="s">
        <v>186</v>
      </c>
      <c r="Z58" s="35">
        <v>42871</v>
      </c>
      <c r="AA58" s="34">
        <v>12057</v>
      </c>
      <c r="AB58" s="33" t="s">
        <v>929</v>
      </c>
      <c r="AC58" s="35">
        <v>42875</v>
      </c>
      <c r="AD58" s="35">
        <v>43240</v>
      </c>
      <c r="AE58" s="36"/>
      <c r="AF58" s="22"/>
      <c r="AG58" s="91">
        <v>147590.39999999999</v>
      </c>
      <c r="AH58" s="25"/>
      <c r="AI58" s="25"/>
      <c r="AJ58" s="25"/>
      <c r="AK58" s="25"/>
      <c r="AL58" s="38"/>
      <c r="AM58" s="38"/>
      <c r="AN58" s="38"/>
      <c r="AO58" s="38"/>
      <c r="AP58" s="23"/>
      <c r="AQ58" s="23"/>
      <c r="AR58" s="23"/>
      <c r="AS58" s="23"/>
      <c r="AT58" s="23"/>
      <c r="AU58" s="23"/>
      <c r="AV58" s="48"/>
      <c r="AW58" s="22"/>
      <c r="AX58" s="34"/>
      <c r="AY58" s="35"/>
      <c r="AZ58" s="34"/>
      <c r="BA58" s="35"/>
      <c r="BB58" s="22"/>
      <c r="BC58" s="43"/>
      <c r="BD58" s="22"/>
      <c r="BE58" s="22"/>
      <c r="BF58" s="22"/>
      <c r="BG58" s="22"/>
      <c r="BH58" s="22"/>
      <c r="BI58" s="22"/>
      <c r="BJ58" s="22"/>
      <c r="BK58" s="22"/>
      <c r="BL58" s="22"/>
      <c r="BM58" s="22"/>
    </row>
    <row r="59" spans="1:65" ht="90" x14ac:dyDescent="0.25">
      <c r="A59" s="159"/>
      <c r="B59" s="154"/>
      <c r="C59" s="19"/>
      <c r="D59" s="27"/>
      <c r="E59" s="19"/>
      <c r="F59" s="32"/>
      <c r="G59" s="32"/>
      <c r="H59" s="19"/>
      <c r="I59" s="19"/>
      <c r="J59" s="19"/>
      <c r="K59" s="19"/>
      <c r="L59" s="143"/>
      <c r="M59" s="27"/>
      <c r="N59" s="27"/>
      <c r="O59" s="78"/>
      <c r="P59" s="27"/>
      <c r="Q59" s="27"/>
      <c r="R59" s="27"/>
      <c r="S59" s="27"/>
      <c r="T59" s="32"/>
      <c r="U59" s="148"/>
      <c r="V59" s="148"/>
      <c r="W59" s="32"/>
      <c r="X59" s="33" t="s">
        <v>1570</v>
      </c>
      <c r="Y59" s="22" t="s">
        <v>187</v>
      </c>
      <c r="Z59" s="35">
        <v>43237</v>
      </c>
      <c r="AA59" s="34">
        <v>12306</v>
      </c>
      <c r="AB59" s="33" t="s">
        <v>1531</v>
      </c>
      <c r="AC59" s="35">
        <v>43240</v>
      </c>
      <c r="AD59" s="35">
        <v>43424</v>
      </c>
      <c r="AE59" s="36"/>
      <c r="AF59" s="22"/>
      <c r="AG59" s="91">
        <v>73795.199999999997</v>
      </c>
      <c r="AH59" s="25"/>
      <c r="AI59" s="25"/>
      <c r="AJ59" s="25"/>
      <c r="AK59" s="25"/>
      <c r="AL59" s="38"/>
      <c r="AM59" s="38"/>
      <c r="AN59" s="38"/>
      <c r="AO59" s="38"/>
      <c r="AP59" s="23"/>
      <c r="AQ59" s="23"/>
      <c r="AR59" s="23"/>
      <c r="AS59" s="23"/>
      <c r="AT59" s="23"/>
      <c r="AU59" s="23"/>
      <c r="AV59" s="48"/>
      <c r="AW59" s="22"/>
      <c r="AX59" s="34"/>
      <c r="AY59" s="35"/>
      <c r="AZ59" s="34"/>
      <c r="BA59" s="35"/>
      <c r="BB59" s="22"/>
      <c r="BC59" s="43"/>
      <c r="BD59" s="22"/>
      <c r="BE59" s="22"/>
      <c r="BF59" s="22"/>
      <c r="BG59" s="22"/>
      <c r="BH59" s="22"/>
      <c r="BI59" s="22"/>
      <c r="BJ59" s="22"/>
      <c r="BK59" s="22"/>
      <c r="BL59" s="22"/>
      <c r="BM59" s="22"/>
    </row>
    <row r="60" spans="1:65" ht="30" x14ac:dyDescent="0.25">
      <c r="A60" s="159">
        <v>10</v>
      </c>
      <c r="B60" s="154" t="s">
        <v>1007</v>
      </c>
      <c r="C60" s="19" t="s">
        <v>181</v>
      </c>
      <c r="D60" s="27" t="s">
        <v>128</v>
      </c>
      <c r="E60" s="19" t="s">
        <v>278</v>
      </c>
      <c r="F60" s="32" t="s">
        <v>182</v>
      </c>
      <c r="G60" s="28" t="s">
        <v>547</v>
      </c>
      <c r="H60" s="20" t="s">
        <v>746</v>
      </c>
      <c r="I60" s="29">
        <v>41451</v>
      </c>
      <c r="J60" s="29">
        <v>41816</v>
      </c>
      <c r="K60" s="45" t="s">
        <v>179</v>
      </c>
      <c r="L60" s="143" t="s">
        <v>180</v>
      </c>
      <c r="M60" s="27" t="s">
        <v>183</v>
      </c>
      <c r="N60" s="31">
        <v>41457</v>
      </c>
      <c r="O60" s="78">
        <v>264000</v>
      </c>
      <c r="P60" s="30" t="s">
        <v>516</v>
      </c>
      <c r="Q60" s="31">
        <v>41457</v>
      </c>
      <c r="R60" s="31">
        <v>41822</v>
      </c>
      <c r="S60" s="27" t="s">
        <v>133</v>
      </c>
      <c r="T60" s="32"/>
      <c r="U60" s="148"/>
      <c r="V60" s="148"/>
      <c r="W60" s="32" t="s">
        <v>184</v>
      </c>
      <c r="X60" s="33"/>
      <c r="Y60" s="22" t="s">
        <v>141</v>
      </c>
      <c r="Z60" s="35">
        <v>41779</v>
      </c>
      <c r="AA60" s="34">
        <v>11316</v>
      </c>
      <c r="AB60" s="33" t="s">
        <v>309</v>
      </c>
      <c r="AC60" s="35">
        <v>41779</v>
      </c>
      <c r="AD60" s="35">
        <v>41822</v>
      </c>
      <c r="AE60" s="51">
        <f>AG60/O60*100</f>
        <v>25</v>
      </c>
      <c r="AF60" s="43"/>
      <c r="AG60" s="77">
        <v>66000</v>
      </c>
      <c r="AH60" s="25"/>
      <c r="AI60" s="25"/>
      <c r="AJ60" s="25"/>
      <c r="AK60" s="25"/>
      <c r="AL60" s="38">
        <f>O60-AH60+AG60-AH61+AG61-AH62+AG62-AH63+AG63-AH64+AG64</f>
        <v>1650000</v>
      </c>
      <c r="AM60" s="38">
        <f>440690.99+275132+0+27346+27456+28182+26510+25718+29810+30866+30976+30294+29480+28820+0+26268+25564+27016+25960+26114+22682+24288+22110+21450</f>
        <v>1252732.99</v>
      </c>
      <c r="AN60" s="38">
        <f>20570+21890+41162+20372+20834+21098+21076</f>
        <v>167002</v>
      </c>
      <c r="AO60" s="38">
        <f>AM60+AN60</f>
        <v>1419734.99</v>
      </c>
      <c r="AP60" s="39"/>
      <c r="AQ60" s="23"/>
      <c r="AR60" s="23"/>
      <c r="AS60" s="20"/>
      <c r="AT60" s="47"/>
      <c r="AU60" s="47"/>
      <c r="AV60" s="47"/>
      <c r="AW60" s="47"/>
      <c r="AX60" s="47"/>
      <c r="AY60" s="47"/>
      <c r="AZ60" s="47"/>
      <c r="BA60" s="47"/>
      <c r="BB60" s="19"/>
      <c r="BC60" s="27"/>
      <c r="BD60" s="19"/>
      <c r="BE60" s="19"/>
      <c r="BF60" s="19"/>
      <c r="BG60" s="19"/>
      <c r="BH60" s="19"/>
      <c r="BI60" s="19"/>
      <c r="BJ60" s="19"/>
      <c r="BK60" s="19"/>
      <c r="BL60" s="19"/>
      <c r="BM60" s="19"/>
    </row>
    <row r="61" spans="1:65" ht="30" x14ac:dyDescent="0.25">
      <c r="A61" s="159"/>
      <c r="B61" s="154"/>
      <c r="C61" s="19"/>
      <c r="D61" s="27"/>
      <c r="E61" s="19"/>
      <c r="F61" s="32"/>
      <c r="G61" s="28"/>
      <c r="H61" s="20"/>
      <c r="I61" s="20"/>
      <c r="J61" s="20"/>
      <c r="K61" s="45"/>
      <c r="L61" s="143"/>
      <c r="M61" s="27"/>
      <c r="N61" s="31"/>
      <c r="O61" s="78"/>
      <c r="P61" s="30"/>
      <c r="Q61" s="31"/>
      <c r="R61" s="31"/>
      <c r="S61" s="27"/>
      <c r="T61" s="32"/>
      <c r="U61" s="148"/>
      <c r="V61" s="148"/>
      <c r="W61" s="32"/>
      <c r="X61" s="33"/>
      <c r="Y61" s="22" t="s">
        <v>140</v>
      </c>
      <c r="Z61" s="35">
        <v>41821</v>
      </c>
      <c r="AA61" s="34">
        <v>11348</v>
      </c>
      <c r="AB61" s="33" t="s">
        <v>310</v>
      </c>
      <c r="AC61" s="35">
        <v>41822</v>
      </c>
      <c r="AD61" s="35">
        <v>42187</v>
      </c>
      <c r="AE61" s="52"/>
      <c r="AF61" s="43"/>
      <c r="AG61" s="77">
        <v>330000</v>
      </c>
      <c r="AH61" s="25"/>
      <c r="AI61" s="25"/>
      <c r="AJ61" s="25"/>
      <c r="AK61" s="25"/>
      <c r="AL61" s="38"/>
      <c r="AM61" s="38"/>
      <c r="AN61" s="38"/>
      <c r="AO61" s="38"/>
      <c r="AP61" s="20"/>
      <c r="AQ61" s="23"/>
      <c r="AR61" s="23"/>
      <c r="AS61" s="20"/>
      <c r="AT61" s="47"/>
      <c r="AU61" s="47"/>
      <c r="AV61" s="47"/>
      <c r="AW61" s="47"/>
      <c r="AX61" s="47"/>
      <c r="AY61" s="47"/>
      <c r="AZ61" s="47"/>
      <c r="BA61" s="47"/>
      <c r="BB61" s="19"/>
      <c r="BC61" s="27"/>
      <c r="BD61" s="19"/>
      <c r="BE61" s="19"/>
      <c r="BF61" s="19"/>
      <c r="BG61" s="19"/>
      <c r="BH61" s="19"/>
      <c r="BI61" s="19"/>
      <c r="BJ61" s="19"/>
      <c r="BK61" s="19"/>
      <c r="BL61" s="19"/>
      <c r="BM61" s="19"/>
    </row>
    <row r="62" spans="1:65" ht="45" x14ac:dyDescent="0.25">
      <c r="A62" s="159"/>
      <c r="B62" s="154"/>
      <c r="C62" s="19"/>
      <c r="D62" s="27"/>
      <c r="E62" s="19"/>
      <c r="F62" s="32"/>
      <c r="G62" s="28"/>
      <c r="H62" s="20"/>
      <c r="I62" s="20"/>
      <c r="J62" s="20"/>
      <c r="K62" s="45"/>
      <c r="L62" s="143"/>
      <c r="M62" s="27"/>
      <c r="N62" s="31"/>
      <c r="O62" s="78"/>
      <c r="P62" s="30"/>
      <c r="Q62" s="31"/>
      <c r="R62" s="31"/>
      <c r="S62" s="27"/>
      <c r="T62" s="32"/>
      <c r="U62" s="148"/>
      <c r="V62" s="148"/>
      <c r="W62" s="32"/>
      <c r="X62" s="33"/>
      <c r="Y62" s="22" t="s">
        <v>185</v>
      </c>
      <c r="Z62" s="35">
        <v>42185</v>
      </c>
      <c r="AA62" s="34">
        <v>11590</v>
      </c>
      <c r="AB62" s="33" t="s">
        <v>386</v>
      </c>
      <c r="AC62" s="35">
        <v>42187</v>
      </c>
      <c r="AD62" s="35">
        <v>42553</v>
      </c>
      <c r="AE62" s="52"/>
      <c r="AF62" s="43"/>
      <c r="AG62" s="77">
        <v>330000</v>
      </c>
      <c r="AH62" s="25"/>
      <c r="AI62" s="25"/>
      <c r="AJ62" s="25"/>
      <c r="AK62" s="25"/>
      <c r="AL62" s="38"/>
      <c r="AM62" s="38"/>
      <c r="AN62" s="38"/>
      <c r="AO62" s="38"/>
      <c r="AP62" s="20"/>
      <c r="AQ62" s="23"/>
      <c r="AR62" s="23"/>
      <c r="AS62" s="20"/>
      <c r="AT62" s="47"/>
      <c r="AU62" s="47"/>
      <c r="AV62" s="47"/>
      <c r="AW62" s="47"/>
      <c r="AX62" s="47"/>
      <c r="AY62" s="47"/>
      <c r="AZ62" s="47"/>
      <c r="BA62" s="47"/>
      <c r="BB62" s="19"/>
      <c r="BC62" s="27"/>
      <c r="BD62" s="19"/>
      <c r="BE62" s="19"/>
      <c r="BF62" s="19"/>
      <c r="BG62" s="19"/>
      <c r="BH62" s="19"/>
      <c r="BI62" s="19"/>
      <c r="BJ62" s="19"/>
      <c r="BK62" s="19"/>
      <c r="BL62" s="19"/>
      <c r="BM62" s="19"/>
    </row>
    <row r="63" spans="1:65" ht="60" x14ac:dyDescent="0.25">
      <c r="A63" s="159"/>
      <c r="B63" s="154"/>
      <c r="C63" s="19"/>
      <c r="D63" s="27"/>
      <c r="E63" s="19"/>
      <c r="F63" s="32"/>
      <c r="G63" s="28"/>
      <c r="H63" s="20"/>
      <c r="I63" s="20"/>
      <c r="J63" s="20"/>
      <c r="K63" s="45"/>
      <c r="L63" s="143"/>
      <c r="M63" s="27"/>
      <c r="N63" s="27"/>
      <c r="O63" s="78"/>
      <c r="P63" s="27"/>
      <c r="Q63" s="27"/>
      <c r="R63" s="27"/>
      <c r="S63" s="27"/>
      <c r="T63" s="32"/>
      <c r="U63" s="148"/>
      <c r="V63" s="148"/>
      <c r="W63" s="32"/>
      <c r="X63" s="33"/>
      <c r="Y63" s="22" t="s">
        <v>186</v>
      </c>
      <c r="Z63" s="35">
        <v>42552</v>
      </c>
      <c r="AA63" s="34">
        <v>11848</v>
      </c>
      <c r="AB63" s="33" t="s">
        <v>620</v>
      </c>
      <c r="AC63" s="35">
        <v>42553</v>
      </c>
      <c r="AD63" s="35">
        <v>42918</v>
      </c>
      <c r="AE63" s="52"/>
      <c r="AF63" s="43"/>
      <c r="AG63" s="77">
        <v>330000</v>
      </c>
      <c r="AH63" s="25"/>
      <c r="AI63" s="25"/>
      <c r="AJ63" s="25"/>
      <c r="AK63" s="25"/>
      <c r="AL63" s="38"/>
      <c r="AM63" s="38"/>
      <c r="AN63" s="38"/>
      <c r="AO63" s="38"/>
      <c r="AP63" s="20"/>
      <c r="AQ63" s="23"/>
      <c r="AR63" s="23"/>
      <c r="AS63" s="20"/>
      <c r="AT63" s="47"/>
      <c r="AU63" s="47"/>
      <c r="AV63" s="47"/>
      <c r="AW63" s="47"/>
      <c r="AX63" s="47"/>
      <c r="AY63" s="47"/>
      <c r="AZ63" s="47"/>
      <c r="BA63" s="47"/>
      <c r="BB63" s="19"/>
      <c r="BC63" s="27"/>
      <c r="BD63" s="19"/>
      <c r="BE63" s="19"/>
      <c r="BF63" s="19"/>
      <c r="BG63" s="19"/>
      <c r="BH63" s="19"/>
      <c r="BI63" s="19"/>
      <c r="BJ63" s="19"/>
      <c r="BK63" s="19"/>
      <c r="BL63" s="19"/>
      <c r="BM63" s="19"/>
    </row>
    <row r="64" spans="1:65" ht="60" x14ac:dyDescent="0.25">
      <c r="A64" s="159"/>
      <c r="B64" s="154"/>
      <c r="C64" s="19"/>
      <c r="D64" s="27"/>
      <c r="E64" s="19"/>
      <c r="F64" s="32"/>
      <c r="G64" s="32"/>
      <c r="H64" s="19"/>
      <c r="I64" s="19"/>
      <c r="J64" s="19"/>
      <c r="K64" s="19"/>
      <c r="L64" s="143"/>
      <c r="M64" s="27"/>
      <c r="N64" s="27"/>
      <c r="O64" s="78"/>
      <c r="P64" s="27"/>
      <c r="Q64" s="27"/>
      <c r="R64" s="27"/>
      <c r="S64" s="27"/>
      <c r="T64" s="32"/>
      <c r="U64" s="148"/>
      <c r="V64" s="148"/>
      <c r="W64" s="32"/>
      <c r="X64" s="33" t="s">
        <v>861</v>
      </c>
      <c r="Y64" s="22" t="s">
        <v>187</v>
      </c>
      <c r="Z64" s="35">
        <v>42916</v>
      </c>
      <c r="AA64" s="34">
        <v>12093</v>
      </c>
      <c r="AB64" s="33" t="s">
        <v>620</v>
      </c>
      <c r="AC64" s="35">
        <v>42918</v>
      </c>
      <c r="AD64" s="35">
        <v>43283</v>
      </c>
      <c r="AE64" s="52"/>
      <c r="AF64" s="43"/>
      <c r="AG64" s="77">
        <v>330000</v>
      </c>
      <c r="AH64" s="25"/>
      <c r="AI64" s="25"/>
      <c r="AJ64" s="25"/>
      <c r="AK64" s="25"/>
      <c r="AL64" s="38"/>
      <c r="AM64" s="38"/>
      <c r="AN64" s="38"/>
      <c r="AO64" s="38"/>
      <c r="AP64" s="23"/>
      <c r="AQ64" s="23"/>
      <c r="AR64" s="23"/>
      <c r="AS64" s="23"/>
      <c r="AT64" s="48"/>
      <c r="AU64" s="48"/>
      <c r="AV64" s="48"/>
      <c r="AW64" s="48"/>
      <c r="AX64" s="48"/>
      <c r="AY64" s="48"/>
      <c r="AZ64" s="48"/>
      <c r="BA64" s="48"/>
      <c r="BB64" s="22"/>
      <c r="BC64" s="43"/>
      <c r="BD64" s="22"/>
      <c r="BE64" s="22"/>
      <c r="BF64" s="22"/>
      <c r="BG64" s="22"/>
      <c r="BH64" s="22"/>
      <c r="BI64" s="22"/>
      <c r="BJ64" s="22"/>
      <c r="BK64" s="22"/>
      <c r="BL64" s="22"/>
      <c r="BM64" s="22"/>
    </row>
    <row r="65" spans="1:65" ht="30" x14ac:dyDescent="0.25">
      <c r="A65" s="159">
        <v>11</v>
      </c>
      <c r="B65" s="154" t="s">
        <v>976</v>
      </c>
      <c r="C65" s="19" t="s">
        <v>177</v>
      </c>
      <c r="D65" s="27" t="s">
        <v>975</v>
      </c>
      <c r="E65" s="19" t="s">
        <v>124</v>
      </c>
      <c r="F65" s="32" t="s">
        <v>191</v>
      </c>
      <c r="G65" s="28" t="s">
        <v>192</v>
      </c>
      <c r="H65" s="20" t="s">
        <v>747</v>
      </c>
      <c r="I65" s="29">
        <v>41446</v>
      </c>
      <c r="J65" s="29">
        <v>41811</v>
      </c>
      <c r="K65" s="45" t="s">
        <v>189</v>
      </c>
      <c r="L65" s="143" t="s">
        <v>190</v>
      </c>
      <c r="M65" s="27" t="s">
        <v>416</v>
      </c>
      <c r="N65" s="31">
        <v>41502</v>
      </c>
      <c r="O65" s="78">
        <v>421880.16</v>
      </c>
      <c r="P65" s="30" t="s">
        <v>517</v>
      </c>
      <c r="Q65" s="31">
        <v>41502</v>
      </c>
      <c r="R65" s="31">
        <v>41867</v>
      </c>
      <c r="S65" s="27" t="s">
        <v>134</v>
      </c>
      <c r="T65" s="32"/>
      <c r="U65" s="148"/>
      <c r="V65" s="148"/>
      <c r="W65" s="32" t="s">
        <v>193</v>
      </c>
      <c r="X65" s="33" t="s">
        <v>365</v>
      </c>
      <c r="Y65" s="22" t="s">
        <v>136</v>
      </c>
      <c r="Z65" s="35">
        <v>41829</v>
      </c>
      <c r="AA65" s="34">
        <v>11347</v>
      </c>
      <c r="AB65" s="33" t="s">
        <v>395</v>
      </c>
      <c r="AC65" s="35"/>
      <c r="AD65" s="35"/>
      <c r="AE65" s="36">
        <f>AG65/O65*100</f>
        <v>8.6098692102515564</v>
      </c>
      <c r="AF65" s="43"/>
      <c r="AG65" s="77">
        <v>36323.33</v>
      </c>
      <c r="AH65" s="77"/>
      <c r="AI65" s="77"/>
      <c r="AJ65" s="77"/>
      <c r="AK65" s="77"/>
      <c r="AL65" s="38">
        <f>O65-AH65+AG65-AH66+AG66-AH67+AG67-AH68+AG68-AH69+AG69-AH70+AG70-AH71+AG71-AH72+AG72-AH73+AG73-AH74+AG74</f>
        <v>3395394.88</v>
      </c>
      <c r="AM65" s="38">
        <f>730775.24+656055+60072.8+84466.84+60072.8+60072.8+60072.8+60072.8+60072.8+60072.8+60072.8+60072.8+60072.8+60072.8+64237.25+64237.25+64237.25+64237.25+64237.25+68218.45+88124.45+68218.39+68218.45+68218.45+68218.45</f>
        <v>2882500.7700000014</v>
      </c>
      <c r="AN65" s="38">
        <f>68218.45+68218.45+136436.9+68218.45+68218.45+68218.45+68218.45+36383.2</f>
        <v>582130.79999999993</v>
      </c>
      <c r="AO65" s="38">
        <f>AM65+AN65</f>
        <v>3464631.5700000012</v>
      </c>
      <c r="AP65" s="54" t="s">
        <v>747</v>
      </c>
      <c r="AQ65" s="55">
        <v>41446</v>
      </c>
      <c r="AR65" s="55">
        <v>41811</v>
      </c>
      <c r="AS65" s="56" t="s">
        <v>748</v>
      </c>
      <c r="AT65" s="56" t="s">
        <v>277</v>
      </c>
      <c r="AU65" s="20"/>
      <c r="AV65" s="20"/>
      <c r="AW65" s="20"/>
      <c r="AX65" s="20"/>
      <c r="AY65" s="20"/>
      <c r="AZ65" s="20"/>
      <c r="BA65" s="20"/>
      <c r="BB65" s="20"/>
      <c r="BC65" s="57"/>
      <c r="BD65" s="20"/>
      <c r="BE65" s="20"/>
      <c r="BF65" s="20"/>
      <c r="BG65" s="20"/>
      <c r="BH65" s="20"/>
      <c r="BI65" s="20"/>
      <c r="BJ65" s="20"/>
      <c r="BK65" s="20"/>
      <c r="BL65" s="20"/>
      <c r="BM65" s="20"/>
    </row>
    <row r="66" spans="1:65" ht="30" x14ac:dyDescent="0.25">
      <c r="A66" s="159"/>
      <c r="B66" s="154"/>
      <c r="C66" s="19"/>
      <c r="D66" s="27"/>
      <c r="E66" s="19"/>
      <c r="F66" s="32"/>
      <c r="G66" s="28"/>
      <c r="H66" s="20"/>
      <c r="I66" s="29"/>
      <c r="J66" s="29"/>
      <c r="K66" s="45"/>
      <c r="L66" s="143"/>
      <c r="M66" s="27"/>
      <c r="N66" s="31"/>
      <c r="O66" s="78"/>
      <c r="P66" s="30"/>
      <c r="Q66" s="31"/>
      <c r="R66" s="31"/>
      <c r="S66" s="27"/>
      <c r="T66" s="32"/>
      <c r="U66" s="148"/>
      <c r="V66" s="148"/>
      <c r="W66" s="32"/>
      <c r="X66" s="33" t="s">
        <v>1570</v>
      </c>
      <c r="Y66" s="22" t="s">
        <v>140</v>
      </c>
      <c r="Z66" s="35">
        <v>41864</v>
      </c>
      <c r="AA66" s="34">
        <v>11373</v>
      </c>
      <c r="AB66" s="33" t="s">
        <v>304</v>
      </c>
      <c r="AC66" s="35">
        <v>41867</v>
      </c>
      <c r="AD66" s="35">
        <v>42232</v>
      </c>
      <c r="AE66" s="36"/>
      <c r="AF66" s="43"/>
      <c r="AG66" s="77">
        <v>524844</v>
      </c>
      <c r="AH66" s="77"/>
      <c r="AI66" s="77"/>
      <c r="AJ66" s="77"/>
      <c r="AK66" s="77"/>
      <c r="AL66" s="38"/>
      <c r="AM66" s="38"/>
      <c r="AN66" s="38"/>
      <c r="AO66" s="38"/>
      <c r="AP66" s="56"/>
      <c r="AQ66" s="23"/>
      <c r="AR66" s="23"/>
      <c r="AS66" s="56"/>
      <c r="AT66" s="56"/>
      <c r="AU66" s="20"/>
      <c r="AV66" s="20"/>
      <c r="AW66" s="20"/>
      <c r="AX66" s="20"/>
      <c r="AY66" s="20"/>
      <c r="AZ66" s="20"/>
      <c r="BA66" s="20"/>
      <c r="BB66" s="20"/>
      <c r="BC66" s="57"/>
      <c r="BD66" s="20"/>
      <c r="BE66" s="20"/>
      <c r="BF66" s="20"/>
      <c r="BG66" s="20"/>
      <c r="BH66" s="20"/>
      <c r="BI66" s="20"/>
      <c r="BJ66" s="20"/>
      <c r="BK66" s="20"/>
      <c r="BL66" s="20"/>
      <c r="BM66" s="20"/>
    </row>
    <row r="67" spans="1:65" ht="120" x14ac:dyDescent="0.25">
      <c r="A67" s="159"/>
      <c r="B67" s="154"/>
      <c r="C67" s="19"/>
      <c r="D67" s="27"/>
      <c r="E67" s="19"/>
      <c r="F67" s="32"/>
      <c r="G67" s="28"/>
      <c r="H67" s="20"/>
      <c r="I67" s="29"/>
      <c r="J67" s="29"/>
      <c r="K67" s="45"/>
      <c r="L67" s="143"/>
      <c r="M67" s="27"/>
      <c r="N67" s="31"/>
      <c r="O67" s="78"/>
      <c r="P67" s="30"/>
      <c r="Q67" s="31"/>
      <c r="R67" s="31"/>
      <c r="S67" s="27"/>
      <c r="T67" s="32"/>
      <c r="U67" s="148"/>
      <c r="V67" s="148"/>
      <c r="W67" s="32"/>
      <c r="X67" s="33" t="s">
        <v>365</v>
      </c>
      <c r="Y67" s="22" t="s">
        <v>185</v>
      </c>
      <c r="Z67" s="35">
        <v>41977</v>
      </c>
      <c r="AA67" s="34">
        <v>11452</v>
      </c>
      <c r="AB67" s="33" t="s">
        <v>396</v>
      </c>
      <c r="AC67" s="35"/>
      <c r="AD67" s="35"/>
      <c r="AE67" s="36">
        <v>25</v>
      </c>
      <c r="AF67" s="43"/>
      <c r="AG67" s="77">
        <v>90753.69</v>
      </c>
      <c r="AH67" s="77"/>
      <c r="AI67" s="77"/>
      <c r="AJ67" s="77"/>
      <c r="AK67" s="77"/>
      <c r="AL67" s="38"/>
      <c r="AM67" s="38"/>
      <c r="AN67" s="38"/>
      <c r="AO67" s="38"/>
      <c r="AP67" s="56"/>
      <c r="AQ67" s="23"/>
      <c r="AR67" s="23"/>
      <c r="AS67" s="56"/>
      <c r="AT67" s="56"/>
      <c r="AU67" s="20"/>
      <c r="AV67" s="20"/>
      <c r="AW67" s="20"/>
      <c r="AX67" s="20"/>
      <c r="AY67" s="20"/>
      <c r="AZ67" s="20"/>
      <c r="BA67" s="20"/>
      <c r="BB67" s="20"/>
      <c r="BC67" s="57"/>
      <c r="BD67" s="20"/>
      <c r="BE67" s="20"/>
      <c r="BF67" s="20"/>
      <c r="BG67" s="20"/>
      <c r="BH67" s="20"/>
      <c r="BI67" s="20"/>
      <c r="BJ67" s="20"/>
      <c r="BK67" s="20"/>
      <c r="BL67" s="20"/>
      <c r="BM67" s="20"/>
    </row>
    <row r="68" spans="1:65" ht="60" x14ac:dyDescent="0.25">
      <c r="A68" s="159"/>
      <c r="B68" s="154"/>
      <c r="C68" s="19"/>
      <c r="D68" s="27"/>
      <c r="E68" s="19"/>
      <c r="F68" s="32"/>
      <c r="G68" s="28"/>
      <c r="H68" s="20"/>
      <c r="I68" s="29"/>
      <c r="J68" s="29"/>
      <c r="K68" s="45"/>
      <c r="L68" s="143"/>
      <c r="M68" s="27"/>
      <c r="N68" s="31"/>
      <c r="O68" s="78"/>
      <c r="P68" s="30"/>
      <c r="Q68" s="31"/>
      <c r="R68" s="31"/>
      <c r="S68" s="27"/>
      <c r="T68" s="32"/>
      <c r="U68" s="148"/>
      <c r="V68" s="148"/>
      <c r="W68" s="32"/>
      <c r="X68" s="33" t="s">
        <v>1570</v>
      </c>
      <c r="Y68" s="22" t="s">
        <v>186</v>
      </c>
      <c r="Z68" s="35">
        <v>42230</v>
      </c>
      <c r="AA68" s="34">
        <v>11622</v>
      </c>
      <c r="AB68" s="33" t="s">
        <v>415</v>
      </c>
      <c r="AC68" s="35">
        <v>42232</v>
      </c>
      <c r="AD68" s="35">
        <v>42598</v>
      </c>
      <c r="AE68" s="36"/>
      <c r="AF68" s="43"/>
      <c r="AG68" s="77">
        <v>656055</v>
      </c>
      <c r="AH68" s="77"/>
      <c r="AI68" s="77"/>
      <c r="AJ68" s="77"/>
      <c r="AK68" s="77"/>
      <c r="AL68" s="38"/>
      <c r="AM68" s="38"/>
      <c r="AN68" s="38"/>
      <c r="AO68" s="38"/>
      <c r="AP68" s="56"/>
      <c r="AQ68" s="23"/>
      <c r="AR68" s="23"/>
      <c r="AS68" s="56"/>
      <c r="AT68" s="56"/>
      <c r="AU68" s="20"/>
      <c r="AV68" s="20"/>
      <c r="AW68" s="20"/>
      <c r="AX68" s="20"/>
      <c r="AY68" s="20"/>
      <c r="AZ68" s="20"/>
      <c r="BA68" s="20"/>
      <c r="BB68" s="20"/>
      <c r="BC68" s="57"/>
      <c r="BD68" s="20"/>
      <c r="BE68" s="20"/>
      <c r="BF68" s="20"/>
      <c r="BG68" s="20"/>
      <c r="BH68" s="20"/>
      <c r="BI68" s="20"/>
      <c r="BJ68" s="20"/>
      <c r="BK68" s="20"/>
      <c r="BL68" s="20"/>
      <c r="BM68" s="20"/>
    </row>
    <row r="69" spans="1:65" ht="210" x14ac:dyDescent="0.25">
      <c r="A69" s="159"/>
      <c r="B69" s="154"/>
      <c r="C69" s="19"/>
      <c r="D69" s="27"/>
      <c r="E69" s="19"/>
      <c r="F69" s="32"/>
      <c r="G69" s="28"/>
      <c r="H69" s="20"/>
      <c r="I69" s="29"/>
      <c r="J69" s="29"/>
      <c r="K69" s="45"/>
      <c r="L69" s="143"/>
      <c r="M69" s="27"/>
      <c r="N69" s="31"/>
      <c r="O69" s="78"/>
      <c r="P69" s="30"/>
      <c r="Q69" s="31"/>
      <c r="R69" s="31"/>
      <c r="S69" s="27"/>
      <c r="T69" s="32"/>
      <c r="U69" s="148"/>
      <c r="V69" s="148"/>
      <c r="W69" s="32"/>
      <c r="X69" s="33" t="s">
        <v>365</v>
      </c>
      <c r="Y69" s="22" t="s">
        <v>187</v>
      </c>
      <c r="Z69" s="35">
        <v>42376</v>
      </c>
      <c r="AA69" s="34">
        <v>11724</v>
      </c>
      <c r="AB69" s="33" t="s">
        <v>481</v>
      </c>
      <c r="AC69" s="35"/>
      <c r="AD69" s="35"/>
      <c r="AE69" s="36">
        <v>9.8800000000000008</v>
      </c>
      <c r="AF69" s="53"/>
      <c r="AG69" s="77">
        <v>64818.49</v>
      </c>
      <c r="AH69" s="77"/>
      <c r="AI69" s="77"/>
      <c r="AJ69" s="77"/>
      <c r="AK69" s="77"/>
      <c r="AL69" s="38"/>
      <c r="AM69" s="38"/>
      <c r="AN69" s="38"/>
      <c r="AO69" s="38"/>
      <c r="AP69" s="53"/>
      <c r="AQ69" s="23"/>
      <c r="AR69" s="23"/>
      <c r="AS69" s="56"/>
      <c r="AT69" s="56"/>
      <c r="AU69" s="20"/>
      <c r="AV69" s="20"/>
      <c r="AW69" s="20"/>
      <c r="AX69" s="20"/>
      <c r="AY69" s="20"/>
      <c r="AZ69" s="20"/>
      <c r="BA69" s="20"/>
      <c r="BB69" s="20"/>
      <c r="BC69" s="57"/>
      <c r="BD69" s="20"/>
      <c r="BE69" s="20"/>
      <c r="BF69" s="20"/>
      <c r="BG69" s="20"/>
      <c r="BH69" s="20"/>
      <c r="BI69" s="20"/>
      <c r="BJ69" s="20"/>
      <c r="BK69" s="20"/>
      <c r="BL69" s="20"/>
      <c r="BM69" s="20"/>
    </row>
    <row r="70" spans="1:65" ht="30" x14ac:dyDescent="0.25">
      <c r="A70" s="159"/>
      <c r="B70" s="154"/>
      <c r="C70" s="19"/>
      <c r="D70" s="27"/>
      <c r="E70" s="19"/>
      <c r="F70" s="32"/>
      <c r="G70" s="28"/>
      <c r="H70" s="20"/>
      <c r="I70" s="29"/>
      <c r="J70" s="29"/>
      <c r="K70" s="45"/>
      <c r="L70" s="143"/>
      <c r="M70" s="27"/>
      <c r="N70" s="31"/>
      <c r="O70" s="78"/>
      <c r="P70" s="30"/>
      <c r="Q70" s="31"/>
      <c r="R70" s="31"/>
      <c r="S70" s="27"/>
      <c r="T70" s="32"/>
      <c r="U70" s="148"/>
      <c r="V70" s="148"/>
      <c r="W70" s="32"/>
      <c r="X70" s="33" t="s">
        <v>1570</v>
      </c>
      <c r="Y70" s="22" t="s">
        <v>117</v>
      </c>
      <c r="Z70" s="35">
        <v>42597</v>
      </c>
      <c r="AA70" s="34">
        <v>11878</v>
      </c>
      <c r="AB70" s="33" t="s">
        <v>639</v>
      </c>
      <c r="AC70" s="35">
        <v>42598</v>
      </c>
      <c r="AD70" s="35">
        <v>42963</v>
      </c>
      <c r="AE70" s="36"/>
      <c r="AF70" s="53"/>
      <c r="AG70" s="77">
        <v>720873.6</v>
      </c>
      <c r="AH70" s="77"/>
      <c r="AI70" s="77"/>
      <c r="AJ70" s="77"/>
      <c r="AK70" s="77"/>
      <c r="AL70" s="38"/>
      <c r="AM70" s="38"/>
      <c r="AN70" s="38"/>
      <c r="AO70" s="38"/>
      <c r="AP70" s="56"/>
      <c r="AQ70" s="23"/>
      <c r="AR70" s="23"/>
      <c r="AS70" s="56"/>
      <c r="AT70" s="56"/>
      <c r="AU70" s="20"/>
      <c r="AV70" s="20"/>
      <c r="AW70" s="20"/>
      <c r="AX70" s="20"/>
      <c r="AY70" s="20"/>
      <c r="AZ70" s="20"/>
      <c r="BA70" s="20"/>
      <c r="BB70" s="20"/>
      <c r="BC70" s="57"/>
      <c r="BD70" s="20"/>
      <c r="BE70" s="20"/>
      <c r="BF70" s="20"/>
      <c r="BG70" s="20"/>
      <c r="BH70" s="20"/>
      <c r="BI70" s="20"/>
      <c r="BJ70" s="20"/>
      <c r="BK70" s="20"/>
      <c r="BL70" s="20"/>
      <c r="BM70" s="20"/>
    </row>
    <row r="71" spans="1:65" ht="180" x14ac:dyDescent="0.25">
      <c r="A71" s="159"/>
      <c r="B71" s="154"/>
      <c r="C71" s="19"/>
      <c r="D71" s="27"/>
      <c r="E71" s="19"/>
      <c r="F71" s="32"/>
      <c r="G71" s="28"/>
      <c r="H71" s="20"/>
      <c r="I71" s="29"/>
      <c r="J71" s="29"/>
      <c r="K71" s="45"/>
      <c r="L71" s="143"/>
      <c r="M71" s="27"/>
      <c r="N71" s="31"/>
      <c r="O71" s="78"/>
      <c r="P71" s="30"/>
      <c r="Q71" s="31"/>
      <c r="R71" s="31"/>
      <c r="S71" s="27"/>
      <c r="T71" s="32"/>
      <c r="U71" s="148"/>
      <c r="V71" s="148"/>
      <c r="W71" s="32"/>
      <c r="X71" s="33" t="s">
        <v>365</v>
      </c>
      <c r="Y71" s="22" t="s">
        <v>120</v>
      </c>
      <c r="Z71" s="35">
        <v>42719</v>
      </c>
      <c r="AA71" s="34">
        <v>11964</v>
      </c>
      <c r="AB71" s="33" t="s">
        <v>659</v>
      </c>
      <c r="AC71" s="35"/>
      <c r="AD71" s="35"/>
      <c r="AE71" s="36"/>
      <c r="AF71" s="53"/>
      <c r="AG71" s="77">
        <v>31233.45</v>
      </c>
      <c r="AH71" s="77"/>
      <c r="AI71" s="77"/>
      <c r="AJ71" s="77"/>
      <c r="AK71" s="77"/>
      <c r="AL71" s="38"/>
      <c r="AM71" s="38"/>
      <c r="AN71" s="38"/>
      <c r="AO71" s="38"/>
      <c r="AP71" s="23"/>
      <c r="AQ71" s="23"/>
      <c r="AR71" s="23"/>
      <c r="AS71" s="23"/>
      <c r="AT71" s="56"/>
      <c r="AU71" s="23"/>
      <c r="AV71" s="23"/>
      <c r="AW71" s="23"/>
      <c r="AX71" s="23"/>
      <c r="AY71" s="23"/>
      <c r="AZ71" s="23"/>
      <c r="BA71" s="23"/>
      <c r="BB71" s="23"/>
      <c r="BC71" s="56"/>
      <c r="BD71" s="23"/>
      <c r="BE71" s="23"/>
      <c r="BF71" s="23"/>
      <c r="BG71" s="23"/>
      <c r="BH71" s="23"/>
      <c r="BI71" s="23"/>
      <c r="BJ71" s="23"/>
      <c r="BK71" s="23"/>
      <c r="BL71" s="23"/>
      <c r="BM71" s="23"/>
    </row>
    <row r="72" spans="1:65" ht="150" x14ac:dyDescent="0.25">
      <c r="A72" s="159"/>
      <c r="B72" s="154"/>
      <c r="C72" s="19"/>
      <c r="D72" s="27"/>
      <c r="E72" s="19"/>
      <c r="F72" s="32"/>
      <c r="G72" s="28"/>
      <c r="H72" s="20"/>
      <c r="I72" s="29"/>
      <c r="J72" s="29"/>
      <c r="K72" s="45"/>
      <c r="L72" s="143"/>
      <c r="M72" s="27"/>
      <c r="N72" s="31"/>
      <c r="O72" s="78"/>
      <c r="P72" s="30"/>
      <c r="Q72" s="31"/>
      <c r="R72" s="31"/>
      <c r="S72" s="27"/>
      <c r="T72" s="32"/>
      <c r="U72" s="148"/>
      <c r="V72" s="148"/>
      <c r="W72" s="32"/>
      <c r="X72" s="33" t="s">
        <v>365</v>
      </c>
      <c r="Y72" s="22" t="s">
        <v>118</v>
      </c>
      <c r="Z72" s="35">
        <v>42895</v>
      </c>
      <c r="AA72" s="34">
        <v>12080</v>
      </c>
      <c r="AB72" s="33" t="s">
        <v>974</v>
      </c>
      <c r="AC72" s="35"/>
      <c r="AD72" s="35"/>
      <c r="AE72" s="36"/>
      <c r="AF72" s="53"/>
      <c r="AG72" s="77">
        <v>29991.759999999998</v>
      </c>
      <c r="AH72" s="77"/>
      <c r="AI72" s="77"/>
      <c r="AJ72" s="77"/>
      <c r="AK72" s="77"/>
      <c r="AL72" s="38"/>
      <c r="AM72" s="38"/>
      <c r="AN72" s="38"/>
      <c r="AO72" s="38"/>
      <c r="AP72" s="23"/>
      <c r="AQ72" s="23"/>
      <c r="AR72" s="23"/>
      <c r="AS72" s="23"/>
      <c r="AT72" s="56"/>
      <c r="AU72" s="23"/>
      <c r="AV72" s="23"/>
      <c r="AW72" s="23"/>
      <c r="AX72" s="23"/>
      <c r="AY72" s="23"/>
      <c r="AZ72" s="23"/>
      <c r="BA72" s="23"/>
      <c r="BB72" s="23"/>
      <c r="BC72" s="56"/>
      <c r="BD72" s="23"/>
      <c r="BE72" s="23"/>
      <c r="BF72" s="23"/>
      <c r="BG72" s="23"/>
      <c r="BH72" s="23"/>
      <c r="BI72" s="23"/>
      <c r="BJ72" s="23"/>
      <c r="BK72" s="23"/>
      <c r="BL72" s="23"/>
      <c r="BM72" s="23"/>
    </row>
    <row r="73" spans="1:65" ht="45" x14ac:dyDescent="0.25">
      <c r="A73" s="159"/>
      <c r="B73" s="154"/>
      <c r="C73" s="19"/>
      <c r="D73" s="27"/>
      <c r="E73" s="19"/>
      <c r="F73" s="32"/>
      <c r="G73" s="28"/>
      <c r="H73" s="20"/>
      <c r="I73" s="29"/>
      <c r="J73" s="29"/>
      <c r="K73" s="45"/>
      <c r="L73" s="143"/>
      <c r="M73" s="27"/>
      <c r="N73" s="31"/>
      <c r="O73" s="78"/>
      <c r="P73" s="30"/>
      <c r="Q73" s="31"/>
      <c r="R73" s="31"/>
      <c r="S73" s="27"/>
      <c r="T73" s="32"/>
      <c r="U73" s="148"/>
      <c r="V73" s="148"/>
      <c r="W73" s="32"/>
      <c r="X73" s="33" t="s">
        <v>1570</v>
      </c>
      <c r="Y73" s="22" t="s">
        <v>279</v>
      </c>
      <c r="Z73" s="35">
        <v>42963</v>
      </c>
      <c r="AA73" s="34">
        <v>12123</v>
      </c>
      <c r="AB73" s="33" t="s">
        <v>1033</v>
      </c>
      <c r="AC73" s="35">
        <v>42963</v>
      </c>
      <c r="AD73" s="35">
        <v>43328</v>
      </c>
      <c r="AE73" s="36"/>
      <c r="AF73" s="53"/>
      <c r="AG73" s="77">
        <v>818621.4</v>
      </c>
      <c r="AH73" s="77"/>
      <c r="AI73" s="77"/>
      <c r="AJ73" s="77"/>
      <c r="AK73" s="77"/>
      <c r="AL73" s="38"/>
      <c r="AM73" s="38"/>
      <c r="AN73" s="38"/>
      <c r="AO73" s="38"/>
      <c r="AP73" s="37"/>
      <c r="AQ73" s="23"/>
      <c r="AR73" s="23"/>
      <c r="AS73" s="23"/>
      <c r="AT73" s="56"/>
      <c r="AU73" s="23"/>
      <c r="AV73" s="23"/>
      <c r="AW73" s="23"/>
      <c r="AX73" s="23"/>
      <c r="AY73" s="23"/>
      <c r="AZ73" s="23"/>
      <c r="BA73" s="23"/>
      <c r="BB73" s="23"/>
      <c r="BC73" s="56"/>
      <c r="BD73" s="23"/>
      <c r="BE73" s="23"/>
      <c r="BF73" s="23"/>
      <c r="BG73" s="23"/>
      <c r="BH73" s="23"/>
      <c r="BI73" s="23"/>
      <c r="BJ73" s="23"/>
      <c r="BK73" s="23"/>
      <c r="BL73" s="23"/>
      <c r="BM73" s="23"/>
    </row>
    <row r="74" spans="1:65" ht="75" x14ac:dyDescent="0.25">
      <c r="A74" s="159"/>
      <c r="B74" s="154"/>
      <c r="C74" s="19"/>
      <c r="D74" s="27"/>
      <c r="E74" s="19"/>
      <c r="F74" s="32"/>
      <c r="G74" s="32"/>
      <c r="H74" s="19"/>
      <c r="I74" s="19"/>
      <c r="J74" s="19"/>
      <c r="K74" s="19"/>
      <c r="L74" s="143"/>
      <c r="M74" s="27"/>
      <c r="N74" s="27"/>
      <c r="O74" s="78"/>
      <c r="P74" s="27"/>
      <c r="Q74" s="27"/>
      <c r="R74" s="27"/>
      <c r="S74" s="27"/>
      <c r="T74" s="32"/>
      <c r="U74" s="148"/>
      <c r="V74" s="148"/>
      <c r="W74" s="32"/>
      <c r="X74" s="33" t="s">
        <v>1570</v>
      </c>
      <c r="Y74" s="22" t="s">
        <v>376</v>
      </c>
      <c r="Z74" s="35">
        <v>43328</v>
      </c>
      <c r="AA74" s="34">
        <v>12399</v>
      </c>
      <c r="AB74" s="33" t="s">
        <v>1835</v>
      </c>
      <c r="AC74" s="35">
        <v>43328</v>
      </c>
      <c r="AD74" s="35">
        <v>43404</v>
      </c>
      <c r="AE74" s="36"/>
      <c r="AF74" s="53"/>
      <c r="AG74" s="77"/>
      <c r="AH74" s="77"/>
      <c r="AI74" s="77"/>
      <c r="AJ74" s="77"/>
      <c r="AK74" s="77"/>
      <c r="AL74" s="38"/>
      <c r="AM74" s="38"/>
      <c r="AN74" s="38"/>
      <c r="AO74" s="38"/>
      <c r="AP74" s="23"/>
      <c r="AQ74" s="23"/>
      <c r="AR74" s="23"/>
      <c r="AS74" s="23"/>
      <c r="AT74" s="56"/>
      <c r="AU74" s="23"/>
      <c r="AV74" s="23"/>
      <c r="AW74" s="23"/>
      <c r="AX74" s="23"/>
      <c r="AY74" s="23"/>
      <c r="AZ74" s="23"/>
      <c r="BA74" s="23"/>
      <c r="BB74" s="23"/>
      <c r="BC74" s="56"/>
      <c r="BD74" s="23"/>
      <c r="BE74" s="23"/>
      <c r="BF74" s="23"/>
      <c r="BG74" s="23"/>
      <c r="BH74" s="23"/>
      <c r="BI74" s="23"/>
      <c r="BJ74" s="23"/>
      <c r="BK74" s="23"/>
      <c r="BL74" s="23"/>
      <c r="BM74" s="23"/>
    </row>
    <row r="75" spans="1:65" ht="45" x14ac:dyDescent="0.25">
      <c r="A75" s="159">
        <v>12</v>
      </c>
      <c r="B75" s="154" t="s">
        <v>194</v>
      </c>
      <c r="C75" s="19" t="s">
        <v>145</v>
      </c>
      <c r="D75" s="27" t="s">
        <v>138</v>
      </c>
      <c r="E75" s="19" t="s">
        <v>124</v>
      </c>
      <c r="F75" s="141" t="s">
        <v>811</v>
      </c>
      <c r="G75" s="28" t="s">
        <v>275</v>
      </c>
      <c r="H75" s="20"/>
      <c r="I75" s="20"/>
      <c r="J75" s="20"/>
      <c r="K75" s="45" t="s">
        <v>195</v>
      </c>
      <c r="L75" s="143" t="s">
        <v>196</v>
      </c>
      <c r="M75" s="27" t="s">
        <v>197</v>
      </c>
      <c r="N75" s="31">
        <v>41519</v>
      </c>
      <c r="O75" s="78">
        <v>18000</v>
      </c>
      <c r="P75" s="30" t="s">
        <v>518</v>
      </c>
      <c r="Q75" s="31">
        <v>41519</v>
      </c>
      <c r="R75" s="31">
        <v>41884</v>
      </c>
      <c r="S75" s="27" t="s">
        <v>134</v>
      </c>
      <c r="T75" s="32"/>
      <c r="U75" s="148"/>
      <c r="V75" s="148"/>
      <c r="W75" s="32" t="s">
        <v>116</v>
      </c>
      <c r="X75" s="33" t="s">
        <v>1570</v>
      </c>
      <c r="Y75" s="22" t="s">
        <v>136</v>
      </c>
      <c r="Z75" s="35">
        <v>41883</v>
      </c>
      <c r="AA75" s="34">
        <v>11390</v>
      </c>
      <c r="AB75" s="33" t="s">
        <v>288</v>
      </c>
      <c r="AC75" s="35">
        <v>41883</v>
      </c>
      <c r="AD75" s="35">
        <v>42248</v>
      </c>
      <c r="AE75" s="36">
        <v>4.8846600000000002</v>
      </c>
      <c r="AF75" s="22"/>
      <c r="AG75" s="77">
        <v>18879.240000000002</v>
      </c>
      <c r="AH75" s="25"/>
      <c r="AI75" s="25"/>
      <c r="AJ75" s="25"/>
      <c r="AK75" s="25"/>
      <c r="AL75" s="38">
        <f>O75-AH75+AG75-AH76+AG76-AH77+AG77-AH78+AG78-AH79+AG79</f>
        <v>104563.64000000001</v>
      </c>
      <c r="AM75" s="38">
        <f>23342.36+20305.32+1692.11+1692.11+1692.11+1692.11+1692.11+1692.11+1692.11+1692.11+1692.11+1692.11+1692.11+1692.11+1692.11+1692.11+1692.11+1692.11+1692.11+1692.11+1692.11+1692.11+1692.11+1692.11+1692.11+1692.11</f>
        <v>84258.32</v>
      </c>
      <c r="AN75" s="38">
        <f>1692.11+1692.11+1692.11+1692.11+1692.11+1692.11+1692.11+1692.11+1692.11+1692.11</f>
        <v>16921.100000000002</v>
      </c>
      <c r="AO75" s="38">
        <f>AM75+AN75</f>
        <v>101179.42000000001</v>
      </c>
      <c r="AP75" s="39"/>
      <c r="AQ75" s="23"/>
      <c r="AR75" s="23"/>
      <c r="AS75" s="20"/>
      <c r="AT75" s="47"/>
      <c r="AU75" s="47"/>
      <c r="AV75" s="47" t="s">
        <v>121</v>
      </c>
      <c r="AW75" s="19" t="s">
        <v>280</v>
      </c>
      <c r="AX75" s="50" t="s">
        <v>556</v>
      </c>
      <c r="AY75" s="29">
        <v>41515</v>
      </c>
      <c r="AZ75" s="50" t="s">
        <v>559</v>
      </c>
      <c r="BA75" s="29">
        <v>41520</v>
      </c>
      <c r="BB75" s="19"/>
      <c r="BC75" s="27"/>
      <c r="BD75" s="19"/>
      <c r="BE75" s="19"/>
      <c r="BF75" s="19"/>
      <c r="BG75" s="19"/>
      <c r="BH75" s="19"/>
      <c r="BI75" s="19"/>
      <c r="BJ75" s="19"/>
      <c r="BK75" s="19"/>
      <c r="BL75" s="19"/>
      <c r="BM75" s="19"/>
    </row>
    <row r="76" spans="1:65" ht="90" x14ac:dyDescent="0.25">
      <c r="A76" s="159"/>
      <c r="B76" s="154"/>
      <c r="C76" s="19"/>
      <c r="D76" s="27"/>
      <c r="E76" s="19"/>
      <c r="F76" s="141"/>
      <c r="G76" s="28"/>
      <c r="H76" s="19"/>
      <c r="I76" s="19"/>
      <c r="J76" s="19"/>
      <c r="K76" s="45"/>
      <c r="L76" s="143"/>
      <c r="M76" s="27"/>
      <c r="N76" s="31"/>
      <c r="O76" s="78"/>
      <c r="P76" s="30"/>
      <c r="Q76" s="31"/>
      <c r="R76" s="31"/>
      <c r="S76" s="27"/>
      <c r="T76" s="32"/>
      <c r="U76" s="148"/>
      <c r="V76" s="148"/>
      <c r="W76" s="32"/>
      <c r="X76" s="33" t="s">
        <v>1570</v>
      </c>
      <c r="Y76" s="22" t="s">
        <v>140</v>
      </c>
      <c r="Z76" s="35">
        <v>42248</v>
      </c>
      <c r="AA76" s="34">
        <v>11634</v>
      </c>
      <c r="AB76" s="33" t="s">
        <v>419</v>
      </c>
      <c r="AC76" s="35">
        <v>42248</v>
      </c>
      <c r="AD76" s="35">
        <v>42614</v>
      </c>
      <c r="AE76" s="36">
        <v>7.5537999999999998</v>
      </c>
      <c r="AF76" s="22"/>
      <c r="AG76" s="77">
        <v>20305.32</v>
      </c>
      <c r="AH76" s="25"/>
      <c r="AI76" s="25"/>
      <c r="AJ76" s="25"/>
      <c r="AK76" s="25"/>
      <c r="AL76" s="38"/>
      <c r="AM76" s="38"/>
      <c r="AN76" s="38"/>
      <c r="AO76" s="38"/>
      <c r="AP76" s="20"/>
      <c r="AQ76" s="23"/>
      <c r="AR76" s="23"/>
      <c r="AS76" s="20"/>
      <c r="AT76" s="47"/>
      <c r="AU76" s="47"/>
      <c r="AV76" s="47"/>
      <c r="AW76" s="19"/>
      <c r="AX76" s="50"/>
      <c r="AY76" s="29"/>
      <c r="AZ76" s="50"/>
      <c r="BA76" s="29"/>
      <c r="BB76" s="19"/>
      <c r="BC76" s="27"/>
      <c r="BD76" s="19"/>
      <c r="BE76" s="19"/>
      <c r="BF76" s="19"/>
      <c r="BG76" s="19"/>
      <c r="BH76" s="19"/>
      <c r="BI76" s="19"/>
      <c r="BJ76" s="19"/>
      <c r="BK76" s="19"/>
      <c r="BL76" s="19"/>
      <c r="BM76" s="19"/>
    </row>
    <row r="77" spans="1:65" ht="105" x14ac:dyDescent="0.25">
      <c r="A77" s="159"/>
      <c r="B77" s="154"/>
      <c r="C77" s="19"/>
      <c r="D77" s="27"/>
      <c r="E77" s="19"/>
      <c r="F77" s="141"/>
      <c r="G77" s="28"/>
      <c r="H77" s="19"/>
      <c r="I77" s="19"/>
      <c r="J77" s="19"/>
      <c r="K77" s="19"/>
      <c r="L77" s="143"/>
      <c r="M77" s="27"/>
      <c r="N77" s="27"/>
      <c r="O77" s="78"/>
      <c r="P77" s="27"/>
      <c r="Q77" s="27"/>
      <c r="R77" s="27"/>
      <c r="S77" s="27"/>
      <c r="T77" s="32"/>
      <c r="U77" s="148"/>
      <c r="V77" s="148"/>
      <c r="W77" s="32"/>
      <c r="X77" s="33" t="s">
        <v>1570</v>
      </c>
      <c r="Y77" s="22" t="s">
        <v>185</v>
      </c>
      <c r="Z77" s="35">
        <v>42614</v>
      </c>
      <c r="AA77" s="34">
        <v>11889</v>
      </c>
      <c r="AB77" s="33" t="s">
        <v>642</v>
      </c>
      <c r="AC77" s="35">
        <v>42614</v>
      </c>
      <c r="AD77" s="35" t="s">
        <v>641</v>
      </c>
      <c r="AE77" s="36"/>
      <c r="AF77" s="22"/>
      <c r="AG77" s="77">
        <v>20305.32</v>
      </c>
      <c r="AH77" s="25"/>
      <c r="AI77" s="25"/>
      <c r="AJ77" s="25"/>
      <c r="AK77" s="25"/>
      <c r="AL77" s="38"/>
      <c r="AM77" s="38"/>
      <c r="AN77" s="38"/>
      <c r="AO77" s="38"/>
      <c r="AP77" s="20"/>
      <c r="AQ77" s="23"/>
      <c r="AR77" s="23"/>
      <c r="AS77" s="20"/>
      <c r="AT77" s="47"/>
      <c r="AU77" s="47"/>
      <c r="AV77" s="47"/>
      <c r="AW77" s="19"/>
      <c r="AX77" s="50"/>
      <c r="AY77" s="29"/>
      <c r="AZ77" s="50"/>
      <c r="BA77" s="29"/>
      <c r="BB77" s="19"/>
      <c r="BC77" s="27"/>
      <c r="BD77" s="19"/>
      <c r="BE77" s="19"/>
      <c r="BF77" s="19"/>
      <c r="BG77" s="19"/>
      <c r="BH77" s="19"/>
      <c r="BI77" s="19"/>
      <c r="BJ77" s="19"/>
      <c r="BK77" s="19"/>
      <c r="BL77" s="19"/>
      <c r="BM77" s="19"/>
    </row>
    <row r="78" spans="1:65" ht="105" x14ac:dyDescent="0.25">
      <c r="A78" s="159"/>
      <c r="B78" s="154"/>
      <c r="C78" s="19"/>
      <c r="D78" s="27"/>
      <c r="E78" s="19"/>
      <c r="F78" s="141"/>
      <c r="G78" s="28"/>
      <c r="H78" s="19"/>
      <c r="I78" s="19"/>
      <c r="J78" s="19"/>
      <c r="K78" s="19"/>
      <c r="L78" s="143"/>
      <c r="M78" s="27"/>
      <c r="N78" s="27"/>
      <c r="O78" s="78"/>
      <c r="P78" s="27"/>
      <c r="Q78" s="27"/>
      <c r="R78" s="27"/>
      <c r="S78" s="27"/>
      <c r="T78" s="32"/>
      <c r="U78" s="148"/>
      <c r="V78" s="148"/>
      <c r="W78" s="32"/>
      <c r="X78" s="33" t="s">
        <v>1570</v>
      </c>
      <c r="Y78" s="22" t="s">
        <v>186</v>
      </c>
      <c r="Z78" s="35">
        <v>42979</v>
      </c>
      <c r="AA78" s="34">
        <v>12139</v>
      </c>
      <c r="AB78" s="33" t="s">
        <v>642</v>
      </c>
      <c r="AC78" s="35" t="s">
        <v>641</v>
      </c>
      <c r="AD78" s="35" t="s">
        <v>1065</v>
      </c>
      <c r="AE78" s="36"/>
      <c r="AF78" s="22"/>
      <c r="AG78" s="77">
        <v>20305.32</v>
      </c>
      <c r="AH78" s="25"/>
      <c r="AI78" s="25"/>
      <c r="AJ78" s="25"/>
      <c r="AK78" s="25"/>
      <c r="AL78" s="38"/>
      <c r="AM78" s="38"/>
      <c r="AN78" s="38"/>
      <c r="AO78" s="38"/>
      <c r="AP78" s="37"/>
      <c r="AQ78" s="23"/>
      <c r="AR78" s="23"/>
      <c r="AS78" s="23"/>
      <c r="AT78" s="48"/>
      <c r="AU78" s="48"/>
      <c r="AV78" s="48"/>
      <c r="AW78" s="22"/>
      <c r="AX78" s="34"/>
      <c r="AY78" s="35"/>
      <c r="AZ78" s="34"/>
      <c r="BA78" s="35"/>
      <c r="BB78" s="22"/>
      <c r="BC78" s="43"/>
      <c r="BD78" s="22"/>
      <c r="BE78" s="22"/>
      <c r="BF78" s="22"/>
      <c r="BG78" s="22"/>
      <c r="BH78" s="22"/>
      <c r="BI78" s="22"/>
      <c r="BJ78" s="22"/>
      <c r="BK78" s="22"/>
      <c r="BL78" s="22"/>
      <c r="BM78" s="22"/>
    </row>
    <row r="79" spans="1:65" ht="90" x14ac:dyDescent="0.25">
      <c r="A79" s="159"/>
      <c r="B79" s="154"/>
      <c r="C79" s="19"/>
      <c r="D79" s="27"/>
      <c r="E79" s="19"/>
      <c r="F79" s="32"/>
      <c r="G79" s="32"/>
      <c r="H79" s="19"/>
      <c r="I79" s="19"/>
      <c r="J79" s="19"/>
      <c r="K79" s="19"/>
      <c r="L79" s="143"/>
      <c r="M79" s="27"/>
      <c r="N79" s="27"/>
      <c r="O79" s="78"/>
      <c r="P79" s="27"/>
      <c r="Q79" s="27"/>
      <c r="R79" s="27"/>
      <c r="S79" s="27"/>
      <c r="T79" s="32"/>
      <c r="U79" s="148"/>
      <c r="V79" s="148"/>
      <c r="W79" s="32"/>
      <c r="X79" s="33" t="s">
        <v>1570</v>
      </c>
      <c r="Y79" s="22" t="s">
        <v>187</v>
      </c>
      <c r="Z79" s="35">
        <v>43343</v>
      </c>
      <c r="AA79" s="34">
        <v>12386</v>
      </c>
      <c r="AB79" s="33" t="s">
        <v>1807</v>
      </c>
      <c r="AC79" s="35" t="s">
        <v>1065</v>
      </c>
      <c r="AD79" s="35">
        <v>43465</v>
      </c>
      <c r="AE79" s="36"/>
      <c r="AF79" s="22"/>
      <c r="AG79" s="77">
        <v>6768.44</v>
      </c>
      <c r="AH79" s="25"/>
      <c r="AI79" s="25"/>
      <c r="AJ79" s="25"/>
      <c r="AK79" s="25"/>
      <c r="AL79" s="38"/>
      <c r="AM79" s="38"/>
      <c r="AN79" s="38"/>
      <c r="AO79" s="38"/>
      <c r="AP79" s="23"/>
      <c r="AQ79" s="23"/>
      <c r="AR79" s="23"/>
      <c r="AS79" s="23"/>
      <c r="AT79" s="48"/>
      <c r="AU79" s="48"/>
      <c r="AV79" s="48"/>
      <c r="AW79" s="22"/>
      <c r="AX79" s="34"/>
      <c r="AY79" s="35"/>
      <c r="AZ79" s="34"/>
      <c r="BA79" s="35"/>
      <c r="BB79" s="22"/>
      <c r="BC79" s="43"/>
      <c r="BD79" s="22"/>
      <c r="BE79" s="22"/>
      <c r="BF79" s="22"/>
      <c r="BG79" s="22"/>
      <c r="BH79" s="22"/>
      <c r="BI79" s="22"/>
      <c r="BJ79" s="22"/>
      <c r="BK79" s="22"/>
      <c r="BL79" s="22"/>
      <c r="BM79" s="22"/>
    </row>
    <row r="80" spans="1:65" ht="45" x14ac:dyDescent="0.25">
      <c r="A80" s="159">
        <v>13</v>
      </c>
      <c r="B80" s="154" t="s">
        <v>211</v>
      </c>
      <c r="C80" s="19" t="s">
        <v>167</v>
      </c>
      <c r="D80" s="27" t="s">
        <v>207</v>
      </c>
      <c r="E80" s="19" t="s">
        <v>124</v>
      </c>
      <c r="F80" s="32" t="s">
        <v>212</v>
      </c>
      <c r="G80" s="28" t="s">
        <v>1164</v>
      </c>
      <c r="H80" s="20" t="s">
        <v>749</v>
      </c>
      <c r="I80" s="29">
        <v>41626</v>
      </c>
      <c r="J80" s="29">
        <v>41991</v>
      </c>
      <c r="K80" s="45" t="s">
        <v>200</v>
      </c>
      <c r="L80" s="143" t="s">
        <v>209</v>
      </c>
      <c r="M80" s="27" t="s">
        <v>210</v>
      </c>
      <c r="N80" s="31">
        <v>41641</v>
      </c>
      <c r="O80" s="78">
        <v>2331504</v>
      </c>
      <c r="P80" s="30" t="s">
        <v>519</v>
      </c>
      <c r="Q80" s="31">
        <v>41641</v>
      </c>
      <c r="R80" s="31">
        <v>42006</v>
      </c>
      <c r="S80" s="27" t="s">
        <v>133</v>
      </c>
      <c r="T80" s="32"/>
      <c r="U80" s="148"/>
      <c r="V80" s="148"/>
      <c r="W80" s="32" t="s">
        <v>213</v>
      </c>
      <c r="X80" s="33" t="s">
        <v>365</v>
      </c>
      <c r="Y80" s="22" t="s">
        <v>136</v>
      </c>
      <c r="Z80" s="35">
        <v>41652</v>
      </c>
      <c r="AA80" s="34">
        <v>11226</v>
      </c>
      <c r="AB80" s="33" t="s">
        <v>311</v>
      </c>
      <c r="AC80" s="35"/>
      <c r="AD80" s="35"/>
      <c r="AE80" s="36">
        <f>AG80/O80*100</f>
        <v>16.688283614353651</v>
      </c>
      <c r="AF80" s="22"/>
      <c r="AG80" s="77">
        <v>389088</v>
      </c>
      <c r="AH80" s="25"/>
      <c r="AI80" s="25"/>
      <c r="AJ80" s="25"/>
      <c r="AK80" s="25"/>
      <c r="AL80" s="38">
        <f>O80-AH80+AG80-AH81+AG81-AH82+AG82-AH83+AG83-AH84+AG84-AH85+AG85</f>
        <v>13602960</v>
      </c>
      <c r="AM80" s="38">
        <f>2720592+2720592+0+226716+226716+453432+226716+226716+226716+226716+226716+226716+226716+226716+226716+226716+226716+226716+226716+226716+226716+226716+226716+226716+226716</f>
        <v>10655652</v>
      </c>
      <c r="AN80" s="38">
        <f>226716+226716+453432+226716+226716+226716+226716+226716+226716+226716</f>
        <v>2493876</v>
      </c>
      <c r="AO80" s="38">
        <f>AM80+AN80</f>
        <v>13149528</v>
      </c>
      <c r="AP80" s="39"/>
      <c r="AQ80" s="22"/>
      <c r="AR80" s="22"/>
      <c r="AS80" s="19"/>
      <c r="AT80" s="19"/>
      <c r="AU80" s="19"/>
      <c r="AV80" s="19"/>
      <c r="AW80" s="19"/>
      <c r="AX80" s="19"/>
      <c r="AY80" s="19"/>
      <c r="AZ80" s="19"/>
      <c r="BA80" s="19"/>
      <c r="BB80" s="19"/>
      <c r="BC80" s="27"/>
      <c r="BD80" s="19"/>
      <c r="BE80" s="19"/>
      <c r="BF80" s="19"/>
      <c r="BG80" s="19"/>
      <c r="BH80" s="19"/>
      <c r="BI80" s="19"/>
      <c r="BJ80" s="19"/>
      <c r="BK80" s="19"/>
      <c r="BL80" s="19"/>
      <c r="BM80" s="19"/>
    </row>
    <row r="81" spans="1:65" ht="45" x14ac:dyDescent="0.25">
      <c r="A81" s="159"/>
      <c r="B81" s="154"/>
      <c r="C81" s="19"/>
      <c r="D81" s="27"/>
      <c r="E81" s="19"/>
      <c r="F81" s="32"/>
      <c r="G81" s="28"/>
      <c r="H81" s="20"/>
      <c r="I81" s="29"/>
      <c r="J81" s="29"/>
      <c r="K81" s="45"/>
      <c r="L81" s="143"/>
      <c r="M81" s="27"/>
      <c r="N81" s="31"/>
      <c r="O81" s="78"/>
      <c r="P81" s="30"/>
      <c r="Q81" s="31"/>
      <c r="R81" s="31"/>
      <c r="S81" s="27"/>
      <c r="T81" s="32"/>
      <c r="U81" s="148"/>
      <c r="V81" s="148"/>
      <c r="W81" s="32"/>
      <c r="X81" s="33" t="s">
        <v>1570</v>
      </c>
      <c r="Y81" s="22" t="s">
        <v>140</v>
      </c>
      <c r="Z81" s="35">
        <v>42006</v>
      </c>
      <c r="AA81" s="34">
        <v>11476</v>
      </c>
      <c r="AB81" s="33" t="s">
        <v>429</v>
      </c>
      <c r="AC81" s="35">
        <v>42006</v>
      </c>
      <c r="AD81" s="35">
        <v>42371</v>
      </c>
      <c r="AE81" s="36"/>
      <c r="AF81" s="22"/>
      <c r="AG81" s="77">
        <v>2720592</v>
      </c>
      <c r="AH81" s="25"/>
      <c r="AI81" s="25"/>
      <c r="AJ81" s="25"/>
      <c r="AK81" s="25"/>
      <c r="AL81" s="38"/>
      <c r="AM81" s="38"/>
      <c r="AN81" s="38"/>
      <c r="AO81" s="38"/>
      <c r="AP81" s="19"/>
      <c r="AQ81" s="22"/>
      <c r="AR81" s="22"/>
      <c r="AS81" s="19"/>
      <c r="AT81" s="19"/>
      <c r="AU81" s="19"/>
      <c r="AV81" s="19"/>
      <c r="AW81" s="19"/>
      <c r="AX81" s="19"/>
      <c r="AY81" s="19"/>
      <c r="AZ81" s="19"/>
      <c r="BA81" s="19"/>
      <c r="BB81" s="19"/>
      <c r="BC81" s="27"/>
      <c r="BD81" s="19"/>
      <c r="BE81" s="19"/>
      <c r="BF81" s="19"/>
      <c r="BG81" s="19"/>
      <c r="BH81" s="19"/>
      <c r="BI81" s="19"/>
      <c r="BJ81" s="19"/>
      <c r="BK81" s="19"/>
      <c r="BL81" s="19"/>
      <c r="BM81" s="19"/>
    </row>
    <row r="82" spans="1:65" ht="60" x14ac:dyDescent="0.25">
      <c r="A82" s="159"/>
      <c r="B82" s="154"/>
      <c r="C82" s="19"/>
      <c r="D82" s="27"/>
      <c r="E82" s="19"/>
      <c r="F82" s="32"/>
      <c r="G82" s="28"/>
      <c r="H82" s="20"/>
      <c r="I82" s="29"/>
      <c r="J82" s="29"/>
      <c r="K82" s="45"/>
      <c r="L82" s="143"/>
      <c r="M82" s="27"/>
      <c r="N82" s="31"/>
      <c r="O82" s="78"/>
      <c r="P82" s="30"/>
      <c r="Q82" s="31"/>
      <c r="R82" s="31"/>
      <c r="S82" s="27"/>
      <c r="T82" s="32"/>
      <c r="U82" s="148"/>
      <c r="V82" s="148"/>
      <c r="W82" s="32"/>
      <c r="X82" s="33" t="s">
        <v>1570</v>
      </c>
      <c r="Y82" s="22" t="s">
        <v>185</v>
      </c>
      <c r="Z82" s="35">
        <v>42355</v>
      </c>
      <c r="AA82" s="34">
        <v>11713</v>
      </c>
      <c r="AB82" s="33" t="s">
        <v>426</v>
      </c>
      <c r="AC82" s="35">
        <v>42371</v>
      </c>
      <c r="AD82" s="35">
        <v>42737</v>
      </c>
      <c r="AE82" s="36"/>
      <c r="AF82" s="22"/>
      <c r="AG82" s="77">
        <v>2720592</v>
      </c>
      <c r="AH82" s="25"/>
      <c r="AI82" s="25"/>
      <c r="AJ82" s="25"/>
      <c r="AK82" s="25"/>
      <c r="AL82" s="38"/>
      <c r="AM82" s="38"/>
      <c r="AN82" s="38"/>
      <c r="AO82" s="38"/>
      <c r="AP82" s="19"/>
      <c r="AQ82" s="22"/>
      <c r="AR82" s="22"/>
      <c r="AS82" s="19"/>
      <c r="AT82" s="19"/>
      <c r="AU82" s="19"/>
      <c r="AV82" s="19"/>
      <c r="AW82" s="19"/>
      <c r="AX82" s="19"/>
      <c r="AY82" s="19"/>
      <c r="AZ82" s="19"/>
      <c r="BA82" s="19"/>
      <c r="BB82" s="19"/>
      <c r="BC82" s="27"/>
      <c r="BD82" s="19"/>
      <c r="BE82" s="19"/>
      <c r="BF82" s="19"/>
      <c r="BG82" s="19"/>
      <c r="BH82" s="19"/>
      <c r="BI82" s="19"/>
      <c r="BJ82" s="19"/>
      <c r="BK82" s="19"/>
      <c r="BL82" s="19"/>
      <c r="BM82" s="19"/>
    </row>
    <row r="83" spans="1:65" ht="60" x14ac:dyDescent="0.25">
      <c r="A83" s="159"/>
      <c r="B83" s="154"/>
      <c r="C83" s="19"/>
      <c r="D83" s="27"/>
      <c r="E83" s="19"/>
      <c r="F83" s="32"/>
      <c r="G83" s="32"/>
      <c r="H83" s="20"/>
      <c r="I83" s="29"/>
      <c r="J83" s="29"/>
      <c r="K83" s="19"/>
      <c r="L83" s="143"/>
      <c r="M83" s="27"/>
      <c r="N83" s="27"/>
      <c r="O83" s="78"/>
      <c r="P83" s="27"/>
      <c r="Q83" s="27"/>
      <c r="R83" s="27"/>
      <c r="S83" s="27"/>
      <c r="T83" s="32"/>
      <c r="U83" s="148"/>
      <c r="V83" s="148"/>
      <c r="W83" s="32"/>
      <c r="X83" s="33" t="s">
        <v>1570</v>
      </c>
      <c r="Y83" s="22" t="s">
        <v>186</v>
      </c>
      <c r="Z83" s="35">
        <v>42720</v>
      </c>
      <c r="AA83" s="34">
        <v>11964</v>
      </c>
      <c r="AB83" s="33" t="s">
        <v>426</v>
      </c>
      <c r="AC83" s="35">
        <v>42737</v>
      </c>
      <c r="AD83" s="35">
        <v>43102</v>
      </c>
      <c r="AE83" s="36"/>
      <c r="AF83" s="22"/>
      <c r="AG83" s="77">
        <v>2720592</v>
      </c>
      <c r="AH83" s="25"/>
      <c r="AI83" s="25"/>
      <c r="AJ83" s="25"/>
      <c r="AK83" s="25"/>
      <c r="AL83" s="38"/>
      <c r="AM83" s="38"/>
      <c r="AN83" s="38"/>
      <c r="AO83" s="38"/>
      <c r="AP83" s="37"/>
      <c r="AQ83" s="22"/>
      <c r="AR83" s="22"/>
      <c r="AS83" s="22"/>
      <c r="AT83" s="22"/>
      <c r="AU83" s="22"/>
      <c r="AV83" s="22"/>
      <c r="AW83" s="22"/>
      <c r="AX83" s="22"/>
      <c r="AY83" s="22"/>
      <c r="AZ83" s="22"/>
      <c r="BA83" s="22"/>
      <c r="BB83" s="22"/>
      <c r="BC83" s="43"/>
      <c r="BD83" s="22"/>
      <c r="BE83" s="22"/>
      <c r="BF83" s="22"/>
      <c r="BG83" s="22"/>
      <c r="BH83" s="22"/>
      <c r="BI83" s="22"/>
      <c r="BJ83" s="22"/>
      <c r="BK83" s="22"/>
      <c r="BL83" s="22"/>
      <c r="BM83" s="22"/>
    </row>
    <row r="84" spans="1:65" ht="45" x14ac:dyDescent="0.25">
      <c r="A84" s="159"/>
      <c r="B84" s="154"/>
      <c r="C84" s="19"/>
      <c r="D84" s="27"/>
      <c r="E84" s="19"/>
      <c r="F84" s="32"/>
      <c r="G84" s="32"/>
      <c r="H84" s="19"/>
      <c r="I84" s="19"/>
      <c r="J84" s="19"/>
      <c r="K84" s="19"/>
      <c r="L84" s="143"/>
      <c r="M84" s="27"/>
      <c r="N84" s="27"/>
      <c r="O84" s="78"/>
      <c r="P84" s="27"/>
      <c r="Q84" s="27"/>
      <c r="R84" s="27"/>
      <c r="S84" s="27"/>
      <c r="T84" s="32"/>
      <c r="U84" s="148"/>
      <c r="V84" s="148"/>
      <c r="W84" s="32"/>
      <c r="X84" s="33" t="s">
        <v>1570</v>
      </c>
      <c r="Y84" s="22" t="s">
        <v>187</v>
      </c>
      <c r="Z84" s="35">
        <v>43081</v>
      </c>
      <c r="AA84" s="34">
        <v>12228</v>
      </c>
      <c r="AB84" s="33" t="s">
        <v>1229</v>
      </c>
      <c r="AC84" s="35">
        <v>43102</v>
      </c>
      <c r="AD84" s="35">
        <v>43283</v>
      </c>
      <c r="AE84" s="36"/>
      <c r="AF84" s="22"/>
      <c r="AG84" s="77">
        <v>1360296</v>
      </c>
      <c r="AH84" s="25"/>
      <c r="AI84" s="25"/>
      <c r="AJ84" s="25"/>
      <c r="AK84" s="25"/>
      <c r="AL84" s="38"/>
      <c r="AM84" s="38"/>
      <c r="AN84" s="38"/>
      <c r="AO84" s="38"/>
      <c r="AP84" s="22"/>
      <c r="AQ84" s="22"/>
      <c r="AR84" s="22"/>
      <c r="AS84" s="22"/>
      <c r="AT84" s="22"/>
      <c r="AU84" s="22"/>
      <c r="AV84" s="22"/>
      <c r="AW84" s="22"/>
      <c r="AX84" s="22"/>
      <c r="AY84" s="22"/>
      <c r="AZ84" s="22"/>
      <c r="BA84" s="22"/>
      <c r="BB84" s="22"/>
      <c r="BC84" s="43"/>
      <c r="BD84" s="22"/>
      <c r="BE84" s="22"/>
      <c r="BF84" s="22"/>
      <c r="BG84" s="22"/>
      <c r="BH84" s="22"/>
      <c r="BI84" s="22"/>
      <c r="BJ84" s="22"/>
      <c r="BK84" s="22"/>
      <c r="BL84" s="22"/>
      <c r="BM84" s="22"/>
    </row>
    <row r="85" spans="1:65" ht="45" x14ac:dyDescent="0.25">
      <c r="A85" s="159"/>
      <c r="B85" s="154"/>
      <c r="C85" s="19"/>
      <c r="D85" s="27"/>
      <c r="E85" s="19"/>
      <c r="F85" s="32"/>
      <c r="G85" s="32"/>
      <c r="H85" s="19"/>
      <c r="I85" s="19"/>
      <c r="J85" s="19"/>
      <c r="K85" s="19"/>
      <c r="L85" s="143"/>
      <c r="M85" s="27"/>
      <c r="N85" s="27"/>
      <c r="O85" s="78"/>
      <c r="P85" s="27"/>
      <c r="Q85" s="27"/>
      <c r="R85" s="27"/>
      <c r="S85" s="27"/>
      <c r="T85" s="32"/>
      <c r="U85" s="148"/>
      <c r="V85" s="148"/>
      <c r="W85" s="32"/>
      <c r="X85" s="33" t="s">
        <v>1570</v>
      </c>
      <c r="Y85" s="22" t="s">
        <v>117</v>
      </c>
      <c r="Z85" s="35">
        <v>43272</v>
      </c>
      <c r="AA85" s="34">
        <v>12334</v>
      </c>
      <c r="AB85" s="33" t="s">
        <v>1229</v>
      </c>
      <c r="AC85" s="35">
        <v>43283</v>
      </c>
      <c r="AD85" s="35">
        <v>43465</v>
      </c>
      <c r="AE85" s="36"/>
      <c r="AF85" s="22"/>
      <c r="AG85" s="77">
        <v>1360296</v>
      </c>
      <c r="AH85" s="25"/>
      <c r="AI85" s="25"/>
      <c r="AJ85" s="25"/>
      <c r="AK85" s="25"/>
      <c r="AL85" s="38"/>
      <c r="AM85" s="38"/>
      <c r="AN85" s="38"/>
      <c r="AO85" s="38"/>
      <c r="AP85" s="22"/>
      <c r="AQ85" s="22"/>
      <c r="AR85" s="22"/>
      <c r="AS85" s="22"/>
      <c r="AT85" s="22"/>
      <c r="AU85" s="22"/>
      <c r="AV85" s="22"/>
      <c r="AW85" s="22"/>
      <c r="AX85" s="22"/>
      <c r="AY85" s="22"/>
      <c r="AZ85" s="22"/>
      <c r="BA85" s="22"/>
      <c r="BB85" s="22"/>
      <c r="BC85" s="43"/>
      <c r="BD85" s="22"/>
      <c r="BE85" s="22"/>
      <c r="BF85" s="22"/>
      <c r="BG85" s="22"/>
      <c r="BH85" s="22"/>
      <c r="BI85" s="22"/>
      <c r="BJ85" s="22"/>
      <c r="BK85" s="22"/>
      <c r="BL85" s="22"/>
      <c r="BM85" s="22"/>
    </row>
    <row r="86" spans="1:65" ht="45" x14ac:dyDescent="0.25">
      <c r="A86" s="159">
        <v>14</v>
      </c>
      <c r="B86" s="154" t="s">
        <v>230</v>
      </c>
      <c r="C86" s="19" t="s">
        <v>202</v>
      </c>
      <c r="D86" s="27" t="s">
        <v>207</v>
      </c>
      <c r="E86" s="19" t="s">
        <v>278</v>
      </c>
      <c r="F86" s="32" t="s">
        <v>231</v>
      </c>
      <c r="G86" s="28" t="s">
        <v>1165</v>
      </c>
      <c r="H86" s="20" t="s">
        <v>204</v>
      </c>
      <c r="I86" s="29">
        <v>41675</v>
      </c>
      <c r="J86" s="29">
        <v>42040</v>
      </c>
      <c r="K86" s="45" t="s">
        <v>218</v>
      </c>
      <c r="L86" s="143" t="s">
        <v>232</v>
      </c>
      <c r="M86" s="27" t="s">
        <v>233</v>
      </c>
      <c r="N86" s="31">
        <v>41687</v>
      </c>
      <c r="O86" s="78">
        <v>450000</v>
      </c>
      <c r="P86" s="30" t="s">
        <v>520</v>
      </c>
      <c r="Q86" s="31">
        <v>41687</v>
      </c>
      <c r="R86" s="31">
        <v>42004</v>
      </c>
      <c r="S86" s="27" t="s">
        <v>133</v>
      </c>
      <c r="T86" s="32"/>
      <c r="U86" s="148"/>
      <c r="V86" s="148"/>
      <c r="W86" s="32" t="s">
        <v>135</v>
      </c>
      <c r="X86" s="33" t="s">
        <v>1570</v>
      </c>
      <c r="Y86" s="22" t="s">
        <v>136</v>
      </c>
      <c r="Z86" s="35">
        <v>42004</v>
      </c>
      <c r="AA86" s="34">
        <v>11472</v>
      </c>
      <c r="AB86" s="33" t="s">
        <v>428</v>
      </c>
      <c r="AC86" s="35">
        <v>42004</v>
      </c>
      <c r="AD86" s="35">
        <v>42369</v>
      </c>
      <c r="AE86" s="36"/>
      <c r="AF86" s="22"/>
      <c r="AG86" s="77">
        <v>450000</v>
      </c>
      <c r="AH86" s="25"/>
      <c r="AI86" s="25"/>
      <c r="AJ86" s="25"/>
      <c r="AK86" s="25"/>
      <c r="AL86" s="38">
        <f>450000-AH86+AG86-AH87+AG87-AH88+AG88-AH89+AG89-AH90+AG90</f>
        <v>2250000</v>
      </c>
      <c r="AM86" s="38">
        <f>450000+350734+0+29850+28850+65442+25160+64290+104692+31020+26120+25960+19560+26690+0+39330+25000+27000+40040+23180+24948+19890+20000+20000+65698.75</f>
        <v>1553454.75</v>
      </c>
      <c r="AN86" s="38">
        <f>0+12786+30195+24295+47110+38410+20860+16320+16910</f>
        <v>206886</v>
      </c>
      <c r="AO86" s="38">
        <f>AM86+AN86</f>
        <v>1760340.75</v>
      </c>
      <c r="AP86" s="39"/>
      <c r="AQ86" s="23"/>
      <c r="AR86" s="23"/>
      <c r="AS86" s="20"/>
      <c r="AT86" s="47"/>
      <c r="AU86" s="47"/>
      <c r="AV86" s="47"/>
      <c r="AW86" s="47"/>
      <c r="AX86" s="47"/>
      <c r="AY86" s="47"/>
      <c r="AZ86" s="47"/>
      <c r="BA86" s="47"/>
      <c r="BB86" s="19"/>
      <c r="BC86" s="27"/>
      <c r="BD86" s="19"/>
      <c r="BE86" s="19"/>
      <c r="BF86" s="19"/>
      <c r="BG86" s="19"/>
      <c r="BH86" s="19"/>
      <c r="BI86" s="19"/>
      <c r="BJ86" s="19"/>
      <c r="BK86" s="19"/>
      <c r="BL86" s="19"/>
      <c r="BM86" s="19"/>
    </row>
    <row r="87" spans="1:65" ht="60" x14ac:dyDescent="0.25">
      <c r="A87" s="159"/>
      <c r="B87" s="154"/>
      <c r="C87" s="19"/>
      <c r="D87" s="27"/>
      <c r="E87" s="19"/>
      <c r="F87" s="32"/>
      <c r="G87" s="28"/>
      <c r="H87" s="20"/>
      <c r="I87" s="29"/>
      <c r="J87" s="29"/>
      <c r="K87" s="45"/>
      <c r="L87" s="143"/>
      <c r="M87" s="27"/>
      <c r="N87" s="31"/>
      <c r="O87" s="78"/>
      <c r="P87" s="30"/>
      <c r="Q87" s="31"/>
      <c r="R87" s="31"/>
      <c r="S87" s="27"/>
      <c r="T87" s="32"/>
      <c r="U87" s="148"/>
      <c r="V87" s="148"/>
      <c r="W87" s="32"/>
      <c r="X87" s="33" t="s">
        <v>1570</v>
      </c>
      <c r="Y87" s="22" t="s">
        <v>140</v>
      </c>
      <c r="Z87" s="35">
        <v>42355</v>
      </c>
      <c r="AA87" s="34">
        <v>11713</v>
      </c>
      <c r="AB87" s="33" t="s">
        <v>449</v>
      </c>
      <c r="AC87" s="35">
        <v>42369</v>
      </c>
      <c r="AD87" s="35">
        <v>42735</v>
      </c>
      <c r="AE87" s="36"/>
      <c r="AF87" s="22"/>
      <c r="AG87" s="77">
        <v>450000</v>
      </c>
      <c r="AH87" s="25"/>
      <c r="AI87" s="25"/>
      <c r="AJ87" s="25"/>
      <c r="AK87" s="25"/>
      <c r="AL87" s="38"/>
      <c r="AM87" s="38"/>
      <c r="AN87" s="38"/>
      <c r="AO87" s="38"/>
      <c r="AP87" s="20"/>
      <c r="AQ87" s="23"/>
      <c r="AR87" s="23"/>
      <c r="AS87" s="20"/>
      <c r="AT87" s="47"/>
      <c r="AU87" s="47"/>
      <c r="AV87" s="47"/>
      <c r="AW87" s="47"/>
      <c r="AX87" s="47"/>
      <c r="AY87" s="47"/>
      <c r="AZ87" s="47"/>
      <c r="BA87" s="47"/>
      <c r="BB87" s="19"/>
      <c r="BC87" s="27"/>
      <c r="BD87" s="19"/>
      <c r="BE87" s="19"/>
      <c r="BF87" s="19"/>
      <c r="BG87" s="19"/>
      <c r="BH87" s="19"/>
      <c r="BI87" s="19"/>
      <c r="BJ87" s="19"/>
      <c r="BK87" s="19"/>
      <c r="BL87" s="19"/>
      <c r="BM87" s="19"/>
    </row>
    <row r="88" spans="1:65" ht="60" x14ac:dyDescent="0.25">
      <c r="A88" s="159"/>
      <c r="B88" s="154"/>
      <c r="C88" s="19"/>
      <c r="D88" s="27"/>
      <c r="E88" s="19"/>
      <c r="F88" s="32"/>
      <c r="G88" s="32"/>
      <c r="H88" s="20"/>
      <c r="I88" s="29"/>
      <c r="J88" s="29"/>
      <c r="K88" s="19"/>
      <c r="L88" s="143"/>
      <c r="M88" s="27"/>
      <c r="N88" s="27"/>
      <c r="O88" s="78"/>
      <c r="P88" s="27"/>
      <c r="Q88" s="27"/>
      <c r="R88" s="27"/>
      <c r="S88" s="27"/>
      <c r="T88" s="32"/>
      <c r="U88" s="148"/>
      <c r="V88" s="148"/>
      <c r="W88" s="32"/>
      <c r="X88" s="33" t="s">
        <v>1570</v>
      </c>
      <c r="Y88" s="22" t="s">
        <v>185</v>
      </c>
      <c r="Z88" s="35">
        <v>42720</v>
      </c>
      <c r="AA88" s="34">
        <v>11964</v>
      </c>
      <c r="AB88" s="33" t="s">
        <v>449</v>
      </c>
      <c r="AC88" s="35">
        <v>42735</v>
      </c>
      <c r="AD88" s="35">
        <v>43100</v>
      </c>
      <c r="AE88" s="36"/>
      <c r="AF88" s="22"/>
      <c r="AG88" s="77">
        <v>450000</v>
      </c>
      <c r="AH88" s="25"/>
      <c r="AI88" s="25"/>
      <c r="AJ88" s="25"/>
      <c r="AK88" s="25"/>
      <c r="AL88" s="38"/>
      <c r="AM88" s="38"/>
      <c r="AN88" s="38"/>
      <c r="AO88" s="38"/>
      <c r="AP88" s="23"/>
      <c r="AQ88" s="23"/>
      <c r="AR88" s="23"/>
      <c r="AS88" s="23"/>
      <c r="AT88" s="48"/>
      <c r="AU88" s="48"/>
      <c r="AV88" s="48"/>
      <c r="AW88" s="48"/>
      <c r="AX88" s="48"/>
      <c r="AY88" s="48"/>
      <c r="AZ88" s="48"/>
      <c r="BA88" s="48"/>
      <c r="BB88" s="22"/>
      <c r="BC88" s="43"/>
      <c r="BD88" s="22"/>
      <c r="BE88" s="22"/>
      <c r="BF88" s="22"/>
      <c r="BG88" s="22"/>
      <c r="BH88" s="22"/>
      <c r="BI88" s="22"/>
      <c r="BJ88" s="22"/>
      <c r="BK88" s="22"/>
      <c r="BL88" s="22"/>
      <c r="BM88" s="22"/>
    </row>
    <row r="89" spans="1:65" ht="60" x14ac:dyDescent="0.25">
      <c r="A89" s="159"/>
      <c r="B89" s="154"/>
      <c r="C89" s="19"/>
      <c r="D89" s="27"/>
      <c r="E89" s="19"/>
      <c r="F89" s="32"/>
      <c r="G89" s="32"/>
      <c r="H89" s="19"/>
      <c r="I89" s="19"/>
      <c r="J89" s="19"/>
      <c r="K89" s="19"/>
      <c r="L89" s="143"/>
      <c r="M89" s="27"/>
      <c r="N89" s="27"/>
      <c r="O89" s="78"/>
      <c r="P89" s="27"/>
      <c r="Q89" s="27"/>
      <c r="R89" s="27"/>
      <c r="S89" s="27"/>
      <c r="T89" s="32"/>
      <c r="U89" s="148"/>
      <c r="V89" s="148"/>
      <c r="W89" s="32"/>
      <c r="X89" s="33" t="s">
        <v>1570</v>
      </c>
      <c r="Y89" s="22" t="s">
        <v>186</v>
      </c>
      <c r="Z89" s="35">
        <v>43082</v>
      </c>
      <c r="AA89" s="34">
        <v>12228</v>
      </c>
      <c r="AB89" s="33" t="s">
        <v>1227</v>
      </c>
      <c r="AC89" s="35">
        <v>43100</v>
      </c>
      <c r="AD89" s="35">
        <v>43281</v>
      </c>
      <c r="AE89" s="36"/>
      <c r="AF89" s="22"/>
      <c r="AG89" s="77">
        <v>225000</v>
      </c>
      <c r="AH89" s="25"/>
      <c r="AI89" s="25"/>
      <c r="AJ89" s="25"/>
      <c r="AK89" s="25"/>
      <c r="AL89" s="38"/>
      <c r="AM89" s="38"/>
      <c r="AN89" s="38"/>
      <c r="AO89" s="38"/>
      <c r="AP89" s="23"/>
      <c r="AQ89" s="23"/>
      <c r="AR89" s="23"/>
      <c r="AS89" s="23"/>
      <c r="AT89" s="48"/>
      <c r="AU89" s="48"/>
      <c r="AV89" s="48"/>
      <c r="AW89" s="48"/>
      <c r="AX89" s="48"/>
      <c r="AY89" s="48"/>
      <c r="AZ89" s="48"/>
      <c r="BA89" s="48"/>
      <c r="BB89" s="22"/>
      <c r="BC89" s="43"/>
      <c r="BD89" s="22"/>
      <c r="BE89" s="22"/>
      <c r="BF89" s="22"/>
      <c r="BG89" s="22"/>
      <c r="BH89" s="22"/>
      <c r="BI89" s="22"/>
      <c r="BJ89" s="22"/>
      <c r="BK89" s="22"/>
      <c r="BL89" s="22"/>
      <c r="BM89" s="22"/>
    </row>
    <row r="90" spans="1:65" ht="60" x14ac:dyDescent="0.25">
      <c r="A90" s="159"/>
      <c r="B90" s="154"/>
      <c r="C90" s="19"/>
      <c r="D90" s="27"/>
      <c r="E90" s="19"/>
      <c r="F90" s="32"/>
      <c r="G90" s="32"/>
      <c r="H90" s="19"/>
      <c r="I90" s="19"/>
      <c r="J90" s="19"/>
      <c r="K90" s="19"/>
      <c r="L90" s="143"/>
      <c r="M90" s="27"/>
      <c r="N90" s="27"/>
      <c r="O90" s="78"/>
      <c r="P90" s="27"/>
      <c r="Q90" s="27"/>
      <c r="R90" s="27"/>
      <c r="S90" s="27"/>
      <c r="T90" s="32"/>
      <c r="U90" s="148"/>
      <c r="V90" s="148"/>
      <c r="W90" s="32"/>
      <c r="X90" s="33" t="s">
        <v>1570</v>
      </c>
      <c r="Y90" s="22" t="s">
        <v>187</v>
      </c>
      <c r="Z90" s="35">
        <v>43276</v>
      </c>
      <c r="AA90" s="34">
        <v>12334</v>
      </c>
      <c r="AB90" s="33" t="s">
        <v>1675</v>
      </c>
      <c r="AC90" s="35">
        <v>43281</v>
      </c>
      <c r="AD90" s="35">
        <v>43465</v>
      </c>
      <c r="AE90" s="36"/>
      <c r="AF90" s="22"/>
      <c r="AG90" s="77">
        <v>225000</v>
      </c>
      <c r="AH90" s="25"/>
      <c r="AI90" s="25"/>
      <c r="AJ90" s="25"/>
      <c r="AK90" s="25"/>
      <c r="AL90" s="38"/>
      <c r="AM90" s="38"/>
      <c r="AN90" s="38"/>
      <c r="AO90" s="38"/>
      <c r="AP90" s="23"/>
      <c r="AQ90" s="23"/>
      <c r="AR90" s="23"/>
      <c r="AS90" s="23"/>
      <c r="AT90" s="48"/>
      <c r="AU90" s="48"/>
      <c r="AV90" s="48"/>
      <c r="AW90" s="48"/>
      <c r="AX90" s="48"/>
      <c r="AY90" s="48"/>
      <c r="AZ90" s="48"/>
      <c r="BA90" s="48"/>
      <c r="BB90" s="22"/>
      <c r="BC90" s="43"/>
      <c r="BD90" s="22"/>
      <c r="BE90" s="22"/>
      <c r="BF90" s="22"/>
      <c r="BG90" s="22"/>
      <c r="BH90" s="22"/>
      <c r="BI90" s="22"/>
      <c r="BJ90" s="22"/>
      <c r="BK90" s="22"/>
      <c r="BL90" s="22"/>
      <c r="BM90" s="22"/>
    </row>
    <row r="91" spans="1:65" ht="75" x14ac:dyDescent="0.25">
      <c r="A91" s="159">
        <v>15</v>
      </c>
      <c r="B91" s="154" t="s">
        <v>234</v>
      </c>
      <c r="C91" s="19" t="s">
        <v>205</v>
      </c>
      <c r="D91" s="27" t="s">
        <v>207</v>
      </c>
      <c r="E91" s="19" t="s">
        <v>278</v>
      </c>
      <c r="F91" s="32" t="s">
        <v>235</v>
      </c>
      <c r="G91" s="28" t="s">
        <v>1166</v>
      </c>
      <c r="H91" s="20" t="s">
        <v>750</v>
      </c>
      <c r="I91" s="29">
        <v>41676</v>
      </c>
      <c r="J91" s="29">
        <v>42041</v>
      </c>
      <c r="K91" s="45" t="s">
        <v>217</v>
      </c>
      <c r="L91" s="143" t="s">
        <v>236</v>
      </c>
      <c r="M91" s="27" t="s">
        <v>237</v>
      </c>
      <c r="N91" s="31">
        <v>41688</v>
      </c>
      <c r="O91" s="78">
        <v>81999.960000000006</v>
      </c>
      <c r="P91" s="30" t="s">
        <v>521</v>
      </c>
      <c r="Q91" s="31">
        <v>41688</v>
      </c>
      <c r="R91" s="31">
        <v>42052</v>
      </c>
      <c r="S91" s="27" t="s">
        <v>133</v>
      </c>
      <c r="T91" s="32"/>
      <c r="U91" s="148"/>
      <c r="V91" s="148"/>
      <c r="W91" s="32" t="s">
        <v>135</v>
      </c>
      <c r="X91" s="33" t="s">
        <v>365</v>
      </c>
      <c r="Y91" s="22" t="s">
        <v>141</v>
      </c>
      <c r="Z91" s="35">
        <v>41941</v>
      </c>
      <c r="AA91" s="34">
        <v>11432</v>
      </c>
      <c r="AB91" s="33" t="s">
        <v>312</v>
      </c>
      <c r="AC91" s="35"/>
      <c r="AD91" s="35"/>
      <c r="AE91" s="58">
        <f>AG91/O91*100</f>
        <v>25</v>
      </c>
      <c r="AF91" s="22"/>
      <c r="AG91" s="77">
        <v>20499.990000000002</v>
      </c>
      <c r="AH91" s="25"/>
      <c r="AI91" s="25"/>
      <c r="AJ91" s="25"/>
      <c r="AK91" s="25"/>
      <c r="AL91" s="38">
        <f>81999.96-AH91+AG91-AH92+AG92-AH93+AG93-AH94+AG94-AH95+AG95-AH96+AG96</f>
        <v>512499.74</v>
      </c>
      <c r="AM91" s="38">
        <f>95024.93+68333.3+0+0+0+20499.99+6833.33+13666.66+6833.33+6833.33+6833.33+6833.33+6833.33+0+6833.33+6833.33+6833.33+6833.33+6833.33+6833.33+6833.33+6833.33+12960+13666.66+6833.33</f>
        <v>326651.48999999993</v>
      </c>
      <c r="AN91" s="38">
        <f>0+6833.33+6833.33+13666.66+11653.83+6833.33+11057.33+6833.33+6833.33+6833.33</f>
        <v>77377.8</v>
      </c>
      <c r="AO91" s="38">
        <f>AM91+AN91</f>
        <v>404029.28999999992</v>
      </c>
      <c r="AP91" s="39"/>
      <c r="AQ91" s="23"/>
      <c r="AR91" s="23"/>
      <c r="AS91" s="20"/>
      <c r="AT91" s="20"/>
      <c r="AU91" s="20"/>
      <c r="AV91" s="20"/>
      <c r="AW91" s="20"/>
      <c r="AX91" s="20"/>
      <c r="AY91" s="20"/>
      <c r="AZ91" s="20"/>
      <c r="BA91" s="20"/>
      <c r="BB91" s="20"/>
      <c r="BC91" s="57"/>
      <c r="BD91" s="20"/>
      <c r="BE91" s="20"/>
      <c r="BF91" s="20"/>
      <c r="BG91" s="20"/>
      <c r="BH91" s="20" t="s">
        <v>306</v>
      </c>
      <c r="BI91" s="20"/>
      <c r="BJ91" s="20"/>
      <c r="BK91" s="20"/>
      <c r="BL91" s="20"/>
      <c r="BM91" s="20"/>
    </row>
    <row r="92" spans="1:65" ht="105" x14ac:dyDescent="0.25">
      <c r="A92" s="159"/>
      <c r="B92" s="154"/>
      <c r="C92" s="19"/>
      <c r="D92" s="27"/>
      <c r="E92" s="19"/>
      <c r="F92" s="32"/>
      <c r="G92" s="28"/>
      <c r="H92" s="20"/>
      <c r="I92" s="20"/>
      <c r="J92" s="20"/>
      <c r="K92" s="45"/>
      <c r="L92" s="143"/>
      <c r="M92" s="27"/>
      <c r="N92" s="31"/>
      <c r="O92" s="78"/>
      <c r="P92" s="30"/>
      <c r="Q92" s="31"/>
      <c r="R92" s="31"/>
      <c r="S92" s="27"/>
      <c r="T92" s="32"/>
      <c r="U92" s="148"/>
      <c r="V92" s="148"/>
      <c r="W92" s="32"/>
      <c r="X92" s="33" t="s">
        <v>1570</v>
      </c>
      <c r="Y92" s="22" t="s">
        <v>140</v>
      </c>
      <c r="Z92" s="35">
        <v>42048</v>
      </c>
      <c r="AA92" s="34">
        <v>11509</v>
      </c>
      <c r="AB92" s="33" t="s">
        <v>352</v>
      </c>
      <c r="AC92" s="35">
        <v>42052</v>
      </c>
      <c r="AD92" s="35">
        <v>42417</v>
      </c>
      <c r="AE92" s="58"/>
      <c r="AF92" s="22"/>
      <c r="AG92" s="77">
        <v>102499.95</v>
      </c>
      <c r="AH92" s="25"/>
      <c r="AI92" s="25"/>
      <c r="AJ92" s="25"/>
      <c r="AK92" s="25"/>
      <c r="AL92" s="38"/>
      <c r="AM92" s="38"/>
      <c r="AN92" s="38"/>
      <c r="AO92" s="38"/>
      <c r="AP92" s="20"/>
      <c r="AQ92" s="23"/>
      <c r="AR92" s="23"/>
      <c r="AS92" s="20"/>
      <c r="AT92" s="20"/>
      <c r="AU92" s="20"/>
      <c r="AV92" s="20"/>
      <c r="AW92" s="20"/>
      <c r="AX92" s="20"/>
      <c r="AY92" s="20"/>
      <c r="AZ92" s="20"/>
      <c r="BA92" s="20"/>
      <c r="BB92" s="20"/>
      <c r="BC92" s="57"/>
      <c r="BD92" s="20"/>
      <c r="BE92" s="20"/>
      <c r="BF92" s="20"/>
      <c r="BG92" s="20"/>
      <c r="BH92" s="20"/>
      <c r="BI92" s="20"/>
      <c r="BJ92" s="20"/>
      <c r="BK92" s="20"/>
      <c r="BL92" s="20"/>
      <c r="BM92" s="20"/>
    </row>
    <row r="93" spans="1:65" ht="60" x14ac:dyDescent="0.25">
      <c r="A93" s="159"/>
      <c r="B93" s="154"/>
      <c r="C93" s="19"/>
      <c r="D93" s="27"/>
      <c r="E93" s="19"/>
      <c r="F93" s="32"/>
      <c r="G93" s="28"/>
      <c r="H93" s="20"/>
      <c r="I93" s="20"/>
      <c r="J93" s="20"/>
      <c r="K93" s="45"/>
      <c r="L93" s="143"/>
      <c r="M93" s="27"/>
      <c r="N93" s="31"/>
      <c r="O93" s="78"/>
      <c r="P93" s="30"/>
      <c r="Q93" s="31"/>
      <c r="R93" s="31"/>
      <c r="S93" s="27"/>
      <c r="T93" s="32"/>
      <c r="U93" s="148"/>
      <c r="V93" s="148"/>
      <c r="W93" s="32"/>
      <c r="X93" s="33" t="s">
        <v>1570</v>
      </c>
      <c r="Y93" s="22" t="s">
        <v>185</v>
      </c>
      <c r="Z93" s="35">
        <v>42417</v>
      </c>
      <c r="AA93" s="34">
        <v>11752</v>
      </c>
      <c r="AB93" s="33" t="s">
        <v>491</v>
      </c>
      <c r="AC93" s="35">
        <v>42417</v>
      </c>
      <c r="AD93" s="35">
        <v>42783</v>
      </c>
      <c r="AE93" s="58"/>
      <c r="AF93" s="22"/>
      <c r="AG93" s="77">
        <v>102499.95</v>
      </c>
      <c r="AH93" s="25"/>
      <c r="AI93" s="25"/>
      <c r="AJ93" s="25"/>
      <c r="AK93" s="25"/>
      <c r="AL93" s="38"/>
      <c r="AM93" s="38"/>
      <c r="AN93" s="38"/>
      <c r="AO93" s="38"/>
      <c r="AP93" s="20"/>
      <c r="AQ93" s="23"/>
      <c r="AR93" s="23"/>
      <c r="AS93" s="20"/>
      <c r="AT93" s="20"/>
      <c r="AU93" s="20"/>
      <c r="AV93" s="20"/>
      <c r="AW93" s="20"/>
      <c r="AX93" s="20"/>
      <c r="AY93" s="20"/>
      <c r="AZ93" s="20"/>
      <c r="BA93" s="20"/>
      <c r="BB93" s="20"/>
      <c r="BC93" s="57"/>
      <c r="BD93" s="20"/>
      <c r="BE93" s="20"/>
      <c r="BF93" s="20"/>
      <c r="BG93" s="20"/>
      <c r="BH93" s="20"/>
      <c r="BI93" s="20"/>
      <c r="BJ93" s="20"/>
      <c r="BK93" s="20"/>
      <c r="BL93" s="20"/>
      <c r="BM93" s="20"/>
    </row>
    <row r="94" spans="1:65" ht="105" x14ac:dyDescent="0.25">
      <c r="A94" s="159"/>
      <c r="B94" s="154"/>
      <c r="C94" s="19"/>
      <c r="D94" s="27"/>
      <c r="E94" s="19"/>
      <c r="F94" s="32"/>
      <c r="G94" s="32"/>
      <c r="H94" s="19"/>
      <c r="I94" s="19"/>
      <c r="J94" s="19"/>
      <c r="K94" s="19"/>
      <c r="L94" s="143"/>
      <c r="M94" s="27"/>
      <c r="N94" s="27"/>
      <c r="O94" s="78"/>
      <c r="P94" s="27"/>
      <c r="Q94" s="27"/>
      <c r="R94" s="27"/>
      <c r="S94" s="27"/>
      <c r="T94" s="32"/>
      <c r="U94" s="148"/>
      <c r="V94" s="148"/>
      <c r="W94" s="32"/>
      <c r="X94" s="33" t="s">
        <v>1570</v>
      </c>
      <c r="Y94" s="22" t="s">
        <v>186</v>
      </c>
      <c r="Z94" s="35">
        <v>42783</v>
      </c>
      <c r="AA94" s="34">
        <v>12011</v>
      </c>
      <c r="AB94" s="33" t="s">
        <v>841</v>
      </c>
      <c r="AC94" s="35">
        <v>42783</v>
      </c>
      <c r="AD94" s="35">
        <v>43148</v>
      </c>
      <c r="AE94" s="58"/>
      <c r="AF94" s="22"/>
      <c r="AG94" s="77">
        <v>102499.95</v>
      </c>
      <c r="AH94" s="25"/>
      <c r="AI94" s="25"/>
      <c r="AJ94" s="25"/>
      <c r="AK94" s="25"/>
      <c r="AL94" s="38"/>
      <c r="AM94" s="38"/>
      <c r="AN94" s="38"/>
      <c r="AO94" s="38"/>
      <c r="AP94" s="23"/>
      <c r="AQ94" s="23"/>
      <c r="AR94" s="23"/>
      <c r="AS94" s="23"/>
      <c r="AT94" s="23"/>
      <c r="AU94" s="23"/>
      <c r="AV94" s="23"/>
      <c r="AW94" s="23"/>
      <c r="AX94" s="23"/>
      <c r="AY94" s="23"/>
      <c r="AZ94" s="23"/>
      <c r="BA94" s="23"/>
      <c r="BB94" s="23"/>
      <c r="BC94" s="56"/>
      <c r="BD94" s="23"/>
      <c r="BE94" s="23"/>
      <c r="BF94" s="23"/>
      <c r="BG94" s="23"/>
      <c r="BH94" s="23"/>
      <c r="BI94" s="23"/>
      <c r="BJ94" s="23"/>
      <c r="BK94" s="23"/>
      <c r="BL94" s="23"/>
      <c r="BM94" s="23"/>
    </row>
    <row r="95" spans="1:65" ht="60" x14ac:dyDescent="0.25">
      <c r="A95" s="159"/>
      <c r="B95" s="154"/>
      <c r="C95" s="19"/>
      <c r="D95" s="27"/>
      <c r="E95" s="19"/>
      <c r="F95" s="32"/>
      <c r="G95" s="32"/>
      <c r="H95" s="19"/>
      <c r="I95" s="19"/>
      <c r="J95" s="19"/>
      <c r="K95" s="19"/>
      <c r="L95" s="143"/>
      <c r="M95" s="27"/>
      <c r="N95" s="27"/>
      <c r="O95" s="78"/>
      <c r="P95" s="27"/>
      <c r="Q95" s="27"/>
      <c r="R95" s="27"/>
      <c r="S95" s="27"/>
      <c r="T95" s="32"/>
      <c r="U95" s="148"/>
      <c r="V95" s="148"/>
      <c r="W95" s="32"/>
      <c r="X95" s="33" t="s">
        <v>1570</v>
      </c>
      <c r="Y95" s="22" t="s">
        <v>187</v>
      </c>
      <c r="Z95" s="35">
        <v>43147</v>
      </c>
      <c r="AA95" s="34">
        <v>12255</v>
      </c>
      <c r="AB95" s="33" t="s">
        <v>1324</v>
      </c>
      <c r="AC95" s="35">
        <v>43148</v>
      </c>
      <c r="AD95" s="35">
        <v>43329</v>
      </c>
      <c r="AE95" s="58"/>
      <c r="AF95" s="22"/>
      <c r="AG95" s="77">
        <v>51249.97</v>
      </c>
      <c r="AH95" s="25"/>
      <c r="AI95" s="25"/>
      <c r="AJ95" s="25"/>
      <c r="AK95" s="25"/>
      <c r="AL95" s="38"/>
      <c r="AM95" s="38"/>
      <c r="AN95" s="38"/>
      <c r="AO95" s="38"/>
      <c r="AP95" s="23"/>
      <c r="AQ95" s="23"/>
      <c r="AR95" s="23"/>
      <c r="AS95" s="23"/>
      <c r="AT95" s="23"/>
      <c r="AU95" s="23"/>
      <c r="AV95" s="23"/>
      <c r="AW95" s="23"/>
      <c r="AX95" s="23"/>
      <c r="AY95" s="23"/>
      <c r="AZ95" s="23"/>
      <c r="BA95" s="23"/>
      <c r="BB95" s="23"/>
      <c r="BC95" s="56"/>
      <c r="BD95" s="23"/>
      <c r="BE95" s="23"/>
      <c r="BF95" s="23"/>
      <c r="BG95" s="23"/>
      <c r="BH95" s="23"/>
      <c r="BI95" s="23"/>
      <c r="BJ95" s="23"/>
      <c r="BK95" s="23"/>
      <c r="BL95" s="23"/>
      <c r="BM95" s="23"/>
    </row>
    <row r="96" spans="1:65" ht="60" x14ac:dyDescent="0.25">
      <c r="A96" s="159"/>
      <c r="B96" s="154"/>
      <c r="C96" s="19"/>
      <c r="D96" s="27"/>
      <c r="E96" s="19"/>
      <c r="F96" s="32"/>
      <c r="G96" s="32"/>
      <c r="H96" s="19"/>
      <c r="I96" s="19"/>
      <c r="J96" s="19"/>
      <c r="K96" s="19"/>
      <c r="L96" s="143"/>
      <c r="M96" s="27"/>
      <c r="N96" s="27"/>
      <c r="O96" s="78"/>
      <c r="P96" s="27"/>
      <c r="Q96" s="27"/>
      <c r="R96" s="27"/>
      <c r="S96" s="27"/>
      <c r="T96" s="32"/>
      <c r="U96" s="148"/>
      <c r="V96" s="148"/>
      <c r="W96" s="32"/>
      <c r="X96" s="33" t="s">
        <v>1570</v>
      </c>
      <c r="Y96" s="22" t="s">
        <v>117</v>
      </c>
      <c r="Z96" s="35">
        <v>43328</v>
      </c>
      <c r="AA96" s="34">
        <v>12377</v>
      </c>
      <c r="AB96" s="33" t="s">
        <v>1793</v>
      </c>
      <c r="AC96" s="35">
        <v>43329</v>
      </c>
      <c r="AD96" s="35">
        <v>43465</v>
      </c>
      <c r="AE96" s="58"/>
      <c r="AF96" s="22"/>
      <c r="AG96" s="77">
        <v>51249.97</v>
      </c>
      <c r="AH96" s="25"/>
      <c r="AI96" s="25"/>
      <c r="AJ96" s="25"/>
      <c r="AK96" s="25"/>
      <c r="AL96" s="38"/>
      <c r="AM96" s="38"/>
      <c r="AN96" s="38"/>
      <c r="AO96" s="38"/>
      <c r="AP96" s="23"/>
      <c r="AQ96" s="23"/>
      <c r="AR96" s="23"/>
      <c r="AS96" s="23"/>
      <c r="AT96" s="23"/>
      <c r="AU96" s="23"/>
      <c r="AV96" s="23"/>
      <c r="AW96" s="23"/>
      <c r="AX96" s="23"/>
      <c r="AY96" s="23"/>
      <c r="AZ96" s="23"/>
      <c r="BA96" s="23"/>
      <c r="BB96" s="23"/>
      <c r="BC96" s="56"/>
      <c r="BD96" s="23"/>
      <c r="BE96" s="23"/>
      <c r="BF96" s="23"/>
      <c r="BG96" s="23"/>
      <c r="BH96" s="23"/>
      <c r="BI96" s="23"/>
      <c r="BJ96" s="23"/>
      <c r="BK96" s="23"/>
      <c r="BL96" s="23"/>
      <c r="BM96" s="23"/>
    </row>
    <row r="97" spans="1:65" x14ac:dyDescent="0.25">
      <c r="A97" s="159">
        <v>16</v>
      </c>
      <c r="B97" s="154" t="s">
        <v>848</v>
      </c>
      <c r="C97" s="19" t="s">
        <v>849</v>
      </c>
      <c r="D97" s="27" t="s">
        <v>294</v>
      </c>
      <c r="E97" s="19" t="s">
        <v>124</v>
      </c>
      <c r="F97" s="32" t="s">
        <v>850</v>
      </c>
      <c r="G97" s="28" t="s">
        <v>549</v>
      </c>
      <c r="H97" s="19"/>
      <c r="I97" s="19"/>
      <c r="J97" s="19"/>
      <c r="K97" s="19" t="s">
        <v>851</v>
      </c>
      <c r="L97" s="143" t="s">
        <v>852</v>
      </c>
      <c r="M97" s="27" t="s">
        <v>178</v>
      </c>
      <c r="N97" s="31">
        <v>41855</v>
      </c>
      <c r="O97" s="78">
        <v>986137.36</v>
      </c>
      <c r="P97" s="30" t="s">
        <v>853</v>
      </c>
      <c r="Q97" s="31">
        <v>41907</v>
      </c>
      <c r="R97" s="31">
        <f>Q97+240</f>
        <v>42147</v>
      </c>
      <c r="S97" s="27" t="s">
        <v>854</v>
      </c>
      <c r="T97" s="59"/>
      <c r="U97" s="148"/>
      <c r="V97" s="148"/>
      <c r="W97" s="32" t="s">
        <v>227</v>
      </c>
      <c r="X97" s="33"/>
      <c r="Y97" s="22"/>
      <c r="Z97" s="22"/>
      <c r="AA97" s="22"/>
      <c r="AB97" s="33"/>
      <c r="AC97" s="43"/>
      <c r="AD97" s="43"/>
      <c r="AE97" s="36"/>
      <c r="AF97" s="43"/>
      <c r="AG97" s="77"/>
      <c r="AH97" s="77"/>
      <c r="AI97" s="74"/>
      <c r="AJ97" s="74"/>
      <c r="AK97" s="74"/>
      <c r="AL97" s="38">
        <f>986137.36-AH98+AG98-AH99+AG99-AH100+AG100-AH101+AG101-AH102+AG102-AH103+AG103-AH104+AG104-AH105+AG105</f>
        <v>1118668.4400000002</v>
      </c>
      <c r="AM97" s="38">
        <f>149759.64+470535.18+125000+38642.79+69088.4+0+127380.04+11696.57+21613.44+33260.02+24190.36+39170.69</f>
        <v>1110337.1300000001</v>
      </c>
      <c r="AN97" s="38"/>
      <c r="AO97" s="38">
        <f>AM97+AN97</f>
        <v>1110337.1300000001</v>
      </c>
      <c r="AP97" s="19"/>
      <c r="AQ97" s="19"/>
      <c r="AR97" s="19"/>
      <c r="AS97" s="19"/>
      <c r="AT97" s="19"/>
      <c r="AU97" s="19"/>
      <c r="AV97" s="19"/>
      <c r="AW97" s="43"/>
      <c r="AX97" s="43"/>
      <c r="AY97" s="43"/>
      <c r="AZ97" s="43"/>
      <c r="BA97" s="43"/>
      <c r="BB97" s="19" t="s">
        <v>295</v>
      </c>
      <c r="BC97" s="27" t="s">
        <v>176</v>
      </c>
      <c r="BD97" s="61">
        <v>41914</v>
      </c>
      <c r="BE97" s="61">
        <f>BD97+210</f>
        <v>42124</v>
      </c>
      <c r="BF97" s="43"/>
      <c r="BG97" s="43"/>
      <c r="BH97" s="35">
        <v>41914</v>
      </c>
      <c r="BI97" s="19" t="s">
        <v>757</v>
      </c>
      <c r="BJ97" s="19" t="s">
        <v>756</v>
      </c>
      <c r="BK97" s="22"/>
      <c r="BL97" s="22"/>
      <c r="BM97" s="22"/>
    </row>
    <row r="98" spans="1:65" ht="75" x14ac:dyDescent="0.25">
      <c r="A98" s="159"/>
      <c r="B98" s="154"/>
      <c r="C98" s="19"/>
      <c r="D98" s="27"/>
      <c r="E98" s="19"/>
      <c r="F98" s="32"/>
      <c r="G98" s="28"/>
      <c r="H98" s="19"/>
      <c r="I98" s="19"/>
      <c r="J98" s="19"/>
      <c r="K98" s="19"/>
      <c r="L98" s="143"/>
      <c r="M98" s="27"/>
      <c r="N98" s="31"/>
      <c r="O98" s="78"/>
      <c r="P98" s="30"/>
      <c r="Q98" s="31"/>
      <c r="R98" s="31"/>
      <c r="S98" s="27"/>
      <c r="T98" s="59"/>
      <c r="U98" s="148"/>
      <c r="V98" s="148"/>
      <c r="W98" s="32"/>
      <c r="X98" s="33" t="s">
        <v>861</v>
      </c>
      <c r="Y98" s="22" t="s">
        <v>136</v>
      </c>
      <c r="Z98" s="35">
        <v>42124</v>
      </c>
      <c r="AA98" s="34">
        <v>11565</v>
      </c>
      <c r="AB98" s="33" t="s">
        <v>855</v>
      </c>
      <c r="AC98" s="61">
        <v>42147</v>
      </c>
      <c r="AD98" s="61">
        <v>42022</v>
      </c>
      <c r="AE98" s="36"/>
      <c r="AF98" s="43"/>
      <c r="AG98" s="77"/>
      <c r="AH98" s="77"/>
      <c r="AI98" s="74"/>
      <c r="AJ98" s="74"/>
      <c r="AK98" s="74"/>
      <c r="AL98" s="38"/>
      <c r="AM98" s="38"/>
      <c r="AN98" s="38"/>
      <c r="AO98" s="38"/>
      <c r="AP98" s="19"/>
      <c r="AQ98" s="19"/>
      <c r="AR98" s="19"/>
      <c r="AS98" s="19"/>
      <c r="AT98" s="19"/>
      <c r="AU98" s="19"/>
      <c r="AV98" s="19"/>
      <c r="AW98" s="43"/>
      <c r="AX98" s="43"/>
      <c r="AY98" s="43"/>
      <c r="AZ98" s="43"/>
      <c r="BA98" s="43"/>
      <c r="BB98" s="19"/>
      <c r="BC98" s="27"/>
      <c r="BD98" s="61">
        <v>42124</v>
      </c>
      <c r="BE98" s="61">
        <v>42334</v>
      </c>
      <c r="BF98" s="43"/>
      <c r="BG98" s="43"/>
      <c r="BH98" s="35"/>
      <c r="BI98" s="19"/>
      <c r="BJ98" s="19"/>
      <c r="BK98" s="22"/>
      <c r="BL98" s="22"/>
      <c r="BM98" s="22"/>
    </row>
    <row r="99" spans="1:65" ht="120" x14ac:dyDescent="0.25">
      <c r="A99" s="159"/>
      <c r="B99" s="154"/>
      <c r="C99" s="19"/>
      <c r="D99" s="27"/>
      <c r="E99" s="19"/>
      <c r="F99" s="32"/>
      <c r="G99" s="28"/>
      <c r="H99" s="19"/>
      <c r="I99" s="19"/>
      <c r="J99" s="19"/>
      <c r="K99" s="19"/>
      <c r="L99" s="143"/>
      <c r="M99" s="27"/>
      <c r="N99" s="31"/>
      <c r="O99" s="78"/>
      <c r="P99" s="30"/>
      <c r="Q99" s="31"/>
      <c r="R99" s="31"/>
      <c r="S99" s="27"/>
      <c r="T99" s="59"/>
      <c r="U99" s="148"/>
      <c r="V99" s="148"/>
      <c r="W99" s="32"/>
      <c r="X99" s="33" t="s">
        <v>861</v>
      </c>
      <c r="Y99" s="22" t="s">
        <v>140</v>
      </c>
      <c r="Z99" s="35">
        <v>42334</v>
      </c>
      <c r="AA99" s="34">
        <v>11731</v>
      </c>
      <c r="AB99" s="33" t="s">
        <v>856</v>
      </c>
      <c r="AC99" s="61">
        <v>42387</v>
      </c>
      <c r="AD99" s="61">
        <v>42569</v>
      </c>
      <c r="AE99" s="36"/>
      <c r="AF99" s="43"/>
      <c r="AG99" s="77"/>
      <c r="AH99" s="77"/>
      <c r="AI99" s="74"/>
      <c r="AJ99" s="74"/>
      <c r="AK99" s="74"/>
      <c r="AL99" s="38"/>
      <c r="AM99" s="38"/>
      <c r="AN99" s="38"/>
      <c r="AO99" s="38"/>
      <c r="AP99" s="19"/>
      <c r="AQ99" s="19"/>
      <c r="AR99" s="19"/>
      <c r="AS99" s="19"/>
      <c r="AT99" s="19"/>
      <c r="AU99" s="19"/>
      <c r="AV99" s="19"/>
      <c r="AW99" s="43"/>
      <c r="AX99" s="43"/>
      <c r="AY99" s="43"/>
      <c r="AZ99" s="43"/>
      <c r="BA99" s="43"/>
      <c r="BB99" s="19"/>
      <c r="BC99" s="27"/>
      <c r="BD99" s="61">
        <v>42334</v>
      </c>
      <c r="BE99" s="61">
        <v>42516</v>
      </c>
      <c r="BF99" s="43"/>
      <c r="BG99" s="43"/>
      <c r="BH99" s="35"/>
      <c r="BI99" s="19"/>
      <c r="BJ99" s="19"/>
      <c r="BK99" s="22"/>
      <c r="BL99" s="22"/>
      <c r="BM99" s="22"/>
    </row>
    <row r="100" spans="1:65" ht="90" x14ac:dyDescent="0.25">
      <c r="A100" s="159"/>
      <c r="B100" s="154"/>
      <c r="C100" s="19"/>
      <c r="D100" s="27"/>
      <c r="E100" s="19"/>
      <c r="F100" s="32"/>
      <c r="G100" s="28"/>
      <c r="H100" s="19"/>
      <c r="I100" s="19"/>
      <c r="J100" s="19"/>
      <c r="K100" s="19"/>
      <c r="L100" s="143"/>
      <c r="M100" s="27"/>
      <c r="N100" s="31"/>
      <c r="O100" s="78"/>
      <c r="P100" s="30"/>
      <c r="Q100" s="31"/>
      <c r="R100" s="31"/>
      <c r="S100" s="27"/>
      <c r="T100" s="59"/>
      <c r="U100" s="148"/>
      <c r="V100" s="148"/>
      <c r="W100" s="32"/>
      <c r="X100" s="33" t="s">
        <v>861</v>
      </c>
      <c r="Y100" s="22" t="s">
        <v>185</v>
      </c>
      <c r="Z100" s="35">
        <v>42515</v>
      </c>
      <c r="AA100" s="34">
        <v>11828</v>
      </c>
      <c r="AB100" s="33" t="s">
        <v>857</v>
      </c>
      <c r="AC100" s="61">
        <v>42569</v>
      </c>
      <c r="AD100" s="61">
        <v>42692</v>
      </c>
      <c r="AE100" s="36"/>
      <c r="AF100" s="43"/>
      <c r="AG100" s="77"/>
      <c r="AH100" s="77"/>
      <c r="AI100" s="74"/>
      <c r="AJ100" s="74"/>
      <c r="AK100" s="74"/>
      <c r="AL100" s="38"/>
      <c r="AM100" s="38"/>
      <c r="AN100" s="38"/>
      <c r="AO100" s="38"/>
      <c r="AP100" s="19"/>
      <c r="AQ100" s="19"/>
      <c r="AR100" s="19"/>
      <c r="AS100" s="19"/>
      <c r="AT100" s="19"/>
      <c r="AU100" s="19"/>
      <c r="AV100" s="19"/>
      <c r="AW100" s="43"/>
      <c r="AX100" s="43"/>
      <c r="AY100" s="43"/>
      <c r="AZ100" s="43"/>
      <c r="BA100" s="43"/>
      <c r="BB100" s="19"/>
      <c r="BC100" s="27"/>
      <c r="BD100" s="61">
        <v>42516</v>
      </c>
      <c r="BE100" s="61">
        <v>42639</v>
      </c>
      <c r="BF100" s="43"/>
      <c r="BG100" s="43"/>
      <c r="BH100" s="35"/>
      <c r="BI100" s="19"/>
      <c r="BJ100" s="19"/>
      <c r="BK100" s="22"/>
      <c r="BL100" s="22"/>
      <c r="BM100" s="22"/>
    </row>
    <row r="101" spans="1:65" ht="135" x14ac:dyDescent="0.25">
      <c r="A101" s="159"/>
      <c r="B101" s="154"/>
      <c r="C101" s="19"/>
      <c r="D101" s="27"/>
      <c r="E101" s="19"/>
      <c r="F101" s="32"/>
      <c r="G101" s="28"/>
      <c r="H101" s="19"/>
      <c r="I101" s="19"/>
      <c r="J101" s="19"/>
      <c r="K101" s="19"/>
      <c r="L101" s="143"/>
      <c r="M101" s="27"/>
      <c r="N101" s="31"/>
      <c r="O101" s="78"/>
      <c r="P101" s="30"/>
      <c r="Q101" s="31"/>
      <c r="R101" s="31"/>
      <c r="S101" s="27"/>
      <c r="T101" s="59"/>
      <c r="U101" s="148"/>
      <c r="V101" s="148"/>
      <c r="W101" s="32"/>
      <c r="X101" s="33" t="s">
        <v>365</v>
      </c>
      <c r="Y101" s="22" t="s">
        <v>186</v>
      </c>
      <c r="Z101" s="35">
        <v>42534</v>
      </c>
      <c r="AA101" s="34">
        <v>11829</v>
      </c>
      <c r="AB101" s="33" t="s">
        <v>858</v>
      </c>
      <c r="AC101" s="61"/>
      <c r="AD101" s="61"/>
      <c r="AE101" s="36"/>
      <c r="AF101" s="43"/>
      <c r="AG101" s="77">
        <v>68471.94</v>
      </c>
      <c r="AH101" s="77"/>
      <c r="AI101" s="74"/>
      <c r="AJ101" s="74"/>
      <c r="AK101" s="74"/>
      <c r="AL101" s="38"/>
      <c r="AM101" s="38"/>
      <c r="AN101" s="38"/>
      <c r="AO101" s="38"/>
      <c r="AP101" s="19"/>
      <c r="AQ101" s="19"/>
      <c r="AR101" s="19"/>
      <c r="AS101" s="19"/>
      <c r="AT101" s="19"/>
      <c r="AU101" s="19"/>
      <c r="AV101" s="19"/>
      <c r="AW101" s="43"/>
      <c r="AX101" s="43"/>
      <c r="AY101" s="43"/>
      <c r="AZ101" s="43"/>
      <c r="BA101" s="43"/>
      <c r="BB101" s="19"/>
      <c r="BC101" s="27"/>
      <c r="BD101" s="61"/>
      <c r="BE101" s="61"/>
      <c r="BF101" s="43"/>
      <c r="BG101" s="43"/>
      <c r="BH101" s="35"/>
      <c r="BI101" s="19"/>
      <c r="BJ101" s="19"/>
      <c r="BK101" s="22"/>
      <c r="BL101" s="22"/>
      <c r="BM101" s="22"/>
    </row>
    <row r="102" spans="1:65" ht="150" x14ac:dyDescent="0.25">
      <c r="A102" s="159"/>
      <c r="B102" s="154"/>
      <c r="C102" s="19"/>
      <c r="D102" s="27"/>
      <c r="E102" s="19"/>
      <c r="F102" s="32"/>
      <c r="G102" s="32"/>
      <c r="H102" s="19"/>
      <c r="I102" s="19"/>
      <c r="J102" s="19"/>
      <c r="K102" s="19"/>
      <c r="L102" s="143"/>
      <c r="M102" s="27"/>
      <c r="N102" s="31"/>
      <c r="O102" s="78"/>
      <c r="P102" s="30"/>
      <c r="Q102" s="31"/>
      <c r="R102" s="31"/>
      <c r="S102" s="27"/>
      <c r="T102" s="59"/>
      <c r="U102" s="148"/>
      <c r="V102" s="148"/>
      <c r="W102" s="32"/>
      <c r="X102" s="33" t="s">
        <v>365</v>
      </c>
      <c r="Y102" s="22" t="s">
        <v>187</v>
      </c>
      <c r="Z102" s="35">
        <v>42642</v>
      </c>
      <c r="AA102" s="34">
        <v>11906</v>
      </c>
      <c r="AB102" s="33" t="s">
        <v>859</v>
      </c>
      <c r="AC102" s="61"/>
      <c r="AD102" s="61"/>
      <c r="AE102" s="36"/>
      <c r="AF102" s="43"/>
      <c r="AG102" s="77">
        <v>55727.83</v>
      </c>
      <c r="AH102" s="77"/>
      <c r="AI102" s="74"/>
      <c r="AJ102" s="74"/>
      <c r="AK102" s="74"/>
      <c r="AL102" s="38"/>
      <c r="AM102" s="38"/>
      <c r="AN102" s="38"/>
      <c r="AO102" s="38"/>
      <c r="AP102" s="37"/>
      <c r="AQ102" s="22"/>
      <c r="AR102" s="22"/>
      <c r="AS102" s="22"/>
      <c r="AT102" s="22"/>
      <c r="AU102" s="22"/>
      <c r="AV102" s="22"/>
      <c r="AW102" s="22"/>
      <c r="AX102" s="22"/>
      <c r="AY102" s="61"/>
      <c r="AZ102" s="61"/>
      <c r="BA102" s="43"/>
      <c r="BB102" s="19"/>
      <c r="BC102" s="27"/>
      <c r="BD102" s="22"/>
      <c r="BE102" s="22"/>
      <c r="BF102" s="22"/>
      <c r="BG102" s="22"/>
      <c r="BH102" s="22"/>
      <c r="BI102" s="19"/>
      <c r="BJ102" s="19"/>
      <c r="BK102" s="22"/>
      <c r="BL102" s="22"/>
      <c r="BM102" s="22"/>
    </row>
    <row r="103" spans="1:65" ht="75" x14ac:dyDescent="0.25">
      <c r="A103" s="159"/>
      <c r="B103" s="154"/>
      <c r="C103" s="19"/>
      <c r="D103" s="27"/>
      <c r="E103" s="19"/>
      <c r="F103" s="32"/>
      <c r="G103" s="32"/>
      <c r="H103" s="19"/>
      <c r="I103" s="19"/>
      <c r="J103" s="19"/>
      <c r="K103" s="19"/>
      <c r="L103" s="143"/>
      <c r="M103" s="27"/>
      <c r="N103" s="31"/>
      <c r="O103" s="78"/>
      <c r="P103" s="30"/>
      <c r="Q103" s="31"/>
      <c r="R103" s="31"/>
      <c r="S103" s="27"/>
      <c r="T103" s="59"/>
      <c r="U103" s="148"/>
      <c r="V103" s="148"/>
      <c r="W103" s="32"/>
      <c r="X103" s="33" t="s">
        <v>861</v>
      </c>
      <c r="Y103" s="22" t="s">
        <v>117</v>
      </c>
      <c r="Z103" s="35">
        <v>42684</v>
      </c>
      <c r="AA103" s="34">
        <v>11948</v>
      </c>
      <c r="AB103" s="33" t="s">
        <v>860</v>
      </c>
      <c r="AC103" s="61">
        <v>42692</v>
      </c>
      <c r="AD103" s="61">
        <v>42812</v>
      </c>
      <c r="AE103" s="36"/>
      <c r="AF103" s="43"/>
      <c r="AG103" s="77"/>
      <c r="AH103" s="77"/>
      <c r="AI103" s="74"/>
      <c r="AJ103" s="74"/>
      <c r="AK103" s="74"/>
      <c r="AL103" s="38"/>
      <c r="AM103" s="38"/>
      <c r="AN103" s="38"/>
      <c r="AO103" s="38"/>
      <c r="AP103" s="22"/>
      <c r="AQ103" s="22"/>
      <c r="AR103" s="22"/>
      <c r="AS103" s="22"/>
      <c r="AT103" s="22"/>
      <c r="AU103" s="22"/>
      <c r="AV103" s="22"/>
      <c r="AW103" s="22"/>
      <c r="AX103" s="22"/>
      <c r="AY103" s="61"/>
      <c r="AZ103" s="61"/>
      <c r="BA103" s="43"/>
      <c r="BB103" s="19"/>
      <c r="BC103" s="27"/>
      <c r="BD103" s="22"/>
      <c r="BE103" s="22"/>
      <c r="BF103" s="22"/>
      <c r="BG103" s="22"/>
      <c r="BH103" s="22"/>
      <c r="BI103" s="19"/>
      <c r="BJ103" s="19"/>
      <c r="BK103" s="22"/>
      <c r="BL103" s="22"/>
      <c r="BM103" s="22"/>
    </row>
    <row r="104" spans="1:65" ht="60" x14ac:dyDescent="0.25">
      <c r="A104" s="159"/>
      <c r="B104" s="154"/>
      <c r="C104" s="19"/>
      <c r="D104" s="27"/>
      <c r="E104" s="19"/>
      <c r="F104" s="32"/>
      <c r="G104" s="32"/>
      <c r="H104" s="19"/>
      <c r="I104" s="19"/>
      <c r="J104" s="19"/>
      <c r="K104" s="19"/>
      <c r="L104" s="143"/>
      <c r="M104" s="27"/>
      <c r="N104" s="31"/>
      <c r="O104" s="78"/>
      <c r="P104" s="30"/>
      <c r="Q104" s="31"/>
      <c r="R104" s="31"/>
      <c r="S104" s="27"/>
      <c r="T104" s="32"/>
      <c r="U104" s="148"/>
      <c r="V104" s="148"/>
      <c r="W104" s="32"/>
      <c r="X104" s="33" t="s">
        <v>861</v>
      </c>
      <c r="Y104" s="22" t="s">
        <v>120</v>
      </c>
      <c r="Z104" s="35">
        <v>42811</v>
      </c>
      <c r="AA104" s="34">
        <v>12023</v>
      </c>
      <c r="AB104" s="33" t="s">
        <v>862</v>
      </c>
      <c r="AC104" s="35">
        <v>42812</v>
      </c>
      <c r="AD104" s="35">
        <v>42932</v>
      </c>
      <c r="AE104" s="36"/>
      <c r="AF104" s="22"/>
      <c r="AG104" s="77"/>
      <c r="AH104" s="25"/>
      <c r="AI104" s="74"/>
      <c r="AJ104" s="74"/>
      <c r="AK104" s="74"/>
      <c r="AL104" s="38"/>
      <c r="AM104" s="38"/>
      <c r="AN104" s="38"/>
      <c r="AO104" s="38"/>
      <c r="AP104" s="23"/>
      <c r="AQ104" s="23"/>
      <c r="AR104" s="23"/>
      <c r="AS104" s="23"/>
      <c r="AT104" s="48"/>
      <c r="AU104" s="48"/>
      <c r="AV104" s="48"/>
      <c r="AW104" s="48"/>
      <c r="AX104" s="48"/>
      <c r="AY104" s="48"/>
      <c r="AZ104" s="48"/>
      <c r="BA104" s="48"/>
      <c r="BB104" s="19"/>
      <c r="BC104" s="27"/>
      <c r="BD104" s="35"/>
      <c r="BE104" s="61"/>
      <c r="BF104" s="22"/>
      <c r="BG104" s="22"/>
      <c r="BH104" s="35"/>
      <c r="BI104" s="19"/>
      <c r="BJ104" s="19"/>
      <c r="BK104" s="22"/>
      <c r="BL104" s="22"/>
      <c r="BM104" s="22"/>
    </row>
    <row r="105" spans="1:65" ht="195" x14ac:dyDescent="0.25">
      <c r="A105" s="159"/>
      <c r="B105" s="154"/>
      <c r="C105" s="19"/>
      <c r="D105" s="27"/>
      <c r="E105" s="19"/>
      <c r="F105" s="32"/>
      <c r="G105" s="32"/>
      <c r="H105" s="19"/>
      <c r="I105" s="19"/>
      <c r="J105" s="19"/>
      <c r="K105" s="19"/>
      <c r="L105" s="143"/>
      <c r="M105" s="27"/>
      <c r="N105" s="31"/>
      <c r="O105" s="78"/>
      <c r="P105" s="30"/>
      <c r="Q105" s="31"/>
      <c r="R105" s="31"/>
      <c r="S105" s="27"/>
      <c r="T105" s="32"/>
      <c r="U105" s="148"/>
      <c r="V105" s="148"/>
      <c r="W105" s="32"/>
      <c r="X105" s="33" t="s">
        <v>365</v>
      </c>
      <c r="Y105" s="22" t="s">
        <v>118</v>
      </c>
      <c r="Z105" s="35">
        <v>42852</v>
      </c>
      <c r="AA105" s="34">
        <v>12043</v>
      </c>
      <c r="AB105" s="33" t="s">
        <v>898</v>
      </c>
      <c r="AC105" s="35"/>
      <c r="AD105" s="35"/>
      <c r="AE105" s="36"/>
      <c r="AF105" s="22"/>
      <c r="AG105" s="77">
        <v>8331.31</v>
      </c>
      <c r="AH105" s="25"/>
      <c r="AI105" s="74"/>
      <c r="AJ105" s="74"/>
      <c r="AK105" s="74"/>
      <c r="AL105" s="38"/>
      <c r="AM105" s="38"/>
      <c r="AN105" s="38"/>
      <c r="AO105" s="38"/>
      <c r="AP105" s="23"/>
      <c r="AQ105" s="23"/>
      <c r="AR105" s="23"/>
      <c r="AS105" s="23"/>
      <c r="AT105" s="48"/>
      <c r="AU105" s="48"/>
      <c r="AV105" s="48"/>
      <c r="AW105" s="48"/>
      <c r="AX105" s="48"/>
      <c r="AY105" s="48"/>
      <c r="AZ105" s="48"/>
      <c r="BA105" s="48"/>
      <c r="BB105" s="19"/>
      <c r="BC105" s="27"/>
      <c r="BD105" s="35"/>
      <c r="BE105" s="61"/>
      <c r="BF105" s="22"/>
      <c r="BG105" s="22"/>
      <c r="BH105" s="35"/>
      <c r="BI105" s="19"/>
      <c r="BJ105" s="19"/>
      <c r="BK105" s="22"/>
      <c r="BL105" s="22"/>
      <c r="BM105" s="22"/>
    </row>
    <row r="106" spans="1:65" ht="45" x14ac:dyDescent="0.25">
      <c r="A106" s="159"/>
      <c r="B106" s="154"/>
      <c r="C106" s="19"/>
      <c r="D106" s="27"/>
      <c r="E106" s="19"/>
      <c r="F106" s="32"/>
      <c r="G106" s="32"/>
      <c r="H106" s="19"/>
      <c r="I106" s="19"/>
      <c r="J106" s="19"/>
      <c r="K106" s="19"/>
      <c r="L106" s="143"/>
      <c r="M106" s="27"/>
      <c r="N106" s="31"/>
      <c r="O106" s="78"/>
      <c r="P106" s="30"/>
      <c r="Q106" s="31"/>
      <c r="R106" s="31"/>
      <c r="S106" s="27"/>
      <c r="T106" s="32"/>
      <c r="U106" s="148"/>
      <c r="V106" s="148"/>
      <c r="W106" s="32"/>
      <c r="X106" s="33" t="s">
        <v>861</v>
      </c>
      <c r="Y106" s="22" t="s">
        <v>279</v>
      </c>
      <c r="Z106" s="35">
        <v>42930</v>
      </c>
      <c r="AA106" s="34">
        <v>12197</v>
      </c>
      <c r="AB106" s="33" t="s">
        <v>1144</v>
      </c>
      <c r="AC106" s="35">
        <v>42932</v>
      </c>
      <c r="AD106" s="35">
        <v>43116</v>
      </c>
      <c r="AE106" s="36"/>
      <c r="AF106" s="22"/>
      <c r="AG106" s="77"/>
      <c r="AH106" s="25"/>
      <c r="AI106" s="74"/>
      <c r="AJ106" s="74"/>
      <c r="AK106" s="74"/>
      <c r="AL106" s="38"/>
      <c r="AM106" s="38"/>
      <c r="AN106" s="38"/>
      <c r="AO106" s="38"/>
      <c r="AP106" s="23"/>
      <c r="AQ106" s="23"/>
      <c r="AR106" s="23"/>
      <c r="AS106" s="23"/>
      <c r="AT106" s="48"/>
      <c r="AU106" s="48"/>
      <c r="AV106" s="48"/>
      <c r="AW106" s="48"/>
      <c r="AX106" s="48"/>
      <c r="AY106" s="48"/>
      <c r="AZ106" s="48"/>
      <c r="BA106" s="48"/>
      <c r="BB106" s="19"/>
      <c r="BC106" s="27"/>
      <c r="BD106" s="35"/>
      <c r="BE106" s="61"/>
      <c r="BF106" s="22"/>
      <c r="BG106" s="22"/>
      <c r="BH106" s="35"/>
      <c r="BI106" s="19"/>
      <c r="BJ106" s="19"/>
      <c r="BK106" s="22"/>
      <c r="BL106" s="22"/>
      <c r="BM106" s="22"/>
    </row>
    <row r="107" spans="1:65" ht="45" x14ac:dyDescent="0.25">
      <c r="A107" s="159"/>
      <c r="B107" s="154"/>
      <c r="C107" s="19"/>
      <c r="D107" s="27"/>
      <c r="E107" s="19"/>
      <c r="F107" s="32"/>
      <c r="G107" s="32"/>
      <c r="H107" s="19"/>
      <c r="I107" s="19"/>
      <c r="J107" s="19"/>
      <c r="K107" s="19"/>
      <c r="L107" s="143"/>
      <c r="M107" s="27"/>
      <c r="N107" s="27"/>
      <c r="O107" s="78"/>
      <c r="P107" s="27"/>
      <c r="Q107" s="27"/>
      <c r="R107" s="27"/>
      <c r="S107" s="27"/>
      <c r="T107" s="32"/>
      <c r="U107" s="148"/>
      <c r="V107" s="148"/>
      <c r="W107" s="32"/>
      <c r="X107" s="33" t="s">
        <v>861</v>
      </c>
      <c r="Y107" s="22" t="s">
        <v>376</v>
      </c>
      <c r="Z107" s="35">
        <v>43116</v>
      </c>
      <c r="AA107" s="34">
        <v>12282</v>
      </c>
      <c r="AB107" s="33" t="s">
        <v>1144</v>
      </c>
      <c r="AC107" s="35">
        <v>43116</v>
      </c>
      <c r="AD107" s="35">
        <v>43297</v>
      </c>
      <c r="AE107" s="36"/>
      <c r="AF107" s="22"/>
      <c r="AG107" s="77"/>
      <c r="AH107" s="25"/>
      <c r="AI107" s="74"/>
      <c r="AJ107" s="74"/>
      <c r="AK107" s="74"/>
      <c r="AL107" s="38"/>
      <c r="AM107" s="38"/>
      <c r="AN107" s="38"/>
      <c r="AO107" s="38"/>
      <c r="AP107" s="23"/>
      <c r="AQ107" s="23"/>
      <c r="AR107" s="23"/>
      <c r="AS107" s="23"/>
      <c r="AT107" s="48"/>
      <c r="AU107" s="48"/>
      <c r="AV107" s="48"/>
      <c r="AW107" s="48"/>
      <c r="AX107" s="48"/>
      <c r="AY107" s="48"/>
      <c r="AZ107" s="48"/>
      <c r="BA107" s="48"/>
      <c r="BB107" s="22"/>
      <c r="BC107" s="43"/>
      <c r="BD107" s="35"/>
      <c r="BE107" s="61"/>
      <c r="BF107" s="22"/>
      <c r="BG107" s="22"/>
      <c r="BH107" s="35"/>
      <c r="BI107" s="19"/>
      <c r="BJ107" s="19"/>
      <c r="BK107" s="22"/>
      <c r="BL107" s="22"/>
      <c r="BM107" s="22"/>
    </row>
    <row r="108" spans="1:65" x14ac:dyDescent="0.25">
      <c r="A108" s="159">
        <v>17</v>
      </c>
      <c r="B108" s="154" t="s">
        <v>296</v>
      </c>
      <c r="C108" s="19" t="s">
        <v>217</v>
      </c>
      <c r="D108" s="27" t="s">
        <v>143</v>
      </c>
      <c r="E108" s="19" t="s">
        <v>124</v>
      </c>
      <c r="F108" s="32" t="s">
        <v>297</v>
      </c>
      <c r="G108" s="28" t="s">
        <v>550</v>
      </c>
      <c r="H108" s="20" t="s">
        <v>751</v>
      </c>
      <c r="I108" s="29">
        <v>41772</v>
      </c>
      <c r="J108" s="29">
        <v>42137</v>
      </c>
      <c r="K108" s="19" t="s">
        <v>289</v>
      </c>
      <c r="L108" s="143" t="s">
        <v>1894</v>
      </c>
      <c r="M108" s="27" t="s">
        <v>298</v>
      </c>
      <c r="N108" s="31">
        <v>41864</v>
      </c>
      <c r="O108" s="78">
        <v>69239.88</v>
      </c>
      <c r="P108" s="30" t="s">
        <v>1032</v>
      </c>
      <c r="Q108" s="31">
        <v>41864</v>
      </c>
      <c r="R108" s="31">
        <v>42229</v>
      </c>
      <c r="S108" s="27" t="s">
        <v>291</v>
      </c>
      <c r="T108" s="32"/>
      <c r="U108" s="148"/>
      <c r="V108" s="148"/>
      <c r="W108" s="32" t="s">
        <v>250</v>
      </c>
      <c r="X108" s="33"/>
      <c r="Y108" s="22"/>
      <c r="Z108" s="22"/>
      <c r="AA108" s="22"/>
      <c r="AB108" s="33"/>
      <c r="AC108" s="35"/>
      <c r="AD108" s="22"/>
      <c r="AE108" s="36"/>
      <c r="AF108" s="22"/>
      <c r="AG108" s="25"/>
      <c r="AH108" s="25"/>
      <c r="AI108" s="25"/>
      <c r="AJ108" s="25"/>
      <c r="AK108" s="25"/>
      <c r="AL108" s="38">
        <f>69239.88-AH109+AG109-AH110+AG110-AH111+AG111-AH112+AG112-AH113+AG113</f>
        <v>327925.45</v>
      </c>
      <c r="AM108" s="38">
        <f>28157.24+69239.88+5769.99+5769.99+5769.99+5769.99+5769.99+5769.99+5769.99+5769.99+5769.99+5769.99+5769.99+5769.99+6454.41+6454.41+6454.41+6454.41+6454.41+6454.41+6454.41+6454.41+6454.41+6454.41+6454.41</f>
        <v>237635.51</v>
      </c>
      <c r="AN108" s="38">
        <f>6454.41+6454.41+6454.11+6454.11+6454.41+6454.41+6454.41+6454.41+6454.41+6454.41</f>
        <v>64543.500000000015</v>
      </c>
      <c r="AO108" s="38">
        <f>AM108+AN108</f>
        <v>302179.01</v>
      </c>
      <c r="AP108" s="22"/>
      <c r="AQ108" s="22"/>
      <c r="AR108" s="22"/>
      <c r="AS108" s="22"/>
      <c r="AT108" s="22"/>
      <c r="AU108" s="22"/>
      <c r="AV108" s="22"/>
      <c r="AW108" s="22"/>
      <c r="AX108" s="22"/>
      <c r="AY108" s="22"/>
      <c r="AZ108" s="22"/>
      <c r="BA108" s="22"/>
      <c r="BB108" s="22"/>
      <c r="BC108" s="43"/>
      <c r="BD108" s="22"/>
      <c r="BE108" s="22"/>
      <c r="BF108" s="22"/>
      <c r="BG108" s="22"/>
      <c r="BH108" s="22"/>
      <c r="BI108" s="22"/>
      <c r="BJ108" s="22"/>
      <c r="BK108" s="22"/>
      <c r="BL108" s="22"/>
      <c r="BM108" s="22"/>
    </row>
    <row r="109" spans="1:65" ht="45" x14ac:dyDescent="0.25">
      <c r="A109" s="159"/>
      <c r="B109" s="154"/>
      <c r="C109" s="19"/>
      <c r="D109" s="27"/>
      <c r="E109" s="19"/>
      <c r="F109" s="32"/>
      <c r="G109" s="28"/>
      <c r="H109" s="20"/>
      <c r="I109" s="29"/>
      <c r="J109" s="29"/>
      <c r="K109" s="19"/>
      <c r="L109" s="143"/>
      <c r="M109" s="27"/>
      <c r="N109" s="31"/>
      <c r="O109" s="78"/>
      <c r="P109" s="30"/>
      <c r="Q109" s="31"/>
      <c r="R109" s="31"/>
      <c r="S109" s="27"/>
      <c r="T109" s="32"/>
      <c r="U109" s="148"/>
      <c r="V109" s="148"/>
      <c r="W109" s="32"/>
      <c r="X109" s="33" t="s">
        <v>1570</v>
      </c>
      <c r="Y109" s="22" t="s">
        <v>136</v>
      </c>
      <c r="Z109" s="35">
        <v>42229</v>
      </c>
      <c r="AA109" s="34">
        <v>11622</v>
      </c>
      <c r="AB109" s="33" t="s">
        <v>417</v>
      </c>
      <c r="AC109" s="35">
        <v>42229</v>
      </c>
      <c r="AD109" s="35">
        <v>42595</v>
      </c>
      <c r="AE109" s="36"/>
      <c r="AF109" s="22"/>
      <c r="AG109" s="25">
        <v>69239.88</v>
      </c>
      <c r="AH109" s="25"/>
      <c r="AI109" s="25"/>
      <c r="AJ109" s="25"/>
      <c r="AK109" s="25"/>
      <c r="AL109" s="38"/>
      <c r="AM109" s="38"/>
      <c r="AN109" s="38"/>
      <c r="AO109" s="38"/>
      <c r="AP109" s="22"/>
      <c r="AQ109" s="22"/>
      <c r="AR109" s="22"/>
      <c r="AS109" s="22"/>
      <c r="AT109" s="22"/>
      <c r="AU109" s="22"/>
      <c r="AV109" s="22"/>
      <c r="AW109" s="22"/>
      <c r="AX109" s="22"/>
      <c r="AY109" s="22"/>
      <c r="AZ109" s="22"/>
      <c r="BA109" s="22"/>
      <c r="BB109" s="22"/>
      <c r="BC109" s="43"/>
      <c r="BD109" s="22"/>
      <c r="BE109" s="22"/>
      <c r="BF109" s="22"/>
      <c r="BG109" s="22"/>
      <c r="BH109" s="22"/>
      <c r="BI109" s="22"/>
      <c r="BJ109" s="22"/>
      <c r="BK109" s="22"/>
      <c r="BL109" s="22"/>
      <c r="BM109" s="22"/>
    </row>
    <row r="110" spans="1:65" ht="90" x14ac:dyDescent="0.25">
      <c r="A110" s="159"/>
      <c r="B110" s="154"/>
      <c r="C110" s="19"/>
      <c r="D110" s="27"/>
      <c r="E110" s="19"/>
      <c r="F110" s="32"/>
      <c r="G110" s="28"/>
      <c r="H110" s="20"/>
      <c r="I110" s="29"/>
      <c r="J110" s="29"/>
      <c r="K110" s="19"/>
      <c r="L110" s="143"/>
      <c r="M110" s="27"/>
      <c r="N110" s="27"/>
      <c r="O110" s="78"/>
      <c r="P110" s="27"/>
      <c r="Q110" s="27"/>
      <c r="R110" s="27"/>
      <c r="S110" s="27"/>
      <c r="T110" s="32"/>
      <c r="U110" s="148"/>
      <c r="V110" s="148"/>
      <c r="W110" s="32"/>
      <c r="X110" s="33" t="s">
        <v>1570</v>
      </c>
      <c r="Y110" s="22" t="s">
        <v>140</v>
      </c>
      <c r="Z110" s="35">
        <v>42594</v>
      </c>
      <c r="AA110" s="34">
        <v>11874</v>
      </c>
      <c r="AB110" s="33" t="s">
        <v>631</v>
      </c>
      <c r="AC110" s="35">
        <v>42595</v>
      </c>
      <c r="AD110" s="35">
        <v>42960</v>
      </c>
      <c r="AE110" s="36"/>
      <c r="AF110" s="22"/>
      <c r="AG110" s="25">
        <v>69239.88</v>
      </c>
      <c r="AH110" s="25"/>
      <c r="AI110" s="25"/>
      <c r="AJ110" s="25"/>
      <c r="AK110" s="25"/>
      <c r="AL110" s="38"/>
      <c r="AM110" s="38"/>
      <c r="AN110" s="38"/>
      <c r="AO110" s="38"/>
      <c r="AP110" s="22"/>
      <c r="AQ110" s="22"/>
      <c r="AR110" s="22"/>
      <c r="AS110" s="22"/>
      <c r="AT110" s="22"/>
      <c r="AU110" s="22"/>
      <c r="AV110" s="22"/>
      <c r="AW110" s="22"/>
      <c r="AX110" s="22"/>
      <c r="AY110" s="22"/>
      <c r="AZ110" s="22"/>
      <c r="BA110" s="22"/>
      <c r="BB110" s="22"/>
      <c r="BC110" s="43"/>
      <c r="BD110" s="22"/>
      <c r="BE110" s="22"/>
      <c r="BF110" s="22"/>
      <c r="BG110" s="22"/>
      <c r="BH110" s="22"/>
      <c r="BI110" s="22"/>
      <c r="BJ110" s="22"/>
      <c r="BK110" s="22"/>
      <c r="BL110" s="22"/>
      <c r="BM110" s="22"/>
    </row>
    <row r="111" spans="1:65" ht="150" x14ac:dyDescent="0.25">
      <c r="A111" s="159"/>
      <c r="B111" s="154"/>
      <c r="C111" s="19"/>
      <c r="D111" s="27"/>
      <c r="E111" s="19"/>
      <c r="F111" s="32"/>
      <c r="G111" s="28"/>
      <c r="H111" s="20"/>
      <c r="I111" s="29"/>
      <c r="J111" s="29"/>
      <c r="K111" s="19"/>
      <c r="L111" s="143"/>
      <c r="M111" s="27"/>
      <c r="N111" s="27"/>
      <c r="O111" s="78"/>
      <c r="P111" s="27"/>
      <c r="Q111" s="27"/>
      <c r="R111" s="27"/>
      <c r="S111" s="27"/>
      <c r="T111" s="32"/>
      <c r="U111" s="148"/>
      <c r="V111" s="148"/>
      <c r="W111" s="32"/>
      <c r="X111" s="33" t="s">
        <v>365</v>
      </c>
      <c r="Y111" s="22" t="s">
        <v>185</v>
      </c>
      <c r="Z111" s="35">
        <v>42719</v>
      </c>
      <c r="AA111" s="34">
        <v>11965</v>
      </c>
      <c r="AB111" s="33" t="s">
        <v>674</v>
      </c>
      <c r="AC111" s="35"/>
      <c r="AD111" s="35"/>
      <c r="AE111" s="36"/>
      <c r="AF111" s="22"/>
      <c r="AG111" s="25">
        <v>13277.7</v>
      </c>
      <c r="AH111" s="25"/>
      <c r="AI111" s="25"/>
      <c r="AJ111" s="25"/>
      <c r="AK111" s="25"/>
      <c r="AL111" s="38"/>
      <c r="AM111" s="38"/>
      <c r="AN111" s="38"/>
      <c r="AO111" s="38"/>
      <c r="AP111" s="37"/>
      <c r="AQ111" s="22"/>
      <c r="AR111" s="22"/>
      <c r="AS111" s="22"/>
      <c r="AT111" s="22"/>
      <c r="AU111" s="22"/>
      <c r="AV111" s="22"/>
      <c r="AW111" s="22"/>
      <c r="AX111" s="22"/>
      <c r="AY111" s="22"/>
      <c r="AZ111" s="22"/>
      <c r="BA111" s="22"/>
      <c r="BB111" s="22"/>
      <c r="BC111" s="43"/>
      <c r="BD111" s="22"/>
      <c r="BE111" s="22"/>
      <c r="BF111" s="22"/>
      <c r="BG111" s="22"/>
      <c r="BH111" s="22"/>
      <c r="BI111" s="22"/>
      <c r="BJ111" s="22"/>
      <c r="BK111" s="22"/>
      <c r="BL111" s="22"/>
      <c r="BM111" s="22"/>
    </row>
    <row r="112" spans="1:65" ht="75" x14ac:dyDescent="0.25">
      <c r="A112" s="159"/>
      <c r="B112" s="154"/>
      <c r="C112" s="19"/>
      <c r="D112" s="27"/>
      <c r="E112" s="19"/>
      <c r="F112" s="32"/>
      <c r="G112" s="28"/>
      <c r="H112" s="20"/>
      <c r="I112" s="29"/>
      <c r="J112" s="29"/>
      <c r="K112" s="19"/>
      <c r="L112" s="143"/>
      <c r="M112" s="27"/>
      <c r="N112" s="27"/>
      <c r="O112" s="78"/>
      <c r="P112" s="27"/>
      <c r="Q112" s="27"/>
      <c r="R112" s="27"/>
      <c r="S112" s="27"/>
      <c r="T112" s="32"/>
      <c r="U112" s="148"/>
      <c r="V112" s="148"/>
      <c r="W112" s="32"/>
      <c r="X112" s="33" t="s">
        <v>1570</v>
      </c>
      <c r="Y112" s="22" t="s">
        <v>186</v>
      </c>
      <c r="Z112" s="35">
        <v>42958</v>
      </c>
      <c r="AA112" s="34">
        <v>12118</v>
      </c>
      <c r="AB112" s="33" t="s">
        <v>1021</v>
      </c>
      <c r="AC112" s="35">
        <v>42960</v>
      </c>
      <c r="AD112" s="35">
        <v>43325</v>
      </c>
      <c r="AE112" s="36"/>
      <c r="AF112" s="22"/>
      <c r="AG112" s="25">
        <v>77452.92</v>
      </c>
      <c r="AH112" s="25"/>
      <c r="AI112" s="25"/>
      <c r="AJ112" s="25"/>
      <c r="AK112" s="25"/>
      <c r="AL112" s="38"/>
      <c r="AM112" s="38"/>
      <c r="AN112" s="38"/>
      <c r="AO112" s="38"/>
      <c r="AP112" s="22"/>
      <c r="AQ112" s="22"/>
      <c r="AR112" s="22"/>
      <c r="AS112" s="22"/>
      <c r="AT112" s="22"/>
      <c r="AU112" s="22"/>
      <c r="AV112" s="22"/>
      <c r="AW112" s="22"/>
      <c r="AX112" s="22"/>
      <c r="AY112" s="22"/>
      <c r="AZ112" s="22"/>
      <c r="BA112" s="22"/>
      <c r="BB112" s="22"/>
      <c r="BC112" s="43"/>
      <c r="BD112" s="22"/>
      <c r="BE112" s="22"/>
      <c r="BF112" s="22"/>
      <c r="BG112" s="22"/>
      <c r="BH112" s="22"/>
      <c r="BI112" s="22"/>
      <c r="BJ112" s="22"/>
      <c r="BK112" s="22"/>
      <c r="BL112" s="22"/>
      <c r="BM112" s="22"/>
    </row>
    <row r="113" spans="1:65" ht="75" x14ac:dyDescent="0.25">
      <c r="A113" s="159"/>
      <c r="B113" s="154"/>
      <c r="C113" s="19"/>
      <c r="D113" s="27"/>
      <c r="E113" s="19"/>
      <c r="F113" s="32"/>
      <c r="G113" s="32"/>
      <c r="H113" s="19"/>
      <c r="I113" s="19"/>
      <c r="J113" s="19"/>
      <c r="K113" s="19"/>
      <c r="L113" s="143"/>
      <c r="M113" s="27"/>
      <c r="N113" s="27"/>
      <c r="O113" s="78"/>
      <c r="P113" s="27"/>
      <c r="Q113" s="27"/>
      <c r="R113" s="27"/>
      <c r="S113" s="27"/>
      <c r="T113" s="32"/>
      <c r="U113" s="148"/>
      <c r="V113" s="148"/>
      <c r="W113" s="32"/>
      <c r="X113" s="33" t="s">
        <v>1570</v>
      </c>
      <c r="Y113" s="22" t="s">
        <v>187</v>
      </c>
      <c r="Z113" s="35">
        <v>43311</v>
      </c>
      <c r="AA113" s="34">
        <v>12358</v>
      </c>
      <c r="AB113" s="33" t="s">
        <v>1711</v>
      </c>
      <c r="AC113" s="35">
        <v>43325</v>
      </c>
      <c r="AD113" s="35">
        <v>43465</v>
      </c>
      <c r="AE113" s="36"/>
      <c r="AF113" s="22"/>
      <c r="AG113" s="25">
        <v>29475.19</v>
      </c>
      <c r="AH113" s="25"/>
      <c r="AI113" s="25"/>
      <c r="AJ113" s="25"/>
      <c r="AK113" s="25"/>
      <c r="AL113" s="38"/>
      <c r="AM113" s="38"/>
      <c r="AN113" s="38"/>
      <c r="AO113" s="38"/>
      <c r="AP113" s="22"/>
      <c r="AQ113" s="22"/>
      <c r="AR113" s="22"/>
      <c r="AS113" s="22"/>
      <c r="AT113" s="22"/>
      <c r="AU113" s="22"/>
      <c r="AV113" s="22"/>
      <c r="AW113" s="22"/>
      <c r="AX113" s="22"/>
      <c r="AY113" s="22"/>
      <c r="AZ113" s="22"/>
      <c r="BA113" s="22"/>
      <c r="BB113" s="22"/>
      <c r="BC113" s="43"/>
      <c r="BD113" s="22"/>
      <c r="BE113" s="22"/>
      <c r="BF113" s="22"/>
      <c r="BG113" s="22"/>
      <c r="BH113" s="22"/>
      <c r="BI113" s="22"/>
      <c r="BJ113" s="22"/>
      <c r="BK113" s="22"/>
      <c r="BL113" s="22"/>
      <c r="BM113" s="22"/>
    </row>
    <row r="114" spans="1:65" ht="60" x14ac:dyDescent="0.25">
      <c r="A114" s="159">
        <v>18</v>
      </c>
      <c r="B114" s="154" t="s">
        <v>300</v>
      </c>
      <c r="C114" s="19" t="s">
        <v>216</v>
      </c>
      <c r="D114" s="27" t="s">
        <v>143</v>
      </c>
      <c r="E114" s="19" t="s">
        <v>303</v>
      </c>
      <c r="F114" s="32" t="s">
        <v>301</v>
      </c>
      <c r="G114" s="28" t="s">
        <v>549</v>
      </c>
      <c r="H114" s="20" t="s">
        <v>219</v>
      </c>
      <c r="I114" s="29">
        <v>41848</v>
      </c>
      <c r="J114" s="29">
        <v>42213</v>
      </c>
      <c r="K114" s="19" t="s">
        <v>290</v>
      </c>
      <c r="L114" s="143" t="s">
        <v>130</v>
      </c>
      <c r="M114" s="27" t="s">
        <v>131</v>
      </c>
      <c r="N114" s="31">
        <v>41883</v>
      </c>
      <c r="O114" s="78">
        <v>725646.96</v>
      </c>
      <c r="P114" s="30" t="s">
        <v>522</v>
      </c>
      <c r="Q114" s="31">
        <v>41883</v>
      </c>
      <c r="R114" s="31">
        <v>42248</v>
      </c>
      <c r="S114" s="27" t="s">
        <v>198</v>
      </c>
      <c r="T114" s="19"/>
      <c r="U114" s="38"/>
      <c r="V114" s="38"/>
      <c r="W114" s="32" t="s">
        <v>302</v>
      </c>
      <c r="X114" s="33" t="s">
        <v>1570</v>
      </c>
      <c r="Y114" s="22" t="s">
        <v>136</v>
      </c>
      <c r="Z114" s="35">
        <v>42247</v>
      </c>
      <c r="AA114" s="34">
        <v>11646</v>
      </c>
      <c r="AB114" s="33" t="s">
        <v>426</v>
      </c>
      <c r="AC114" s="35">
        <v>42248</v>
      </c>
      <c r="AD114" s="35">
        <v>42614</v>
      </c>
      <c r="AE114" s="36"/>
      <c r="AF114" s="22"/>
      <c r="AG114" s="25">
        <v>725646.96</v>
      </c>
      <c r="AH114" s="25"/>
      <c r="AI114" s="25"/>
      <c r="AJ114" s="25"/>
      <c r="AK114" s="25"/>
      <c r="AL114" s="38">
        <f>O114-AH114+AG114-AH115+AG115-AH116+AG116-AH117+AG117-AH118+AG118-AH119+AG119-AH120+AG120-AH121+AG121</f>
        <v>4194579.4400000004</v>
      </c>
      <c r="AM114" s="38">
        <f>232933.51+622428.08+51417.88+79273.16+65345.52+65345.52+65345.52+65345.52+65345.52+94981.56+143611.81+89171.51+89171.51+89171.51+89171.51+89171.51+89171.51+89171.51+89171.51+89171.51+89171.51+89171.51+89171.41+89171.51+72680.31+72680.31</f>
        <v>2855963.7499999991</v>
      </c>
      <c r="AN114" s="38">
        <f>145361.62+93698.22+93698.22+76357.8+76357.8+76357.8+76357.8+76357.8+76357.8</f>
        <v>790904.8600000001</v>
      </c>
      <c r="AO114" s="38">
        <f>AM114+AN114</f>
        <v>3646868.6099999994</v>
      </c>
      <c r="AP114" s="40"/>
      <c r="AQ114" s="42"/>
      <c r="AR114" s="42"/>
      <c r="AS114" s="19"/>
      <c r="AT114" s="19"/>
      <c r="AU114" s="19"/>
      <c r="AV114" s="19"/>
      <c r="AW114" s="19"/>
      <c r="AX114" s="19"/>
      <c r="AY114" s="19"/>
      <c r="AZ114" s="19"/>
      <c r="BA114" s="19"/>
      <c r="BB114" s="19"/>
      <c r="BC114" s="27"/>
      <c r="BD114" s="19"/>
      <c r="BE114" s="19"/>
      <c r="BF114" s="19"/>
      <c r="BG114" s="19"/>
      <c r="BH114" s="19"/>
      <c r="BI114" s="19"/>
      <c r="BJ114" s="19"/>
      <c r="BK114" s="19"/>
      <c r="BL114" s="19"/>
      <c r="BM114" s="19"/>
    </row>
    <row r="115" spans="1:65" ht="300" x14ac:dyDescent="0.25">
      <c r="A115" s="159"/>
      <c r="B115" s="154"/>
      <c r="C115" s="19"/>
      <c r="D115" s="27"/>
      <c r="E115" s="19"/>
      <c r="F115" s="32"/>
      <c r="G115" s="28"/>
      <c r="H115" s="20"/>
      <c r="I115" s="29"/>
      <c r="J115" s="29"/>
      <c r="K115" s="19"/>
      <c r="L115" s="143"/>
      <c r="M115" s="27"/>
      <c r="N115" s="31"/>
      <c r="O115" s="78"/>
      <c r="P115" s="30"/>
      <c r="Q115" s="31"/>
      <c r="R115" s="31"/>
      <c r="S115" s="27"/>
      <c r="T115" s="19"/>
      <c r="U115" s="38"/>
      <c r="V115" s="38"/>
      <c r="W115" s="32"/>
      <c r="X115" s="33" t="s">
        <v>365</v>
      </c>
      <c r="Y115" s="22" t="s">
        <v>140</v>
      </c>
      <c r="Z115" s="35">
        <v>42354</v>
      </c>
      <c r="AA115" s="34">
        <v>11709</v>
      </c>
      <c r="AB115" s="33" t="s">
        <v>638</v>
      </c>
      <c r="AC115" s="35"/>
      <c r="AD115" s="35"/>
      <c r="AE115" s="36"/>
      <c r="AF115" s="22"/>
      <c r="AG115" s="25">
        <v>58499.28</v>
      </c>
      <c r="AH115" s="25"/>
      <c r="AI115" s="25"/>
      <c r="AJ115" s="25"/>
      <c r="AK115" s="25"/>
      <c r="AL115" s="38"/>
      <c r="AM115" s="38"/>
      <c r="AN115" s="38"/>
      <c r="AO115" s="38"/>
      <c r="AP115" s="40"/>
      <c r="AQ115" s="42"/>
      <c r="AR115" s="42"/>
      <c r="AS115" s="19"/>
      <c r="AT115" s="19"/>
      <c r="AU115" s="19"/>
      <c r="AV115" s="19"/>
      <c r="AW115" s="19"/>
      <c r="AX115" s="19"/>
      <c r="AY115" s="19"/>
      <c r="AZ115" s="19"/>
      <c r="BA115" s="19"/>
      <c r="BB115" s="19"/>
      <c r="BC115" s="27"/>
      <c r="BD115" s="19"/>
      <c r="BE115" s="19"/>
      <c r="BF115" s="19"/>
      <c r="BG115" s="19"/>
      <c r="BH115" s="19"/>
      <c r="BI115" s="19"/>
      <c r="BJ115" s="19"/>
      <c r="BK115" s="19"/>
      <c r="BL115" s="19"/>
      <c r="BM115" s="19"/>
    </row>
    <row r="116" spans="1:65" ht="135" x14ac:dyDescent="0.25">
      <c r="A116" s="159"/>
      <c r="B116" s="154"/>
      <c r="C116" s="19"/>
      <c r="D116" s="27"/>
      <c r="E116" s="19"/>
      <c r="F116" s="32"/>
      <c r="G116" s="28"/>
      <c r="H116" s="20"/>
      <c r="I116" s="29"/>
      <c r="J116" s="29"/>
      <c r="K116" s="19"/>
      <c r="L116" s="143"/>
      <c r="M116" s="27"/>
      <c r="N116" s="31"/>
      <c r="O116" s="78"/>
      <c r="P116" s="30"/>
      <c r="Q116" s="31"/>
      <c r="R116" s="31"/>
      <c r="S116" s="27"/>
      <c r="T116" s="19"/>
      <c r="U116" s="38"/>
      <c r="V116" s="38"/>
      <c r="W116" s="32"/>
      <c r="X116" s="33" t="s">
        <v>365</v>
      </c>
      <c r="Y116" s="22" t="s">
        <v>185</v>
      </c>
      <c r="Z116" s="35">
        <v>42552</v>
      </c>
      <c r="AA116" s="34">
        <v>11864</v>
      </c>
      <c r="AB116" s="33" t="s">
        <v>628</v>
      </c>
      <c r="AC116" s="35"/>
      <c r="AD116" s="35"/>
      <c r="AE116" s="36">
        <v>22.67</v>
      </c>
      <c r="AF116" s="22"/>
      <c r="AG116" s="25">
        <v>29636.04</v>
      </c>
      <c r="AH116" s="25"/>
      <c r="AI116" s="25"/>
      <c r="AJ116" s="25"/>
      <c r="AK116" s="25"/>
      <c r="AL116" s="38"/>
      <c r="AM116" s="38"/>
      <c r="AN116" s="38"/>
      <c r="AO116" s="38"/>
      <c r="AP116" s="40"/>
      <c r="AQ116" s="42"/>
      <c r="AR116" s="42"/>
      <c r="AS116" s="19"/>
      <c r="AT116" s="19"/>
      <c r="AU116" s="19"/>
      <c r="AV116" s="19"/>
      <c r="AW116" s="19"/>
      <c r="AX116" s="19"/>
      <c r="AY116" s="19"/>
      <c r="AZ116" s="19"/>
      <c r="BA116" s="19"/>
      <c r="BB116" s="19"/>
      <c r="BC116" s="27"/>
      <c r="BD116" s="19"/>
      <c r="BE116" s="19"/>
      <c r="BF116" s="19"/>
      <c r="BG116" s="19"/>
      <c r="BH116" s="19"/>
      <c r="BI116" s="19"/>
      <c r="BJ116" s="19"/>
      <c r="BK116" s="19"/>
      <c r="BL116" s="19"/>
      <c r="BM116" s="19"/>
    </row>
    <row r="117" spans="1:65" ht="180" x14ac:dyDescent="0.25">
      <c r="A117" s="159"/>
      <c r="B117" s="154"/>
      <c r="C117" s="19"/>
      <c r="D117" s="27"/>
      <c r="E117" s="19"/>
      <c r="F117" s="32"/>
      <c r="G117" s="28"/>
      <c r="H117" s="20"/>
      <c r="I117" s="29"/>
      <c r="J117" s="29"/>
      <c r="K117" s="19"/>
      <c r="L117" s="143"/>
      <c r="M117" s="27"/>
      <c r="N117" s="31"/>
      <c r="O117" s="78"/>
      <c r="P117" s="30"/>
      <c r="Q117" s="31"/>
      <c r="R117" s="31"/>
      <c r="S117" s="27"/>
      <c r="T117" s="19"/>
      <c r="U117" s="38"/>
      <c r="V117" s="38"/>
      <c r="W117" s="32"/>
      <c r="X117" s="33" t="s">
        <v>365</v>
      </c>
      <c r="Y117" s="22" t="s">
        <v>186</v>
      </c>
      <c r="Z117" s="35">
        <v>42600</v>
      </c>
      <c r="AA117" s="34">
        <v>11878</v>
      </c>
      <c r="AB117" s="33" t="s">
        <v>637</v>
      </c>
      <c r="AC117" s="35"/>
      <c r="AD117" s="35"/>
      <c r="AE117" s="36"/>
      <c r="AF117" s="22"/>
      <c r="AG117" s="25">
        <v>54440.3</v>
      </c>
      <c r="AH117" s="25"/>
      <c r="AI117" s="25"/>
      <c r="AJ117" s="25"/>
      <c r="AK117" s="25"/>
      <c r="AL117" s="38"/>
      <c r="AM117" s="38"/>
      <c r="AN117" s="38"/>
      <c r="AO117" s="38"/>
      <c r="AP117" s="40"/>
      <c r="AQ117" s="42"/>
      <c r="AR117" s="42"/>
      <c r="AS117" s="19"/>
      <c r="AT117" s="19"/>
      <c r="AU117" s="19"/>
      <c r="AV117" s="19"/>
      <c r="AW117" s="19"/>
      <c r="AX117" s="19"/>
      <c r="AY117" s="19"/>
      <c r="AZ117" s="19"/>
      <c r="BA117" s="19"/>
      <c r="BB117" s="19"/>
      <c r="BC117" s="27"/>
      <c r="BD117" s="19"/>
      <c r="BE117" s="19"/>
      <c r="BF117" s="19"/>
      <c r="BG117" s="19"/>
      <c r="BH117" s="19"/>
      <c r="BI117" s="19"/>
      <c r="BJ117" s="19"/>
      <c r="BK117" s="19"/>
      <c r="BL117" s="19"/>
      <c r="BM117" s="19"/>
    </row>
    <row r="118" spans="1:65" ht="75" x14ac:dyDescent="0.25">
      <c r="A118" s="159"/>
      <c r="B118" s="154"/>
      <c r="C118" s="19"/>
      <c r="D118" s="27"/>
      <c r="E118" s="19"/>
      <c r="F118" s="32"/>
      <c r="G118" s="28"/>
      <c r="H118" s="20"/>
      <c r="I118" s="29"/>
      <c r="J118" s="29"/>
      <c r="K118" s="19"/>
      <c r="L118" s="143"/>
      <c r="M118" s="27"/>
      <c r="N118" s="31"/>
      <c r="O118" s="78"/>
      <c r="P118" s="30"/>
      <c r="Q118" s="31"/>
      <c r="R118" s="31"/>
      <c r="S118" s="27"/>
      <c r="T118" s="19"/>
      <c r="U118" s="38"/>
      <c r="V118" s="38"/>
      <c r="W118" s="32"/>
      <c r="X118" s="33" t="s">
        <v>1570</v>
      </c>
      <c r="Y118" s="22" t="s">
        <v>187</v>
      </c>
      <c r="Z118" s="35">
        <v>42611</v>
      </c>
      <c r="AA118" s="34">
        <v>11883</v>
      </c>
      <c r="AB118" s="33" t="s">
        <v>643</v>
      </c>
      <c r="AC118" s="35">
        <v>42614</v>
      </c>
      <c r="AD118" s="35" t="s">
        <v>641</v>
      </c>
      <c r="AE118" s="36"/>
      <c r="AF118" s="22"/>
      <c r="AG118" s="25">
        <v>1070058.1200000001</v>
      </c>
      <c r="AH118" s="25"/>
      <c r="AI118" s="25"/>
      <c r="AJ118" s="25"/>
      <c r="AK118" s="25"/>
      <c r="AL118" s="38"/>
      <c r="AM118" s="38"/>
      <c r="AN118" s="38"/>
      <c r="AO118" s="38"/>
      <c r="AP118" s="40"/>
      <c r="AQ118" s="42"/>
      <c r="AR118" s="42"/>
      <c r="AS118" s="19"/>
      <c r="AT118" s="19"/>
      <c r="AU118" s="19"/>
      <c r="AV118" s="19"/>
      <c r="AW118" s="19"/>
      <c r="AX118" s="19"/>
      <c r="AY118" s="19"/>
      <c r="AZ118" s="19"/>
      <c r="BA118" s="19"/>
      <c r="BB118" s="19"/>
      <c r="BC118" s="27"/>
      <c r="BD118" s="19"/>
      <c r="BE118" s="19"/>
      <c r="BF118" s="19"/>
      <c r="BG118" s="19"/>
      <c r="BH118" s="19"/>
      <c r="BI118" s="19"/>
      <c r="BJ118" s="19"/>
      <c r="BK118" s="19"/>
      <c r="BL118" s="19"/>
      <c r="BM118" s="19"/>
    </row>
    <row r="119" spans="1:65" ht="60" x14ac:dyDescent="0.25">
      <c r="A119" s="159"/>
      <c r="B119" s="154"/>
      <c r="C119" s="19"/>
      <c r="D119" s="27"/>
      <c r="E119" s="19"/>
      <c r="F119" s="32"/>
      <c r="G119" s="28"/>
      <c r="H119" s="20"/>
      <c r="I119" s="29"/>
      <c r="J119" s="29"/>
      <c r="K119" s="19"/>
      <c r="L119" s="143"/>
      <c r="M119" s="27"/>
      <c r="N119" s="31"/>
      <c r="O119" s="78"/>
      <c r="P119" s="30"/>
      <c r="Q119" s="31"/>
      <c r="R119" s="31"/>
      <c r="S119" s="27"/>
      <c r="T119" s="19"/>
      <c r="U119" s="38"/>
      <c r="V119" s="38"/>
      <c r="W119" s="32"/>
      <c r="X119" s="33" t="s">
        <v>1570</v>
      </c>
      <c r="Y119" s="22" t="s">
        <v>117</v>
      </c>
      <c r="Z119" s="35">
        <v>42978</v>
      </c>
      <c r="AA119" s="34">
        <v>12135</v>
      </c>
      <c r="AB119" s="33" t="s">
        <v>426</v>
      </c>
      <c r="AC119" s="35" t="s">
        <v>641</v>
      </c>
      <c r="AD119" s="35" t="s">
        <v>1065</v>
      </c>
      <c r="AE119" s="36"/>
      <c r="AF119" s="22"/>
      <c r="AG119" s="25">
        <v>1070058.1200000001</v>
      </c>
      <c r="AH119" s="25"/>
      <c r="AI119" s="25"/>
      <c r="AJ119" s="25"/>
      <c r="AK119" s="25"/>
      <c r="AL119" s="38"/>
      <c r="AM119" s="38"/>
      <c r="AN119" s="38"/>
      <c r="AO119" s="38"/>
      <c r="AP119" s="42"/>
      <c r="AQ119" s="42"/>
      <c r="AR119" s="42"/>
      <c r="AS119" s="22"/>
      <c r="AT119" s="22"/>
      <c r="AU119" s="22"/>
      <c r="AV119" s="22"/>
      <c r="AW119" s="22"/>
      <c r="AX119" s="22"/>
      <c r="AY119" s="22"/>
      <c r="AZ119" s="22"/>
      <c r="BA119" s="22"/>
      <c r="BB119" s="22"/>
      <c r="BC119" s="43"/>
      <c r="BD119" s="22"/>
      <c r="BE119" s="22"/>
      <c r="BF119" s="22"/>
      <c r="BG119" s="22"/>
      <c r="BH119" s="22"/>
      <c r="BI119" s="22"/>
      <c r="BJ119" s="22"/>
      <c r="BK119" s="22"/>
      <c r="BL119" s="22"/>
      <c r="BM119" s="22"/>
    </row>
    <row r="120" spans="1:65" ht="150" x14ac:dyDescent="0.25">
      <c r="A120" s="159"/>
      <c r="B120" s="154"/>
      <c r="C120" s="19"/>
      <c r="D120" s="27"/>
      <c r="E120" s="19"/>
      <c r="F120" s="32"/>
      <c r="G120" s="28"/>
      <c r="H120" s="20"/>
      <c r="I120" s="29"/>
      <c r="J120" s="29"/>
      <c r="K120" s="19"/>
      <c r="L120" s="143"/>
      <c r="M120" s="27"/>
      <c r="N120" s="31"/>
      <c r="O120" s="78"/>
      <c r="P120" s="30"/>
      <c r="Q120" s="31"/>
      <c r="R120" s="31"/>
      <c r="S120" s="27"/>
      <c r="T120" s="19"/>
      <c r="U120" s="38"/>
      <c r="V120" s="38"/>
      <c r="W120" s="32"/>
      <c r="X120" s="33" t="s">
        <v>365</v>
      </c>
      <c r="Y120" s="22" t="s">
        <v>120</v>
      </c>
      <c r="Z120" s="35">
        <v>43132</v>
      </c>
      <c r="AA120" s="34">
        <v>12267</v>
      </c>
      <c r="AB120" s="33" t="s">
        <v>1353</v>
      </c>
      <c r="AC120" s="35"/>
      <c r="AD120" s="35"/>
      <c r="AE120" s="36"/>
      <c r="AF120" s="22"/>
      <c r="AG120" s="25">
        <v>85800.78</v>
      </c>
      <c r="AH120" s="25"/>
      <c r="AI120" s="25"/>
      <c r="AJ120" s="25"/>
      <c r="AK120" s="25"/>
      <c r="AL120" s="38"/>
      <c r="AM120" s="38"/>
      <c r="AN120" s="38"/>
      <c r="AO120" s="38"/>
      <c r="AP120" s="42"/>
      <c r="AQ120" s="42"/>
      <c r="AR120" s="42"/>
      <c r="AS120" s="22"/>
      <c r="AT120" s="22"/>
      <c r="AU120" s="22"/>
      <c r="AV120" s="22"/>
      <c r="AW120" s="22"/>
      <c r="AX120" s="22"/>
      <c r="AY120" s="22"/>
      <c r="AZ120" s="22"/>
      <c r="BA120" s="22"/>
      <c r="BB120" s="22"/>
      <c r="BC120" s="43"/>
      <c r="BD120" s="22"/>
      <c r="BE120" s="22"/>
      <c r="BF120" s="22"/>
      <c r="BG120" s="22"/>
      <c r="BH120" s="22"/>
      <c r="BI120" s="22"/>
      <c r="BJ120" s="22"/>
      <c r="BK120" s="22"/>
      <c r="BL120" s="22"/>
      <c r="BM120" s="22"/>
    </row>
    <row r="121" spans="1:65" ht="60" x14ac:dyDescent="0.25">
      <c r="A121" s="159"/>
      <c r="B121" s="154"/>
      <c r="C121" s="19"/>
      <c r="D121" s="27"/>
      <c r="E121" s="19"/>
      <c r="F121" s="32"/>
      <c r="G121" s="28"/>
      <c r="H121" s="20"/>
      <c r="I121" s="29"/>
      <c r="J121" s="29"/>
      <c r="K121" s="19"/>
      <c r="L121" s="143"/>
      <c r="M121" s="27"/>
      <c r="N121" s="31"/>
      <c r="O121" s="78"/>
      <c r="P121" s="30"/>
      <c r="Q121" s="31"/>
      <c r="R121" s="31"/>
      <c r="S121" s="27"/>
      <c r="T121" s="19"/>
      <c r="U121" s="38"/>
      <c r="V121" s="38"/>
      <c r="W121" s="32"/>
      <c r="X121" s="33" t="s">
        <v>1570</v>
      </c>
      <c r="Y121" s="22" t="s">
        <v>118</v>
      </c>
      <c r="Z121" s="35">
        <v>43343</v>
      </c>
      <c r="AA121" s="34">
        <v>12389</v>
      </c>
      <c r="AB121" s="33" t="s">
        <v>1811</v>
      </c>
      <c r="AC121" s="35" t="s">
        <v>1065</v>
      </c>
      <c r="AD121" s="35">
        <v>43465</v>
      </c>
      <c r="AE121" s="36"/>
      <c r="AF121" s="22"/>
      <c r="AG121" s="25">
        <v>374792.88</v>
      </c>
      <c r="AH121" s="25"/>
      <c r="AI121" s="25"/>
      <c r="AJ121" s="25"/>
      <c r="AK121" s="25"/>
      <c r="AL121" s="38"/>
      <c r="AM121" s="38"/>
      <c r="AN121" s="38"/>
      <c r="AO121" s="38"/>
      <c r="AP121" s="42"/>
      <c r="AQ121" s="42"/>
      <c r="AR121" s="42"/>
      <c r="AS121" s="22"/>
      <c r="AT121" s="22"/>
      <c r="AU121" s="22"/>
      <c r="AV121" s="22"/>
      <c r="AW121" s="22"/>
      <c r="AX121" s="22"/>
      <c r="AY121" s="22"/>
      <c r="AZ121" s="22"/>
      <c r="BA121" s="22"/>
      <c r="BB121" s="22"/>
      <c r="BC121" s="43"/>
      <c r="BD121" s="22"/>
      <c r="BE121" s="22"/>
      <c r="BF121" s="22"/>
      <c r="BG121" s="22"/>
      <c r="BH121" s="22"/>
      <c r="BI121" s="22"/>
      <c r="BJ121" s="22"/>
      <c r="BK121" s="22"/>
      <c r="BL121" s="22"/>
      <c r="BM121" s="22"/>
    </row>
    <row r="122" spans="1:65" ht="45" x14ac:dyDescent="0.25">
      <c r="A122" s="160">
        <v>19</v>
      </c>
      <c r="B122" s="154" t="s">
        <v>247</v>
      </c>
      <c r="C122" s="19" t="s">
        <v>199</v>
      </c>
      <c r="D122" s="27" t="s">
        <v>143</v>
      </c>
      <c r="E122" s="19" t="s">
        <v>124</v>
      </c>
      <c r="F122" s="32" t="s">
        <v>329</v>
      </c>
      <c r="G122" s="28" t="s">
        <v>548</v>
      </c>
      <c r="H122" s="20" t="s">
        <v>752</v>
      </c>
      <c r="I122" s="29">
        <v>41794</v>
      </c>
      <c r="J122" s="29">
        <v>42159</v>
      </c>
      <c r="K122" s="45" t="s">
        <v>321</v>
      </c>
      <c r="L122" s="143" t="s">
        <v>248</v>
      </c>
      <c r="M122" s="27" t="s">
        <v>249</v>
      </c>
      <c r="N122" s="31">
        <v>42006</v>
      </c>
      <c r="O122" s="78">
        <v>1042111.67</v>
      </c>
      <c r="P122" s="30" t="s">
        <v>523</v>
      </c>
      <c r="Q122" s="31">
        <v>42006</v>
      </c>
      <c r="R122" s="31">
        <v>42369</v>
      </c>
      <c r="S122" s="27" t="s">
        <v>330</v>
      </c>
      <c r="T122" s="32"/>
      <c r="U122" s="148"/>
      <c r="V122" s="148"/>
      <c r="W122" s="32" t="s">
        <v>184</v>
      </c>
      <c r="X122" s="33" t="s">
        <v>1570</v>
      </c>
      <c r="Y122" s="26" t="s">
        <v>136</v>
      </c>
      <c r="Z122" s="63">
        <v>42369</v>
      </c>
      <c r="AA122" s="64">
        <v>11717</v>
      </c>
      <c r="AB122" s="33" t="s">
        <v>417</v>
      </c>
      <c r="AC122" s="65">
        <v>42369</v>
      </c>
      <c r="AD122" s="65">
        <v>42735</v>
      </c>
      <c r="AE122" s="66"/>
      <c r="AF122" s="60"/>
      <c r="AG122" s="152">
        <v>1042111.67</v>
      </c>
      <c r="AH122" s="74"/>
      <c r="AI122" s="74"/>
      <c r="AJ122" s="74"/>
      <c r="AK122" s="74"/>
      <c r="AL122" s="38">
        <f>O122-AH122+AG122-AH123+AG123-AH124+AG124-AH125+AG125-AH126+AG126</f>
        <v>3475323.92</v>
      </c>
      <c r="AM122" s="38">
        <f>784719.11+49147.53+0+72843.98+61600.68+61058.7+63421.08+53394.37+57000.08+64347.72+58237.49+53514.07+50329.08+5819.82+62633.5+103758.18+97028.1+54026.94+67074.44+59940.49+62519.53+69336.09+60914.44+61516.65+56862.23</f>
        <v>2191044.3000000003</v>
      </c>
      <c r="AN122" s="38">
        <f>56735.25+82909.24+70544.34+116563.31+75579.18</f>
        <v>402331.32</v>
      </c>
      <c r="AO122" s="75">
        <f>AM122+AN122</f>
        <v>2593375.62</v>
      </c>
      <c r="AP122" s="67"/>
      <c r="AQ122" s="26"/>
      <c r="AR122" s="26"/>
      <c r="AS122" s="26"/>
      <c r="AT122" s="60"/>
      <c r="AU122" s="60"/>
      <c r="AV122" s="26"/>
      <c r="AW122" s="60"/>
      <c r="AX122" s="26"/>
      <c r="AY122" s="60"/>
      <c r="AZ122" s="26"/>
      <c r="BA122" s="60"/>
      <c r="BB122" s="26"/>
      <c r="BC122" s="60"/>
      <c r="BD122" s="60"/>
      <c r="BE122" s="60"/>
      <c r="BF122" s="60"/>
      <c r="BG122" s="60"/>
      <c r="BH122" s="60"/>
      <c r="BI122" s="60"/>
      <c r="BJ122" s="60"/>
      <c r="BK122" s="60"/>
      <c r="BL122" s="60"/>
      <c r="BM122" s="60"/>
    </row>
    <row r="123" spans="1:65" ht="60" x14ac:dyDescent="0.25">
      <c r="A123" s="160"/>
      <c r="B123" s="154"/>
      <c r="C123" s="19"/>
      <c r="D123" s="27"/>
      <c r="E123" s="19"/>
      <c r="F123" s="32"/>
      <c r="G123" s="28"/>
      <c r="H123" s="20"/>
      <c r="I123" s="29"/>
      <c r="J123" s="29"/>
      <c r="K123" s="45"/>
      <c r="L123" s="143"/>
      <c r="M123" s="27"/>
      <c r="N123" s="31"/>
      <c r="O123" s="78"/>
      <c r="P123" s="30"/>
      <c r="Q123" s="31"/>
      <c r="R123" s="31"/>
      <c r="S123" s="27"/>
      <c r="T123" s="32"/>
      <c r="U123" s="148"/>
      <c r="V123" s="148"/>
      <c r="W123" s="32"/>
      <c r="X123" s="33" t="s">
        <v>1570</v>
      </c>
      <c r="Y123" s="26" t="s">
        <v>140</v>
      </c>
      <c r="Z123" s="63">
        <v>42725</v>
      </c>
      <c r="AA123" s="64">
        <v>11968</v>
      </c>
      <c r="AB123" s="33" t="s">
        <v>480</v>
      </c>
      <c r="AC123" s="65">
        <v>42735</v>
      </c>
      <c r="AD123" s="65">
        <v>43100</v>
      </c>
      <c r="AE123" s="66"/>
      <c r="AF123" s="60"/>
      <c r="AG123" s="152">
        <v>1042111.67</v>
      </c>
      <c r="AH123" s="74"/>
      <c r="AI123" s="74"/>
      <c r="AJ123" s="74"/>
      <c r="AK123" s="74"/>
      <c r="AL123" s="38"/>
      <c r="AM123" s="38"/>
      <c r="AN123" s="38"/>
      <c r="AO123" s="75"/>
      <c r="AP123" s="26"/>
      <c r="AQ123" s="67"/>
      <c r="AR123" s="26"/>
      <c r="AS123" s="26"/>
      <c r="AT123" s="60"/>
      <c r="AU123" s="60"/>
      <c r="AV123" s="26"/>
      <c r="AW123" s="60"/>
      <c r="AX123" s="26"/>
      <c r="AY123" s="60"/>
      <c r="AZ123" s="26"/>
      <c r="BA123" s="60"/>
      <c r="BB123" s="26"/>
      <c r="BC123" s="60"/>
      <c r="BD123" s="60"/>
      <c r="BE123" s="60"/>
      <c r="BF123" s="60"/>
      <c r="BG123" s="60"/>
      <c r="BH123" s="60"/>
      <c r="BI123" s="60"/>
      <c r="BJ123" s="60"/>
      <c r="BK123" s="60"/>
      <c r="BL123" s="60"/>
      <c r="BM123" s="60"/>
    </row>
    <row r="124" spans="1:65" ht="60" x14ac:dyDescent="0.25">
      <c r="A124" s="160"/>
      <c r="B124" s="154"/>
      <c r="C124" s="19"/>
      <c r="D124" s="27"/>
      <c r="E124" s="19"/>
      <c r="F124" s="32"/>
      <c r="G124" s="32"/>
      <c r="H124" s="19"/>
      <c r="I124" s="19"/>
      <c r="J124" s="19"/>
      <c r="K124" s="19"/>
      <c r="L124" s="143"/>
      <c r="M124" s="27"/>
      <c r="N124" s="27"/>
      <c r="O124" s="78"/>
      <c r="P124" s="27"/>
      <c r="Q124" s="27"/>
      <c r="R124" s="27"/>
      <c r="S124" s="27"/>
      <c r="T124" s="32"/>
      <c r="U124" s="148"/>
      <c r="V124" s="148"/>
      <c r="W124" s="32"/>
      <c r="X124" s="33" t="s">
        <v>1570</v>
      </c>
      <c r="Y124" s="26" t="s">
        <v>185</v>
      </c>
      <c r="Z124" s="63">
        <v>43082</v>
      </c>
      <c r="AA124" s="64">
        <v>12209</v>
      </c>
      <c r="AB124" s="33" t="s">
        <v>1167</v>
      </c>
      <c r="AC124" s="65">
        <v>43100</v>
      </c>
      <c r="AD124" s="65">
        <v>43465</v>
      </c>
      <c r="AE124" s="66"/>
      <c r="AF124" s="60"/>
      <c r="AG124" s="152">
        <v>1042111.67</v>
      </c>
      <c r="AH124" s="74"/>
      <c r="AI124" s="74"/>
      <c r="AJ124" s="74"/>
      <c r="AK124" s="74"/>
      <c r="AL124" s="38"/>
      <c r="AM124" s="38"/>
      <c r="AN124" s="38"/>
      <c r="AO124" s="75"/>
      <c r="AP124" s="67"/>
      <c r="AQ124" s="26"/>
      <c r="AR124" s="26"/>
      <c r="AS124" s="26"/>
      <c r="AT124" s="60"/>
      <c r="AU124" s="60"/>
      <c r="AV124" s="26"/>
      <c r="AW124" s="60"/>
      <c r="AX124" s="26"/>
      <c r="AY124" s="60"/>
      <c r="AZ124" s="26"/>
      <c r="BA124" s="60"/>
      <c r="BB124" s="26"/>
      <c r="BC124" s="60"/>
      <c r="BD124" s="60"/>
      <c r="BE124" s="60"/>
      <c r="BF124" s="60"/>
      <c r="BG124" s="60"/>
      <c r="BH124" s="60"/>
      <c r="BI124" s="60"/>
      <c r="BJ124" s="60"/>
      <c r="BK124" s="60"/>
      <c r="BL124" s="60"/>
      <c r="BM124" s="60"/>
    </row>
    <row r="125" spans="1:65" ht="75" x14ac:dyDescent="0.25">
      <c r="A125" s="160"/>
      <c r="B125" s="154"/>
      <c r="C125" s="19"/>
      <c r="D125" s="27"/>
      <c r="E125" s="19"/>
      <c r="F125" s="32"/>
      <c r="G125" s="32"/>
      <c r="H125" s="19"/>
      <c r="I125" s="19"/>
      <c r="J125" s="19"/>
      <c r="K125" s="19"/>
      <c r="L125" s="143"/>
      <c r="M125" s="27"/>
      <c r="N125" s="27"/>
      <c r="O125" s="78"/>
      <c r="P125" s="27"/>
      <c r="Q125" s="27"/>
      <c r="R125" s="27"/>
      <c r="S125" s="27"/>
      <c r="T125" s="32"/>
      <c r="U125" s="148"/>
      <c r="V125" s="148"/>
      <c r="W125" s="32"/>
      <c r="X125" s="33" t="s">
        <v>1261</v>
      </c>
      <c r="Y125" s="26" t="s">
        <v>186</v>
      </c>
      <c r="Z125" s="63">
        <v>43126</v>
      </c>
      <c r="AA125" s="64">
        <v>12234</v>
      </c>
      <c r="AB125" s="33" t="s">
        <v>1262</v>
      </c>
      <c r="AC125" s="65">
        <v>43100</v>
      </c>
      <c r="AD125" s="65">
        <v>43250</v>
      </c>
      <c r="AE125" s="66"/>
      <c r="AF125" s="60"/>
      <c r="AG125" s="152"/>
      <c r="AH125" s="74">
        <v>724849.02</v>
      </c>
      <c r="AI125" s="74"/>
      <c r="AJ125" s="74"/>
      <c r="AK125" s="74"/>
      <c r="AL125" s="38"/>
      <c r="AM125" s="38"/>
      <c r="AN125" s="38"/>
      <c r="AO125" s="75"/>
      <c r="AP125" s="26"/>
      <c r="AQ125" s="26"/>
      <c r="AR125" s="26"/>
      <c r="AS125" s="26"/>
      <c r="AT125" s="60"/>
      <c r="AU125" s="60"/>
      <c r="AV125" s="26"/>
      <c r="AW125" s="60"/>
      <c r="AX125" s="26"/>
      <c r="AY125" s="60"/>
      <c r="AZ125" s="26"/>
      <c r="BA125" s="60"/>
      <c r="BB125" s="26"/>
      <c r="BC125" s="60"/>
      <c r="BD125" s="60"/>
      <c r="BE125" s="60"/>
      <c r="BF125" s="60"/>
      <c r="BG125" s="60"/>
      <c r="BH125" s="60"/>
      <c r="BI125" s="60"/>
      <c r="BJ125" s="60"/>
      <c r="BK125" s="60"/>
      <c r="BL125" s="60"/>
      <c r="BM125" s="60"/>
    </row>
    <row r="126" spans="1:65" ht="60" x14ac:dyDescent="0.25">
      <c r="A126" s="160"/>
      <c r="B126" s="154"/>
      <c r="C126" s="19"/>
      <c r="D126" s="27"/>
      <c r="E126" s="19"/>
      <c r="F126" s="32"/>
      <c r="G126" s="32"/>
      <c r="H126" s="19"/>
      <c r="I126" s="19"/>
      <c r="J126" s="19"/>
      <c r="K126" s="19"/>
      <c r="L126" s="143"/>
      <c r="M126" s="27"/>
      <c r="N126" s="27"/>
      <c r="O126" s="78"/>
      <c r="P126" s="27"/>
      <c r="Q126" s="27"/>
      <c r="R126" s="27"/>
      <c r="S126" s="27"/>
      <c r="T126" s="32"/>
      <c r="U126" s="148"/>
      <c r="V126" s="148"/>
      <c r="W126" s="32"/>
      <c r="X126" s="33" t="s">
        <v>365</v>
      </c>
      <c r="Y126" s="26" t="s">
        <v>187</v>
      </c>
      <c r="Z126" s="63">
        <v>43200</v>
      </c>
      <c r="AA126" s="64">
        <v>12297</v>
      </c>
      <c r="AB126" s="33" t="s">
        <v>1512</v>
      </c>
      <c r="AC126" s="65"/>
      <c r="AD126" s="65"/>
      <c r="AE126" s="68">
        <v>0.1</v>
      </c>
      <c r="AF126" s="60"/>
      <c r="AG126" s="152">
        <v>31726.26</v>
      </c>
      <c r="AH126" s="74"/>
      <c r="AI126" s="74"/>
      <c r="AJ126" s="74"/>
      <c r="AK126" s="74"/>
      <c r="AL126" s="38"/>
      <c r="AM126" s="38"/>
      <c r="AN126" s="38"/>
      <c r="AO126" s="75"/>
      <c r="AP126" s="26"/>
      <c r="AQ126" s="26"/>
      <c r="AR126" s="26"/>
      <c r="AS126" s="26"/>
      <c r="AT126" s="60"/>
      <c r="AU126" s="60"/>
      <c r="AV126" s="26"/>
      <c r="AW126" s="60"/>
      <c r="AX126" s="26"/>
      <c r="AY126" s="60"/>
      <c r="AZ126" s="26"/>
      <c r="BA126" s="60"/>
      <c r="BB126" s="26"/>
      <c r="BC126" s="60"/>
      <c r="BD126" s="60"/>
      <c r="BE126" s="60"/>
      <c r="BF126" s="60"/>
      <c r="BG126" s="60"/>
      <c r="BH126" s="60"/>
      <c r="BI126" s="60"/>
      <c r="BJ126" s="60"/>
      <c r="BK126" s="60"/>
      <c r="BL126" s="60"/>
      <c r="BM126" s="60"/>
    </row>
    <row r="127" spans="1:65" ht="60" x14ac:dyDescent="0.25">
      <c r="A127" s="160">
        <v>20</v>
      </c>
      <c r="B127" s="154" t="s">
        <v>333</v>
      </c>
      <c r="C127" s="14" t="s">
        <v>215</v>
      </c>
      <c r="D127" s="27" t="s">
        <v>138</v>
      </c>
      <c r="E127" s="19"/>
      <c r="F127" s="32" t="s">
        <v>812</v>
      </c>
      <c r="G127" s="32"/>
      <c r="H127" s="20"/>
      <c r="I127" s="20"/>
      <c r="J127" s="20"/>
      <c r="K127" s="19" t="s">
        <v>322</v>
      </c>
      <c r="L127" s="143" t="s">
        <v>331</v>
      </c>
      <c r="M127" s="27" t="s">
        <v>332</v>
      </c>
      <c r="N127" s="31">
        <v>42006</v>
      </c>
      <c r="O127" s="78">
        <v>92232</v>
      </c>
      <c r="P127" s="30" t="s">
        <v>523</v>
      </c>
      <c r="Q127" s="31">
        <v>42006</v>
      </c>
      <c r="R127" s="31">
        <v>42371</v>
      </c>
      <c r="S127" s="27" t="s">
        <v>142</v>
      </c>
      <c r="T127" s="32"/>
      <c r="U127" s="148"/>
      <c r="V127" s="148"/>
      <c r="W127" s="32" t="s">
        <v>116</v>
      </c>
      <c r="X127" s="33" t="s">
        <v>1261</v>
      </c>
      <c r="Y127" s="26" t="s">
        <v>136</v>
      </c>
      <c r="Z127" s="63">
        <v>42369</v>
      </c>
      <c r="AA127" s="64">
        <v>11717</v>
      </c>
      <c r="AB127" s="33" t="s">
        <v>501</v>
      </c>
      <c r="AC127" s="65">
        <v>42371</v>
      </c>
      <c r="AD127" s="65">
        <v>42737</v>
      </c>
      <c r="AE127" s="66"/>
      <c r="AF127" s="60"/>
      <c r="AG127" s="74">
        <v>92232</v>
      </c>
      <c r="AH127" s="74"/>
      <c r="AI127" s="74"/>
      <c r="AJ127" s="74"/>
      <c r="AK127" s="74"/>
      <c r="AL127" s="38">
        <f>O127-AH127+AG127-AH128+AG128-AH129+AG129</f>
        <v>368928</v>
      </c>
      <c r="AM127" s="38">
        <f>92232+7686+7686+7686+7686+7686+7686+7686+7686+7686+7686+7686+7686+7686+7686+7686+7686+7686+7686+7686+7686+7686+7686+7686+7686</f>
        <v>276696</v>
      </c>
      <c r="AN127" s="38">
        <f>7686+7686+7686+7686+7686+7686</f>
        <v>46116</v>
      </c>
      <c r="AO127" s="75">
        <f>AM127+AN127</f>
        <v>322812</v>
      </c>
      <c r="AP127" s="26"/>
      <c r="AQ127" s="26"/>
      <c r="AR127" s="26"/>
      <c r="AS127" s="26"/>
      <c r="AT127" s="60"/>
      <c r="AU127" s="60"/>
      <c r="AV127" s="26" t="s">
        <v>121</v>
      </c>
      <c r="AW127" s="22" t="s">
        <v>280</v>
      </c>
      <c r="AX127" s="64" t="s">
        <v>557</v>
      </c>
      <c r="AY127" s="65">
        <v>42000</v>
      </c>
      <c r="AZ127" s="64" t="s">
        <v>560</v>
      </c>
      <c r="BA127" s="65">
        <v>42009</v>
      </c>
      <c r="BB127" s="26"/>
      <c r="BC127" s="60"/>
      <c r="BD127" s="60"/>
      <c r="BE127" s="60"/>
      <c r="BF127" s="60"/>
      <c r="BG127" s="60"/>
      <c r="BH127" s="60"/>
      <c r="BI127" s="60"/>
      <c r="BJ127" s="60"/>
      <c r="BK127" s="60"/>
      <c r="BL127" s="60"/>
      <c r="BM127" s="60"/>
    </row>
    <row r="128" spans="1:65" ht="75" x14ac:dyDescent="0.25">
      <c r="A128" s="160"/>
      <c r="B128" s="154"/>
      <c r="C128" s="14"/>
      <c r="D128" s="27"/>
      <c r="E128" s="19"/>
      <c r="F128" s="32"/>
      <c r="G128" s="32"/>
      <c r="H128" s="20"/>
      <c r="I128" s="20"/>
      <c r="J128" s="20"/>
      <c r="K128" s="19"/>
      <c r="L128" s="143"/>
      <c r="M128" s="27"/>
      <c r="N128" s="31"/>
      <c r="O128" s="78"/>
      <c r="P128" s="30"/>
      <c r="Q128" s="31"/>
      <c r="R128" s="31"/>
      <c r="S128" s="27"/>
      <c r="T128" s="32"/>
      <c r="U128" s="148"/>
      <c r="V128" s="148"/>
      <c r="W128" s="32"/>
      <c r="X128" s="33" t="s">
        <v>1261</v>
      </c>
      <c r="Y128" s="26" t="s">
        <v>140</v>
      </c>
      <c r="Z128" s="63">
        <v>42723</v>
      </c>
      <c r="AA128" s="64">
        <v>11968</v>
      </c>
      <c r="AB128" s="33" t="s">
        <v>706</v>
      </c>
      <c r="AC128" s="65">
        <v>42737</v>
      </c>
      <c r="AD128" s="65">
        <v>43102</v>
      </c>
      <c r="AE128" s="66"/>
      <c r="AF128" s="60"/>
      <c r="AG128" s="74">
        <v>92232</v>
      </c>
      <c r="AH128" s="74"/>
      <c r="AI128" s="74"/>
      <c r="AJ128" s="74"/>
      <c r="AK128" s="74"/>
      <c r="AL128" s="38"/>
      <c r="AM128" s="38"/>
      <c r="AN128" s="38"/>
      <c r="AO128" s="75"/>
      <c r="AP128" s="26"/>
      <c r="AQ128" s="26"/>
      <c r="AR128" s="26"/>
      <c r="AS128" s="26"/>
      <c r="AT128" s="60"/>
      <c r="AU128" s="60"/>
      <c r="AV128" s="26"/>
      <c r="AW128" s="22"/>
      <c r="AX128" s="64"/>
      <c r="AY128" s="65"/>
      <c r="AZ128" s="64"/>
      <c r="BA128" s="65"/>
      <c r="BB128" s="26"/>
      <c r="BC128" s="60"/>
      <c r="BD128" s="60"/>
      <c r="BE128" s="60"/>
      <c r="BF128" s="60"/>
      <c r="BG128" s="60"/>
      <c r="BH128" s="60"/>
      <c r="BI128" s="60"/>
      <c r="BJ128" s="60"/>
      <c r="BK128" s="60"/>
      <c r="BL128" s="60"/>
      <c r="BM128" s="60"/>
    </row>
    <row r="129" spans="1:65" ht="75" x14ac:dyDescent="0.25">
      <c r="A129" s="160"/>
      <c r="B129" s="154"/>
      <c r="C129" s="14"/>
      <c r="D129" s="27"/>
      <c r="E129" s="19"/>
      <c r="F129" s="32"/>
      <c r="G129" s="32"/>
      <c r="H129" s="19"/>
      <c r="I129" s="19"/>
      <c r="J129" s="19"/>
      <c r="K129" s="19"/>
      <c r="L129" s="143"/>
      <c r="M129" s="27"/>
      <c r="N129" s="27"/>
      <c r="O129" s="78"/>
      <c r="P129" s="27"/>
      <c r="Q129" s="27"/>
      <c r="R129" s="27"/>
      <c r="S129" s="27"/>
      <c r="T129" s="32"/>
      <c r="U129" s="148"/>
      <c r="V129" s="148"/>
      <c r="W129" s="32"/>
      <c r="X129" s="33" t="s">
        <v>1261</v>
      </c>
      <c r="Y129" s="26" t="s">
        <v>185</v>
      </c>
      <c r="Z129" s="63">
        <v>43077</v>
      </c>
      <c r="AA129" s="64">
        <v>12203</v>
      </c>
      <c r="AB129" s="33" t="s">
        <v>706</v>
      </c>
      <c r="AC129" s="65">
        <v>43102</v>
      </c>
      <c r="AD129" s="65">
        <v>43467</v>
      </c>
      <c r="AE129" s="66"/>
      <c r="AF129" s="60"/>
      <c r="AG129" s="74">
        <v>92232</v>
      </c>
      <c r="AH129" s="74"/>
      <c r="AI129" s="74"/>
      <c r="AJ129" s="74"/>
      <c r="AK129" s="74"/>
      <c r="AL129" s="38"/>
      <c r="AM129" s="38"/>
      <c r="AN129" s="38"/>
      <c r="AO129" s="75"/>
      <c r="AP129" s="67"/>
      <c r="AQ129" s="26"/>
      <c r="AR129" s="26"/>
      <c r="AS129" s="26"/>
      <c r="AT129" s="60"/>
      <c r="AU129" s="60"/>
      <c r="AV129" s="26"/>
      <c r="AW129" s="22"/>
      <c r="AX129" s="64"/>
      <c r="AY129" s="65"/>
      <c r="AZ129" s="64"/>
      <c r="BA129" s="65"/>
      <c r="BB129" s="26"/>
      <c r="BC129" s="60"/>
      <c r="BD129" s="60"/>
      <c r="BE129" s="60"/>
      <c r="BF129" s="60"/>
      <c r="BG129" s="60"/>
      <c r="BH129" s="60"/>
      <c r="BI129" s="60"/>
      <c r="BJ129" s="60"/>
      <c r="BK129" s="60"/>
      <c r="BL129" s="60"/>
      <c r="BM129" s="60"/>
    </row>
    <row r="130" spans="1:65" ht="150" x14ac:dyDescent="0.25">
      <c r="A130" s="160"/>
      <c r="B130" s="154"/>
      <c r="C130" s="14"/>
      <c r="D130" s="27"/>
      <c r="E130" s="19"/>
      <c r="F130" s="32"/>
      <c r="G130" s="32"/>
      <c r="H130" s="19"/>
      <c r="I130" s="19"/>
      <c r="J130" s="19"/>
      <c r="K130" s="19"/>
      <c r="L130" s="143"/>
      <c r="M130" s="27"/>
      <c r="N130" s="27"/>
      <c r="O130" s="78"/>
      <c r="P130" s="27"/>
      <c r="Q130" s="27"/>
      <c r="R130" s="27"/>
      <c r="S130" s="27"/>
      <c r="T130" s="32"/>
      <c r="U130" s="148"/>
      <c r="V130" s="148"/>
      <c r="W130" s="32"/>
      <c r="X130" s="33" t="s">
        <v>1670</v>
      </c>
      <c r="Y130" s="22" t="s">
        <v>1443</v>
      </c>
      <c r="Z130" s="63">
        <v>43292</v>
      </c>
      <c r="AA130" s="64">
        <v>12346</v>
      </c>
      <c r="AB130" s="33" t="s">
        <v>1682</v>
      </c>
      <c r="AC130" s="65"/>
      <c r="AD130" s="65"/>
      <c r="AE130" s="66"/>
      <c r="AF130" s="60"/>
      <c r="AG130" s="74"/>
      <c r="AH130" s="74"/>
      <c r="AI130" s="74"/>
      <c r="AJ130" s="74"/>
      <c r="AK130" s="74"/>
      <c r="AL130" s="38"/>
      <c r="AM130" s="38"/>
      <c r="AN130" s="38"/>
      <c r="AO130" s="75"/>
      <c r="AP130" s="26"/>
      <c r="AQ130" s="26"/>
      <c r="AR130" s="26"/>
      <c r="AS130" s="26"/>
      <c r="AT130" s="60"/>
      <c r="AU130" s="60"/>
      <c r="AV130" s="26"/>
      <c r="AW130" s="22"/>
      <c r="AX130" s="64"/>
      <c r="AY130" s="65"/>
      <c r="AZ130" s="64"/>
      <c r="BA130" s="65"/>
      <c r="BB130" s="26"/>
      <c r="BC130" s="60"/>
      <c r="BD130" s="60"/>
      <c r="BE130" s="60"/>
      <c r="BF130" s="60"/>
      <c r="BG130" s="60"/>
      <c r="BH130" s="60"/>
      <c r="BI130" s="60"/>
      <c r="BJ130" s="60"/>
      <c r="BK130" s="60"/>
      <c r="BL130" s="60"/>
      <c r="BM130" s="60"/>
    </row>
    <row r="131" spans="1:65" ht="60" x14ac:dyDescent="0.25">
      <c r="A131" s="160">
        <v>21</v>
      </c>
      <c r="B131" s="154" t="s">
        <v>334</v>
      </c>
      <c r="C131" s="14" t="s">
        <v>217</v>
      </c>
      <c r="D131" s="27" t="s">
        <v>143</v>
      </c>
      <c r="E131" s="19" t="s">
        <v>278</v>
      </c>
      <c r="F131" s="32" t="s">
        <v>297</v>
      </c>
      <c r="G131" s="28" t="s">
        <v>550</v>
      </c>
      <c r="H131" s="20" t="s">
        <v>751</v>
      </c>
      <c r="I131" s="29">
        <v>41772</v>
      </c>
      <c r="J131" s="29">
        <v>42137</v>
      </c>
      <c r="K131" s="19" t="s">
        <v>324</v>
      </c>
      <c r="L131" s="143" t="s">
        <v>335</v>
      </c>
      <c r="M131" s="27" t="s">
        <v>336</v>
      </c>
      <c r="N131" s="31">
        <v>42016</v>
      </c>
      <c r="O131" s="78">
        <v>46159.92</v>
      </c>
      <c r="P131" s="30" t="s">
        <v>524</v>
      </c>
      <c r="Q131" s="31">
        <v>42016</v>
      </c>
      <c r="R131" s="31">
        <v>42381</v>
      </c>
      <c r="S131" s="27" t="s">
        <v>142</v>
      </c>
      <c r="T131" s="32"/>
      <c r="U131" s="148"/>
      <c r="V131" s="148"/>
      <c r="W131" s="32" t="s">
        <v>135</v>
      </c>
      <c r="X131" s="33" t="s">
        <v>1261</v>
      </c>
      <c r="Y131" s="26" t="s">
        <v>136</v>
      </c>
      <c r="Z131" s="63">
        <v>42381</v>
      </c>
      <c r="AA131" s="64">
        <v>11729</v>
      </c>
      <c r="AB131" s="33" t="s">
        <v>482</v>
      </c>
      <c r="AC131" s="65">
        <v>42381</v>
      </c>
      <c r="AD131" s="65">
        <v>42747</v>
      </c>
      <c r="AE131" s="66"/>
      <c r="AF131" s="60"/>
      <c r="AG131" s="74">
        <v>46159.92</v>
      </c>
      <c r="AH131" s="74"/>
      <c r="AI131" s="74"/>
      <c r="AJ131" s="74"/>
      <c r="AK131" s="74"/>
      <c r="AL131" s="38">
        <f>O131-AH131+AG131-AH132+AG132-AH133+AG133-AH134+AG134-AH135+AG135</f>
        <v>199344.56</v>
      </c>
      <c r="AM131" s="38">
        <f>34706.74+3846.66+3846.66+3846.66+3846.66+3846.66+3846.66+3846.66+3846.66+3846.66+3846.66+3846.66+3846.66+4302.94+4302.94+4302.94+4302.94+4302.94+4302.94+4302.94+4302.94+4302.94+4302.94+4302.94</f>
        <v>128199.00000000006</v>
      </c>
      <c r="AN131" s="38">
        <f>4302.94+8605.88+4302.94+4302.94+2151.47+2151.47+3514.07+4302.94+4302.94+4302.94</f>
        <v>42240.530000000006</v>
      </c>
      <c r="AO131" s="75">
        <f>AM131+AN131</f>
        <v>170439.53000000006</v>
      </c>
      <c r="AP131" s="26"/>
      <c r="AQ131" s="26"/>
      <c r="AR131" s="26"/>
      <c r="AS131" s="26"/>
      <c r="AT131" s="60"/>
      <c r="AU131" s="60"/>
      <c r="AV131" s="26"/>
      <c r="AW131" s="60"/>
      <c r="AX131" s="26"/>
      <c r="AY131" s="60"/>
      <c r="AZ131" s="26"/>
      <c r="BA131" s="60"/>
      <c r="BB131" s="26"/>
      <c r="BC131" s="60"/>
      <c r="BD131" s="60"/>
      <c r="BE131" s="60"/>
      <c r="BF131" s="60"/>
      <c r="BG131" s="60"/>
      <c r="BH131" s="60"/>
      <c r="BI131" s="60"/>
      <c r="BJ131" s="60"/>
      <c r="BK131" s="60"/>
      <c r="BL131" s="60"/>
      <c r="BM131" s="60"/>
    </row>
    <row r="132" spans="1:65" ht="210" x14ac:dyDescent="0.25">
      <c r="A132" s="160"/>
      <c r="B132" s="154"/>
      <c r="C132" s="14"/>
      <c r="D132" s="27"/>
      <c r="E132" s="19"/>
      <c r="F132" s="32"/>
      <c r="G132" s="28"/>
      <c r="H132" s="20"/>
      <c r="I132" s="29"/>
      <c r="J132" s="29"/>
      <c r="K132" s="19"/>
      <c r="L132" s="143"/>
      <c r="M132" s="27"/>
      <c r="N132" s="31"/>
      <c r="O132" s="78"/>
      <c r="P132" s="30"/>
      <c r="Q132" s="31"/>
      <c r="R132" s="31"/>
      <c r="S132" s="27"/>
      <c r="T132" s="32"/>
      <c r="U132" s="148"/>
      <c r="V132" s="148"/>
      <c r="W132" s="32"/>
      <c r="X132" s="33" t="s">
        <v>365</v>
      </c>
      <c r="Y132" s="26" t="s">
        <v>140</v>
      </c>
      <c r="Z132" s="63">
        <v>42719</v>
      </c>
      <c r="AA132" s="64">
        <v>11964</v>
      </c>
      <c r="AB132" s="33" t="s">
        <v>660</v>
      </c>
      <c r="AC132" s="65"/>
      <c r="AD132" s="65"/>
      <c r="AE132" s="66"/>
      <c r="AF132" s="60"/>
      <c r="AG132" s="74">
        <v>5475.36</v>
      </c>
      <c r="AH132" s="74"/>
      <c r="AI132" s="74"/>
      <c r="AJ132" s="74"/>
      <c r="AK132" s="74"/>
      <c r="AL132" s="38"/>
      <c r="AM132" s="38"/>
      <c r="AN132" s="38"/>
      <c r="AO132" s="75"/>
      <c r="AP132" s="26"/>
      <c r="AQ132" s="26"/>
      <c r="AR132" s="26"/>
      <c r="AS132" s="26"/>
      <c r="AT132" s="60"/>
      <c r="AU132" s="60"/>
      <c r="AV132" s="26"/>
      <c r="AW132" s="60"/>
      <c r="AX132" s="26"/>
      <c r="AY132" s="60"/>
      <c r="AZ132" s="26"/>
      <c r="BA132" s="60"/>
      <c r="BB132" s="26"/>
      <c r="BC132" s="60"/>
      <c r="BD132" s="60"/>
      <c r="BE132" s="60"/>
      <c r="BF132" s="60"/>
      <c r="BG132" s="60"/>
      <c r="BH132" s="60"/>
      <c r="BI132" s="60"/>
      <c r="BJ132" s="60"/>
      <c r="BK132" s="60"/>
      <c r="BL132" s="60"/>
      <c r="BM132" s="60"/>
    </row>
    <row r="133" spans="1:65" ht="60" x14ac:dyDescent="0.25">
      <c r="A133" s="160"/>
      <c r="B133" s="154"/>
      <c r="C133" s="14"/>
      <c r="D133" s="27"/>
      <c r="E133" s="19"/>
      <c r="F133" s="32"/>
      <c r="G133" s="28"/>
      <c r="H133" s="20"/>
      <c r="I133" s="29"/>
      <c r="J133" s="29"/>
      <c r="K133" s="19"/>
      <c r="L133" s="143"/>
      <c r="M133" s="27"/>
      <c r="N133" s="31"/>
      <c r="O133" s="78"/>
      <c r="P133" s="30"/>
      <c r="Q133" s="31"/>
      <c r="R133" s="31"/>
      <c r="S133" s="27"/>
      <c r="T133" s="32"/>
      <c r="U133" s="148"/>
      <c r="V133" s="148"/>
      <c r="W133" s="32"/>
      <c r="X133" s="33" t="s">
        <v>1261</v>
      </c>
      <c r="Y133" s="26" t="s">
        <v>185</v>
      </c>
      <c r="Z133" s="63">
        <v>42725</v>
      </c>
      <c r="AA133" s="64">
        <v>11964</v>
      </c>
      <c r="AB133" s="33" t="s">
        <v>621</v>
      </c>
      <c r="AC133" s="65">
        <v>42747</v>
      </c>
      <c r="AD133" s="65">
        <v>43112</v>
      </c>
      <c r="AE133" s="66"/>
      <c r="AF133" s="60"/>
      <c r="AG133" s="74">
        <v>51635.28</v>
      </c>
      <c r="AH133" s="74"/>
      <c r="AI133" s="74"/>
      <c r="AJ133" s="74"/>
      <c r="AK133" s="74"/>
      <c r="AL133" s="38"/>
      <c r="AM133" s="38"/>
      <c r="AN133" s="38"/>
      <c r="AO133" s="75"/>
      <c r="AP133" s="67"/>
      <c r="AQ133" s="26"/>
      <c r="AR133" s="26"/>
      <c r="AS133" s="26"/>
      <c r="AT133" s="60"/>
      <c r="AU133" s="60"/>
      <c r="AV133" s="26"/>
      <c r="AW133" s="60"/>
      <c r="AX133" s="26"/>
      <c r="AY133" s="60"/>
      <c r="AZ133" s="26"/>
      <c r="BA133" s="60"/>
      <c r="BB133" s="26"/>
      <c r="BC133" s="60"/>
      <c r="BD133" s="60"/>
      <c r="BE133" s="60"/>
      <c r="BF133" s="60"/>
      <c r="BG133" s="60"/>
      <c r="BH133" s="60"/>
      <c r="BI133" s="60"/>
      <c r="BJ133" s="60"/>
      <c r="BK133" s="60"/>
      <c r="BL133" s="60"/>
      <c r="BM133" s="60"/>
    </row>
    <row r="134" spans="1:65" ht="60" x14ac:dyDescent="0.25">
      <c r="A134" s="160"/>
      <c r="B134" s="154"/>
      <c r="C134" s="14"/>
      <c r="D134" s="27"/>
      <c r="E134" s="19"/>
      <c r="F134" s="32"/>
      <c r="G134" s="32"/>
      <c r="H134" s="19"/>
      <c r="I134" s="19"/>
      <c r="J134" s="19"/>
      <c r="K134" s="19"/>
      <c r="L134" s="143"/>
      <c r="M134" s="27"/>
      <c r="N134" s="27"/>
      <c r="O134" s="78"/>
      <c r="P134" s="27"/>
      <c r="Q134" s="27"/>
      <c r="R134" s="27"/>
      <c r="S134" s="27"/>
      <c r="T134" s="32"/>
      <c r="U134" s="148"/>
      <c r="V134" s="148"/>
      <c r="W134" s="32"/>
      <c r="X134" s="33" t="s">
        <v>1261</v>
      </c>
      <c r="Y134" s="26" t="s">
        <v>186</v>
      </c>
      <c r="Z134" s="63">
        <v>43104</v>
      </c>
      <c r="AA134" s="64">
        <v>12237</v>
      </c>
      <c r="AB134" s="33" t="s">
        <v>1008</v>
      </c>
      <c r="AC134" s="65">
        <v>43112</v>
      </c>
      <c r="AD134" s="65">
        <v>43293</v>
      </c>
      <c r="AE134" s="66"/>
      <c r="AF134" s="60"/>
      <c r="AG134" s="74">
        <v>25817.64</v>
      </c>
      <c r="AH134" s="74"/>
      <c r="AI134" s="74"/>
      <c r="AJ134" s="74"/>
      <c r="AK134" s="74"/>
      <c r="AL134" s="38"/>
      <c r="AM134" s="38"/>
      <c r="AN134" s="38"/>
      <c r="AO134" s="75"/>
      <c r="AP134" s="26"/>
      <c r="AQ134" s="26"/>
      <c r="AR134" s="26"/>
      <c r="AS134" s="26"/>
      <c r="AT134" s="60"/>
      <c r="AU134" s="60"/>
      <c r="AV134" s="26"/>
      <c r="AW134" s="60"/>
      <c r="AX134" s="26"/>
      <c r="AY134" s="60"/>
      <c r="AZ134" s="26"/>
      <c r="BA134" s="60"/>
      <c r="BB134" s="26"/>
      <c r="BC134" s="60"/>
      <c r="BD134" s="60"/>
      <c r="BE134" s="60"/>
      <c r="BF134" s="60"/>
      <c r="BG134" s="60"/>
      <c r="BH134" s="60"/>
      <c r="BI134" s="60"/>
      <c r="BJ134" s="60"/>
      <c r="BK134" s="60"/>
      <c r="BL134" s="60"/>
      <c r="BM134" s="60"/>
    </row>
    <row r="135" spans="1:65" ht="45" x14ac:dyDescent="0.25">
      <c r="A135" s="160"/>
      <c r="B135" s="154"/>
      <c r="C135" s="14"/>
      <c r="D135" s="27"/>
      <c r="E135" s="19"/>
      <c r="F135" s="32"/>
      <c r="G135" s="32"/>
      <c r="H135" s="19"/>
      <c r="I135" s="19"/>
      <c r="J135" s="19"/>
      <c r="K135" s="19"/>
      <c r="L135" s="143"/>
      <c r="M135" s="27"/>
      <c r="N135" s="27"/>
      <c r="O135" s="78"/>
      <c r="P135" s="27"/>
      <c r="Q135" s="27"/>
      <c r="R135" s="27"/>
      <c r="S135" s="27"/>
      <c r="T135" s="32"/>
      <c r="U135" s="148"/>
      <c r="V135" s="148"/>
      <c r="W135" s="32"/>
      <c r="X135" s="33" t="s">
        <v>1261</v>
      </c>
      <c r="Y135" s="26" t="s">
        <v>187</v>
      </c>
      <c r="Z135" s="63">
        <v>43290</v>
      </c>
      <c r="AA135" s="64">
        <v>12345</v>
      </c>
      <c r="AB135" s="33" t="s">
        <v>1685</v>
      </c>
      <c r="AC135" s="65">
        <v>43293</v>
      </c>
      <c r="AD135" s="65">
        <v>43465</v>
      </c>
      <c r="AE135" s="66"/>
      <c r="AF135" s="60"/>
      <c r="AG135" s="74">
        <v>24096.44</v>
      </c>
      <c r="AH135" s="74"/>
      <c r="AI135" s="74"/>
      <c r="AJ135" s="74"/>
      <c r="AK135" s="74"/>
      <c r="AL135" s="38"/>
      <c r="AM135" s="38"/>
      <c r="AN135" s="38"/>
      <c r="AO135" s="75"/>
      <c r="AP135" s="26"/>
      <c r="AQ135" s="26"/>
      <c r="AR135" s="26"/>
      <c r="AS135" s="26"/>
      <c r="AT135" s="60"/>
      <c r="AU135" s="60"/>
      <c r="AV135" s="26"/>
      <c r="AW135" s="60"/>
      <c r="AX135" s="26"/>
      <c r="AY135" s="60"/>
      <c r="AZ135" s="26"/>
      <c r="BA135" s="60"/>
      <c r="BB135" s="26"/>
      <c r="BC135" s="60"/>
      <c r="BD135" s="60"/>
      <c r="BE135" s="60"/>
      <c r="BF135" s="60"/>
      <c r="BG135" s="60"/>
      <c r="BH135" s="60"/>
      <c r="BI135" s="60"/>
      <c r="BJ135" s="60"/>
      <c r="BK135" s="60"/>
      <c r="BL135" s="60"/>
      <c r="BM135" s="60"/>
    </row>
    <row r="136" spans="1:65" ht="60" x14ac:dyDescent="0.25">
      <c r="A136" s="160">
        <v>22</v>
      </c>
      <c r="B136" s="154" t="s">
        <v>337</v>
      </c>
      <c r="C136" s="19" t="s">
        <v>321</v>
      </c>
      <c r="D136" s="27" t="s">
        <v>338</v>
      </c>
      <c r="E136" s="19" t="s">
        <v>278</v>
      </c>
      <c r="F136" s="32" t="s">
        <v>341</v>
      </c>
      <c r="G136" s="28" t="s">
        <v>548</v>
      </c>
      <c r="H136" s="19" t="s">
        <v>203</v>
      </c>
      <c r="I136" s="29">
        <v>41659</v>
      </c>
      <c r="J136" s="29">
        <v>42024</v>
      </c>
      <c r="K136" s="19" t="s">
        <v>325</v>
      </c>
      <c r="L136" s="143" t="s">
        <v>339</v>
      </c>
      <c r="M136" s="27" t="s">
        <v>340</v>
      </c>
      <c r="N136" s="31">
        <v>42018</v>
      </c>
      <c r="O136" s="78">
        <v>42000</v>
      </c>
      <c r="P136" s="30" t="s">
        <v>525</v>
      </c>
      <c r="Q136" s="31">
        <v>42018</v>
      </c>
      <c r="R136" s="31">
        <v>42383</v>
      </c>
      <c r="S136" s="27" t="s">
        <v>142</v>
      </c>
      <c r="T136" s="32"/>
      <c r="U136" s="148"/>
      <c r="V136" s="148"/>
      <c r="W136" s="32" t="s">
        <v>116</v>
      </c>
      <c r="X136" s="33" t="s">
        <v>1261</v>
      </c>
      <c r="Y136" s="26" t="s">
        <v>136</v>
      </c>
      <c r="Z136" s="63">
        <v>42383</v>
      </c>
      <c r="AA136" s="64">
        <v>11737</v>
      </c>
      <c r="AB136" s="33" t="s">
        <v>480</v>
      </c>
      <c r="AC136" s="65">
        <v>42383</v>
      </c>
      <c r="AD136" s="65">
        <v>42749</v>
      </c>
      <c r="AE136" s="66"/>
      <c r="AF136" s="60"/>
      <c r="AG136" s="74">
        <v>42000</v>
      </c>
      <c r="AH136" s="74"/>
      <c r="AI136" s="74"/>
      <c r="AJ136" s="74"/>
      <c r="AK136" s="74"/>
      <c r="AL136" s="38">
        <f>O136-AH136+AG136-AH137+AG137-AH138+AG138</f>
        <v>168000</v>
      </c>
      <c r="AM136" s="38">
        <f>38250+3500+3500+3500+3500+3500+3500+7000+3500+3500+7000+3500+3500+3500+3500+3500+3500+7000+3500+3500+3500</f>
        <v>118750</v>
      </c>
      <c r="AN136" s="38">
        <f>3500+3500+3500+3500+3500+3500+3500+3500+3500+3500</f>
        <v>35000</v>
      </c>
      <c r="AO136" s="75">
        <f>AM136+AN136</f>
        <v>153750</v>
      </c>
      <c r="AP136" s="26" t="s">
        <v>203</v>
      </c>
      <c r="AQ136" s="65">
        <v>41659</v>
      </c>
      <c r="AR136" s="65">
        <v>42024</v>
      </c>
      <c r="AS136" s="64">
        <v>11233</v>
      </c>
      <c r="AT136" s="43" t="s">
        <v>343</v>
      </c>
      <c r="AU136" s="60"/>
      <c r="AV136" s="26"/>
      <c r="AW136" s="60"/>
      <c r="AX136" s="26"/>
      <c r="AY136" s="60"/>
      <c r="AZ136" s="26"/>
      <c r="BA136" s="60"/>
      <c r="BB136" s="26"/>
      <c r="BC136" s="60"/>
      <c r="BD136" s="60"/>
      <c r="BE136" s="60"/>
      <c r="BF136" s="60"/>
      <c r="BG136" s="60"/>
      <c r="BH136" s="60"/>
      <c r="BI136" s="60"/>
      <c r="BJ136" s="60"/>
      <c r="BK136" s="60"/>
      <c r="BL136" s="60"/>
      <c r="BM136" s="60"/>
    </row>
    <row r="137" spans="1:65" ht="60" x14ac:dyDescent="0.25">
      <c r="A137" s="160"/>
      <c r="B137" s="154"/>
      <c r="C137" s="19"/>
      <c r="D137" s="27"/>
      <c r="E137" s="19"/>
      <c r="F137" s="32"/>
      <c r="G137" s="32"/>
      <c r="H137" s="19"/>
      <c r="I137" s="19"/>
      <c r="J137" s="19"/>
      <c r="K137" s="19"/>
      <c r="L137" s="143"/>
      <c r="M137" s="27"/>
      <c r="N137" s="27"/>
      <c r="O137" s="78"/>
      <c r="P137" s="27"/>
      <c r="Q137" s="27"/>
      <c r="R137" s="27"/>
      <c r="S137" s="27"/>
      <c r="T137" s="32"/>
      <c r="U137" s="148"/>
      <c r="V137" s="148"/>
      <c r="W137" s="32"/>
      <c r="X137" s="33" t="s">
        <v>1261</v>
      </c>
      <c r="Y137" s="26" t="s">
        <v>140</v>
      </c>
      <c r="Z137" s="63">
        <v>42725</v>
      </c>
      <c r="AA137" s="64">
        <v>11969</v>
      </c>
      <c r="AB137" s="33" t="s">
        <v>480</v>
      </c>
      <c r="AC137" s="65">
        <v>42749</v>
      </c>
      <c r="AD137" s="65">
        <v>43114</v>
      </c>
      <c r="AE137" s="66"/>
      <c r="AF137" s="60"/>
      <c r="AG137" s="74">
        <v>42000</v>
      </c>
      <c r="AH137" s="74"/>
      <c r="AI137" s="74"/>
      <c r="AJ137" s="74"/>
      <c r="AK137" s="74"/>
      <c r="AL137" s="38"/>
      <c r="AM137" s="38"/>
      <c r="AN137" s="38"/>
      <c r="AO137" s="75"/>
      <c r="AP137" s="67">
        <f>AL136-AO136</f>
        <v>14250</v>
      </c>
      <c r="AQ137" s="65"/>
      <c r="AR137" s="65"/>
      <c r="AS137" s="64"/>
      <c r="AT137" s="43"/>
      <c r="AU137" s="60"/>
      <c r="AV137" s="26"/>
      <c r="AW137" s="60"/>
      <c r="AX137" s="26"/>
      <c r="AY137" s="60"/>
      <c r="AZ137" s="26"/>
      <c r="BA137" s="60"/>
      <c r="BB137" s="26"/>
      <c r="BC137" s="60"/>
      <c r="BD137" s="60"/>
      <c r="BE137" s="60"/>
      <c r="BF137" s="60"/>
      <c r="BG137" s="60"/>
      <c r="BH137" s="60"/>
      <c r="BI137" s="60"/>
      <c r="BJ137" s="60"/>
      <c r="BK137" s="60"/>
      <c r="BL137" s="60"/>
      <c r="BM137" s="60"/>
    </row>
    <row r="138" spans="1:65" ht="60" x14ac:dyDescent="0.25">
      <c r="A138" s="160"/>
      <c r="B138" s="154"/>
      <c r="C138" s="19"/>
      <c r="D138" s="27"/>
      <c r="E138" s="19"/>
      <c r="F138" s="32"/>
      <c r="G138" s="32"/>
      <c r="H138" s="19"/>
      <c r="I138" s="19"/>
      <c r="J138" s="19"/>
      <c r="K138" s="19"/>
      <c r="L138" s="143"/>
      <c r="M138" s="27"/>
      <c r="N138" s="27"/>
      <c r="O138" s="78"/>
      <c r="P138" s="27"/>
      <c r="Q138" s="27"/>
      <c r="R138" s="27"/>
      <c r="S138" s="27"/>
      <c r="T138" s="32"/>
      <c r="U138" s="148"/>
      <c r="V138" s="148"/>
      <c r="W138" s="32"/>
      <c r="X138" s="33" t="s">
        <v>1261</v>
      </c>
      <c r="Y138" s="26" t="s">
        <v>185</v>
      </c>
      <c r="Z138" s="63">
        <v>43089</v>
      </c>
      <c r="AA138" s="64">
        <v>12211</v>
      </c>
      <c r="AB138" s="33" t="s">
        <v>480</v>
      </c>
      <c r="AC138" s="65">
        <v>43114</v>
      </c>
      <c r="AD138" s="65">
        <v>43479</v>
      </c>
      <c r="AE138" s="66"/>
      <c r="AF138" s="60"/>
      <c r="AG138" s="74">
        <v>42000</v>
      </c>
      <c r="AH138" s="74"/>
      <c r="AI138" s="74"/>
      <c r="AJ138" s="74"/>
      <c r="AK138" s="74"/>
      <c r="AL138" s="38"/>
      <c r="AM138" s="38"/>
      <c r="AN138" s="38"/>
      <c r="AO138" s="75"/>
      <c r="AP138" s="26"/>
      <c r="AQ138" s="65"/>
      <c r="AR138" s="65"/>
      <c r="AS138" s="64"/>
      <c r="AT138" s="43"/>
      <c r="AU138" s="60"/>
      <c r="AV138" s="26"/>
      <c r="AW138" s="60"/>
      <c r="AX138" s="26"/>
      <c r="AY138" s="60"/>
      <c r="AZ138" s="26"/>
      <c r="BA138" s="60"/>
      <c r="BB138" s="26"/>
      <c r="BC138" s="60"/>
      <c r="BD138" s="60"/>
      <c r="BE138" s="60"/>
      <c r="BF138" s="60"/>
      <c r="BG138" s="60"/>
      <c r="BH138" s="60"/>
      <c r="BI138" s="60"/>
      <c r="BJ138" s="60"/>
      <c r="BK138" s="60"/>
      <c r="BL138" s="60"/>
      <c r="BM138" s="60"/>
    </row>
    <row r="139" spans="1:65" ht="105" x14ac:dyDescent="0.25">
      <c r="A139" s="160">
        <v>23</v>
      </c>
      <c r="B139" s="154" t="s">
        <v>345</v>
      </c>
      <c r="C139" s="14" t="s">
        <v>322</v>
      </c>
      <c r="D139" s="27" t="s">
        <v>350</v>
      </c>
      <c r="E139" s="19" t="s">
        <v>124</v>
      </c>
      <c r="F139" s="32" t="s">
        <v>351</v>
      </c>
      <c r="G139" s="28" t="s">
        <v>551</v>
      </c>
      <c r="H139" s="20" t="s">
        <v>220</v>
      </c>
      <c r="I139" s="29">
        <v>41912</v>
      </c>
      <c r="J139" s="29">
        <v>42277</v>
      </c>
      <c r="K139" s="19" t="s">
        <v>348</v>
      </c>
      <c r="L139" s="143" t="s">
        <v>346</v>
      </c>
      <c r="M139" s="27" t="s">
        <v>347</v>
      </c>
      <c r="N139" s="31">
        <v>42039</v>
      </c>
      <c r="O139" s="78">
        <v>431952</v>
      </c>
      <c r="P139" s="30" t="s">
        <v>526</v>
      </c>
      <c r="Q139" s="31">
        <v>42039</v>
      </c>
      <c r="R139" s="31">
        <v>42404</v>
      </c>
      <c r="S139" s="27" t="s">
        <v>134</v>
      </c>
      <c r="T139" s="32"/>
      <c r="U139" s="148"/>
      <c r="V139" s="148"/>
      <c r="W139" s="32" t="s">
        <v>135</v>
      </c>
      <c r="X139" s="33" t="s">
        <v>365</v>
      </c>
      <c r="Y139" s="26" t="s">
        <v>136</v>
      </c>
      <c r="Z139" s="26" t="s">
        <v>358</v>
      </c>
      <c r="AA139" s="64">
        <v>11533</v>
      </c>
      <c r="AB139" s="33" t="s">
        <v>359</v>
      </c>
      <c r="AC139" s="60"/>
      <c r="AD139" s="60"/>
      <c r="AE139" s="66"/>
      <c r="AF139" s="26">
        <v>10</v>
      </c>
      <c r="AG139" s="74"/>
      <c r="AH139" s="74">
        <v>43195.199999999997</v>
      </c>
      <c r="AI139" s="74"/>
      <c r="AJ139" s="74"/>
      <c r="AK139" s="74"/>
      <c r="AL139" s="38">
        <f>O139-AH139+AG139-AH140+AG140-AH141+AG141-AH142+AG142-AH143+AG143-AH144+AG144-AH145+AG145</f>
        <v>1450652.0999999999</v>
      </c>
      <c r="AM139" s="38">
        <f>312035.55+36715.92+32396.4+28076.88+28996.4+28996.4+28996.4+57992.8+28996.4+28996.4+57992.8+28996.4+28996.4+28996.4+28996.4+28996.4+28996.4+57992.8+28996.4+28996.4+28996.4</f>
        <v>989152.75000000047</v>
      </c>
      <c r="AN139" s="38">
        <f>32145.5+32145.5+32145.5+32145.5+32145.5+32145.5+32145.5+32145.5+32145.5+32145.5</f>
        <v>321455</v>
      </c>
      <c r="AO139" s="75">
        <f>AM139+AN139</f>
        <v>1310607.7500000005</v>
      </c>
      <c r="AP139" s="56" t="s">
        <v>220</v>
      </c>
      <c r="AQ139" s="61">
        <v>41912</v>
      </c>
      <c r="AR139" s="61">
        <v>42277</v>
      </c>
      <c r="AS139" s="64">
        <v>11405</v>
      </c>
      <c r="AT139" s="43" t="s">
        <v>349</v>
      </c>
      <c r="AU139" s="60"/>
      <c r="AV139" s="26"/>
      <c r="AW139" s="60"/>
      <c r="AX139" s="26"/>
      <c r="AY139" s="60"/>
      <c r="AZ139" s="26"/>
      <c r="BA139" s="60"/>
      <c r="BB139" s="26"/>
      <c r="BC139" s="60"/>
      <c r="BD139" s="60"/>
      <c r="BE139" s="60"/>
      <c r="BF139" s="60"/>
      <c r="BG139" s="60"/>
      <c r="BH139" s="60"/>
      <c r="BI139" s="60"/>
      <c r="BJ139" s="60"/>
      <c r="BK139" s="60"/>
      <c r="BL139" s="60"/>
      <c r="BM139" s="60"/>
    </row>
    <row r="140" spans="1:65" ht="60" x14ac:dyDescent="0.25">
      <c r="A140" s="160"/>
      <c r="B140" s="154"/>
      <c r="C140" s="14"/>
      <c r="D140" s="27"/>
      <c r="E140" s="19"/>
      <c r="F140" s="32"/>
      <c r="G140" s="28"/>
      <c r="H140" s="20"/>
      <c r="I140" s="20"/>
      <c r="J140" s="20"/>
      <c r="K140" s="19"/>
      <c r="L140" s="143"/>
      <c r="M140" s="27"/>
      <c r="N140" s="31"/>
      <c r="O140" s="78"/>
      <c r="P140" s="30"/>
      <c r="Q140" s="31"/>
      <c r="R140" s="31"/>
      <c r="S140" s="27"/>
      <c r="T140" s="32"/>
      <c r="U140" s="148"/>
      <c r="V140" s="148"/>
      <c r="W140" s="32"/>
      <c r="X140" s="33"/>
      <c r="Y140" s="26" t="s">
        <v>140</v>
      </c>
      <c r="Z140" s="63">
        <v>42404</v>
      </c>
      <c r="AA140" s="64">
        <v>11740</v>
      </c>
      <c r="AB140" s="33" t="s">
        <v>480</v>
      </c>
      <c r="AC140" s="60" t="s">
        <v>485</v>
      </c>
      <c r="AD140" s="65">
        <v>42770</v>
      </c>
      <c r="AE140" s="66"/>
      <c r="AF140" s="26"/>
      <c r="AG140" s="74">
        <v>388756.8</v>
      </c>
      <c r="AH140" s="74"/>
      <c r="AI140" s="74"/>
      <c r="AJ140" s="74"/>
      <c r="AK140" s="74"/>
      <c r="AL140" s="38"/>
      <c r="AM140" s="38"/>
      <c r="AN140" s="38"/>
      <c r="AO140" s="75"/>
      <c r="AP140" s="56"/>
      <c r="AQ140" s="56"/>
      <c r="AR140" s="56"/>
      <c r="AS140" s="64"/>
      <c r="AT140" s="43"/>
      <c r="AU140" s="60"/>
      <c r="AV140" s="26"/>
      <c r="AW140" s="60"/>
      <c r="AX140" s="26"/>
      <c r="AY140" s="60"/>
      <c r="AZ140" s="26"/>
      <c r="BA140" s="60"/>
      <c r="BB140" s="26"/>
      <c r="BC140" s="60"/>
      <c r="BD140" s="60"/>
      <c r="BE140" s="60"/>
      <c r="BF140" s="60"/>
      <c r="BG140" s="60"/>
      <c r="BH140" s="60"/>
      <c r="BI140" s="60"/>
      <c r="BJ140" s="60"/>
      <c r="BK140" s="60"/>
      <c r="BL140" s="60"/>
      <c r="BM140" s="60"/>
    </row>
    <row r="141" spans="1:65" ht="195" x14ac:dyDescent="0.25">
      <c r="A141" s="160"/>
      <c r="B141" s="154"/>
      <c r="C141" s="14"/>
      <c r="D141" s="27"/>
      <c r="E141" s="19"/>
      <c r="F141" s="32"/>
      <c r="G141" s="32"/>
      <c r="H141" s="20"/>
      <c r="I141" s="20"/>
      <c r="J141" s="20"/>
      <c r="K141" s="19"/>
      <c r="L141" s="143"/>
      <c r="M141" s="27"/>
      <c r="N141" s="27"/>
      <c r="O141" s="78"/>
      <c r="P141" s="27"/>
      <c r="Q141" s="27"/>
      <c r="R141" s="27"/>
      <c r="S141" s="27"/>
      <c r="T141" s="32"/>
      <c r="U141" s="148"/>
      <c r="V141" s="148"/>
      <c r="W141" s="32"/>
      <c r="X141" s="33" t="s">
        <v>365</v>
      </c>
      <c r="Y141" s="26" t="s">
        <v>185</v>
      </c>
      <c r="Z141" s="63">
        <v>42485</v>
      </c>
      <c r="AA141" s="64">
        <v>11793</v>
      </c>
      <c r="AB141" s="33" t="s">
        <v>577</v>
      </c>
      <c r="AC141" s="60"/>
      <c r="AD141" s="65"/>
      <c r="AE141" s="66"/>
      <c r="AF141" s="26">
        <v>10.5</v>
      </c>
      <c r="AG141" s="74"/>
      <c r="AH141" s="74">
        <v>34000</v>
      </c>
      <c r="AI141" s="74"/>
      <c r="AJ141" s="74"/>
      <c r="AK141" s="74"/>
      <c r="AL141" s="38"/>
      <c r="AM141" s="38"/>
      <c r="AN141" s="38"/>
      <c r="AO141" s="75"/>
      <c r="AP141" s="53"/>
      <c r="AQ141" s="53"/>
      <c r="AR141" s="56"/>
      <c r="AS141" s="64"/>
      <c r="AT141" s="43"/>
      <c r="AU141" s="60"/>
      <c r="AV141" s="26"/>
      <c r="AW141" s="60"/>
      <c r="AX141" s="26"/>
      <c r="AY141" s="60"/>
      <c r="AZ141" s="26"/>
      <c r="BA141" s="60"/>
      <c r="BB141" s="26"/>
      <c r="BC141" s="60"/>
      <c r="BD141" s="60"/>
      <c r="BE141" s="60"/>
      <c r="BF141" s="60"/>
      <c r="BG141" s="60"/>
      <c r="BH141" s="60"/>
      <c r="BI141" s="60"/>
      <c r="BJ141" s="60"/>
      <c r="BK141" s="60"/>
      <c r="BL141" s="60"/>
      <c r="BM141" s="60"/>
    </row>
    <row r="142" spans="1:65" ht="75" x14ac:dyDescent="0.25">
      <c r="A142" s="160"/>
      <c r="B142" s="154"/>
      <c r="C142" s="14"/>
      <c r="D142" s="27"/>
      <c r="E142" s="19"/>
      <c r="F142" s="32"/>
      <c r="G142" s="32"/>
      <c r="H142" s="19"/>
      <c r="I142" s="19"/>
      <c r="J142" s="19"/>
      <c r="K142" s="19"/>
      <c r="L142" s="143"/>
      <c r="M142" s="27"/>
      <c r="N142" s="27"/>
      <c r="O142" s="78"/>
      <c r="P142" s="27"/>
      <c r="Q142" s="27"/>
      <c r="R142" s="27"/>
      <c r="S142" s="27"/>
      <c r="T142" s="32"/>
      <c r="U142" s="148"/>
      <c r="V142" s="148"/>
      <c r="W142" s="32"/>
      <c r="X142" s="33" t="s">
        <v>1261</v>
      </c>
      <c r="Y142" s="26" t="s">
        <v>186</v>
      </c>
      <c r="Z142" s="63">
        <v>42769</v>
      </c>
      <c r="AA142" s="64">
        <v>12010</v>
      </c>
      <c r="AB142" s="33" t="s">
        <v>832</v>
      </c>
      <c r="AC142" s="60" t="s">
        <v>833</v>
      </c>
      <c r="AD142" s="65" t="s">
        <v>834</v>
      </c>
      <c r="AE142" s="66"/>
      <c r="AF142" s="26"/>
      <c r="AG142" s="74">
        <v>347956.8</v>
      </c>
      <c r="AH142" s="74"/>
      <c r="AI142" s="74"/>
      <c r="AJ142" s="74"/>
      <c r="AK142" s="74"/>
      <c r="AL142" s="38"/>
      <c r="AM142" s="38"/>
      <c r="AN142" s="38"/>
      <c r="AO142" s="75"/>
      <c r="AP142" s="56"/>
      <c r="AQ142" s="56"/>
      <c r="AR142" s="56"/>
      <c r="AS142" s="64"/>
      <c r="AT142" s="43"/>
      <c r="AU142" s="60"/>
      <c r="AV142" s="26"/>
      <c r="AW142" s="60"/>
      <c r="AX142" s="26"/>
      <c r="AY142" s="60"/>
      <c r="AZ142" s="26"/>
      <c r="BA142" s="60"/>
      <c r="BB142" s="26"/>
      <c r="BC142" s="60"/>
      <c r="BD142" s="60"/>
      <c r="BE142" s="60"/>
      <c r="BF142" s="60"/>
      <c r="BG142" s="60"/>
      <c r="BH142" s="60"/>
      <c r="BI142" s="60"/>
      <c r="BJ142" s="60"/>
      <c r="BK142" s="60"/>
      <c r="BL142" s="60"/>
      <c r="BM142" s="60"/>
    </row>
    <row r="143" spans="1:65" ht="75" x14ac:dyDescent="0.25">
      <c r="A143" s="160"/>
      <c r="B143" s="154"/>
      <c r="C143" s="14"/>
      <c r="D143" s="27"/>
      <c r="E143" s="19"/>
      <c r="F143" s="32"/>
      <c r="G143" s="32"/>
      <c r="H143" s="19"/>
      <c r="I143" s="19"/>
      <c r="J143" s="19"/>
      <c r="K143" s="19"/>
      <c r="L143" s="143"/>
      <c r="M143" s="27"/>
      <c r="N143" s="27"/>
      <c r="O143" s="78"/>
      <c r="P143" s="27"/>
      <c r="Q143" s="27"/>
      <c r="R143" s="27"/>
      <c r="S143" s="27"/>
      <c r="T143" s="32"/>
      <c r="U143" s="148"/>
      <c r="V143" s="148"/>
      <c r="W143" s="32"/>
      <c r="X143" s="33" t="s">
        <v>365</v>
      </c>
      <c r="Y143" s="26" t="s">
        <v>187</v>
      </c>
      <c r="Z143" s="63">
        <v>43040</v>
      </c>
      <c r="AA143" s="64">
        <v>12179</v>
      </c>
      <c r="AB143" s="33" t="s">
        <v>1132</v>
      </c>
      <c r="AC143" s="60"/>
      <c r="AD143" s="65"/>
      <c r="AE143" s="66"/>
      <c r="AF143" s="26"/>
      <c r="AG143" s="74">
        <v>9867.18</v>
      </c>
      <c r="AH143" s="74"/>
      <c r="AI143" s="74"/>
      <c r="AJ143" s="74"/>
      <c r="AK143" s="74"/>
      <c r="AL143" s="38"/>
      <c r="AM143" s="38"/>
      <c r="AN143" s="38"/>
      <c r="AO143" s="75"/>
      <c r="AP143" s="56"/>
      <c r="AQ143" s="56"/>
      <c r="AR143" s="56"/>
      <c r="AS143" s="64"/>
      <c r="AT143" s="43"/>
      <c r="AU143" s="60"/>
      <c r="AV143" s="26"/>
      <c r="AW143" s="60"/>
      <c r="AX143" s="26"/>
      <c r="AY143" s="60"/>
      <c r="AZ143" s="26"/>
      <c r="BA143" s="60"/>
      <c r="BB143" s="26"/>
      <c r="BC143" s="60"/>
      <c r="BD143" s="60"/>
      <c r="BE143" s="60"/>
      <c r="BF143" s="60"/>
      <c r="BG143" s="60"/>
      <c r="BH143" s="60"/>
      <c r="BI143" s="60"/>
      <c r="BJ143" s="60"/>
      <c r="BK143" s="60"/>
      <c r="BL143" s="60"/>
      <c r="BM143" s="60"/>
    </row>
    <row r="144" spans="1:65" ht="45" x14ac:dyDescent="0.25">
      <c r="A144" s="160"/>
      <c r="B144" s="154"/>
      <c r="C144" s="14"/>
      <c r="D144" s="27"/>
      <c r="E144" s="19"/>
      <c r="F144" s="32"/>
      <c r="G144" s="32"/>
      <c r="H144" s="19"/>
      <c r="I144" s="19"/>
      <c r="J144" s="19"/>
      <c r="K144" s="19"/>
      <c r="L144" s="143"/>
      <c r="M144" s="27"/>
      <c r="N144" s="27"/>
      <c r="O144" s="78"/>
      <c r="P144" s="27"/>
      <c r="Q144" s="27"/>
      <c r="R144" s="27"/>
      <c r="S144" s="27"/>
      <c r="T144" s="32"/>
      <c r="U144" s="148"/>
      <c r="V144" s="148"/>
      <c r="W144" s="32"/>
      <c r="X144" s="33" t="s">
        <v>1261</v>
      </c>
      <c r="Y144" s="26" t="s">
        <v>117</v>
      </c>
      <c r="Z144" s="63">
        <v>43133</v>
      </c>
      <c r="AA144" s="64">
        <v>12243</v>
      </c>
      <c r="AB144" s="33" t="s">
        <v>1259</v>
      </c>
      <c r="AC144" s="65" t="s">
        <v>834</v>
      </c>
      <c r="AD144" s="65" t="s">
        <v>1260</v>
      </c>
      <c r="AE144" s="66"/>
      <c r="AF144" s="26"/>
      <c r="AG144" s="74">
        <v>192873</v>
      </c>
      <c r="AH144" s="74"/>
      <c r="AI144" s="74"/>
      <c r="AJ144" s="74"/>
      <c r="AK144" s="74"/>
      <c r="AL144" s="38"/>
      <c r="AM144" s="38"/>
      <c r="AN144" s="38"/>
      <c r="AO144" s="75"/>
      <c r="AP144" s="56"/>
      <c r="AQ144" s="56"/>
      <c r="AR144" s="56"/>
      <c r="AS144" s="64"/>
      <c r="AT144" s="43"/>
      <c r="AU144" s="60"/>
      <c r="AV144" s="26"/>
      <c r="AW144" s="60"/>
      <c r="AX144" s="26"/>
      <c r="AY144" s="60"/>
      <c r="AZ144" s="26"/>
      <c r="BA144" s="60"/>
      <c r="BB144" s="26"/>
      <c r="BC144" s="60"/>
      <c r="BD144" s="60"/>
      <c r="BE144" s="60"/>
      <c r="BF144" s="60"/>
      <c r="BG144" s="60"/>
      <c r="BH144" s="60"/>
      <c r="BI144" s="60"/>
      <c r="BJ144" s="60"/>
      <c r="BK144" s="60"/>
      <c r="BL144" s="60"/>
      <c r="BM144" s="60"/>
    </row>
    <row r="145" spans="1:65" ht="60" x14ac:dyDescent="0.25">
      <c r="A145" s="160"/>
      <c r="B145" s="154"/>
      <c r="C145" s="14"/>
      <c r="D145" s="27"/>
      <c r="E145" s="19"/>
      <c r="F145" s="32"/>
      <c r="G145" s="32"/>
      <c r="H145" s="19"/>
      <c r="I145" s="19"/>
      <c r="J145" s="19"/>
      <c r="K145" s="19"/>
      <c r="L145" s="143"/>
      <c r="M145" s="27"/>
      <c r="N145" s="27"/>
      <c r="O145" s="78"/>
      <c r="P145" s="27"/>
      <c r="Q145" s="27"/>
      <c r="R145" s="27"/>
      <c r="S145" s="27"/>
      <c r="T145" s="32"/>
      <c r="U145" s="148"/>
      <c r="V145" s="148"/>
      <c r="W145" s="32"/>
      <c r="X145" s="33" t="s">
        <v>1261</v>
      </c>
      <c r="Y145" s="26" t="s">
        <v>120</v>
      </c>
      <c r="Z145" s="63">
        <v>43301</v>
      </c>
      <c r="AA145" s="64">
        <v>12356</v>
      </c>
      <c r="AB145" s="33" t="s">
        <v>1706</v>
      </c>
      <c r="AC145" s="65" t="s">
        <v>1260</v>
      </c>
      <c r="AD145" s="65">
        <v>43465</v>
      </c>
      <c r="AE145" s="66"/>
      <c r="AF145" s="26"/>
      <c r="AG145" s="74">
        <v>156441.51999999999</v>
      </c>
      <c r="AH145" s="74"/>
      <c r="AI145" s="74"/>
      <c r="AJ145" s="74"/>
      <c r="AK145" s="74"/>
      <c r="AL145" s="38"/>
      <c r="AM145" s="38"/>
      <c r="AN145" s="38"/>
      <c r="AO145" s="75"/>
      <c r="AP145" s="56"/>
      <c r="AQ145" s="56"/>
      <c r="AR145" s="56"/>
      <c r="AS145" s="64"/>
      <c r="AT145" s="43"/>
      <c r="AU145" s="60"/>
      <c r="AV145" s="26"/>
      <c r="AW145" s="60"/>
      <c r="AX145" s="26"/>
      <c r="AY145" s="60"/>
      <c r="AZ145" s="26"/>
      <c r="BA145" s="60"/>
      <c r="BB145" s="26"/>
      <c r="BC145" s="60"/>
      <c r="BD145" s="60"/>
      <c r="BE145" s="60"/>
      <c r="BF145" s="60"/>
      <c r="BG145" s="60"/>
      <c r="BH145" s="60"/>
      <c r="BI145" s="60"/>
      <c r="BJ145" s="60"/>
      <c r="BK145" s="60"/>
      <c r="BL145" s="60"/>
      <c r="BM145" s="60"/>
    </row>
    <row r="146" spans="1:65" ht="105" x14ac:dyDescent="0.25">
      <c r="A146" s="159">
        <v>24</v>
      </c>
      <c r="B146" s="154" t="s">
        <v>354</v>
      </c>
      <c r="C146" s="19" t="s">
        <v>201</v>
      </c>
      <c r="D146" s="27" t="s">
        <v>313</v>
      </c>
      <c r="E146" s="19" t="s">
        <v>124</v>
      </c>
      <c r="F146" s="32" t="s">
        <v>356</v>
      </c>
      <c r="G146" s="28" t="s">
        <v>552</v>
      </c>
      <c r="H146" s="20"/>
      <c r="I146" s="20"/>
      <c r="J146" s="20"/>
      <c r="K146" s="19" t="s">
        <v>353</v>
      </c>
      <c r="L146" s="143" t="s">
        <v>335</v>
      </c>
      <c r="M146" s="27" t="s">
        <v>355</v>
      </c>
      <c r="N146" s="31">
        <v>42079</v>
      </c>
      <c r="O146" s="78">
        <v>179244.72</v>
      </c>
      <c r="P146" s="30" t="s">
        <v>527</v>
      </c>
      <c r="Q146" s="31">
        <v>42079</v>
      </c>
      <c r="R146" s="31">
        <v>42445</v>
      </c>
      <c r="S146" s="27" t="s">
        <v>134</v>
      </c>
      <c r="T146" s="32"/>
      <c r="U146" s="148"/>
      <c r="V146" s="148"/>
      <c r="W146" s="32" t="s">
        <v>135</v>
      </c>
      <c r="X146" s="33" t="s">
        <v>365</v>
      </c>
      <c r="Y146" s="26" t="s">
        <v>136</v>
      </c>
      <c r="Z146" s="63">
        <v>42384</v>
      </c>
      <c r="AA146" s="64">
        <v>11729</v>
      </c>
      <c r="AB146" s="33" t="s">
        <v>483</v>
      </c>
      <c r="AC146" s="60"/>
      <c r="AD146" s="60"/>
      <c r="AE146" s="66">
        <v>17</v>
      </c>
      <c r="AF146" s="60"/>
      <c r="AG146" s="74">
        <v>5227.8500000000004</v>
      </c>
      <c r="AH146" s="74"/>
      <c r="AI146" s="74"/>
      <c r="AJ146" s="74"/>
      <c r="AK146" s="74"/>
      <c r="AL146" s="38">
        <f>O146-AH146+AG146-AH147+AG147-AH148+AG148-AH149+AG149-AH150+AG150-AH151+AG151</f>
        <v>840762.15999999992</v>
      </c>
      <c r="AM146" s="38">
        <f>123894.48+16264.74+14937.06+14937.06+14937.06+14937.06+14937.06+17426.57+17426.57+17426.57+15766.86+18339.39+17426.57+19458.46+19458.46+19458.46+19458.46+16678.68+19458.46+19458.46+19458.46+19458.46+19458.46+19458.46</f>
        <v>529920.33000000019</v>
      </c>
      <c r="AN146" s="38">
        <f>19458.46+38916.92+19458.46+19458.46+19458.46+19458.46+19458.46+19458.46+19458.46+16678.68</f>
        <v>211263.27999999994</v>
      </c>
      <c r="AO146" s="75">
        <f>AM146+AN146</f>
        <v>741183.6100000001</v>
      </c>
      <c r="AP146" s="69"/>
      <c r="AQ146" s="26"/>
      <c r="AR146" s="26"/>
      <c r="AS146" s="14"/>
      <c r="AT146" s="14"/>
      <c r="AU146" s="14"/>
      <c r="AV146" s="14"/>
      <c r="AW146" s="14"/>
      <c r="AX146" s="14"/>
      <c r="AY146" s="14"/>
      <c r="AZ146" s="14"/>
      <c r="BA146" s="14"/>
      <c r="BB146" s="14"/>
      <c r="BC146" s="70"/>
      <c r="BD146" s="14"/>
      <c r="BE146" s="14"/>
      <c r="BF146" s="14"/>
      <c r="BG146" s="14"/>
      <c r="BH146" s="14"/>
      <c r="BI146" s="14"/>
      <c r="BJ146" s="14"/>
      <c r="BK146" s="14"/>
      <c r="BL146" s="14"/>
      <c r="BM146" s="14"/>
    </row>
    <row r="147" spans="1:65" ht="45" x14ac:dyDescent="0.25">
      <c r="A147" s="159"/>
      <c r="B147" s="154"/>
      <c r="C147" s="19"/>
      <c r="D147" s="27"/>
      <c r="E147" s="19"/>
      <c r="F147" s="32"/>
      <c r="G147" s="28"/>
      <c r="H147" s="19"/>
      <c r="I147" s="19"/>
      <c r="J147" s="20"/>
      <c r="K147" s="19"/>
      <c r="L147" s="143"/>
      <c r="M147" s="27"/>
      <c r="N147" s="31"/>
      <c r="O147" s="78"/>
      <c r="P147" s="30"/>
      <c r="Q147" s="31"/>
      <c r="R147" s="31"/>
      <c r="S147" s="27"/>
      <c r="T147" s="32"/>
      <c r="U147" s="148"/>
      <c r="V147" s="148"/>
      <c r="W147" s="32"/>
      <c r="X147" s="33" t="s">
        <v>1261</v>
      </c>
      <c r="Y147" s="26" t="s">
        <v>140</v>
      </c>
      <c r="Z147" s="63">
        <v>42445</v>
      </c>
      <c r="AA147" s="64">
        <v>11775</v>
      </c>
      <c r="AB147" s="33" t="s">
        <v>417</v>
      </c>
      <c r="AC147" s="65">
        <v>42445</v>
      </c>
      <c r="AD147" s="65">
        <v>42810</v>
      </c>
      <c r="AE147" s="66"/>
      <c r="AF147" s="60"/>
      <c r="AG147" s="74">
        <v>209118.84</v>
      </c>
      <c r="AH147" s="74"/>
      <c r="AI147" s="74"/>
      <c r="AJ147" s="74"/>
      <c r="AK147" s="74"/>
      <c r="AL147" s="38"/>
      <c r="AM147" s="38"/>
      <c r="AN147" s="38"/>
      <c r="AO147" s="75"/>
      <c r="AP147" s="14"/>
      <c r="AQ147" s="26"/>
      <c r="AR147" s="26"/>
      <c r="AS147" s="14"/>
      <c r="AT147" s="14"/>
      <c r="AU147" s="14"/>
      <c r="AV147" s="14"/>
      <c r="AW147" s="14"/>
      <c r="AX147" s="14"/>
      <c r="AY147" s="14"/>
      <c r="AZ147" s="14"/>
      <c r="BA147" s="14"/>
      <c r="BB147" s="14"/>
      <c r="BC147" s="70"/>
      <c r="BD147" s="14"/>
      <c r="BE147" s="14"/>
      <c r="BF147" s="14"/>
      <c r="BG147" s="14"/>
      <c r="BH147" s="14"/>
      <c r="BI147" s="14"/>
      <c r="BJ147" s="14"/>
      <c r="BK147" s="14"/>
      <c r="BL147" s="14"/>
      <c r="BM147" s="14"/>
    </row>
    <row r="148" spans="1:65" ht="165" x14ac:dyDescent="0.25">
      <c r="A148" s="159"/>
      <c r="B148" s="154"/>
      <c r="C148" s="19"/>
      <c r="D148" s="27"/>
      <c r="E148" s="19"/>
      <c r="F148" s="32"/>
      <c r="G148" s="28"/>
      <c r="H148" s="19"/>
      <c r="I148" s="19"/>
      <c r="J148" s="20"/>
      <c r="K148" s="19"/>
      <c r="L148" s="143"/>
      <c r="M148" s="27"/>
      <c r="N148" s="27"/>
      <c r="O148" s="78"/>
      <c r="P148" s="27"/>
      <c r="Q148" s="27"/>
      <c r="R148" s="27"/>
      <c r="S148" s="27"/>
      <c r="T148" s="32"/>
      <c r="U148" s="148"/>
      <c r="V148" s="148"/>
      <c r="W148" s="32"/>
      <c r="X148" s="33" t="s">
        <v>365</v>
      </c>
      <c r="Y148" s="26" t="s">
        <v>185</v>
      </c>
      <c r="Z148" s="63">
        <v>42719</v>
      </c>
      <c r="AA148" s="64">
        <v>11965</v>
      </c>
      <c r="AB148" s="33" t="s">
        <v>672</v>
      </c>
      <c r="AC148" s="65"/>
      <c r="AD148" s="65"/>
      <c r="AE148" s="66"/>
      <c r="AF148" s="60"/>
      <c r="AG148" s="74">
        <v>29462.41</v>
      </c>
      <c r="AH148" s="74"/>
      <c r="AI148" s="74"/>
      <c r="AJ148" s="74"/>
      <c r="AK148" s="74"/>
      <c r="AL148" s="38"/>
      <c r="AM148" s="38"/>
      <c r="AN148" s="38"/>
      <c r="AO148" s="75"/>
      <c r="AP148" s="14"/>
      <c r="AQ148" s="14"/>
      <c r="AR148" s="14"/>
      <c r="AS148" s="14"/>
      <c r="AT148" s="14"/>
      <c r="AU148" s="14"/>
      <c r="AV148" s="14"/>
      <c r="AW148" s="14"/>
      <c r="AX148" s="14"/>
      <c r="AY148" s="14"/>
      <c r="AZ148" s="14"/>
      <c r="BA148" s="14"/>
      <c r="BB148" s="14"/>
      <c r="BC148" s="70"/>
      <c r="BD148" s="14"/>
      <c r="BE148" s="14"/>
      <c r="BF148" s="14"/>
      <c r="BG148" s="14"/>
      <c r="BH148" s="14"/>
      <c r="BI148" s="14"/>
      <c r="BJ148" s="14"/>
      <c r="BK148" s="14"/>
      <c r="BL148" s="14"/>
      <c r="BM148" s="14"/>
    </row>
    <row r="149" spans="1:65" ht="75" x14ac:dyDescent="0.25">
      <c r="A149" s="159"/>
      <c r="B149" s="154"/>
      <c r="C149" s="19"/>
      <c r="D149" s="27"/>
      <c r="E149" s="19"/>
      <c r="F149" s="32"/>
      <c r="G149" s="32"/>
      <c r="H149" s="19"/>
      <c r="I149" s="19"/>
      <c r="J149" s="20"/>
      <c r="K149" s="19"/>
      <c r="L149" s="143"/>
      <c r="M149" s="27"/>
      <c r="N149" s="27"/>
      <c r="O149" s="78"/>
      <c r="P149" s="27"/>
      <c r="Q149" s="27"/>
      <c r="R149" s="27"/>
      <c r="S149" s="27"/>
      <c r="T149" s="32"/>
      <c r="U149" s="148"/>
      <c r="V149" s="148"/>
      <c r="W149" s="32"/>
      <c r="X149" s="33" t="s">
        <v>1261</v>
      </c>
      <c r="Y149" s="26" t="s">
        <v>186</v>
      </c>
      <c r="Z149" s="63">
        <v>42810</v>
      </c>
      <c r="AA149" s="64">
        <v>12018</v>
      </c>
      <c r="AB149" s="33" t="s">
        <v>847</v>
      </c>
      <c r="AC149" s="65">
        <v>42810</v>
      </c>
      <c r="AD149" s="65">
        <v>43175</v>
      </c>
      <c r="AE149" s="66"/>
      <c r="AF149" s="60"/>
      <c r="AG149" s="74">
        <v>233501.52</v>
      </c>
      <c r="AH149" s="74"/>
      <c r="AI149" s="74"/>
      <c r="AJ149" s="74"/>
      <c r="AK149" s="74"/>
      <c r="AL149" s="38"/>
      <c r="AM149" s="38"/>
      <c r="AN149" s="38"/>
      <c r="AO149" s="75"/>
      <c r="AP149" s="14"/>
      <c r="AQ149" s="14"/>
      <c r="AR149" s="14"/>
      <c r="AS149" s="14"/>
      <c r="AT149" s="14"/>
      <c r="AU149" s="14"/>
      <c r="AV149" s="14"/>
      <c r="AW149" s="14"/>
      <c r="AX149" s="14"/>
      <c r="AY149" s="14"/>
      <c r="AZ149" s="14"/>
      <c r="BA149" s="14"/>
      <c r="BB149" s="14"/>
      <c r="BC149" s="70"/>
      <c r="BD149" s="14"/>
      <c r="BE149" s="14"/>
      <c r="BF149" s="14"/>
      <c r="BG149" s="14"/>
      <c r="BH149" s="14"/>
      <c r="BI149" s="14"/>
      <c r="BJ149" s="14"/>
      <c r="BK149" s="14"/>
      <c r="BL149" s="14"/>
      <c r="BM149" s="14"/>
    </row>
    <row r="150" spans="1:65" ht="45" x14ac:dyDescent="0.25">
      <c r="A150" s="159"/>
      <c r="B150" s="154"/>
      <c r="C150" s="19"/>
      <c r="D150" s="27"/>
      <c r="E150" s="19"/>
      <c r="F150" s="32"/>
      <c r="G150" s="32"/>
      <c r="H150" s="19"/>
      <c r="I150" s="19"/>
      <c r="J150" s="20"/>
      <c r="K150" s="19"/>
      <c r="L150" s="143"/>
      <c r="M150" s="27"/>
      <c r="N150" s="27"/>
      <c r="O150" s="78"/>
      <c r="P150" s="27"/>
      <c r="Q150" s="27"/>
      <c r="R150" s="27"/>
      <c r="S150" s="27"/>
      <c r="T150" s="32"/>
      <c r="U150" s="148"/>
      <c r="V150" s="148"/>
      <c r="W150" s="32"/>
      <c r="X150" s="33" t="s">
        <v>1261</v>
      </c>
      <c r="Y150" s="26" t="s">
        <v>187</v>
      </c>
      <c r="Z150" s="63">
        <v>43175</v>
      </c>
      <c r="AA150" s="64">
        <v>12264</v>
      </c>
      <c r="AB150" s="33" t="s">
        <v>1403</v>
      </c>
      <c r="AC150" s="65">
        <v>43175</v>
      </c>
      <c r="AD150" s="65">
        <v>43359</v>
      </c>
      <c r="AE150" s="66"/>
      <c r="AF150" s="60"/>
      <c r="AG150" s="74">
        <v>116750.76</v>
      </c>
      <c r="AH150" s="74"/>
      <c r="AI150" s="74"/>
      <c r="AJ150" s="74"/>
      <c r="AK150" s="74"/>
      <c r="AL150" s="38"/>
      <c r="AM150" s="38"/>
      <c r="AN150" s="38"/>
      <c r="AO150" s="75"/>
      <c r="AP150" s="14"/>
      <c r="AQ150" s="14"/>
      <c r="AR150" s="14"/>
      <c r="AS150" s="26"/>
      <c r="AT150" s="26"/>
      <c r="AU150" s="14"/>
      <c r="AV150" s="14"/>
      <c r="AW150" s="14"/>
      <c r="AX150" s="14"/>
      <c r="AY150" s="14"/>
      <c r="AZ150" s="14"/>
      <c r="BA150" s="14"/>
      <c r="BB150" s="14"/>
      <c r="BC150" s="70"/>
      <c r="BD150" s="14"/>
      <c r="BE150" s="14"/>
      <c r="BF150" s="14"/>
      <c r="BG150" s="14"/>
      <c r="BH150" s="14"/>
      <c r="BI150" s="14"/>
      <c r="BJ150" s="14"/>
      <c r="BK150" s="14"/>
      <c r="BL150" s="14"/>
      <c r="BM150" s="14"/>
    </row>
    <row r="151" spans="1:65" ht="60" x14ac:dyDescent="0.25">
      <c r="A151" s="159"/>
      <c r="B151" s="154"/>
      <c r="C151" s="19"/>
      <c r="D151" s="27"/>
      <c r="E151" s="19"/>
      <c r="F151" s="32"/>
      <c r="G151" s="32"/>
      <c r="H151" s="19"/>
      <c r="I151" s="19"/>
      <c r="J151" s="19"/>
      <c r="K151" s="19"/>
      <c r="L151" s="143"/>
      <c r="M151" s="27"/>
      <c r="N151" s="27"/>
      <c r="O151" s="78"/>
      <c r="P151" s="27"/>
      <c r="Q151" s="27"/>
      <c r="R151" s="27"/>
      <c r="S151" s="27"/>
      <c r="T151" s="32"/>
      <c r="U151" s="148"/>
      <c r="V151" s="148"/>
      <c r="W151" s="32"/>
      <c r="X151" s="33" t="s">
        <v>1261</v>
      </c>
      <c r="Y151" s="26" t="s">
        <v>117</v>
      </c>
      <c r="Z151" s="63">
        <v>43354</v>
      </c>
      <c r="AA151" s="64">
        <v>12387</v>
      </c>
      <c r="AB151" s="33" t="s">
        <v>1808</v>
      </c>
      <c r="AC151" s="65">
        <v>43359</v>
      </c>
      <c r="AD151" s="65">
        <v>43465</v>
      </c>
      <c r="AE151" s="66"/>
      <c r="AF151" s="60"/>
      <c r="AG151" s="74">
        <v>67456.06</v>
      </c>
      <c r="AH151" s="74"/>
      <c r="AI151" s="74"/>
      <c r="AJ151" s="74"/>
      <c r="AK151" s="74"/>
      <c r="AL151" s="38"/>
      <c r="AM151" s="38"/>
      <c r="AN151" s="38"/>
      <c r="AO151" s="75"/>
      <c r="AP151" s="14"/>
      <c r="AQ151" s="14"/>
      <c r="AR151" s="14"/>
      <c r="AS151" s="26"/>
      <c r="AT151" s="26"/>
      <c r="AU151" s="14"/>
      <c r="AV151" s="14"/>
      <c r="AW151" s="14"/>
      <c r="AX151" s="14"/>
      <c r="AY151" s="14"/>
      <c r="AZ151" s="14"/>
      <c r="BA151" s="14"/>
      <c r="BB151" s="14"/>
      <c r="BC151" s="70"/>
      <c r="BD151" s="14"/>
      <c r="BE151" s="14"/>
      <c r="BF151" s="14"/>
      <c r="BG151" s="14"/>
      <c r="BH151" s="14"/>
      <c r="BI151" s="14"/>
      <c r="BJ151" s="14"/>
      <c r="BK151" s="14"/>
      <c r="BL151" s="14"/>
      <c r="BM151" s="14"/>
    </row>
    <row r="152" spans="1:65" ht="105" x14ac:dyDescent="0.25">
      <c r="A152" s="160">
        <v>25</v>
      </c>
      <c r="B152" s="154" t="s">
        <v>884</v>
      </c>
      <c r="C152" s="19" t="s">
        <v>324</v>
      </c>
      <c r="D152" s="27" t="s">
        <v>225</v>
      </c>
      <c r="E152" s="50" t="s">
        <v>124</v>
      </c>
      <c r="F152" s="32" t="s">
        <v>885</v>
      </c>
      <c r="G152" s="28" t="s">
        <v>886</v>
      </c>
      <c r="H152" s="22"/>
      <c r="I152" s="22"/>
      <c r="J152" s="22"/>
      <c r="K152" s="19" t="s">
        <v>887</v>
      </c>
      <c r="L152" s="143" t="s">
        <v>888</v>
      </c>
      <c r="M152" s="27" t="s">
        <v>889</v>
      </c>
      <c r="N152" s="31">
        <v>42143</v>
      </c>
      <c r="O152" s="78">
        <v>850218.13</v>
      </c>
      <c r="P152" s="30" t="s">
        <v>890</v>
      </c>
      <c r="Q152" s="31">
        <v>42145</v>
      </c>
      <c r="R152" s="31">
        <f>Q152+210</f>
        <v>42355</v>
      </c>
      <c r="S152" s="43" t="s">
        <v>891</v>
      </c>
      <c r="T152" s="32" t="s">
        <v>892</v>
      </c>
      <c r="U152" s="148" t="s">
        <v>893</v>
      </c>
      <c r="V152" s="148">
        <v>1000000</v>
      </c>
      <c r="W152" s="32" t="s">
        <v>227</v>
      </c>
      <c r="X152" s="33" t="s">
        <v>365</v>
      </c>
      <c r="Y152" s="22" t="s">
        <v>136</v>
      </c>
      <c r="Z152" s="35">
        <v>42237</v>
      </c>
      <c r="AA152" s="34">
        <v>11627</v>
      </c>
      <c r="AB152" s="33" t="s">
        <v>894</v>
      </c>
      <c r="AC152" s="43"/>
      <c r="AD152" s="43"/>
      <c r="AE152" s="36">
        <v>5.84</v>
      </c>
      <c r="AF152" s="43"/>
      <c r="AG152" s="77">
        <v>49610.42</v>
      </c>
      <c r="AH152" s="77"/>
      <c r="AI152" s="74"/>
      <c r="AJ152" s="74"/>
      <c r="AK152" s="74"/>
      <c r="AL152" s="38">
        <f>O152-AH152+AG152-AH153+AG153-AH154+AG154-AH155+AG155-AH156+AG156-AH157+AG157-AH158+AG158-AH163+AG163</f>
        <v>1094479.6400000001</v>
      </c>
      <c r="AM152" s="38">
        <f>87229.03+168738.19+0+152634.91+152547.46+26079+14835.94+103312.57+100427.04+91928.77+0+53996.25+24626.12</f>
        <v>976355.27999999991</v>
      </c>
      <c r="AN152" s="38">
        <v>118124.36</v>
      </c>
      <c r="AO152" s="38">
        <f>AM152+AN152</f>
        <v>1094479.6399999999</v>
      </c>
      <c r="AP152" s="19"/>
      <c r="AQ152" s="19"/>
      <c r="AR152" s="19"/>
      <c r="AS152" s="19"/>
      <c r="AT152" s="19"/>
      <c r="AU152" s="19"/>
      <c r="AV152" s="19"/>
      <c r="AW152" s="19"/>
      <c r="AX152" s="19"/>
      <c r="AY152" s="19"/>
      <c r="AZ152" s="19"/>
      <c r="BA152" s="19"/>
      <c r="BB152" s="19" t="s">
        <v>295</v>
      </c>
      <c r="BC152" s="27" t="s">
        <v>176</v>
      </c>
      <c r="BD152" s="61">
        <v>42145</v>
      </c>
      <c r="BE152" s="61">
        <f>BD152+180</f>
        <v>42325</v>
      </c>
      <c r="BF152" s="43"/>
      <c r="BG152" s="43"/>
      <c r="BH152" s="35">
        <v>42145</v>
      </c>
      <c r="BI152" s="19" t="s">
        <v>757</v>
      </c>
      <c r="BJ152" s="19" t="s">
        <v>756</v>
      </c>
      <c r="BK152" s="19"/>
      <c r="BL152" s="26"/>
      <c r="BM152" s="26"/>
    </row>
    <row r="153" spans="1:65" ht="90" x14ac:dyDescent="0.25">
      <c r="A153" s="160"/>
      <c r="B153" s="154"/>
      <c r="C153" s="19"/>
      <c r="D153" s="27"/>
      <c r="E153" s="50"/>
      <c r="F153" s="32"/>
      <c r="G153" s="28"/>
      <c r="H153" s="22"/>
      <c r="I153" s="22"/>
      <c r="J153" s="22"/>
      <c r="K153" s="19"/>
      <c r="L153" s="143"/>
      <c r="M153" s="27"/>
      <c r="N153" s="31"/>
      <c r="O153" s="78"/>
      <c r="P153" s="30"/>
      <c r="Q153" s="31"/>
      <c r="R153" s="31"/>
      <c r="S153" s="43" t="s">
        <v>134</v>
      </c>
      <c r="T153" s="70"/>
      <c r="U153" s="148"/>
      <c r="V153" s="148"/>
      <c r="W153" s="32"/>
      <c r="X153" s="33" t="s">
        <v>861</v>
      </c>
      <c r="Y153" s="26" t="s">
        <v>140</v>
      </c>
      <c r="Z153" s="63">
        <v>42325</v>
      </c>
      <c r="AA153" s="64">
        <v>11742</v>
      </c>
      <c r="AB153" s="33" t="s">
        <v>895</v>
      </c>
      <c r="AC153" s="65">
        <v>42355</v>
      </c>
      <c r="AD153" s="65">
        <v>42565</v>
      </c>
      <c r="AE153" s="60"/>
      <c r="AF153" s="60"/>
      <c r="AG153" s="74"/>
      <c r="AH153" s="74"/>
      <c r="AI153" s="74"/>
      <c r="AJ153" s="74"/>
      <c r="AK153" s="74"/>
      <c r="AL153" s="38"/>
      <c r="AM153" s="38"/>
      <c r="AN153" s="38"/>
      <c r="AO153" s="38"/>
      <c r="AP153" s="19"/>
      <c r="AQ153" s="19"/>
      <c r="AR153" s="19"/>
      <c r="AS153" s="19"/>
      <c r="AT153" s="19"/>
      <c r="AU153" s="19"/>
      <c r="AV153" s="19"/>
      <c r="AW153" s="19"/>
      <c r="AX153" s="19"/>
      <c r="AY153" s="19"/>
      <c r="AZ153" s="19"/>
      <c r="BA153" s="19"/>
      <c r="BB153" s="19"/>
      <c r="BC153" s="27"/>
      <c r="BD153" s="61">
        <v>42325</v>
      </c>
      <c r="BE153" s="61">
        <v>42505</v>
      </c>
      <c r="BF153" s="43"/>
      <c r="BG153" s="43"/>
      <c r="BH153" s="35"/>
      <c r="BI153" s="19"/>
      <c r="BJ153" s="19"/>
      <c r="BK153" s="19"/>
      <c r="BL153" s="26"/>
      <c r="BM153" s="26"/>
    </row>
    <row r="154" spans="1:65" ht="120" x14ac:dyDescent="0.25">
      <c r="A154" s="160"/>
      <c r="B154" s="154"/>
      <c r="C154" s="19"/>
      <c r="D154" s="27"/>
      <c r="E154" s="50"/>
      <c r="F154" s="32"/>
      <c r="G154" s="28"/>
      <c r="H154" s="22"/>
      <c r="I154" s="22"/>
      <c r="J154" s="22"/>
      <c r="K154" s="19"/>
      <c r="L154" s="143"/>
      <c r="M154" s="27"/>
      <c r="N154" s="31"/>
      <c r="O154" s="78"/>
      <c r="P154" s="30"/>
      <c r="Q154" s="31"/>
      <c r="R154" s="31"/>
      <c r="S154" s="43"/>
      <c r="T154" s="70"/>
      <c r="U154" s="148"/>
      <c r="V154" s="148"/>
      <c r="W154" s="32"/>
      <c r="X154" s="33" t="s">
        <v>861</v>
      </c>
      <c r="Y154" s="26" t="s">
        <v>185</v>
      </c>
      <c r="Z154" s="63">
        <v>42501</v>
      </c>
      <c r="AA154" s="64">
        <v>11804</v>
      </c>
      <c r="AB154" s="33" t="s">
        <v>896</v>
      </c>
      <c r="AC154" s="65">
        <v>42565</v>
      </c>
      <c r="AD154" s="65">
        <v>42733</v>
      </c>
      <c r="AE154" s="60"/>
      <c r="AF154" s="60"/>
      <c r="AG154" s="74"/>
      <c r="AH154" s="74"/>
      <c r="AI154" s="74"/>
      <c r="AJ154" s="74"/>
      <c r="AK154" s="74"/>
      <c r="AL154" s="38"/>
      <c r="AM154" s="38"/>
      <c r="AN154" s="38"/>
      <c r="AO154" s="38"/>
      <c r="AP154" s="19"/>
      <c r="AQ154" s="19"/>
      <c r="AR154" s="19"/>
      <c r="AS154" s="19"/>
      <c r="AT154" s="19"/>
      <c r="AU154" s="19"/>
      <c r="AV154" s="19"/>
      <c r="AW154" s="19"/>
      <c r="AX154" s="19"/>
      <c r="AY154" s="19"/>
      <c r="AZ154" s="19"/>
      <c r="BA154" s="19"/>
      <c r="BB154" s="19"/>
      <c r="BC154" s="27"/>
      <c r="BD154" s="61">
        <v>42505</v>
      </c>
      <c r="BE154" s="61">
        <v>42685</v>
      </c>
      <c r="BF154" s="43"/>
      <c r="BG154" s="43"/>
      <c r="BH154" s="35"/>
      <c r="BI154" s="19"/>
      <c r="BJ154" s="19"/>
      <c r="BK154" s="19"/>
      <c r="BL154" s="26"/>
      <c r="BM154" s="26"/>
    </row>
    <row r="155" spans="1:65" ht="90" x14ac:dyDescent="0.25">
      <c r="A155" s="160"/>
      <c r="B155" s="154"/>
      <c r="C155" s="19"/>
      <c r="D155" s="27"/>
      <c r="E155" s="50"/>
      <c r="F155" s="32"/>
      <c r="G155" s="28"/>
      <c r="H155" s="22"/>
      <c r="I155" s="22"/>
      <c r="J155" s="22"/>
      <c r="K155" s="19"/>
      <c r="L155" s="143"/>
      <c r="M155" s="27"/>
      <c r="N155" s="31"/>
      <c r="O155" s="78"/>
      <c r="P155" s="30"/>
      <c r="Q155" s="31"/>
      <c r="R155" s="31"/>
      <c r="S155" s="43"/>
      <c r="T155" s="70"/>
      <c r="U155" s="148"/>
      <c r="V155" s="148"/>
      <c r="W155" s="32"/>
      <c r="X155" s="33" t="s">
        <v>861</v>
      </c>
      <c r="Y155" s="26" t="s">
        <v>186</v>
      </c>
      <c r="Z155" s="63">
        <v>42682</v>
      </c>
      <c r="AA155" s="64">
        <v>12043</v>
      </c>
      <c r="AB155" s="33" t="s">
        <v>897</v>
      </c>
      <c r="AC155" s="65">
        <v>42733</v>
      </c>
      <c r="AD155" s="65">
        <v>42913</v>
      </c>
      <c r="AE155" s="66"/>
      <c r="AF155" s="60"/>
      <c r="AG155" s="74"/>
      <c r="AH155" s="74"/>
      <c r="AI155" s="74"/>
      <c r="AJ155" s="74"/>
      <c r="AK155" s="74"/>
      <c r="AL155" s="38"/>
      <c r="AM155" s="38"/>
      <c r="AN155" s="38"/>
      <c r="AO155" s="38"/>
      <c r="AP155" s="26"/>
      <c r="AQ155" s="26"/>
      <c r="AR155" s="26"/>
      <c r="AS155" s="26"/>
      <c r="AT155" s="26"/>
      <c r="AU155" s="26"/>
      <c r="AV155" s="26"/>
      <c r="AW155" s="26"/>
      <c r="AX155" s="26"/>
      <c r="AY155" s="26"/>
      <c r="AZ155" s="19"/>
      <c r="BA155" s="19"/>
      <c r="BB155" s="19"/>
      <c r="BC155" s="27"/>
      <c r="BD155" s="63">
        <v>42685</v>
      </c>
      <c r="BE155" s="63">
        <v>42865</v>
      </c>
      <c r="BF155" s="26"/>
      <c r="BG155" s="26"/>
      <c r="BH155" s="26"/>
      <c r="BI155" s="19"/>
      <c r="BJ155" s="19"/>
      <c r="BK155" s="26"/>
      <c r="BL155" s="26"/>
      <c r="BM155" s="26"/>
    </row>
    <row r="156" spans="1:65" ht="105" x14ac:dyDescent="0.25">
      <c r="A156" s="160"/>
      <c r="B156" s="154"/>
      <c r="C156" s="19"/>
      <c r="D156" s="27"/>
      <c r="E156" s="50"/>
      <c r="F156" s="32"/>
      <c r="G156" s="28"/>
      <c r="H156" s="22"/>
      <c r="I156" s="22"/>
      <c r="J156" s="22"/>
      <c r="K156" s="19"/>
      <c r="L156" s="143"/>
      <c r="M156" s="27"/>
      <c r="N156" s="31"/>
      <c r="O156" s="78"/>
      <c r="P156" s="30"/>
      <c r="Q156" s="31"/>
      <c r="R156" s="31"/>
      <c r="S156" s="43"/>
      <c r="T156" s="70"/>
      <c r="U156" s="148"/>
      <c r="V156" s="148"/>
      <c r="W156" s="32"/>
      <c r="X156" s="33" t="s">
        <v>365</v>
      </c>
      <c r="Y156" s="26" t="s">
        <v>187</v>
      </c>
      <c r="Z156" s="63">
        <v>42867</v>
      </c>
      <c r="AA156" s="64">
        <v>12053</v>
      </c>
      <c r="AB156" s="33" t="s">
        <v>923</v>
      </c>
      <c r="AC156" s="65"/>
      <c r="AD156" s="65"/>
      <c r="AE156" s="66"/>
      <c r="AF156" s="60"/>
      <c r="AG156" s="74"/>
      <c r="AH156" s="74">
        <v>2095.64</v>
      </c>
      <c r="AI156" s="74"/>
      <c r="AJ156" s="74"/>
      <c r="AK156" s="74"/>
      <c r="AL156" s="38"/>
      <c r="AM156" s="38"/>
      <c r="AN156" s="38"/>
      <c r="AO156" s="38"/>
      <c r="AP156" s="26"/>
      <c r="AQ156" s="26"/>
      <c r="AR156" s="26"/>
      <c r="AS156" s="26"/>
      <c r="AT156" s="26"/>
      <c r="AU156" s="26"/>
      <c r="AV156" s="26"/>
      <c r="AW156" s="26"/>
      <c r="AX156" s="26"/>
      <c r="AY156" s="26"/>
      <c r="AZ156" s="19"/>
      <c r="BA156" s="19"/>
      <c r="BB156" s="19"/>
      <c r="BC156" s="27"/>
      <c r="BD156" s="63"/>
      <c r="BE156" s="63"/>
      <c r="BF156" s="26"/>
      <c r="BG156" s="26"/>
      <c r="BH156" s="26"/>
      <c r="BI156" s="19"/>
      <c r="BJ156" s="19"/>
      <c r="BK156" s="26"/>
      <c r="BL156" s="26"/>
      <c r="BM156" s="26"/>
    </row>
    <row r="157" spans="1:65" ht="120" x14ac:dyDescent="0.25">
      <c r="A157" s="160"/>
      <c r="B157" s="154"/>
      <c r="C157" s="19"/>
      <c r="D157" s="27"/>
      <c r="E157" s="50"/>
      <c r="F157" s="32"/>
      <c r="G157" s="28"/>
      <c r="H157" s="22"/>
      <c r="I157" s="22"/>
      <c r="J157" s="22"/>
      <c r="K157" s="19"/>
      <c r="L157" s="143"/>
      <c r="M157" s="27"/>
      <c r="N157" s="31"/>
      <c r="O157" s="78"/>
      <c r="P157" s="30"/>
      <c r="Q157" s="31"/>
      <c r="R157" s="31"/>
      <c r="S157" s="43"/>
      <c r="T157" s="70"/>
      <c r="U157" s="148"/>
      <c r="V157" s="148"/>
      <c r="W157" s="32"/>
      <c r="X157" s="33" t="s">
        <v>365</v>
      </c>
      <c r="Y157" s="26" t="s">
        <v>117</v>
      </c>
      <c r="Z157" s="63">
        <v>42873</v>
      </c>
      <c r="AA157" s="64">
        <v>12056</v>
      </c>
      <c r="AB157" s="33" t="s">
        <v>927</v>
      </c>
      <c r="AC157" s="65"/>
      <c r="AD157" s="65"/>
      <c r="AE157" s="66">
        <v>2.74</v>
      </c>
      <c r="AF157" s="60"/>
      <c r="AG157" s="74">
        <v>24626.12</v>
      </c>
      <c r="AH157" s="74"/>
      <c r="AI157" s="74"/>
      <c r="AJ157" s="74"/>
      <c r="AK157" s="74"/>
      <c r="AL157" s="38"/>
      <c r="AM157" s="38"/>
      <c r="AN157" s="38"/>
      <c r="AO157" s="38"/>
      <c r="AP157" s="67"/>
      <c r="AQ157" s="26"/>
      <c r="AR157" s="26"/>
      <c r="AS157" s="26"/>
      <c r="AT157" s="26"/>
      <c r="AU157" s="26"/>
      <c r="AV157" s="26"/>
      <c r="AW157" s="26"/>
      <c r="AX157" s="26"/>
      <c r="AY157" s="26"/>
      <c r="AZ157" s="19"/>
      <c r="BA157" s="19"/>
      <c r="BB157" s="19"/>
      <c r="BC157" s="27"/>
      <c r="BD157" s="63"/>
      <c r="BE157" s="63"/>
      <c r="BF157" s="26"/>
      <c r="BG157" s="26"/>
      <c r="BH157" s="26"/>
      <c r="BI157" s="19"/>
      <c r="BJ157" s="19"/>
      <c r="BK157" s="26"/>
      <c r="BL157" s="26"/>
      <c r="BM157" s="26"/>
    </row>
    <row r="158" spans="1:65" ht="150" x14ac:dyDescent="0.25">
      <c r="A158" s="160"/>
      <c r="B158" s="154"/>
      <c r="C158" s="19"/>
      <c r="D158" s="27"/>
      <c r="E158" s="50"/>
      <c r="F158" s="32"/>
      <c r="G158" s="28"/>
      <c r="H158" s="22"/>
      <c r="I158" s="22"/>
      <c r="J158" s="22"/>
      <c r="K158" s="19"/>
      <c r="L158" s="143"/>
      <c r="M158" s="27"/>
      <c r="N158" s="31"/>
      <c r="O158" s="78"/>
      <c r="P158" s="30"/>
      <c r="Q158" s="31"/>
      <c r="R158" s="31"/>
      <c r="S158" s="43"/>
      <c r="T158" s="33"/>
      <c r="U158" s="149"/>
      <c r="V158" s="149"/>
      <c r="W158" s="33"/>
      <c r="X158" s="33" t="s">
        <v>365</v>
      </c>
      <c r="Y158" s="26" t="s">
        <v>120</v>
      </c>
      <c r="Z158" s="63">
        <v>42879</v>
      </c>
      <c r="AA158" s="64">
        <v>12061</v>
      </c>
      <c r="AB158" s="33" t="s">
        <v>935</v>
      </c>
      <c r="AC158" s="65"/>
      <c r="AD158" s="65"/>
      <c r="AE158" s="66"/>
      <c r="AF158" s="60"/>
      <c r="AG158" s="74">
        <v>53996.25</v>
      </c>
      <c r="AH158" s="74"/>
      <c r="AI158" s="74"/>
      <c r="AJ158" s="74"/>
      <c r="AK158" s="74"/>
      <c r="AL158" s="38"/>
      <c r="AM158" s="38"/>
      <c r="AN158" s="38"/>
      <c r="AO158" s="38"/>
      <c r="AP158" s="67"/>
      <c r="AQ158" s="26"/>
      <c r="AR158" s="26"/>
      <c r="AS158" s="26"/>
      <c r="AT158" s="26"/>
      <c r="AU158" s="26"/>
      <c r="AV158" s="26"/>
      <c r="AW158" s="26"/>
      <c r="AX158" s="26"/>
      <c r="AY158" s="26"/>
      <c r="AZ158" s="19"/>
      <c r="BA158" s="19"/>
      <c r="BB158" s="19"/>
      <c r="BC158" s="27"/>
      <c r="BD158" s="63"/>
      <c r="BE158" s="63"/>
      <c r="BF158" s="26"/>
      <c r="BG158" s="26"/>
      <c r="BH158" s="26"/>
      <c r="BI158" s="19"/>
      <c r="BJ158" s="19"/>
      <c r="BK158" s="26"/>
      <c r="BL158" s="26"/>
      <c r="BM158" s="26"/>
    </row>
    <row r="159" spans="1:65" ht="75" x14ac:dyDescent="0.25">
      <c r="A159" s="160"/>
      <c r="B159" s="154"/>
      <c r="C159" s="19"/>
      <c r="D159" s="27"/>
      <c r="E159" s="50"/>
      <c r="F159" s="32"/>
      <c r="G159" s="28"/>
      <c r="H159" s="22"/>
      <c r="I159" s="22"/>
      <c r="J159" s="22"/>
      <c r="K159" s="19"/>
      <c r="L159" s="143"/>
      <c r="M159" s="27"/>
      <c r="N159" s="31"/>
      <c r="O159" s="78"/>
      <c r="P159" s="30"/>
      <c r="Q159" s="31"/>
      <c r="R159" s="31"/>
      <c r="S159" s="43"/>
      <c r="T159" s="33"/>
      <c r="U159" s="149"/>
      <c r="V159" s="149"/>
      <c r="W159" s="33"/>
      <c r="X159" s="33" t="s">
        <v>861</v>
      </c>
      <c r="Y159" s="26" t="s">
        <v>118</v>
      </c>
      <c r="Z159" s="63">
        <v>42864</v>
      </c>
      <c r="AA159" s="64">
        <v>12249</v>
      </c>
      <c r="AB159" s="33" t="s">
        <v>1290</v>
      </c>
      <c r="AC159" s="65">
        <v>42913</v>
      </c>
      <c r="AD159" s="65">
        <v>43033</v>
      </c>
      <c r="AE159" s="66"/>
      <c r="AF159" s="60"/>
      <c r="AG159" s="74"/>
      <c r="AH159" s="74"/>
      <c r="AI159" s="74"/>
      <c r="AJ159" s="74"/>
      <c r="AK159" s="74"/>
      <c r="AL159" s="38"/>
      <c r="AM159" s="38"/>
      <c r="AN159" s="38"/>
      <c r="AO159" s="38"/>
      <c r="AP159" s="26"/>
      <c r="AQ159" s="26"/>
      <c r="AR159" s="26"/>
      <c r="AS159" s="26"/>
      <c r="AT159" s="26"/>
      <c r="AU159" s="26"/>
      <c r="AV159" s="26"/>
      <c r="AW159" s="26"/>
      <c r="AX159" s="26"/>
      <c r="AY159" s="26"/>
      <c r="AZ159" s="22"/>
      <c r="BA159" s="22"/>
      <c r="BB159" s="19"/>
      <c r="BC159" s="27"/>
      <c r="BD159" s="63">
        <v>42865</v>
      </c>
      <c r="BE159" s="63">
        <v>42955</v>
      </c>
      <c r="BF159" s="26"/>
      <c r="BG159" s="26"/>
      <c r="BH159" s="26"/>
      <c r="BI159" s="19"/>
      <c r="BJ159" s="19"/>
      <c r="BK159" s="26"/>
      <c r="BL159" s="26"/>
      <c r="BM159" s="26"/>
    </row>
    <row r="160" spans="1:65" ht="75" x14ac:dyDescent="0.25">
      <c r="A160" s="160"/>
      <c r="B160" s="154"/>
      <c r="C160" s="19"/>
      <c r="D160" s="27"/>
      <c r="E160" s="50"/>
      <c r="F160" s="32"/>
      <c r="G160" s="28"/>
      <c r="H160" s="22"/>
      <c r="I160" s="22"/>
      <c r="J160" s="22"/>
      <c r="K160" s="19"/>
      <c r="L160" s="143"/>
      <c r="M160" s="27"/>
      <c r="N160" s="31"/>
      <c r="O160" s="78"/>
      <c r="P160" s="30"/>
      <c r="Q160" s="31"/>
      <c r="R160" s="31"/>
      <c r="S160" s="43"/>
      <c r="T160" s="33"/>
      <c r="U160" s="149"/>
      <c r="V160" s="149"/>
      <c r="W160" s="33"/>
      <c r="X160" s="33" t="s">
        <v>861</v>
      </c>
      <c r="Y160" s="26" t="s">
        <v>279</v>
      </c>
      <c r="Z160" s="63">
        <v>42955</v>
      </c>
      <c r="AA160" s="64">
        <v>12250</v>
      </c>
      <c r="AB160" s="33" t="s">
        <v>1291</v>
      </c>
      <c r="AC160" s="65">
        <v>43033</v>
      </c>
      <c r="AD160" s="65">
        <v>43153</v>
      </c>
      <c r="AE160" s="66"/>
      <c r="AF160" s="60"/>
      <c r="AG160" s="74"/>
      <c r="AH160" s="74"/>
      <c r="AI160" s="74"/>
      <c r="AJ160" s="74"/>
      <c r="AK160" s="74"/>
      <c r="AL160" s="38"/>
      <c r="AM160" s="38"/>
      <c r="AN160" s="38"/>
      <c r="AO160" s="38"/>
      <c r="AP160" s="26"/>
      <c r="AQ160" s="26"/>
      <c r="AR160" s="26"/>
      <c r="AS160" s="26"/>
      <c r="AT160" s="26"/>
      <c r="AU160" s="26"/>
      <c r="AV160" s="26"/>
      <c r="AW160" s="26"/>
      <c r="AX160" s="26"/>
      <c r="AY160" s="26"/>
      <c r="AZ160" s="22"/>
      <c r="BA160" s="22"/>
      <c r="BB160" s="19"/>
      <c r="BC160" s="27"/>
      <c r="BD160" s="63">
        <v>42955</v>
      </c>
      <c r="BE160" s="63">
        <v>43045</v>
      </c>
      <c r="BF160" s="26"/>
      <c r="BG160" s="26"/>
      <c r="BH160" s="26"/>
      <c r="BI160" s="19"/>
      <c r="BJ160" s="19"/>
      <c r="BK160" s="26"/>
      <c r="BL160" s="26"/>
      <c r="BM160" s="26"/>
    </row>
    <row r="161" spans="1:65" ht="75" x14ac:dyDescent="0.25">
      <c r="A161" s="160"/>
      <c r="B161" s="154"/>
      <c r="C161" s="19"/>
      <c r="D161" s="27"/>
      <c r="E161" s="50"/>
      <c r="F161" s="32"/>
      <c r="G161" s="32"/>
      <c r="H161" s="22"/>
      <c r="I161" s="22"/>
      <c r="J161" s="22"/>
      <c r="K161" s="19"/>
      <c r="L161" s="143"/>
      <c r="M161" s="27"/>
      <c r="N161" s="27"/>
      <c r="O161" s="78"/>
      <c r="P161" s="27"/>
      <c r="Q161" s="27"/>
      <c r="R161" s="27"/>
      <c r="S161" s="43"/>
      <c r="T161" s="33"/>
      <c r="U161" s="149"/>
      <c r="V161" s="149"/>
      <c r="W161" s="33"/>
      <c r="X161" s="33" t="s">
        <v>861</v>
      </c>
      <c r="Y161" s="26" t="s">
        <v>376</v>
      </c>
      <c r="Z161" s="63">
        <v>43045</v>
      </c>
      <c r="AA161" s="64">
        <v>12251</v>
      </c>
      <c r="AB161" s="33" t="s">
        <v>1293</v>
      </c>
      <c r="AC161" s="65"/>
      <c r="AD161" s="65"/>
      <c r="AE161" s="66"/>
      <c r="AF161" s="60"/>
      <c r="AG161" s="74"/>
      <c r="AH161" s="74"/>
      <c r="AI161" s="74"/>
      <c r="AJ161" s="74"/>
      <c r="AK161" s="74"/>
      <c r="AL161" s="38"/>
      <c r="AM161" s="38"/>
      <c r="AN161" s="38"/>
      <c r="AO161" s="38"/>
      <c r="AP161" s="26"/>
      <c r="AQ161" s="26"/>
      <c r="AR161" s="26"/>
      <c r="AS161" s="26"/>
      <c r="AT161" s="26"/>
      <c r="AU161" s="26"/>
      <c r="AV161" s="26"/>
      <c r="AW161" s="26"/>
      <c r="AX161" s="26"/>
      <c r="AY161" s="26"/>
      <c r="AZ161" s="22"/>
      <c r="BA161" s="22"/>
      <c r="BB161" s="19"/>
      <c r="BC161" s="27"/>
      <c r="BD161" s="63">
        <v>43045</v>
      </c>
      <c r="BE161" s="63">
        <v>43135</v>
      </c>
      <c r="BF161" s="26"/>
      <c r="BG161" s="26"/>
      <c r="BH161" s="26"/>
      <c r="BI161" s="19"/>
      <c r="BJ161" s="19"/>
      <c r="BK161" s="26"/>
      <c r="BL161" s="26"/>
      <c r="BM161" s="26"/>
    </row>
    <row r="162" spans="1:65" ht="90" x14ac:dyDescent="0.25">
      <c r="A162" s="160"/>
      <c r="B162" s="154"/>
      <c r="C162" s="19"/>
      <c r="D162" s="27"/>
      <c r="E162" s="50"/>
      <c r="F162" s="32"/>
      <c r="G162" s="32"/>
      <c r="H162" s="22"/>
      <c r="I162" s="22"/>
      <c r="J162" s="22"/>
      <c r="K162" s="19"/>
      <c r="L162" s="143"/>
      <c r="M162" s="27"/>
      <c r="N162" s="27"/>
      <c r="O162" s="78"/>
      <c r="P162" s="27"/>
      <c r="Q162" s="27"/>
      <c r="R162" s="27"/>
      <c r="S162" s="43"/>
      <c r="T162" s="33"/>
      <c r="U162" s="149"/>
      <c r="V162" s="149"/>
      <c r="W162" s="33"/>
      <c r="X162" s="33" t="s">
        <v>861</v>
      </c>
      <c r="Y162" s="26" t="s">
        <v>1325</v>
      </c>
      <c r="Z162" s="63">
        <v>43133</v>
      </c>
      <c r="AA162" s="64">
        <v>12253</v>
      </c>
      <c r="AB162" s="33" t="s">
        <v>1326</v>
      </c>
      <c r="AC162" s="65">
        <v>43153</v>
      </c>
      <c r="AD162" s="65">
        <v>43273</v>
      </c>
      <c r="AE162" s="66"/>
      <c r="AF162" s="60"/>
      <c r="AG162" s="74"/>
      <c r="AH162" s="74"/>
      <c r="AI162" s="74"/>
      <c r="AJ162" s="74"/>
      <c r="AK162" s="74"/>
      <c r="AL162" s="38"/>
      <c r="AM162" s="38"/>
      <c r="AN162" s="38"/>
      <c r="AO162" s="38"/>
      <c r="AP162" s="26"/>
      <c r="AQ162" s="26"/>
      <c r="AR162" s="26"/>
      <c r="AS162" s="26"/>
      <c r="AT162" s="26"/>
      <c r="AU162" s="26"/>
      <c r="AV162" s="26"/>
      <c r="AW162" s="26"/>
      <c r="AX162" s="26"/>
      <c r="AY162" s="26"/>
      <c r="AZ162" s="22"/>
      <c r="BA162" s="22"/>
      <c r="BB162" s="19"/>
      <c r="BC162" s="27"/>
      <c r="BD162" s="63">
        <v>43135</v>
      </c>
      <c r="BE162" s="63">
        <v>43225</v>
      </c>
      <c r="BF162" s="26"/>
      <c r="BG162" s="26"/>
      <c r="BH162" s="26"/>
      <c r="BI162" s="19"/>
      <c r="BJ162" s="19"/>
      <c r="BK162" s="26"/>
      <c r="BL162" s="26"/>
      <c r="BM162" s="26"/>
    </row>
    <row r="163" spans="1:65" ht="90" x14ac:dyDescent="0.25">
      <c r="A163" s="160"/>
      <c r="B163" s="154"/>
      <c r="C163" s="19"/>
      <c r="D163" s="27"/>
      <c r="E163" s="50"/>
      <c r="F163" s="32"/>
      <c r="G163" s="32"/>
      <c r="H163" s="22"/>
      <c r="I163" s="22"/>
      <c r="J163" s="22"/>
      <c r="K163" s="19"/>
      <c r="L163" s="143"/>
      <c r="M163" s="27"/>
      <c r="N163" s="27"/>
      <c r="O163" s="78"/>
      <c r="P163" s="27"/>
      <c r="Q163" s="27"/>
      <c r="R163" s="27"/>
      <c r="S163" s="43"/>
      <c r="T163" s="33"/>
      <c r="U163" s="149"/>
      <c r="V163" s="149"/>
      <c r="W163" s="33"/>
      <c r="X163" s="33" t="s">
        <v>365</v>
      </c>
      <c r="Y163" s="26" t="s">
        <v>1327</v>
      </c>
      <c r="Z163" s="63">
        <v>43157</v>
      </c>
      <c r="AA163" s="64">
        <v>12258</v>
      </c>
      <c r="AB163" s="33" t="s">
        <v>1328</v>
      </c>
      <c r="AC163" s="65"/>
      <c r="AD163" s="65"/>
      <c r="AE163" s="66"/>
      <c r="AF163" s="60"/>
      <c r="AG163" s="74">
        <v>118124.36</v>
      </c>
      <c r="AH163" s="74"/>
      <c r="AI163" s="74"/>
      <c r="AJ163" s="74"/>
      <c r="AK163" s="74"/>
      <c r="AL163" s="38"/>
      <c r="AM163" s="38"/>
      <c r="AN163" s="38"/>
      <c r="AO163" s="38"/>
      <c r="AP163" s="26"/>
      <c r="AQ163" s="26"/>
      <c r="AR163" s="26"/>
      <c r="AS163" s="26"/>
      <c r="AT163" s="26"/>
      <c r="AU163" s="26"/>
      <c r="AV163" s="26"/>
      <c r="AW163" s="26"/>
      <c r="AX163" s="26"/>
      <c r="AY163" s="26"/>
      <c r="AZ163" s="22"/>
      <c r="BA163" s="22"/>
      <c r="BB163" s="19"/>
      <c r="BC163" s="27"/>
      <c r="BD163" s="63"/>
      <c r="BE163" s="63"/>
      <c r="BF163" s="26"/>
      <c r="BG163" s="26"/>
      <c r="BH163" s="26"/>
      <c r="BI163" s="19"/>
      <c r="BJ163" s="19"/>
      <c r="BK163" s="26"/>
      <c r="BL163" s="26"/>
      <c r="BM163" s="26"/>
    </row>
    <row r="164" spans="1:65" ht="60" x14ac:dyDescent="0.25">
      <c r="A164" s="160">
        <v>26</v>
      </c>
      <c r="B164" s="154" t="s">
        <v>371</v>
      </c>
      <c r="C164" s="19" t="s">
        <v>327</v>
      </c>
      <c r="D164" s="27" t="s">
        <v>128</v>
      </c>
      <c r="E164" s="19" t="s">
        <v>124</v>
      </c>
      <c r="F164" s="32" t="s">
        <v>372</v>
      </c>
      <c r="G164" s="28" t="s">
        <v>553</v>
      </c>
      <c r="H164" s="20" t="s">
        <v>753</v>
      </c>
      <c r="I164" s="29">
        <v>42143</v>
      </c>
      <c r="J164" s="29">
        <v>42509</v>
      </c>
      <c r="K164" s="19" t="s">
        <v>367</v>
      </c>
      <c r="L164" s="143" t="s">
        <v>335</v>
      </c>
      <c r="M164" s="27" t="s">
        <v>355</v>
      </c>
      <c r="N164" s="31">
        <v>42156</v>
      </c>
      <c r="O164" s="78">
        <v>504357.12</v>
      </c>
      <c r="P164" s="30" t="s">
        <v>528</v>
      </c>
      <c r="Q164" s="31">
        <v>42156</v>
      </c>
      <c r="R164" s="31">
        <v>42522</v>
      </c>
      <c r="S164" s="27" t="s">
        <v>369</v>
      </c>
      <c r="T164" s="32"/>
      <c r="U164" s="148"/>
      <c r="V164" s="148"/>
      <c r="W164" s="32" t="s">
        <v>193</v>
      </c>
      <c r="X164" s="33" t="s">
        <v>1261</v>
      </c>
      <c r="Y164" s="22" t="s">
        <v>136</v>
      </c>
      <c r="Z164" s="35">
        <v>42522</v>
      </c>
      <c r="AA164" s="34">
        <v>11826</v>
      </c>
      <c r="AB164" s="33" t="s">
        <v>603</v>
      </c>
      <c r="AC164" s="61">
        <v>42522</v>
      </c>
      <c r="AD164" s="61">
        <v>42887</v>
      </c>
      <c r="AE164" s="36"/>
      <c r="AF164" s="43"/>
      <c r="AG164" s="77">
        <v>504357.12</v>
      </c>
      <c r="AH164" s="77"/>
      <c r="AI164" s="77"/>
      <c r="AJ164" s="77"/>
      <c r="AK164" s="77"/>
      <c r="AL164" s="38">
        <f>O164-AH164+AG164-AH165+AG165-AH166+AG166-AH167+AG167</f>
        <v>1893706.92</v>
      </c>
      <c r="AM164" s="38">
        <f>292633.23+42029.76+42029.76+42029.76+42029.76+42029.76+42029.76+42029.76+42029.76+42029.76+42029.76+42029.76+42029.76+45699.96+45699.96+45699.96+45699.96+45699.96+45699.96+45699.96+45466.17+45696.96+45699.96+45699.96</f>
        <v>1299453.1199999996</v>
      </c>
      <c r="AN164" s="38">
        <f>45699.96+91399.92+43362.15+45699.96+45699.96+45699.96+45699.96+45699.96+45699.96+45699.96</f>
        <v>500361.75000000012</v>
      </c>
      <c r="AO164" s="38">
        <f>AM164+AN164</f>
        <v>1799814.8699999996</v>
      </c>
      <c r="AP164" s="39"/>
      <c r="AQ164" s="19"/>
      <c r="AR164" s="19"/>
      <c r="AS164" s="19"/>
      <c r="AT164" s="19"/>
      <c r="AU164" s="19"/>
      <c r="AV164" s="19"/>
      <c r="AW164" s="19"/>
      <c r="AX164" s="19"/>
      <c r="AY164" s="19"/>
      <c r="AZ164" s="19"/>
      <c r="BA164" s="19"/>
      <c r="BB164" s="19"/>
      <c r="BC164" s="27"/>
      <c r="BD164" s="19"/>
      <c r="BE164" s="19"/>
      <c r="BF164" s="19"/>
      <c r="BG164" s="19"/>
      <c r="BH164" s="19"/>
      <c r="BI164" s="19"/>
      <c r="BJ164" s="19"/>
      <c r="BK164" s="19"/>
      <c r="BL164" s="19"/>
      <c r="BM164" s="19"/>
    </row>
    <row r="165" spans="1:65" ht="150" x14ac:dyDescent="0.25">
      <c r="A165" s="160"/>
      <c r="B165" s="154"/>
      <c r="C165" s="19"/>
      <c r="D165" s="27"/>
      <c r="E165" s="19"/>
      <c r="F165" s="32"/>
      <c r="G165" s="32"/>
      <c r="H165" s="20"/>
      <c r="I165" s="29"/>
      <c r="J165" s="29"/>
      <c r="K165" s="19"/>
      <c r="L165" s="143"/>
      <c r="M165" s="27"/>
      <c r="N165" s="27"/>
      <c r="O165" s="78"/>
      <c r="P165" s="27"/>
      <c r="Q165" s="27"/>
      <c r="R165" s="27"/>
      <c r="S165" s="27"/>
      <c r="T165" s="32"/>
      <c r="U165" s="148"/>
      <c r="V165" s="148"/>
      <c r="W165" s="32"/>
      <c r="X165" s="33" t="s">
        <v>365</v>
      </c>
      <c r="Y165" s="22" t="s">
        <v>140</v>
      </c>
      <c r="Z165" s="35">
        <v>42719</v>
      </c>
      <c r="AA165" s="34">
        <v>11965</v>
      </c>
      <c r="AB165" s="33" t="s">
        <v>670</v>
      </c>
      <c r="AC165" s="61"/>
      <c r="AD165" s="61"/>
      <c r="AE165" s="36"/>
      <c r="AF165" s="43"/>
      <c r="AG165" s="77">
        <v>62393.4</v>
      </c>
      <c r="AH165" s="77"/>
      <c r="AI165" s="77"/>
      <c r="AJ165" s="77"/>
      <c r="AK165" s="77"/>
      <c r="AL165" s="38"/>
      <c r="AM165" s="38"/>
      <c r="AN165" s="38"/>
      <c r="AO165" s="38"/>
      <c r="AP165" s="19"/>
      <c r="AQ165" s="19"/>
      <c r="AR165" s="19"/>
      <c r="AS165" s="19"/>
      <c r="AT165" s="19"/>
      <c r="AU165" s="19"/>
      <c r="AV165" s="19"/>
      <c r="AW165" s="19"/>
      <c r="AX165" s="19"/>
      <c r="AY165" s="19"/>
      <c r="AZ165" s="19"/>
      <c r="BA165" s="19"/>
      <c r="BB165" s="19"/>
      <c r="BC165" s="27"/>
      <c r="BD165" s="19"/>
      <c r="BE165" s="19"/>
      <c r="BF165" s="19"/>
      <c r="BG165" s="19"/>
      <c r="BH165" s="19"/>
      <c r="BI165" s="19"/>
      <c r="BJ165" s="19"/>
      <c r="BK165" s="19"/>
      <c r="BL165" s="19"/>
      <c r="BM165" s="19"/>
    </row>
    <row r="166" spans="1:65" ht="60" x14ac:dyDescent="0.25">
      <c r="A166" s="160"/>
      <c r="B166" s="154"/>
      <c r="C166" s="19"/>
      <c r="D166" s="27"/>
      <c r="E166" s="19"/>
      <c r="F166" s="32"/>
      <c r="G166" s="32"/>
      <c r="H166" s="19"/>
      <c r="I166" s="19"/>
      <c r="J166" s="19"/>
      <c r="K166" s="19"/>
      <c r="L166" s="143"/>
      <c r="M166" s="27"/>
      <c r="N166" s="27"/>
      <c r="O166" s="78"/>
      <c r="P166" s="27"/>
      <c r="Q166" s="27"/>
      <c r="R166" s="27"/>
      <c r="S166" s="27"/>
      <c r="T166" s="32"/>
      <c r="U166" s="148"/>
      <c r="V166" s="148"/>
      <c r="W166" s="32"/>
      <c r="X166" s="33" t="s">
        <v>1261</v>
      </c>
      <c r="Y166" s="22" t="s">
        <v>185</v>
      </c>
      <c r="Z166" s="35">
        <v>42887</v>
      </c>
      <c r="AA166" s="34">
        <v>12069</v>
      </c>
      <c r="AB166" s="33" t="s">
        <v>941</v>
      </c>
      <c r="AC166" s="61">
        <v>42887</v>
      </c>
      <c r="AD166" s="61">
        <v>43252</v>
      </c>
      <c r="AE166" s="36"/>
      <c r="AF166" s="43"/>
      <c r="AG166" s="77">
        <v>548399.52</v>
      </c>
      <c r="AH166" s="77"/>
      <c r="AI166" s="77"/>
      <c r="AJ166" s="77"/>
      <c r="AK166" s="77"/>
      <c r="AL166" s="38"/>
      <c r="AM166" s="38"/>
      <c r="AN166" s="38"/>
      <c r="AO166" s="38"/>
      <c r="AP166" s="19"/>
      <c r="AQ166" s="19"/>
      <c r="AR166" s="19"/>
      <c r="AS166" s="19"/>
      <c r="AT166" s="19"/>
      <c r="AU166" s="19"/>
      <c r="AV166" s="19"/>
      <c r="AW166" s="19"/>
      <c r="AX166" s="19"/>
      <c r="AY166" s="19"/>
      <c r="AZ166" s="19"/>
      <c r="BA166" s="19"/>
      <c r="BB166" s="19"/>
      <c r="BC166" s="27"/>
      <c r="BD166" s="19"/>
      <c r="BE166" s="19"/>
      <c r="BF166" s="19"/>
      <c r="BG166" s="19"/>
      <c r="BH166" s="19"/>
      <c r="BI166" s="19"/>
      <c r="BJ166" s="19"/>
      <c r="BK166" s="19"/>
      <c r="BL166" s="19"/>
      <c r="BM166" s="19"/>
    </row>
    <row r="167" spans="1:65" ht="60" x14ac:dyDescent="0.25">
      <c r="A167" s="160"/>
      <c r="B167" s="154"/>
      <c r="C167" s="19"/>
      <c r="D167" s="27"/>
      <c r="E167" s="19"/>
      <c r="F167" s="32"/>
      <c r="G167" s="32"/>
      <c r="H167" s="19"/>
      <c r="I167" s="19"/>
      <c r="J167" s="19"/>
      <c r="K167" s="19"/>
      <c r="L167" s="143"/>
      <c r="M167" s="27"/>
      <c r="N167" s="27"/>
      <c r="O167" s="78"/>
      <c r="P167" s="27"/>
      <c r="Q167" s="27"/>
      <c r="R167" s="27"/>
      <c r="S167" s="27"/>
      <c r="T167" s="32"/>
      <c r="U167" s="148"/>
      <c r="V167" s="148"/>
      <c r="W167" s="32"/>
      <c r="X167" s="33" t="s">
        <v>1261</v>
      </c>
      <c r="Y167" s="22" t="s">
        <v>186</v>
      </c>
      <c r="Z167" s="35">
        <v>43248</v>
      </c>
      <c r="AA167" s="34">
        <v>12319</v>
      </c>
      <c r="AB167" s="33" t="s">
        <v>1592</v>
      </c>
      <c r="AC167" s="61">
        <v>43252</v>
      </c>
      <c r="AD167" s="61">
        <v>43435</v>
      </c>
      <c r="AE167" s="36"/>
      <c r="AF167" s="43"/>
      <c r="AG167" s="77">
        <v>274199.76</v>
      </c>
      <c r="AH167" s="77"/>
      <c r="AI167" s="77"/>
      <c r="AJ167" s="77"/>
      <c r="AK167" s="77"/>
      <c r="AL167" s="38"/>
      <c r="AM167" s="38"/>
      <c r="AN167" s="38"/>
      <c r="AO167" s="38"/>
      <c r="AP167" s="19"/>
      <c r="AQ167" s="19"/>
      <c r="AR167" s="19"/>
      <c r="AS167" s="19"/>
      <c r="AT167" s="19"/>
      <c r="AU167" s="19"/>
      <c r="AV167" s="19"/>
      <c r="AW167" s="19"/>
      <c r="AX167" s="19"/>
      <c r="AY167" s="19"/>
      <c r="AZ167" s="19"/>
      <c r="BA167" s="19"/>
      <c r="BB167" s="19"/>
      <c r="BC167" s="27"/>
      <c r="BD167" s="19"/>
      <c r="BE167" s="19"/>
      <c r="BF167" s="19"/>
      <c r="BG167" s="19"/>
      <c r="BH167" s="19"/>
      <c r="BI167" s="19"/>
      <c r="BJ167" s="19"/>
      <c r="BK167" s="19"/>
      <c r="BL167" s="19"/>
      <c r="BM167" s="19"/>
    </row>
    <row r="168" spans="1:65" ht="120" x14ac:dyDescent="0.25">
      <c r="A168" s="160">
        <v>27</v>
      </c>
      <c r="B168" s="154" t="s">
        <v>354</v>
      </c>
      <c r="C168" s="19" t="s">
        <v>201</v>
      </c>
      <c r="D168" s="27" t="s">
        <v>313</v>
      </c>
      <c r="E168" s="19" t="s">
        <v>124</v>
      </c>
      <c r="F168" s="32" t="s">
        <v>356</v>
      </c>
      <c r="G168" s="28" t="s">
        <v>554</v>
      </c>
      <c r="H168" s="20"/>
      <c r="I168" s="20"/>
      <c r="J168" s="20"/>
      <c r="K168" s="19" t="s">
        <v>368</v>
      </c>
      <c r="L168" s="143" t="s">
        <v>335</v>
      </c>
      <c r="M168" s="27" t="s">
        <v>355</v>
      </c>
      <c r="N168" s="31">
        <v>42156</v>
      </c>
      <c r="O168" s="78">
        <v>298741.2</v>
      </c>
      <c r="P168" s="30" t="s">
        <v>528</v>
      </c>
      <c r="Q168" s="31">
        <v>42156</v>
      </c>
      <c r="R168" s="31">
        <v>42522</v>
      </c>
      <c r="S168" s="27" t="s">
        <v>134</v>
      </c>
      <c r="T168" s="19"/>
      <c r="U168" s="38"/>
      <c r="V168" s="38"/>
      <c r="W168" s="32" t="s">
        <v>135</v>
      </c>
      <c r="X168" s="33" t="s">
        <v>365</v>
      </c>
      <c r="Y168" s="22" t="s">
        <v>136</v>
      </c>
      <c r="Z168" s="35">
        <v>42384</v>
      </c>
      <c r="AA168" s="34">
        <v>11729</v>
      </c>
      <c r="AB168" s="33" t="s">
        <v>484</v>
      </c>
      <c r="AC168" s="43"/>
      <c r="AD168" s="43"/>
      <c r="AE168" s="36">
        <v>20</v>
      </c>
      <c r="AF168" s="43"/>
      <c r="AG168" s="77">
        <v>22737.57</v>
      </c>
      <c r="AH168" s="77"/>
      <c r="AI168" s="77"/>
      <c r="AJ168" s="77"/>
      <c r="AK168" s="77"/>
      <c r="AL168" s="38">
        <f>O168-AH168+AG168-AH169+AG169-AH170+AG170-AH171+AG171-AH172+AG172</f>
        <v>1339615.7699999998</v>
      </c>
      <c r="AM168" s="38">
        <f>7468.53+6887.56+5974.82+34604.19+19335.11+42321.67+23235.39+26637.57+30454.98+29874.12+29874.12+29874.12+29874.12+27384.61+29874.12+29874.12+29874.12+29874.12+33357.36+33357.36+33357.36+33357.36+33357.36+33357.36+27797.8+33357.36+33357.36+33357.36</f>
        <v>791311.42999999993</v>
      </c>
      <c r="AN168" s="38">
        <f>33357.36+66714.72+30577.58+30577.58+30577.58+30577.78+28075.78+29187.68+30392.26+30577.58</f>
        <v>340615.9</v>
      </c>
      <c r="AO168" s="38">
        <f>AM168+AN168</f>
        <v>1131927.33</v>
      </c>
      <c r="AP168" s="39"/>
      <c r="AQ168" s="19"/>
      <c r="AR168" s="19"/>
      <c r="AS168" s="19"/>
      <c r="AT168" s="19"/>
      <c r="AU168" s="19"/>
      <c r="AV168" s="19"/>
      <c r="AW168" s="19"/>
      <c r="AX168" s="19"/>
      <c r="AY168" s="19"/>
      <c r="AZ168" s="19"/>
      <c r="BA168" s="19"/>
      <c r="BB168" s="19"/>
      <c r="BC168" s="27"/>
      <c r="BD168" s="19"/>
      <c r="BE168" s="19"/>
      <c r="BF168" s="19"/>
      <c r="BG168" s="19"/>
      <c r="BH168" s="19"/>
      <c r="BI168" s="19"/>
      <c r="BJ168" s="19"/>
      <c r="BK168" s="19"/>
      <c r="BL168" s="19"/>
      <c r="BM168" s="19"/>
    </row>
    <row r="169" spans="1:65" ht="75" x14ac:dyDescent="0.25">
      <c r="A169" s="160"/>
      <c r="B169" s="154"/>
      <c r="C169" s="19"/>
      <c r="D169" s="27"/>
      <c r="E169" s="19"/>
      <c r="F169" s="32"/>
      <c r="G169" s="28"/>
      <c r="H169" s="19"/>
      <c r="I169" s="19"/>
      <c r="J169" s="19"/>
      <c r="K169" s="19"/>
      <c r="L169" s="143"/>
      <c r="M169" s="27"/>
      <c r="N169" s="31"/>
      <c r="O169" s="78"/>
      <c r="P169" s="30"/>
      <c r="Q169" s="31"/>
      <c r="R169" s="31"/>
      <c r="S169" s="27"/>
      <c r="T169" s="19"/>
      <c r="U169" s="38"/>
      <c r="V169" s="38"/>
      <c r="W169" s="32"/>
      <c r="X169" s="33" t="s">
        <v>1261</v>
      </c>
      <c r="Y169" s="22" t="s">
        <v>140</v>
      </c>
      <c r="Z169" s="35">
        <v>42522</v>
      </c>
      <c r="AA169" s="34">
        <v>11826</v>
      </c>
      <c r="AB169" s="33" t="s">
        <v>604</v>
      </c>
      <c r="AC169" s="61">
        <v>42522</v>
      </c>
      <c r="AD169" s="61">
        <v>42887</v>
      </c>
      <c r="AE169" s="36"/>
      <c r="AF169" s="43"/>
      <c r="AG169" s="77">
        <v>358489.44</v>
      </c>
      <c r="AH169" s="77"/>
      <c r="AI169" s="77"/>
      <c r="AJ169" s="77"/>
      <c r="AK169" s="77"/>
      <c r="AL169" s="38"/>
      <c r="AM169" s="38"/>
      <c r="AN169" s="38"/>
      <c r="AO169" s="38"/>
      <c r="AP169" s="19"/>
      <c r="AQ169" s="19"/>
      <c r="AR169" s="19"/>
      <c r="AS169" s="19"/>
      <c r="AT169" s="19"/>
      <c r="AU169" s="19"/>
      <c r="AV169" s="19"/>
      <c r="AW169" s="19"/>
      <c r="AX169" s="19"/>
      <c r="AY169" s="19"/>
      <c r="AZ169" s="19"/>
      <c r="BA169" s="19"/>
      <c r="BB169" s="19"/>
      <c r="BC169" s="27"/>
      <c r="BD169" s="19"/>
      <c r="BE169" s="19"/>
      <c r="BF169" s="19"/>
      <c r="BG169" s="19"/>
      <c r="BH169" s="19"/>
      <c r="BI169" s="19"/>
      <c r="BJ169" s="19"/>
      <c r="BK169" s="19"/>
      <c r="BL169" s="19"/>
      <c r="BM169" s="19"/>
    </row>
    <row r="170" spans="1:65" ht="165" x14ac:dyDescent="0.25">
      <c r="A170" s="160"/>
      <c r="B170" s="154"/>
      <c r="C170" s="19"/>
      <c r="D170" s="27"/>
      <c r="E170" s="19"/>
      <c r="F170" s="32"/>
      <c r="G170" s="32"/>
      <c r="H170" s="19"/>
      <c r="I170" s="19"/>
      <c r="J170" s="19"/>
      <c r="K170" s="19"/>
      <c r="L170" s="143"/>
      <c r="M170" s="27"/>
      <c r="N170" s="27"/>
      <c r="O170" s="78"/>
      <c r="P170" s="27"/>
      <c r="Q170" s="27"/>
      <c r="R170" s="27"/>
      <c r="S170" s="27"/>
      <c r="T170" s="19"/>
      <c r="U170" s="38"/>
      <c r="V170" s="38"/>
      <c r="W170" s="32"/>
      <c r="X170" s="33" t="s">
        <v>365</v>
      </c>
      <c r="Y170" s="22" t="s">
        <v>185</v>
      </c>
      <c r="Z170" s="35">
        <v>42719</v>
      </c>
      <c r="AA170" s="34">
        <v>11965</v>
      </c>
      <c r="AB170" s="33" t="s">
        <v>673</v>
      </c>
      <c r="AC170" s="61"/>
      <c r="AD170" s="61"/>
      <c r="AE170" s="36"/>
      <c r="AF170" s="43"/>
      <c r="AG170" s="77">
        <v>59215.08</v>
      </c>
      <c r="AH170" s="77"/>
      <c r="AI170" s="77"/>
      <c r="AJ170" s="77"/>
      <c r="AK170" s="77"/>
      <c r="AL170" s="38"/>
      <c r="AM170" s="38"/>
      <c r="AN170" s="38"/>
      <c r="AO170" s="38"/>
      <c r="AP170" s="19"/>
      <c r="AQ170" s="19"/>
      <c r="AR170" s="19"/>
      <c r="AS170" s="19"/>
      <c r="AT170" s="19"/>
      <c r="AU170" s="19"/>
      <c r="AV170" s="19"/>
      <c r="AW170" s="19"/>
      <c r="AX170" s="19"/>
      <c r="AY170" s="19"/>
      <c r="AZ170" s="19"/>
      <c r="BA170" s="19"/>
      <c r="BB170" s="19"/>
      <c r="BC170" s="27"/>
      <c r="BD170" s="19"/>
      <c r="BE170" s="19"/>
      <c r="BF170" s="19"/>
      <c r="BG170" s="19"/>
      <c r="BH170" s="19"/>
      <c r="BI170" s="19"/>
      <c r="BJ170" s="19"/>
      <c r="BK170" s="19"/>
      <c r="BL170" s="19"/>
      <c r="BM170" s="19"/>
    </row>
    <row r="171" spans="1:65" ht="60" x14ac:dyDescent="0.25">
      <c r="A171" s="160"/>
      <c r="B171" s="154"/>
      <c r="C171" s="19"/>
      <c r="D171" s="27"/>
      <c r="E171" s="19"/>
      <c r="F171" s="32"/>
      <c r="G171" s="32"/>
      <c r="H171" s="19"/>
      <c r="I171" s="19"/>
      <c r="J171" s="19"/>
      <c r="K171" s="19"/>
      <c r="L171" s="143"/>
      <c r="M171" s="27"/>
      <c r="N171" s="27"/>
      <c r="O171" s="78"/>
      <c r="P171" s="27"/>
      <c r="Q171" s="27"/>
      <c r="R171" s="27"/>
      <c r="S171" s="27"/>
      <c r="T171" s="19"/>
      <c r="U171" s="38"/>
      <c r="V171" s="38"/>
      <c r="W171" s="32"/>
      <c r="X171" s="33" t="s">
        <v>861</v>
      </c>
      <c r="Y171" s="22" t="s">
        <v>186</v>
      </c>
      <c r="Z171" s="35">
        <v>42887</v>
      </c>
      <c r="AA171" s="34">
        <v>12069</v>
      </c>
      <c r="AB171" s="33" t="s">
        <v>941</v>
      </c>
      <c r="AC171" s="61">
        <v>42887</v>
      </c>
      <c r="AD171" s="61">
        <v>43252</v>
      </c>
      <c r="AE171" s="36"/>
      <c r="AF171" s="43"/>
      <c r="AG171" s="77">
        <v>400288.32</v>
      </c>
      <c r="AH171" s="77"/>
      <c r="AI171" s="77"/>
      <c r="AJ171" s="77"/>
      <c r="AK171" s="77"/>
      <c r="AL171" s="38"/>
      <c r="AM171" s="38"/>
      <c r="AN171" s="38"/>
      <c r="AO171" s="38"/>
      <c r="AP171" s="19"/>
      <c r="AQ171" s="19"/>
      <c r="AR171" s="19"/>
      <c r="AS171" s="19"/>
      <c r="AT171" s="19"/>
      <c r="AU171" s="19"/>
      <c r="AV171" s="19"/>
      <c r="AW171" s="19"/>
      <c r="AX171" s="19"/>
      <c r="AY171" s="19"/>
      <c r="AZ171" s="19"/>
      <c r="BA171" s="19"/>
      <c r="BB171" s="19"/>
      <c r="BC171" s="27"/>
      <c r="BD171" s="19"/>
      <c r="BE171" s="19"/>
      <c r="BF171" s="19"/>
      <c r="BG171" s="19"/>
      <c r="BH171" s="19"/>
      <c r="BI171" s="19"/>
      <c r="BJ171" s="19"/>
      <c r="BK171" s="19"/>
      <c r="BL171" s="19"/>
      <c r="BM171" s="19"/>
    </row>
    <row r="172" spans="1:65" ht="60" x14ac:dyDescent="0.25">
      <c r="A172" s="160"/>
      <c r="B172" s="154"/>
      <c r="C172" s="19"/>
      <c r="D172" s="27"/>
      <c r="E172" s="19"/>
      <c r="F172" s="32"/>
      <c r="G172" s="32"/>
      <c r="H172" s="19"/>
      <c r="I172" s="19"/>
      <c r="J172" s="19"/>
      <c r="K172" s="19"/>
      <c r="L172" s="143"/>
      <c r="M172" s="27"/>
      <c r="N172" s="27"/>
      <c r="O172" s="78"/>
      <c r="P172" s="27"/>
      <c r="Q172" s="27"/>
      <c r="R172" s="27"/>
      <c r="S172" s="27"/>
      <c r="T172" s="19"/>
      <c r="U172" s="38"/>
      <c r="V172" s="38"/>
      <c r="W172" s="32"/>
      <c r="X172" s="33" t="s">
        <v>1261</v>
      </c>
      <c r="Y172" s="22" t="s">
        <v>187</v>
      </c>
      <c r="Z172" s="35">
        <v>43248</v>
      </c>
      <c r="AA172" s="34">
        <v>12320</v>
      </c>
      <c r="AB172" s="33" t="s">
        <v>1592</v>
      </c>
      <c r="AC172" s="61">
        <v>43252</v>
      </c>
      <c r="AD172" s="61">
        <v>43435</v>
      </c>
      <c r="AE172" s="36"/>
      <c r="AF172" s="43"/>
      <c r="AG172" s="77">
        <v>200144.16</v>
      </c>
      <c r="AH172" s="77"/>
      <c r="AI172" s="77"/>
      <c r="AJ172" s="77"/>
      <c r="AK172" s="77"/>
      <c r="AL172" s="38"/>
      <c r="AM172" s="38"/>
      <c r="AN172" s="38"/>
      <c r="AO172" s="38"/>
      <c r="AP172" s="19"/>
      <c r="AQ172" s="19"/>
      <c r="AR172" s="19"/>
      <c r="AS172" s="19"/>
      <c r="AT172" s="19"/>
      <c r="AU172" s="19"/>
      <c r="AV172" s="19"/>
      <c r="AW172" s="19"/>
      <c r="AX172" s="19"/>
      <c r="AY172" s="19"/>
      <c r="AZ172" s="19"/>
      <c r="BA172" s="19"/>
      <c r="BB172" s="19"/>
      <c r="BC172" s="27"/>
      <c r="BD172" s="19"/>
      <c r="BE172" s="19"/>
      <c r="BF172" s="19"/>
      <c r="BG172" s="19"/>
      <c r="BH172" s="19"/>
      <c r="BI172" s="19"/>
      <c r="BJ172" s="19"/>
      <c r="BK172" s="19"/>
      <c r="BL172" s="19"/>
      <c r="BM172" s="19"/>
    </row>
    <row r="173" spans="1:65" ht="60" x14ac:dyDescent="0.25">
      <c r="A173" s="160">
        <v>28</v>
      </c>
      <c r="B173" s="154" t="s">
        <v>371</v>
      </c>
      <c r="C173" s="19" t="s">
        <v>327</v>
      </c>
      <c r="D173" s="27" t="s">
        <v>128</v>
      </c>
      <c r="E173" s="19" t="s">
        <v>124</v>
      </c>
      <c r="F173" s="32" t="s">
        <v>372</v>
      </c>
      <c r="G173" s="28" t="s">
        <v>553</v>
      </c>
      <c r="H173" s="20" t="s">
        <v>753</v>
      </c>
      <c r="I173" s="29">
        <v>42143</v>
      </c>
      <c r="J173" s="29">
        <v>42509</v>
      </c>
      <c r="K173" s="19" t="s">
        <v>383</v>
      </c>
      <c r="L173" s="143" t="s">
        <v>335</v>
      </c>
      <c r="M173" s="27" t="s">
        <v>355</v>
      </c>
      <c r="N173" s="31">
        <v>42184</v>
      </c>
      <c r="O173" s="78">
        <v>39248.639999999999</v>
      </c>
      <c r="P173" s="30" t="s">
        <v>529</v>
      </c>
      <c r="Q173" s="31">
        <v>42184</v>
      </c>
      <c r="R173" s="31">
        <v>42550</v>
      </c>
      <c r="S173" s="27" t="s">
        <v>369</v>
      </c>
      <c r="T173" s="32"/>
      <c r="U173" s="148"/>
      <c r="V173" s="148"/>
      <c r="W173" s="32" t="s">
        <v>193</v>
      </c>
      <c r="X173" s="33" t="s">
        <v>1261</v>
      </c>
      <c r="Y173" s="22" t="s">
        <v>136</v>
      </c>
      <c r="Z173" s="35">
        <v>42550</v>
      </c>
      <c r="AA173" s="34">
        <v>11848</v>
      </c>
      <c r="AB173" s="33" t="s">
        <v>621</v>
      </c>
      <c r="AC173" s="35">
        <v>42550</v>
      </c>
      <c r="AD173" s="61">
        <v>42915</v>
      </c>
      <c r="AE173" s="36"/>
      <c r="AF173" s="43"/>
      <c r="AG173" s="77">
        <v>39248.639999999999</v>
      </c>
      <c r="AH173" s="77"/>
      <c r="AI173" s="77"/>
      <c r="AJ173" s="77"/>
      <c r="AK173" s="77"/>
      <c r="AL173" s="38">
        <f>O173+AG173+AG174+AG175</f>
        <v>125952.41999999998</v>
      </c>
      <c r="AM173" s="38">
        <f>19624.32+3270.72+3270.72+3270.72+3270.72+3270.72+3270.72+3270.72+3270.72+3270.72+3270.72+3270.72+3270.72+3544.27+3544.27+3544.27+3544.27+3544.27+3544.27+3544.27+3544.27</f>
        <v>87227.120000000039</v>
      </c>
      <c r="AN173" s="38">
        <f>0</f>
        <v>0</v>
      </c>
      <c r="AO173" s="38">
        <f>AM173+AN173</f>
        <v>87227.120000000039</v>
      </c>
      <c r="AP173" s="19"/>
      <c r="AQ173" s="22"/>
      <c r="AR173" s="22"/>
      <c r="AS173" s="19"/>
      <c r="AT173" s="19"/>
      <c r="AU173" s="19"/>
      <c r="AV173" s="19"/>
      <c r="AW173" s="19"/>
      <c r="AX173" s="19"/>
      <c r="AY173" s="19"/>
      <c r="AZ173" s="19"/>
      <c r="BA173" s="19"/>
      <c r="BB173" s="19"/>
      <c r="BC173" s="27"/>
      <c r="BD173" s="19"/>
      <c r="BE173" s="19"/>
      <c r="BF173" s="19"/>
      <c r="BG173" s="19"/>
      <c r="BH173" s="19"/>
      <c r="BI173" s="19"/>
      <c r="BJ173" s="19"/>
      <c r="BK173" s="19"/>
      <c r="BL173" s="19"/>
      <c r="BM173" s="19"/>
    </row>
    <row r="174" spans="1:65" ht="150" x14ac:dyDescent="0.25">
      <c r="A174" s="160"/>
      <c r="B174" s="154"/>
      <c r="C174" s="19"/>
      <c r="D174" s="27"/>
      <c r="E174" s="19"/>
      <c r="F174" s="32"/>
      <c r="G174" s="32"/>
      <c r="H174" s="20"/>
      <c r="I174" s="29"/>
      <c r="J174" s="29"/>
      <c r="K174" s="19"/>
      <c r="L174" s="143"/>
      <c r="M174" s="27"/>
      <c r="N174" s="31"/>
      <c r="O174" s="78"/>
      <c r="P174" s="27"/>
      <c r="Q174" s="31"/>
      <c r="R174" s="27"/>
      <c r="S174" s="27"/>
      <c r="T174" s="32"/>
      <c r="U174" s="148"/>
      <c r="V174" s="148"/>
      <c r="W174" s="32"/>
      <c r="X174" s="33" t="s">
        <v>365</v>
      </c>
      <c r="Y174" s="22" t="s">
        <v>140</v>
      </c>
      <c r="Z174" s="35">
        <v>42719</v>
      </c>
      <c r="AA174" s="34">
        <v>11965</v>
      </c>
      <c r="AB174" s="33" t="s">
        <v>671</v>
      </c>
      <c r="AC174" s="35"/>
      <c r="AD174" s="61"/>
      <c r="AE174" s="36"/>
      <c r="AF174" s="43"/>
      <c r="AG174" s="77">
        <v>4923.8999999999996</v>
      </c>
      <c r="AH174" s="77"/>
      <c r="AI174" s="77"/>
      <c r="AJ174" s="77"/>
      <c r="AK174" s="77"/>
      <c r="AL174" s="38"/>
      <c r="AM174" s="38"/>
      <c r="AN174" s="38"/>
      <c r="AO174" s="38"/>
      <c r="AP174" s="19"/>
      <c r="AQ174" s="22"/>
      <c r="AR174" s="22"/>
      <c r="AS174" s="19"/>
      <c r="AT174" s="19"/>
      <c r="AU174" s="19"/>
      <c r="AV174" s="19"/>
      <c r="AW174" s="19"/>
      <c r="AX174" s="19"/>
      <c r="AY174" s="19"/>
      <c r="AZ174" s="19"/>
      <c r="BA174" s="19"/>
      <c r="BB174" s="19"/>
      <c r="BC174" s="27"/>
      <c r="BD174" s="19"/>
      <c r="BE174" s="19"/>
      <c r="BF174" s="19"/>
      <c r="BG174" s="19"/>
      <c r="BH174" s="19"/>
      <c r="BI174" s="19"/>
      <c r="BJ174" s="19"/>
      <c r="BK174" s="19"/>
      <c r="BL174" s="19"/>
      <c r="BM174" s="19"/>
    </row>
    <row r="175" spans="1:65" ht="60" x14ac:dyDescent="0.25">
      <c r="A175" s="160"/>
      <c r="B175" s="154"/>
      <c r="C175" s="19"/>
      <c r="D175" s="27"/>
      <c r="E175" s="19"/>
      <c r="F175" s="32"/>
      <c r="G175" s="32"/>
      <c r="H175" s="19"/>
      <c r="I175" s="19"/>
      <c r="J175" s="19"/>
      <c r="K175" s="19"/>
      <c r="L175" s="143"/>
      <c r="M175" s="27"/>
      <c r="N175" s="27"/>
      <c r="O175" s="78"/>
      <c r="P175" s="27"/>
      <c r="Q175" s="27"/>
      <c r="R175" s="27"/>
      <c r="S175" s="27"/>
      <c r="T175" s="32"/>
      <c r="U175" s="148"/>
      <c r="V175" s="148"/>
      <c r="W175" s="32"/>
      <c r="X175" s="33" t="s">
        <v>1261</v>
      </c>
      <c r="Y175" s="22" t="s">
        <v>185</v>
      </c>
      <c r="Z175" s="35">
        <v>42915</v>
      </c>
      <c r="AA175" s="34">
        <v>12093</v>
      </c>
      <c r="AB175" s="33" t="s">
        <v>1008</v>
      </c>
      <c r="AC175" s="61">
        <v>42915</v>
      </c>
      <c r="AD175" s="61">
        <v>43280</v>
      </c>
      <c r="AE175" s="36"/>
      <c r="AF175" s="43"/>
      <c r="AG175" s="77">
        <v>42531.24</v>
      </c>
      <c r="AH175" s="77"/>
      <c r="AI175" s="77"/>
      <c r="AJ175" s="77"/>
      <c r="AK175" s="77"/>
      <c r="AL175" s="38"/>
      <c r="AM175" s="38"/>
      <c r="AN175" s="38"/>
      <c r="AO175" s="38"/>
      <c r="AP175" s="37"/>
      <c r="AQ175" s="22"/>
      <c r="AR175" s="22"/>
      <c r="AS175" s="22"/>
      <c r="AT175" s="22"/>
      <c r="AU175" s="22"/>
      <c r="AV175" s="22"/>
      <c r="AW175" s="22"/>
      <c r="AX175" s="22"/>
      <c r="AY175" s="22"/>
      <c r="AZ175" s="22"/>
      <c r="BA175" s="22"/>
      <c r="BB175" s="22"/>
      <c r="BC175" s="43"/>
      <c r="BD175" s="22"/>
      <c r="BE175" s="22"/>
      <c r="BF175" s="22"/>
      <c r="BG175" s="22"/>
      <c r="BH175" s="22"/>
      <c r="BI175" s="22"/>
      <c r="BJ175" s="22"/>
      <c r="BK175" s="22"/>
      <c r="BL175" s="22"/>
      <c r="BM175" s="22"/>
    </row>
    <row r="176" spans="1:65" ht="75" x14ac:dyDescent="0.25">
      <c r="A176" s="160">
        <v>29</v>
      </c>
      <c r="B176" s="154" t="s">
        <v>390</v>
      </c>
      <c r="C176" s="19" t="s">
        <v>328</v>
      </c>
      <c r="D176" s="27" t="s">
        <v>128</v>
      </c>
      <c r="E176" s="19" t="s">
        <v>124</v>
      </c>
      <c r="F176" s="32" t="s">
        <v>393</v>
      </c>
      <c r="G176" s="28" t="s">
        <v>394</v>
      </c>
      <c r="H176" s="20" t="s">
        <v>492</v>
      </c>
      <c r="I176" s="29">
        <v>42200</v>
      </c>
      <c r="J176" s="29">
        <v>42566</v>
      </c>
      <c r="K176" s="19" t="s">
        <v>387</v>
      </c>
      <c r="L176" s="143" t="s">
        <v>391</v>
      </c>
      <c r="M176" s="27" t="s">
        <v>392</v>
      </c>
      <c r="N176" s="31">
        <v>42216</v>
      </c>
      <c r="O176" s="78">
        <v>6000</v>
      </c>
      <c r="P176" s="30" t="s">
        <v>530</v>
      </c>
      <c r="Q176" s="31">
        <v>42216</v>
      </c>
      <c r="R176" s="31">
        <v>42582</v>
      </c>
      <c r="S176" s="27" t="s">
        <v>369</v>
      </c>
      <c r="T176" s="32"/>
      <c r="U176" s="148"/>
      <c r="V176" s="148"/>
      <c r="W176" s="32" t="s">
        <v>135</v>
      </c>
      <c r="X176" s="33" t="s">
        <v>1261</v>
      </c>
      <c r="Y176" s="26" t="s">
        <v>136</v>
      </c>
      <c r="Z176" s="63">
        <v>42580</v>
      </c>
      <c r="AA176" s="64">
        <v>11867</v>
      </c>
      <c r="AB176" s="33" t="s">
        <v>630</v>
      </c>
      <c r="AC176" s="65">
        <v>42582</v>
      </c>
      <c r="AD176" s="65">
        <v>42947</v>
      </c>
      <c r="AE176" s="66"/>
      <c r="AF176" s="60"/>
      <c r="AG176" s="74">
        <v>6000</v>
      </c>
      <c r="AH176" s="74"/>
      <c r="AI176" s="74"/>
      <c r="AJ176" s="74"/>
      <c r="AK176" s="74"/>
      <c r="AL176" s="38">
        <f>O176-AH176+AG176-AH177+AG177-AH178+AG178</f>
        <v>20500</v>
      </c>
      <c r="AM176" s="38">
        <f>2000+0+1000+0+500+1000+500+500+500+500+500+500+0+500+500+500+1000+500+500+1000+500+500</f>
        <v>13000</v>
      </c>
      <c r="AN176" s="38">
        <f>500+500+1000+500+500+500+500+500</f>
        <v>4500</v>
      </c>
      <c r="AO176" s="38">
        <f>AM176+AN176</f>
        <v>17500</v>
      </c>
      <c r="AP176" s="62"/>
      <c r="AQ176" s="60"/>
      <c r="AR176" s="60"/>
      <c r="AS176" s="60"/>
      <c r="AT176" s="60"/>
      <c r="AU176" s="60"/>
      <c r="AV176" s="26"/>
      <c r="AW176" s="43"/>
      <c r="AX176" s="34"/>
      <c r="AY176" s="61"/>
      <c r="AZ176" s="34"/>
      <c r="BA176" s="61"/>
      <c r="BB176" s="26"/>
      <c r="BC176" s="60"/>
      <c r="BD176" s="60"/>
      <c r="BE176" s="60"/>
      <c r="BF176" s="60"/>
      <c r="BG176" s="60"/>
      <c r="BH176" s="60"/>
      <c r="BI176" s="60"/>
      <c r="BJ176" s="60"/>
      <c r="BK176" s="60"/>
      <c r="BL176" s="60"/>
      <c r="BM176" s="60"/>
    </row>
    <row r="177" spans="1:65" ht="60" x14ac:dyDescent="0.25">
      <c r="A177" s="160"/>
      <c r="B177" s="154"/>
      <c r="C177" s="19"/>
      <c r="D177" s="27"/>
      <c r="E177" s="19"/>
      <c r="F177" s="32"/>
      <c r="G177" s="28"/>
      <c r="H177" s="20"/>
      <c r="I177" s="29"/>
      <c r="J177" s="29"/>
      <c r="K177" s="19"/>
      <c r="L177" s="143"/>
      <c r="M177" s="27"/>
      <c r="N177" s="31"/>
      <c r="O177" s="78"/>
      <c r="P177" s="30"/>
      <c r="Q177" s="31"/>
      <c r="R177" s="31"/>
      <c r="S177" s="27"/>
      <c r="T177" s="32"/>
      <c r="U177" s="148"/>
      <c r="V177" s="148"/>
      <c r="W177" s="32"/>
      <c r="X177" s="33" t="s">
        <v>1261</v>
      </c>
      <c r="Y177" s="26" t="s">
        <v>140</v>
      </c>
      <c r="Z177" s="63">
        <v>42947</v>
      </c>
      <c r="AA177" s="64">
        <v>12108</v>
      </c>
      <c r="AB177" s="33" t="s">
        <v>571</v>
      </c>
      <c r="AC177" s="65">
        <v>42947</v>
      </c>
      <c r="AD177" s="65">
        <v>43312</v>
      </c>
      <c r="AE177" s="66"/>
      <c r="AF177" s="60"/>
      <c r="AG177" s="74">
        <v>6000</v>
      </c>
      <c r="AH177" s="74"/>
      <c r="AI177" s="74"/>
      <c r="AJ177" s="74"/>
      <c r="AK177" s="74"/>
      <c r="AL177" s="38"/>
      <c r="AM177" s="38"/>
      <c r="AN177" s="38"/>
      <c r="AO177" s="38"/>
      <c r="AP177" s="62"/>
      <c r="AQ177" s="60"/>
      <c r="AR177" s="60"/>
      <c r="AS177" s="60"/>
      <c r="AT177" s="60"/>
      <c r="AU177" s="60"/>
      <c r="AV177" s="26"/>
      <c r="AW177" s="43"/>
      <c r="AX177" s="34"/>
      <c r="AY177" s="61"/>
      <c r="AZ177" s="34"/>
      <c r="BA177" s="61"/>
      <c r="BB177" s="26"/>
      <c r="BC177" s="60"/>
      <c r="BD177" s="60"/>
      <c r="BE177" s="60"/>
      <c r="BF177" s="60"/>
      <c r="BG177" s="60"/>
      <c r="BH177" s="60"/>
      <c r="BI177" s="60"/>
      <c r="BJ177" s="60"/>
      <c r="BK177" s="60"/>
      <c r="BL177" s="60"/>
      <c r="BM177" s="60"/>
    </row>
    <row r="178" spans="1:65" ht="60" x14ac:dyDescent="0.25">
      <c r="A178" s="160"/>
      <c r="B178" s="154"/>
      <c r="C178" s="19"/>
      <c r="D178" s="27"/>
      <c r="E178" s="19"/>
      <c r="F178" s="32"/>
      <c r="G178" s="32"/>
      <c r="H178" s="19"/>
      <c r="I178" s="19"/>
      <c r="J178" s="19"/>
      <c r="K178" s="19"/>
      <c r="L178" s="143"/>
      <c r="M178" s="27"/>
      <c r="N178" s="27"/>
      <c r="O178" s="78"/>
      <c r="P178" s="27"/>
      <c r="Q178" s="27"/>
      <c r="R178" s="27"/>
      <c r="S178" s="27"/>
      <c r="T178" s="32"/>
      <c r="U178" s="148"/>
      <c r="V178" s="148"/>
      <c r="W178" s="32"/>
      <c r="X178" s="33" t="s">
        <v>1261</v>
      </c>
      <c r="Y178" s="26" t="s">
        <v>185</v>
      </c>
      <c r="Z178" s="63">
        <v>43311</v>
      </c>
      <c r="AA178" s="64">
        <v>12362</v>
      </c>
      <c r="AB178" s="33" t="s">
        <v>1743</v>
      </c>
      <c r="AC178" s="65">
        <v>43312</v>
      </c>
      <c r="AD178" s="65">
        <v>43465</v>
      </c>
      <c r="AE178" s="66"/>
      <c r="AF178" s="60"/>
      <c r="AG178" s="74">
        <v>2500</v>
      </c>
      <c r="AH178" s="74"/>
      <c r="AI178" s="74"/>
      <c r="AJ178" s="74"/>
      <c r="AK178" s="74"/>
      <c r="AL178" s="38"/>
      <c r="AM178" s="38"/>
      <c r="AN178" s="38"/>
      <c r="AO178" s="38"/>
      <c r="AP178" s="60"/>
      <c r="AQ178" s="60"/>
      <c r="AR178" s="60"/>
      <c r="AS178" s="60"/>
      <c r="AT178" s="60"/>
      <c r="AU178" s="60"/>
      <c r="AV178" s="26"/>
      <c r="AW178" s="43"/>
      <c r="AX178" s="34"/>
      <c r="AY178" s="61"/>
      <c r="AZ178" s="34"/>
      <c r="BA178" s="61"/>
      <c r="BB178" s="26"/>
      <c r="BC178" s="60"/>
      <c r="BD178" s="60"/>
      <c r="BE178" s="60"/>
      <c r="BF178" s="60"/>
      <c r="BG178" s="60"/>
      <c r="BH178" s="60"/>
      <c r="BI178" s="60"/>
      <c r="BJ178" s="60"/>
      <c r="BK178" s="60"/>
      <c r="BL178" s="60"/>
      <c r="BM178" s="60"/>
    </row>
    <row r="179" spans="1:65" ht="75" x14ac:dyDescent="0.25">
      <c r="A179" s="160">
        <v>30</v>
      </c>
      <c r="B179" s="154" t="s">
        <v>390</v>
      </c>
      <c r="C179" s="14" t="s">
        <v>328</v>
      </c>
      <c r="D179" s="27" t="s">
        <v>128</v>
      </c>
      <c r="E179" s="19" t="s">
        <v>124</v>
      </c>
      <c r="F179" s="32" t="s">
        <v>401</v>
      </c>
      <c r="G179" s="28" t="s">
        <v>394</v>
      </c>
      <c r="H179" s="20" t="s">
        <v>492</v>
      </c>
      <c r="I179" s="29">
        <v>42200</v>
      </c>
      <c r="J179" s="29">
        <v>42566</v>
      </c>
      <c r="K179" s="19" t="s">
        <v>388</v>
      </c>
      <c r="L179" s="143" t="s">
        <v>399</v>
      </c>
      <c r="M179" s="27" t="s">
        <v>400</v>
      </c>
      <c r="N179" s="31">
        <v>42216</v>
      </c>
      <c r="O179" s="78">
        <v>87840</v>
      </c>
      <c r="P179" s="30" t="s">
        <v>530</v>
      </c>
      <c r="Q179" s="31">
        <v>42216</v>
      </c>
      <c r="R179" s="31">
        <v>42582</v>
      </c>
      <c r="S179" s="27" t="s">
        <v>369</v>
      </c>
      <c r="T179" s="32"/>
      <c r="U179" s="148"/>
      <c r="V179" s="148"/>
      <c r="W179" s="32" t="s">
        <v>135</v>
      </c>
      <c r="X179" s="33" t="s">
        <v>1261</v>
      </c>
      <c r="Y179" s="26" t="s">
        <v>136</v>
      </c>
      <c r="Z179" s="63">
        <v>42580</v>
      </c>
      <c r="AA179" s="64">
        <v>11867</v>
      </c>
      <c r="AB179" s="33" t="s">
        <v>630</v>
      </c>
      <c r="AC179" s="65">
        <v>42582</v>
      </c>
      <c r="AD179" s="65">
        <v>42947</v>
      </c>
      <c r="AE179" s="66"/>
      <c r="AF179" s="60"/>
      <c r="AG179" s="74">
        <v>87840</v>
      </c>
      <c r="AH179" s="74"/>
      <c r="AI179" s="74"/>
      <c r="AJ179" s="74"/>
      <c r="AK179" s="74"/>
      <c r="AL179" s="38">
        <f>O179-AH179+AG179-AH180+AG180-AH181+AG181</f>
        <v>300120</v>
      </c>
      <c r="AM179" s="38">
        <f>29280+0+7320+7320+7320+7320+7320+7320+7320+7320+7320+7320+7320+7320+7320+7320+7320+7320+7320+7320+7320+10370+20740</f>
        <v>199470</v>
      </c>
      <c r="AN179" s="38">
        <f>7320+7320+14640+7320+7320+7320+7320+7320+7320</f>
        <v>73200</v>
      </c>
      <c r="AO179" s="38">
        <f>AM179+AN179</f>
        <v>272670</v>
      </c>
      <c r="AP179" s="60"/>
      <c r="AQ179" s="60"/>
      <c r="AR179" s="60"/>
      <c r="AS179" s="60"/>
      <c r="AT179" s="60"/>
      <c r="AU179" s="60"/>
      <c r="AV179" s="26"/>
      <c r="AW179" s="43"/>
      <c r="AX179" s="34"/>
      <c r="AY179" s="61"/>
      <c r="AZ179" s="34"/>
      <c r="BA179" s="61"/>
      <c r="BB179" s="26"/>
      <c r="BC179" s="60"/>
      <c r="BD179" s="60"/>
      <c r="BE179" s="60"/>
      <c r="BF179" s="60"/>
      <c r="BG179" s="60"/>
      <c r="BH179" s="60"/>
      <c r="BI179" s="60"/>
      <c r="BJ179" s="60"/>
      <c r="BK179" s="60"/>
      <c r="BL179" s="60"/>
      <c r="BM179" s="60"/>
    </row>
    <row r="180" spans="1:65" ht="60" x14ac:dyDescent="0.25">
      <c r="A180" s="160"/>
      <c r="B180" s="154"/>
      <c r="C180" s="14"/>
      <c r="D180" s="27"/>
      <c r="E180" s="19"/>
      <c r="F180" s="32"/>
      <c r="G180" s="28"/>
      <c r="H180" s="20"/>
      <c r="I180" s="29"/>
      <c r="J180" s="29"/>
      <c r="K180" s="19"/>
      <c r="L180" s="143"/>
      <c r="M180" s="27"/>
      <c r="N180" s="31"/>
      <c r="O180" s="78"/>
      <c r="P180" s="30"/>
      <c r="Q180" s="31"/>
      <c r="R180" s="31"/>
      <c r="S180" s="27"/>
      <c r="T180" s="32"/>
      <c r="U180" s="148"/>
      <c r="V180" s="148"/>
      <c r="W180" s="32"/>
      <c r="X180" s="33" t="s">
        <v>1261</v>
      </c>
      <c r="Y180" s="26" t="s">
        <v>140</v>
      </c>
      <c r="Z180" s="63">
        <v>42947</v>
      </c>
      <c r="AA180" s="64">
        <v>12109</v>
      </c>
      <c r="AB180" s="33" t="s">
        <v>571</v>
      </c>
      <c r="AC180" s="65">
        <v>42947</v>
      </c>
      <c r="AD180" s="65">
        <v>43312</v>
      </c>
      <c r="AE180" s="66"/>
      <c r="AF180" s="60"/>
      <c r="AG180" s="74">
        <v>87840</v>
      </c>
      <c r="AH180" s="74"/>
      <c r="AI180" s="74"/>
      <c r="AJ180" s="74"/>
      <c r="AK180" s="74"/>
      <c r="AL180" s="38"/>
      <c r="AM180" s="38"/>
      <c r="AN180" s="38"/>
      <c r="AO180" s="38"/>
      <c r="AP180" s="62"/>
      <c r="AQ180" s="60"/>
      <c r="AR180" s="60"/>
      <c r="AS180" s="60"/>
      <c r="AT180" s="60"/>
      <c r="AU180" s="60"/>
      <c r="AV180" s="26"/>
      <c r="AW180" s="43"/>
      <c r="AX180" s="34"/>
      <c r="AY180" s="61"/>
      <c r="AZ180" s="34"/>
      <c r="BA180" s="61"/>
      <c r="BB180" s="26"/>
      <c r="BC180" s="60"/>
      <c r="BD180" s="60"/>
      <c r="BE180" s="60"/>
      <c r="BF180" s="60"/>
      <c r="BG180" s="60"/>
      <c r="BH180" s="60"/>
      <c r="BI180" s="60"/>
      <c r="BJ180" s="60"/>
      <c r="BK180" s="60"/>
      <c r="BL180" s="60"/>
      <c r="BM180" s="60"/>
    </row>
    <row r="181" spans="1:65" ht="60" x14ac:dyDescent="0.25">
      <c r="A181" s="160"/>
      <c r="B181" s="154"/>
      <c r="C181" s="14"/>
      <c r="D181" s="27"/>
      <c r="E181" s="19"/>
      <c r="F181" s="32"/>
      <c r="G181" s="32"/>
      <c r="H181" s="19"/>
      <c r="I181" s="19"/>
      <c r="J181" s="19"/>
      <c r="K181" s="19"/>
      <c r="L181" s="143"/>
      <c r="M181" s="27"/>
      <c r="N181" s="27"/>
      <c r="O181" s="78"/>
      <c r="P181" s="27"/>
      <c r="Q181" s="27"/>
      <c r="R181" s="27"/>
      <c r="S181" s="27"/>
      <c r="T181" s="32"/>
      <c r="U181" s="148"/>
      <c r="V181" s="148"/>
      <c r="W181" s="32"/>
      <c r="X181" s="33" t="s">
        <v>1261</v>
      </c>
      <c r="Y181" s="26" t="s">
        <v>185</v>
      </c>
      <c r="Z181" s="63">
        <v>43312</v>
      </c>
      <c r="AA181" s="64">
        <v>12362</v>
      </c>
      <c r="AB181" s="33" t="s">
        <v>1743</v>
      </c>
      <c r="AC181" s="65">
        <v>43312</v>
      </c>
      <c r="AD181" s="65">
        <v>43465</v>
      </c>
      <c r="AE181" s="66"/>
      <c r="AF181" s="60"/>
      <c r="AG181" s="74">
        <v>36600</v>
      </c>
      <c r="AH181" s="74"/>
      <c r="AI181" s="74"/>
      <c r="AJ181" s="74"/>
      <c r="AK181" s="74"/>
      <c r="AL181" s="38"/>
      <c r="AM181" s="38"/>
      <c r="AN181" s="38"/>
      <c r="AO181" s="38"/>
      <c r="AP181" s="60"/>
      <c r="AQ181" s="60"/>
      <c r="AR181" s="60"/>
      <c r="AS181" s="60"/>
      <c r="AT181" s="60"/>
      <c r="AU181" s="60"/>
      <c r="AV181" s="26"/>
      <c r="AW181" s="43"/>
      <c r="AX181" s="34"/>
      <c r="AY181" s="61"/>
      <c r="AZ181" s="34"/>
      <c r="BA181" s="61"/>
      <c r="BB181" s="26"/>
      <c r="BC181" s="60"/>
      <c r="BD181" s="60"/>
      <c r="BE181" s="60"/>
      <c r="BF181" s="60"/>
      <c r="BG181" s="60"/>
      <c r="BH181" s="60"/>
      <c r="BI181" s="60"/>
      <c r="BJ181" s="60"/>
      <c r="BK181" s="60"/>
      <c r="BL181" s="60"/>
      <c r="BM181" s="60"/>
    </row>
    <row r="182" spans="1:65" ht="75" x14ac:dyDescent="0.25">
      <c r="A182" s="160">
        <v>31</v>
      </c>
      <c r="B182" s="154" t="s">
        <v>397</v>
      </c>
      <c r="C182" s="19" t="s">
        <v>344</v>
      </c>
      <c r="D182" s="27" t="s">
        <v>128</v>
      </c>
      <c r="E182" s="19" t="s">
        <v>124</v>
      </c>
      <c r="F182" s="32" t="s">
        <v>403</v>
      </c>
      <c r="G182" s="28" t="s">
        <v>402</v>
      </c>
      <c r="H182" s="20" t="s">
        <v>754</v>
      </c>
      <c r="I182" s="29">
        <v>42208</v>
      </c>
      <c r="J182" s="29">
        <v>42574</v>
      </c>
      <c r="K182" s="19" t="s">
        <v>389</v>
      </c>
      <c r="L182" s="143" t="s">
        <v>398</v>
      </c>
      <c r="M182" s="27" t="s">
        <v>293</v>
      </c>
      <c r="N182" s="31">
        <v>42216</v>
      </c>
      <c r="O182" s="78">
        <v>74400</v>
      </c>
      <c r="P182" s="30" t="s">
        <v>531</v>
      </c>
      <c r="Q182" s="31">
        <v>42216</v>
      </c>
      <c r="R182" s="31">
        <v>42582</v>
      </c>
      <c r="S182" s="27" t="s">
        <v>369</v>
      </c>
      <c r="T182" s="32"/>
      <c r="U182" s="148"/>
      <c r="V182" s="148"/>
      <c r="W182" s="32" t="s">
        <v>116</v>
      </c>
      <c r="X182" s="33" t="s">
        <v>1261</v>
      </c>
      <c r="Y182" s="26" t="s">
        <v>136</v>
      </c>
      <c r="Z182" s="63">
        <v>42579</v>
      </c>
      <c r="AA182" s="64">
        <v>11864</v>
      </c>
      <c r="AB182" s="33" t="s">
        <v>629</v>
      </c>
      <c r="AC182" s="65">
        <v>42582</v>
      </c>
      <c r="AD182" s="65">
        <v>42947</v>
      </c>
      <c r="AE182" s="66"/>
      <c r="AF182" s="60"/>
      <c r="AG182" s="74">
        <v>74400</v>
      </c>
      <c r="AH182" s="74"/>
      <c r="AI182" s="74"/>
      <c r="AJ182" s="74"/>
      <c r="AK182" s="74"/>
      <c r="AL182" s="38">
        <f>O182-AH182+AG182-AH183+AG183-AH184+AG184</f>
        <v>254200</v>
      </c>
      <c r="AM182" s="38">
        <f>31000+6200+6200+6200+0+6200+6200+6200+6200+6200+6200+6200+12400+6200+6200+6200+6200+6200+6200+12400+6200+6200+6200</f>
        <v>173600</v>
      </c>
      <c r="AN182" s="38">
        <f>6200+6200+6200+6200+6200+6200+6200+6200+6200+6200</f>
        <v>62000</v>
      </c>
      <c r="AO182" s="38">
        <f>AM182+AN182</f>
        <v>235600</v>
      </c>
      <c r="AP182" s="60"/>
      <c r="AQ182" s="60"/>
      <c r="AR182" s="60"/>
      <c r="AS182" s="60"/>
      <c r="AT182" s="60"/>
      <c r="AU182" s="60"/>
      <c r="AV182" s="26"/>
      <c r="AW182" s="43"/>
      <c r="AX182" s="34"/>
      <c r="AY182" s="61"/>
      <c r="AZ182" s="34"/>
      <c r="BA182" s="61"/>
      <c r="BB182" s="26"/>
      <c r="BC182" s="60"/>
      <c r="BD182" s="60"/>
      <c r="BE182" s="60"/>
      <c r="BF182" s="60"/>
      <c r="BG182" s="60"/>
      <c r="BH182" s="60"/>
      <c r="BI182" s="60"/>
      <c r="BJ182" s="60"/>
      <c r="BK182" s="60"/>
      <c r="BL182" s="60"/>
      <c r="BM182" s="60"/>
    </row>
    <row r="183" spans="1:65" ht="60" x14ac:dyDescent="0.25">
      <c r="A183" s="160"/>
      <c r="B183" s="154"/>
      <c r="C183" s="19"/>
      <c r="D183" s="27"/>
      <c r="E183" s="19"/>
      <c r="F183" s="32"/>
      <c r="G183" s="28"/>
      <c r="H183" s="20"/>
      <c r="I183" s="29"/>
      <c r="J183" s="29"/>
      <c r="K183" s="19"/>
      <c r="L183" s="143"/>
      <c r="M183" s="27"/>
      <c r="N183" s="31"/>
      <c r="O183" s="78"/>
      <c r="P183" s="30"/>
      <c r="Q183" s="31"/>
      <c r="R183" s="31"/>
      <c r="S183" s="27"/>
      <c r="T183" s="32"/>
      <c r="U183" s="148"/>
      <c r="V183" s="148"/>
      <c r="W183" s="32"/>
      <c r="X183" s="33" t="s">
        <v>1261</v>
      </c>
      <c r="Y183" s="26" t="s">
        <v>140</v>
      </c>
      <c r="Z183" s="63">
        <v>42944</v>
      </c>
      <c r="AA183" s="64">
        <v>12111</v>
      </c>
      <c r="AB183" s="33" t="s">
        <v>571</v>
      </c>
      <c r="AC183" s="65">
        <v>42947</v>
      </c>
      <c r="AD183" s="65">
        <v>43312</v>
      </c>
      <c r="AE183" s="66"/>
      <c r="AF183" s="60"/>
      <c r="AG183" s="74">
        <v>74400</v>
      </c>
      <c r="AH183" s="74"/>
      <c r="AI183" s="74"/>
      <c r="AJ183" s="74"/>
      <c r="AK183" s="74"/>
      <c r="AL183" s="38"/>
      <c r="AM183" s="38"/>
      <c r="AN183" s="38"/>
      <c r="AO183" s="38"/>
      <c r="AP183" s="62"/>
      <c r="AQ183" s="60"/>
      <c r="AR183" s="60"/>
      <c r="AS183" s="60"/>
      <c r="AT183" s="60"/>
      <c r="AU183" s="60"/>
      <c r="AV183" s="26"/>
      <c r="AW183" s="43"/>
      <c r="AX183" s="34"/>
      <c r="AY183" s="61"/>
      <c r="AZ183" s="34"/>
      <c r="BA183" s="61"/>
      <c r="BB183" s="26"/>
      <c r="BC183" s="60"/>
      <c r="BD183" s="60"/>
      <c r="BE183" s="60"/>
      <c r="BF183" s="60"/>
      <c r="BG183" s="60"/>
      <c r="BH183" s="60"/>
      <c r="BI183" s="60"/>
      <c r="BJ183" s="60"/>
      <c r="BK183" s="60"/>
      <c r="BL183" s="60"/>
      <c r="BM183" s="60"/>
    </row>
    <row r="184" spans="1:65" ht="60" x14ac:dyDescent="0.25">
      <c r="A184" s="160"/>
      <c r="B184" s="154"/>
      <c r="C184" s="19"/>
      <c r="D184" s="27"/>
      <c r="E184" s="19"/>
      <c r="F184" s="32"/>
      <c r="G184" s="32"/>
      <c r="H184" s="19"/>
      <c r="I184" s="19"/>
      <c r="J184" s="19"/>
      <c r="K184" s="19"/>
      <c r="L184" s="143"/>
      <c r="M184" s="27"/>
      <c r="N184" s="27"/>
      <c r="O184" s="78"/>
      <c r="P184" s="27"/>
      <c r="Q184" s="27"/>
      <c r="R184" s="27"/>
      <c r="S184" s="27"/>
      <c r="T184" s="32"/>
      <c r="U184" s="148"/>
      <c r="V184" s="148"/>
      <c r="W184" s="32"/>
      <c r="X184" s="33" t="s">
        <v>1261</v>
      </c>
      <c r="Y184" s="26" t="s">
        <v>185</v>
      </c>
      <c r="Z184" s="63">
        <v>43300</v>
      </c>
      <c r="AA184" s="64">
        <v>12356</v>
      </c>
      <c r="AB184" s="33" t="s">
        <v>1708</v>
      </c>
      <c r="AC184" s="65">
        <v>43312</v>
      </c>
      <c r="AD184" s="65">
        <v>43465</v>
      </c>
      <c r="AE184" s="66"/>
      <c r="AF184" s="60"/>
      <c r="AG184" s="74">
        <v>31000</v>
      </c>
      <c r="AH184" s="74"/>
      <c r="AI184" s="74"/>
      <c r="AJ184" s="74"/>
      <c r="AK184" s="74"/>
      <c r="AL184" s="38"/>
      <c r="AM184" s="38"/>
      <c r="AN184" s="38"/>
      <c r="AO184" s="38"/>
      <c r="AP184" s="60"/>
      <c r="AQ184" s="60"/>
      <c r="AR184" s="60"/>
      <c r="AS184" s="60"/>
      <c r="AT184" s="60"/>
      <c r="AU184" s="60"/>
      <c r="AV184" s="26"/>
      <c r="AW184" s="43"/>
      <c r="AX184" s="34"/>
      <c r="AY184" s="61"/>
      <c r="AZ184" s="34"/>
      <c r="BA184" s="61"/>
      <c r="BB184" s="26"/>
      <c r="BC184" s="60"/>
      <c r="BD184" s="60"/>
      <c r="BE184" s="60"/>
      <c r="BF184" s="60"/>
      <c r="BG184" s="60"/>
      <c r="BH184" s="60"/>
      <c r="BI184" s="60"/>
      <c r="BJ184" s="60"/>
      <c r="BK184" s="60"/>
      <c r="BL184" s="60"/>
      <c r="BM184" s="60"/>
    </row>
    <row r="185" spans="1:65" ht="90" x14ac:dyDescent="0.25">
      <c r="A185" s="160">
        <v>32</v>
      </c>
      <c r="B185" s="154" t="s">
        <v>397</v>
      </c>
      <c r="C185" s="14" t="s">
        <v>344</v>
      </c>
      <c r="D185" s="27" t="s">
        <v>128</v>
      </c>
      <c r="E185" s="19" t="s">
        <v>124</v>
      </c>
      <c r="F185" s="32" t="s">
        <v>408</v>
      </c>
      <c r="G185" s="28" t="s">
        <v>402</v>
      </c>
      <c r="H185" s="20" t="s">
        <v>754</v>
      </c>
      <c r="I185" s="29">
        <v>42208</v>
      </c>
      <c r="J185" s="29">
        <v>42574</v>
      </c>
      <c r="K185" s="19" t="s">
        <v>404</v>
      </c>
      <c r="L185" s="143" t="s">
        <v>406</v>
      </c>
      <c r="M185" s="27" t="s">
        <v>407</v>
      </c>
      <c r="N185" s="31">
        <v>42233</v>
      </c>
      <c r="O185" s="78">
        <v>49200</v>
      </c>
      <c r="P185" s="30" t="s">
        <v>532</v>
      </c>
      <c r="Q185" s="31">
        <v>42233</v>
      </c>
      <c r="R185" s="31">
        <v>42599</v>
      </c>
      <c r="S185" s="27" t="s">
        <v>369</v>
      </c>
      <c r="T185" s="32"/>
      <c r="U185" s="148"/>
      <c r="V185" s="148"/>
      <c r="W185" s="32" t="s">
        <v>116</v>
      </c>
      <c r="X185" s="33" t="s">
        <v>1261</v>
      </c>
      <c r="Y185" s="26" t="s">
        <v>136</v>
      </c>
      <c r="Z185" s="63">
        <v>42599</v>
      </c>
      <c r="AA185" s="64">
        <v>11876</v>
      </c>
      <c r="AB185" s="33" t="s">
        <v>631</v>
      </c>
      <c r="AC185" s="65">
        <v>42599</v>
      </c>
      <c r="AD185" s="60" t="s">
        <v>632</v>
      </c>
      <c r="AE185" s="66"/>
      <c r="AF185" s="60"/>
      <c r="AG185" s="74">
        <v>49200</v>
      </c>
      <c r="AH185" s="74"/>
      <c r="AI185" s="74"/>
      <c r="AJ185" s="74"/>
      <c r="AK185" s="74"/>
      <c r="AL185" s="38">
        <f>O185-AH185+AG185-AH186+AG186-AH187+AG187</f>
        <v>165776.71</v>
      </c>
      <c r="AM185" s="38">
        <f>12300+4100+4100+4100+0+4100+4100+4100+4100+4100+4100+8200+4100+4100+4100+4100+4100+4100+8200+4100+4100+4100+4100</f>
        <v>106600</v>
      </c>
      <c r="AN185" s="38">
        <f>4100+4100+4100+4100+4100+4100+4100+4100+4100+4100</f>
        <v>41000</v>
      </c>
      <c r="AO185" s="38">
        <f>AM185+AN185</f>
        <v>147600</v>
      </c>
      <c r="AP185" s="60"/>
      <c r="AQ185" s="60"/>
      <c r="AR185" s="60"/>
      <c r="AS185" s="60"/>
      <c r="AT185" s="60"/>
      <c r="AU185" s="60"/>
      <c r="AV185" s="26"/>
      <c r="AW185" s="43"/>
      <c r="AX185" s="34"/>
      <c r="AY185" s="61"/>
      <c r="AZ185" s="34"/>
      <c r="BA185" s="61"/>
      <c r="BB185" s="26"/>
      <c r="BC185" s="60"/>
      <c r="BD185" s="60"/>
      <c r="BE185" s="60"/>
      <c r="BF185" s="60"/>
      <c r="BG185" s="60"/>
      <c r="BH185" s="60"/>
      <c r="BI185" s="60"/>
      <c r="BJ185" s="60"/>
      <c r="BK185" s="60"/>
      <c r="BL185" s="60"/>
      <c r="BM185" s="60"/>
    </row>
    <row r="186" spans="1:65" ht="75" x14ac:dyDescent="0.25">
      <c r="A186" s="160"/>
      <c r="B186" s="154"/>
      <c r="C186" s="14"/>
      <c r="D186" s="27"/>
      <c r="E186" s="19"/>
      <c r="F186" s="32"/>
      <c r="G186" s="28"/>
      <c r="H186" s="20"/>
      <c r="I186" s="29"/>
      <c r="J186" s="29"/>
      <c r="K186" s="19"/>
      <c r="L186" s="143"/>
      <c r="M186" s="27"/>
      <c r="N186" s="31"/>
      <c r="O186" s="78"/>
      <c r="P186" s="30"/>
      <c r="Q186" s="31"/>
      <c r="R186" s="31"/>
      <c r="S186" s="27"/>
      <c r="T186" s="32"/>
      <c r="U186" s="148"/>
      <c r="V186" s="148"/>
      <c r="W186" s="32"/>
      <c r="X186" s="33" t="s">
        <v>1261</v>
      </c>
      <c r="Y186" s="26" t="s">
        <v>140</v>
      </c>
      <c r="Z186" s="63">
        <v>42958</v>
      </c>
      <c r="AA186" s="64">
        <v>12118</v>
      </c>
      <c r="AB186" s="33" t="s">
        <v>1021</v>
      </c>
      <c r="AC186" s="60" t="s">
        <v>632</v>
      </c>
      <c r="AD186" s="60" t="s">
        <v>1034</v>
      </c>
      <c r="AE186" s="66"/>
      <c r="AF186" s="60"/>
      <c r="AG186" s="74">
        <v>49200</v>
      </c>
      <c r="AH186" s="74"/>
      <c r="AI186" s="74"/>
      <c r="AJ186" s="74"/>
      <c r="AK186" s="74"/>
      <c r="AL186" s="38"/>
      <c r="AM186" s="38"/>
      <c r="AN186" s="38"/>
      <c r="AO186" s="38"/>
      <c r="AP186" s="60"/>
      <c r="AQ186" s="60"/>
      <c r="AR186" s="60"/>
      <c r="AS186" s="60"/>
      <c r="AT186" s="60"/>
      <c r="AU186" s="60"/>
      <c r="AV186" s="26"/>
      <c r="AW186" s="43"/>
      <c r="AX186" s="34"/>
      <c r="AY186" s="61"/>
      <c r="AZ186" s="34"/>
      <c r="BA186" s="61"/>
      <c r="BB186" s="26"/>
      <c r="BC186" s="60"/>
      <c r="BD186" s="60"/>
      <c r="BE186" s="60"/>
      <c r="BF186" s="60"/>
      <c r="BG186" s="60"/>
      <c r="BH186" s="60"/>
      <c r="BI186" s="60"/>
      <c r="BJ186" s="60"/>
      <c r="BK186" s="60"/>
      <c r="BL186" s="60"/>
      <c r="BM186" s="60"/>
    </row>
    <row r="187" spans="1:65" ht="75" x14ac:dyDescent="0.25">
      <c r="A187" s="160"/>
      <c r="B187" s="154"/>
      <c r="C187" s="14"/>
      <c r="D187" s="27"/>
      <c r="E187" s="19"/>
      <c r="F187" s="32"/>
      <c r="G187" s="32"/>
      <c r="H187" s="19"/>
      <c r="I187" s="19"/>
      <c r="J187" s="19"/>
      <c r="K187" s="19"/>
      <c r="L187" s="143"/>
      <c r="M187" s="27"/>
      <c r="N187" s="27"/>
      <c r="O187" s="78"/>
      <c r="P187" s="27"/>
      <c r="Q187" s="27"/>
      <c r="R187" s="27"/>
      <c r="S187" s="27"/>
      <c r="T187" s="32"/>
      <c r="U187" s="148"/>
      <c r="V187" s="148"/>
      <c r="W187" s="32"/>
      <c r="X187" s="33" t="s">
        <v>1261</v>
      </c>
      <c r="Y187" s="26" t="s">
        <v>185</v>
      </c>
      <c r="Z187" s="63">
        <v>43329</v>
      </c>
      <c r="AA187" s="64">
        <v>12376</v>
      </c>
      <c r="AB187" s="33" t="s">
        <v>1778</v>
      </c>
      <c r="AC187" s="60" t="s">
        <v>1034</v>
      </c>
      <c r="AD187" s="65">
        <v>43465</v>
      </c>
      <c r="AE187" s="66"/>
      <c r="AF187" s="60"/>
      <c r="AG187" s="74">
        <v>18176.71</v>
      </c>
      <c r="AH187" s="74"/>
      <c r="AI187" s="74"/>
      <c r="AJ187" s="74"/>
      <c r="AK187" s="74"/>
      <c r="AL187" s="38"/>
      <c r="AM187" s="38"/>
      <c r="AN187" s="38"/>
      <c r="AO187" s="38"/>
      <c r="AP187" s="62"/>
      <c r="AQ187" s="62"/>
      <c r="AR187" s="60"/>
      <c r="AS187" s="60"/>
      <c r="AT187" s="60"/>
      <c r="AU187" s="60"/>
      <c r="AV187" s="26"/>
      <c r="AW187" s="43"/>
      <c r="AX187" s="34"/>
      <c r="AY187" s="61"/>
      <c r="AZ187" s="34"/>
      <c r="BA187" s="61"/>
      <c r="BB187" s="26"/>
      <c r="BC187" s="60"/>
      <c r="BD187" s="60"/>
      <c r="BE187" s="60"/>
      <c r="BF187" s="60"/>
      <c r="BG187" s="60"/>
      <c r="BH187" s="60"/>
      <c r="BI187" s="60"/>
      <c r="BJ187" s="60"/>
      <c r="BK187" s="60"/>
      <c r="BL187" s="60"/>
      <c r="BM187" s="60"/>
    </row>
    <row r="188" spans="1:65" ht="90" x14ac:dyDescent="0.25">
      <c r="A188" s="159">
        <v>33</v>
      </c>
      <c r="B188" s="154" t="s">
        <v>397</v>
      </c>
      <c r="C188" s="19" t="s">
        <v>344</v>
      </c>
      <c r="D188" s="27" t="s">
        <v>128</v>
      </c>
      <c r="E188" s="19" t="s">
        <v>124</v>
      </c>
      <c r="F188" s="32" t="s">
        <v>411</v>
      </c>
      <c r="G188" s="71" t="s">
        <v>402</v>
      </c>
      <c r="H188" s="20" t="s">
        <v>754</v>
      </c>
      <c r="I188" s="29">
        <v>42208</v>
      </c>
      <c r="J188" s="29">
        <v>42574</v>
      </c>
      <c r="K188" s="19" t="s">
        <v>405</v>
      </c>
      <c r="L188" s="143" t="s">
        <v>409</v>
      </c>
      <c r="M188" s="27" t="s">
        <v>410</v>
      </c>
      <c r="N188" s="31">
        <v>42233</v>
      </c>
      <c r="O188" s="78">
        <v>49200</v>
      </c>
      <c r="P188" s="30" t="s">
        <v>532</v>
      </c>
      <c r="Q188" s="31">
        <v>42233</v>
      </c>
      <c r="R188" s="31">
        <v>42599</v>
      </c>
      <c r="S188" s="27" t="s">
        <v>369</v>
      </c>
      <c r="T188" s="32"/>
      <c r="U188" s="148"/>
      <c r="V188" s="148"/>
      <c r="W188" s="32" t="s">
        <v>116</v>
      </c>
      <c r="X188" s="33" t="s">
        <v>1261</v>
      </c>
      <c r="Y188" s="26" t="s">
        <v>136</v>
      </c>
      <c r="Z188" s="63">
        <v>42599</v>
      </c>
      <c r="AA188" s="64">
        <v>11876</v>
      </c>
      <c r="AB188" s="33" t="s">
        <v>631</v>
      </c>
      <c r="AC188" s="65">
        <v>42599</v>
      </c>
      <c r="AD188" s="60" t="s">
        <v>632</v>
      </c>
      <c r="AE188" s="66"/>
      <c r="AF188" s="60"/>
      <c r="AG188" s="74">
        <v>49200</v>
      </c>
      <c r="AH188" s="74"/>
      <c r="AI188" s="74"/>
      <c r="AJ188" s="74"/>
      <c r="AK188" s="74"/>
      <c r="AL188" s="38">
        <f>O188-AH188+AG188-AH189+AG189-AH190+AG190</f>
        <v>165776.71</v>
      </c>
      <c r="AM188" s="38">
        <f>12300+4100+4100+4100+0+4100+4100+4100+4100+4100+4100+8200+4100+4100+4100+4100+4100+4100+8200+4100+4100+4100+4100</f>
        <v>106600</v>
      </c>
      <c r="AN188" s="38">
        <f>4100+4100+4100+4100+4100+4100+4100+4100+4100+4100</f>
        <v>41000</v>
      </c>
      <c r="AO188" s="38">
        <f>AM188+AN188</f>
        <v>147600</v>
      </c>
      <c r="AP188" s="60"/>
      <c r="AQ188" s="60"/>
      <c r="AR188" s="60"/>
      <c r="AS188" s="60"/>
      <c r="AT188" s="60"/>
      <c r="AU188" s="60"/>
      <c r="AV188" s="26"/>
      <c r="AW188" s="43"/>
      <c r="AX188" s="34"/>
      <c r="AY188" s="61"/>
      <c r="AZ188" s="34"/>
      <c r="BA188" s="61"/>
      <c r="BB188" s="26"/>
      <c r="BC188" s="60"/>
      <c r="BD188" s="60"/>
      <c r="BE188" s="60"/>
      <c r="BF188" s="60"/>
      <c r="BG188" s="60"/>
      <c r="BH188" s="60"/>
      <c r="BI188" s="60"/>
      <c r="BJ188" s="60"/>
      <c r="BK188" s="60"/>
      <c r="BL188" s="60"/>
      <c r="BM188" s="60"/>
    </row>
    <row r="189" spans="1:65" ht="75" x14ac:dyDescent="0.25">
      <c r="A189" s="159"/>
      <c r="B189" s="154"/>
      <c r="C189" s="19"/>
      <c r="D189" s="27"/>
      <c r="E189" s="19"/>
      <c r="F189" s="32"/>
      <c r="G189" s="71"/>
      <c r="H189" s="20"/>
      <c r="I189" s="29"/>
      <c r="J189" s="29"/>
      <c r="K189" s="19"/>
      <c r="L189" s="143"/>
      <c r="M189" s="27"/>
      <c r="N189" s="31"/>
      <c r="O189" s="78"/>
      <c r="P189" s="30"/>
      <c r="Q189" s="31"/>
      <c r="R189" s="31"/>
      <c r="S189" s="27"/>
      <c r="T189" s="32"/>
      <c r="U189" s="148"/>
      <c r="V189" s="148"/>
      <c r="W189" s="32"/>
      <c r="X189" s="33" t="s">
        <v>1261</v>
      </c>
      <c r="Y189" s="26" t="s">
        <v>140</v>
      </c>
      <c r="Z189" s="63">
        <v>42958</v>
      </c>
      <c r="AA189" s="64">
        <v>12118</v>
      </c>
      <c r="AB189" s="33" t="s">
        <v>1021</v>
      </c>
      <c r="AC189" s="60" t="s">
        <v>632</v>
      </c>
      <c r="AD189" s="60" t="s">
        <v>1034</v>
      </c>
      <c r="AE189" s="66"/>
      <c r="AF189" s="60"/>
      <c r="AG189" s="74">
        <v>49200</v>
      </c>
      <c r="AH189" s="74"/>
      <c r="AI189" s="74"/>
      <c r="AJ189" s="74"/>
      <c r="AK189" s="74"/>
      <c r="AL189" s="38"/>
      <c r="AM189" s="38"/>
      <c r="AN189" s="38"/>
      <c r="AO189" s="38"/>
      <c r="AP189" s="62"/>
      <c r="AQ189" s="60"/>
      <c r="AR189" s="60"/>
      <c r="AS189" s="60"/>
      <c r="AT189" s="60"/>
      <c r="AU189" s="60"/>
      <c r="AV189" s="26"/>
      <c r="AW189" s="43"/>
      <c r="AX189" s="34"/>
      <c r="AY189" s="61"/>
      <c r="AZ189" s="34"/>
      <c r="BA189" s="61"/>
      <c r="BB189" s="26"/>
      <c r="BC189" s="60"/>
      <c r="BD189" s="60"/>
      <c r="BE189" s="60"/>
      <c r="BF189" s="60"/>
      <c r="BG189" s="60"/>
      <c r="BH189" s="60"/>
      <c r="BI189" s="60"/>
      <c r="BJ189" s="60"/>
      <c r="BK189" s="60"/>
      <c r="BL189" s="60"/>
      <c r="BM189" s="60"/>
    </row>
    <row r="190" spans="1:65" ht="75" x14ac:dyDescent="0.25">
      <c r="A190" s="159"/>
      <c r="B190" s="154"/>
      <c r="C190" s="19"/>
      <c r="D190" s="27"/>
      <c r="E190" s="19"/>
      <c r="F190" s="32"/>
      <c r="G190" s="71"/>
      <c r="H190" s="19"/>
      <c r="I190" s="19"/>
      <c r="J190" s="19"/>
      <c r="K190" s="19"/>
      <c r="L190" s="143"/>
      <c r="M190" s="27"/>
      <c r="N190" s="27"/>
      <c r="O190" s="78"/>
      <c r="P190" s="27"/>
      <c r="Q190" s="27"/>
      <c r="R190" s="27"/>
      <c r="S190" s="27"/>
      <c r="T190" s="32"/>
      <c r="U190" s="148"/>
      <c r="V190" s="148"/>
      <c r="W190" s="32"/>
      <c r="X190" s="33" t="s">
        <v>1261</v>
      </c>
      <c r="Y190" s="26" t="s">
        <v>185</v>
      </c>
      <c r="Z190" s="63">
        <v>43329</v>
      </c>
      <c r="AA190" s="64">
        <v>12376</v>
      </c>
      <c r="AB190" s="33" t="s">
        <v>1778</v>
      </c>
      <c r="AC190" s="60" t="s">
        <v>1034</v>
      </c>
      <c r="AD190" s="65">
        <v>43465</v>
      </c>
      <c r="AE190" s="66"/>
      <c r="AF190" s="60"/>
      <c r="AG190" s="74">
        <v>18176.71</v>
      </c>
      <c r="AH190" s="74"/>
      <c r="AI190" s="74"/>
      <c r="AJ190" s="74"/>
      <c r="AK190" s="74"/>
      <c r="AL190" s="38"/>
      <c r="AM190" s="38"/>
      <c r="AN190" s="38"/>
      <c r="AO190" s="38"/>
      <c r="AP190" s="60"/>
      <c r="AQ190" s="60"/>
      <c r="AR190" s="60"/>
      <c r="AS190" s="60"/>
      <c r="AT190" s="60"/>
      <c r="AU190" s="60"/>
      <c r="AV190" s="26"/>
      <c r="AW190" s="43"/>
      <c r="AX190" s="34"/>
      <c r="AY190" s="61"/>
      <c r="AZ190" s="34"/>
      <c r="BA190" s="61"/>
      <c r="BB190" s="26"/>
      <c r="BC190" s="60"/>
      <c r="BD190" s="60"/>
      <c r="BE190" s="60"/>
      <c r="BF190" s="60"/>
      <c r="BG190" s="60"/>
      <c r="BH190" s="60"/>
      <c r="BI190" s="60"/>
      <c r="BJ190" s="60"/>
      <c r="BK190" s="60"/>
      <c r="BL190" s="60"/>
      <c r="BM190" s="60"/>
    </row>
    <row r="191" spans="1:65" ht="90" x14ac:dyDescent="0.25">
      <c r="A191" s="160">
        <v>34</v>
      </c>
      <c r="B191" s="154" t="s">
        <v>397</v>
      </c>
      <c r="C191" s="19" t="s">
        <v>344</v>
      </c>
      <c r="D191" s="27" t="s">
        <v>128</v>
      </c>
      <c r="E191" s="19" t="s">
        <v>124</v>
      </c>
      <c r="F191" s="32" t="s">
        <v>411</v>
      </c>
      <c r="G191" s="28" t="s">
        <v>402</v>
      </c>
      <c r="H191" s="20" t="s">
        <v>754</v>
      </c>
      <c r="I191" s="29">
        <v>42208</v>
      </c>
      <c r="J191" s="29">
        <v>42574</v>
      </c>
      <c r="K191" s="19" t="s">
        <v>414</v>
      </c>
      <c r="L191" s="143" t="s">
        <v>412</v>
      </c>
      <c r="M191" s="27" t="s">
        <v>413</v>
      </c>
      <c r="N191" s="31">
        <v>42234</v>
      </c>
      <c r="O191" s="78">
        <v>49200</v>
      </c>
      <c r="P191" s="30" t="s">
        <v>533</v>
      </c>
      <c r="Q191" s="31">
        <v>42234</v>
      </c>
      <c r="R191" s="31">
        <v>42600</v>
      </c>
      <c r="S191" s="27" t="s">
        <v>369</v>
      </c>
      <c r="T191" s="32"/>
      <c r="U191" s="148"/>
      <c r="V191" s="148"/>
      <c r="W191" s="32" t="s">
        <v>135</v>
      </c>
      <c r="X191" s="33" t="s">
        <v>1261</v>
      </c>
      <c r="Y191" s="26" t="s">
        <v>136</v>
      </c>
      <c r="Z191" s="63">
        <v>42599</v>
      </c>
      <c r="AA191" s="64">
        <v>11876</v>
      </c>
      <c r="AB191" s="33" t="s">
        <v>631</v>
      </c>
      <c r="AC191" s="65">
        <v>42600</v>
      </c>
      <c r="AD191" s="60" t="s">
        <v>633</v>
      </c>
      <c r="AE191" s="66"/>
      <c r="AF191" s="60"/>
      <c r="AG191" s="74">
        <v>49200</v>
      </c>
      <c r="AH191" s="74"/>
      <c r="AI191" s="74"/>
      <c r="AJ191" s="74"/>
      <c r="AK191" s="74"/>
      <c r="AL191" s="38">
        <f>O191-AH191+AG191-AH192+AG192-AH193+AG193</f>
        <v>165640.04</v>
      </c>
      <c r="AM191" s="38">
        <f>16400+4100+4100+4100+0+4100+4100+4100+8200+4100+4100+8200+4100+4100+4100+4100+4100+4100+8200+4100+4100+4100</f>
        <v>110700</v>
      </c>
      <c r="AN191" s="38">
        <f>4100+4100+4100+4100+4100+4100+4100+4100+4100+4100</f>
        <v>41000</v>
      </c>
      <c r="AO191" s="38">
        <f>AM191+AN191</f>
        <v>151700</v>
      </c>
      <c r="AP191" s="60"/>
      <c r="AQ191" s="60"/>
      <c r="AR191" s="60"/>
      <c r="AS191" s="60"/>
      <c r="AT191" s="60"/>
      <c r="AU191" s="60"/>
      <c r="AV191" s="26"/>
      <c r="AW191" s="43"/>
      <c r="AX191" s="34"/>
      <c r="AY191" s="61"/>
      <c r="AZ191" s="34"/>
      <c r="BA191" s="61"/>
      <c r="BB191" s="26"/>
      <c r="BC191" s="60"/>
      <c r="BD191" s="60"/>
      <c r="BE191" s="60"/>
      <c r="BF191" s="60"/>
      <c r="BG191" s="60"/>
      <c r="BH191" s="60"/>
      <c r="BI191" s="60"/>
      <c r="BJ191" s="60"/>
      <c r="BK191" s="60"/>
      <c r="BL191" s="60"/>
      <c r="BM191" s="60"/>
    </row>
    <row r="192" spans="1:65" ht="75" x14ac:dyDescent="0.25">
      <c r="A192" s="160"/>
      <c r="B192" s="154"/>
      <c r="C192" s="19"/>
      <c r="D192" s="27"/>
      <c r="E192" s="19"/>
      <c r="F192" s="32"/>
      <c r="G192" s="28"/>
      <c r="H192" s="20"/>
      <c r="I192" s="29"/>
      <c r="J192" s="29"/>
      <c r="K192" s="19"/>
      <c r="L192" s="143"/>
      <c r="M192" s="27"/>
      <c r="N192" s="31"/>
      <c r="O192" s="78"/>
      <c r="P192" s="30"/>
      <c r="Q192" s="31"/>
      <c r="R192" s="31"/>
      <c r="S192" s="27"/>
      <c r="T192" s="32"/>
      <c r="U192" s="148"/>
      <c r="V192" s="148"/>
      <c r="W192" s="32"/>
      <c r="X192" s="33" t="s">
        <v>1261</v>
      </c>
      <c r="Y192" s="26" t="s">
        <v>140</v>
      </c>
      <c r="Z192" s="63">
        <v>42958</v>
      </c>
      <c r="AA192" s="64">
        <v>12118</v>
      </c>
      <c r="AB192" s="33" t="s">
        <v>1021</v>
      </c>
      <c r="AC192" s="60" t="s">
        <v>632</v>
      </c>
      <c r="AD192" s="60" t="s">
        <v>1034</v>
      </c>
      <c r="AE192" s="66"/>
      <c r="AF192" s="60"/>
      <c r="AG192" s="74">
        <v>49200</v>
      </c>
      <c r="AH192" s="74"/>
      <c r="AI192" s="74"/>
      <c r="AJ192" s="74"/>
      <c r="AK192" s="74"/>
      <c r="AL192" s="38"/>
      <c r="AM192" s="38"/>
      <c r="AN192" s="38"/>
      <c r="AO192" s="38"/>
      <c r="AP192" s="62"/>
      <c r="AQ192" s="60"/>
      <c r="AR192" s="60"/>
      <c r="AS192" s="60"/>
      <c r="AT192" s="60"/>
      <c r="AU192" s="60"/>
      <c r="AV192" s="26"/>
      <c r="AW192" s="43"/>
      <c r="AX192" s="34"/>
      <c r="AY192" s="61"/>
      <c r="AZ192" s="34"/>
      <c r="BA192" s="61"/>
      <c r="BB192" s="26"/>
      <c r="BC192" s="60"/>
      <c r="BD192" s="60"/>
      <c r="BE192" s="60"/>
      <c r="BF192" s="60"/>
      <c r="BG192" s="60"/>
      <c r="BH192" s="60"/>
      <c r="BI192" s="60"/>
      <c r="BJ192" s="60"/>
      <c r="BK192" s="60"/>
      <c r="BL192" s="60"/>
      <c r="BM192" s="60"/>
    </row>
    <row r="193" spans="1:65" ht="90" x14ac:dyDescent="0.25">
      <c r="A193" s="160"/>
      <c r="B193" s="154"/>
      <c r="C193" s="19"/>
      <c r="D193" s="27"/>
      <c r="E193" s="19"/>
      <c r="F193" s="32"/>
      <c r="G193" s="32"/>
      <c r="H193" s="19"/>
      <c r="I193" s="19"/>
      <c r="J193" s="19"/>
      <c r="K193" s="19"/>
      <c r="L193" s="143"/>
      <c r="M193" s="27"/>
      <c r="N193" s="27"/>
      <c r="O193" s="78"/>
      <c r="P193" s="27"/>
      <c r="Q193" s="27"/>
      <c r="R193" s="27"/>
      <c r="S193" s="27"/>
      <c r="T193" s="32"/>
      <c r="U193" s="148"/>
      <c r="V193" s="148"/>
      <c r="W193" s="32"/>
      <c r="X193" s="33" t="s">
        <v>1261</v>
      </c>
      <c r="Y193" s="26" t="s">
        <v>185</v>
      </c>
      <c r="Z193" s="63">
        <v>43329</v>
      </c>
      <c r="AA193" s="64">
        <v>12374</v>
      </c>
      <c r="AB193" s="33" t="s">
        <v>1750</v>
      </c>
      <c r="AC193" s="65">
        <v>43329</v>
      </c>
      <c r="AD193" s="65">
        <v>43465</v>
      </c>
      <c r="AE193" s="66"/>
      <c r="AF193" s="60"/>
      <c r="AG193" s="74">
        <v>18040.04</v>
      </c>
      <c r="AH193" s="74"/>
      <c r="AI193" s="74"/>
      <c r="AJ193" s="74"/>
      <c r="AK193" s="74"/>
      <c r="AL193" s="38"/>
      <c r="AM193" s="38"/>
      <c r="AN193" s="38"/>
      <c r="AO193" s="38"/>
      <c r="AP193" s="60"/>
      <c r="AQ193" s="60"/>
      <c r="AR193" s="60"/>
      <c r="AS193" s="60"/>
      <c r="AT193" s="60"/>
      <c r="AU193" s="60"/>
      <c r="AV193" s="26"/>
      <c r="AW193" s="43"/>
      <c r="AX193" s="34"/>
      <c r="AY193" s="61"/>
      <c r="AZ193" s="34"/>
      <c r="BA193" s="61"/>
      <c r="BB193" s="26"/>
      <c r="BC193" s="60"/>
      <c r="BD193" s="60"/>
      <c r="BE193" s="60"/>
      <c r="BF193" s="60"/>
      <c r="BG193" s="60"/>
      <c r="BH193" s="60"/>
      <c r="BI193" s="60"/>
      <c r="BJ193" s="60"/>
      <c r="BK193" s="60"/>
      <c r="BL193" s="60"/>
      <c r="BM193" s="60"/>
    </row>
    <row r="194" spans="1:65" x14ac:dyDescent="0.25">
      <c r="A194" s="160">
        <v>35</v>
      </c>
      <c r="B194" s="154" t="s">
        <v>422</v>
      </c>
      <c r="C194" s="19" t="s">
        <v>326</v>
      </c>
      <c r="D194" s="27" t="s">
        <v>225</v>
      </c>
      <c r="E194" s="19" t="s">
        <v>124</v>
      </c>
      <c r="F194" s="32" t="s">
        <v>424</v>
      </c>
      <c r="G194" s="32" t="s">
        <v>427</v>
      </c>
      <c r="H194" s="23"/>
      <c r="I194" s="23"/>
      <c r="J194" s="23"/>
      <c r="K194" s="19" t="s">
        <v>420</v>
      </c>
      <c r="L194" s="143" t="s">
        <v>423</v>
      </c>
      <c r="M194" s="27" t="s">
        <v>226</v>
      </c>
      <c r="N194" s="31">
        <v>42265</v>
      </c>
      <c r="O194" s="78">
        <v>774739.88</v>
      </c>
      <c r="P194" s="30" t="s">
        <v>534</v>
      </c>
      <c r="Q194" s="31">
        <v>42265</v>
      </c>
      <c r="R194" s="31">
        <f>N194+180</f>
        <v>42445</v>
      </c>
      <c r="S194" s="27" t="s">
        <v>425</v>
      </c>
      <c r="T194" s="59"/>
      <c r="U194" s="148"/>
      <c r="V194" s="148"/>
      <c r="W194" s="32" t="s">
        <v>227</v>
      </c>
      <c r="X194" s="33"/>
      <c r="Y194" s="26"/>
      <c r="Z194" s="26"/>
      <c r="AA194" s="26"/>
      <c r="AB194" s="72"/>
      <c r="AC194" s="60"/>
      <c r="AD194" s="60"/>
      <c r="AE194" s="66"/>
      <c r="AF194" s="60"/>
      <c r="AG194" s="74"/>
      <c r="AH194" s="74"/>
      <c r="AI194" s="74"/>
      <c r="AJ194" s="74"/>
      <c r="AK194" s="74"/>
      <c r="AL194" s="38">
        <f>O194-AH194+AG194-AH195+AG195-AH196+AG196-AH197+AG197-AH198+AG198-AH199+AG199</f>
        <v>811039.3899999999</v>
      </c>
      <c r="AM194" s="38">
        <f>107757.92+0+0+0+307200+248723.54+102400+44957.92</f>
        <v>811039.38</v>
      </c>
      <c r="AN194" s="38"/>
      <c r="AO194" s="38">
        <f>AM194+AN194</f>
        <v>811039.38</v>
      </c>
      <c r="AP194" s="60"/>
      <c r="AQ194" s="60"/>
      <c r="AR194" s="60"/>
      <c r="AS194" s="60"/>
      <c r="AT194" s="60"/>
      <c r="AU194" s="60"/>
      <c r="AV194" s="60"/>
      <c r="AW194" s="60"/>
      <c r="AX194" s="60"/>
      <c r="AY194" s="60"/>
      <c r="AZ194" s="60"/>
      <c r="BA194" s="60"/>
      <c r="BB194" s="19" t="s">
        <v>295</v>
      </c>
      <c r="BC194" s="27" t="s">
        <v>176</v>
      </c>
      <c r="BD194" s="65">
        <v>42282</v>
      </c>
      <c r="BE194" s="35">
        <f>BD194+150</f>
        <v>42432</v>
      </c>
      <c r="BF194" s="60"/>
      <c r="BG194" s="60"/>
      <c r="BH194" s="65">
        <v>42282</v>
      </c>
      <c r="BI194" s="14" t="s">
        <v>757</v>
      </c>
      <c r="BJ194" s="14" t="s">
        <v>756</v>
      </c>
      <c r="BK194" s="60"/>
      <c r="BL194" s="60"/>
      <c r="BM194" s="60"/>
    </row>
    <row r="195" spans="1:65" ht="120" x14ac:dyDescent="0.25">
      <c r="A195" s="160"/>
      <c r="B195" s="154"/>
      <c r="C195" s="19"/>
      <c r="D195" s="27"/>
      <c r="E195" s="19"/>
      <c r="F195" s="32"/>
      <c r="G195" s="32"/>
      <c r="H195" s="20"/>
      <c r="I195" s="20"/>
      <c r="J195" s="20"/>
      <c r="K195" s="19"/>
      <c r="L195" s="143"/>
      <c r="M195" s="27"/>
      <c r="N195" s="31"/>
      <c r="O195" s="78"/>
      <c r="P195" s="30"/>
      <c r="Q195" s="31"/>
      <c r="R195" s="31"/>
      <c r="S195" s="27"/>
      <c r="T195" s="59"/>
      <c r="U195" s="148"/>
      <c r="V195" s="148"/>
      <c r="W195" s="32"/>
      <c r="X195" s="33" t="s">
        <v>861</v>
      </c>
      <c r="Y195" s="26" t="s">
        <v>136</v>
      </c>
      <c r="Z195" s="63">
        <v>42432</v>
      </c>
      <c r="AA195" s="64">
        <v>11777</v>
      </c>
      <c r="AB195" s="33" t="s">
        <v>566</v>
      </c>
      <c r="AC195" s="65">
        <v>42445</v>
      </c>
      <c r="AD195" s="65">
        <v>42629</v>
      </c>
      <c r="AE195" s="66"/>
      <c r="AF195" s="60"/>
      <c r="AG195" s="74"/>
      <c r="AH195" s="74"/>
      <c r="AI195" s="74"/>
      <c r="AJ195" s="74"/>
      <c r="AK195" s="74"/>
      <c r="AL195" s="38"/>
      <c r="AM195" s="38"/>
      <c r="AN195" s="38"/>
      <c r="AO195" s="38"/>
      <c r="AP195" s="60"/>
      <c r="AQ195" s="60"/>
      <c r="AR195" s="60"/>
      <c r="AS195" s="60"/>
      <c r="AT195" s="60"/>
      <c r="AU195" s="60"/>
      <c r="AV195" s="60"/>
      <c r="AW195" s="60"/>
      <c r="AX195" s="60"/>
      <c r="AY195" s="60"/>
      <c r="AZ195" s="60"/>
      <c r="BA195" s="60"/>
      <c r="BB195" s="19"/>
      <c r="BC195" s="27"/>
      <c r="BD195" s="65">
        <v>42432</v>
      </c>
      <c r="BE195" s="35" t="s">
        <v>565</v>
      </c>
      <c r="BF195" s="60"/>
      <c r="BG195" s="60"/>
      <c r="BH195" s="65"/>
      <c r="BI195" s="14"/>
      <c r="BJ195" s="14"/>
      <c r="BK195" s="60"/>
      <c r="BL195" s="60"/>
      <c r="BM195" s="60"/>
    </row>
    <row r="196" spans="1:65" ht="120" x14ac:dyDescent="0.25">
      <c r="A196" s="160"/>
      <c r="B196" s="154"/>
      <c r="C196" s="19"/>
      <c r="D196" s="27"/>
      <c r="E196" s="19"/>
      <c r="F196" s="32"/>
      <c r="G196" s="32"/>
      <c r="H196" s="19"/>
      <c r="I196" s="19"/>
      <c r="J196" s="19"/>
      <c r="K196" s="19"/>
      <c r="L196" s="143"/>
      <c r="M196" s="27"/>
      <c r="N196" s="31"/>
      <c r="O196" s="78"/>
      <c r="P196" s="30"/>
      <c r="Q196" s="31"/>
      <c r="R196" s="31"/>
      <c r="S196" s="27"/>
      <c r="T196" s="59"/>
      <c r="U196" s="148"/>
      <c r="V196" s="148"/>
      <c r="W196" s="32"/>
      <c r="X196" s="33" t="s">
        <v>861</v>
      </c>
      <c r="Y196" s="26" t="s">
        <v>140</v>
      </c>
      <c r="Z196" s="63">
        <v>42585</v>
      </c>
      <c r="AA196" s="64">
        <v>11876</v>
      </c>
      <c r="AB196" s="33" t="s">
        <v>635</v>
      </c>
      <c r="AC196" s="65">
        <v>42629</v>
      </c>
      <c r="AD196" s="65">
        <v>42810</v>
      </c>
      <c r="AE196" s="66"/>
      <c r="AF196" s="60"/>
      <c r="AG196" s="74"/>
      <c r="AH196" s="74"/>
      <c r="AI196" s="74"/>
      <c r="AJ196" s="75"/>
      <c r="AK196" s="75"/>
      <c r="AL196" s="38"/>
      <c r="AM196" s="38"/>
      <c r="AN196" s="38"/>
      <c r="AO196" s="38"/>
      <c r="AP196" s="60"/>
      <c r="AQ196" s="60"/>
      <c r="AR196" s="60"/>
      <c r="AS196" s="60"/>
      <c r="AT196" s="60"/>
      <c r="AU196" s="60"/>
      <c r="AV196" s="60"/>
      <c r="AW196" s="60"/>
      <c r="AX196" s="60"/>
      <c r="AY196" s="60"/>
      <c r="AZ196" s="60"/>
      <c r="BA196" s="60"/>
      <c r="BB196" s="19"/>
      <c r="BC196" s="27"/>
      <c r="BD196" s="65">
        <v>42585</v>
      </c>
      <c r="BE196" s="35" t="s">
        <v>634</v>
      </c>
      <c r="BF196" s="60"/>
      <c r="BG196" s="60"/>
      <c r="BH196" s="65"/>
      <c r="BI196" s="14"/>
      <c r="BJ196" s="14"/>
      <c r="BK196" s="60"/>
      <c r="BL196" s="60"/>
      <c r="BM196" s="60"/>
    </row>
    <row r="197" spans="1:65" ht="120" x14ac:dyDescent="0.25">
      <c r="A197" s="160"/>
      <c r="B197" s="154"/>
      <c r="C197" s="19"/>
      <c r="D197" s="27"/>
      <c r="E197" s="19"/>
      <c r="F197" s="32"/>
      <c r="G197" s="32"/>
      <c r="H197" s="19"/>
      <c r="I197" s="19"/>
      <c r="J197" s="19"/>
      <c r="K197" s="19"/>
      <c r="L197" s="143"/>
      <c r="M197" s="27"/>
      <c r="N197" s="31"/>
      <c r="O197" s="78"/>
      <c r="P197" s="30"/>
      <c r="Q197" s="31"/>
      <c r="R197" s="31"/>
      <c r="S197" s="27"/>
      <c r="T197" s="59"/>
      <c r="U197" s="148"/>
      <c r="V197" s="148"/>
      <c r="W197" s="32"/>
      <c r="X197" s="33" t="s">
        <v>365</v>
      </c>
      <c r="Y197" s="26" t="s">
        <v>185</v>
      </c>
      <c r="Z197" s="63">
        <v>42599</v>
      </c>
      <c r="AA197" s="64">
        <v>11876</v>
      </c>
      <c r="AB197" s="33" t="s">
        <v>636</v>
      </c>
      <c r="AC197" s="65"/>
      <c r="AD197" s="65"/>
      <c r="AE197" s="66"/>
      <c r="AF197" s="60"/>
      <c r="AG197" s="74">
        <v>32230.19</v>
      </c>
      <c r="AH197" s="74"/>
      <c r="AI197" s="75"/>
      <c r="AJ197" s="75"/>
      <c r="AK197" s="75"/>
      <c r="AL197" s="38"/>
      <c r="AM197" s="38"/>
      <c r="AN197" s="38"/>
      <c r="AO197" s="38"/>
      <c r="AP197" s="60"/>
      <c r="AQ197" s="60"/>
      <c r="AR197" s="60"/>
      <c r="AS197" s="60"/>
      <c r="AT197" s="60"/>
      <c r="AU197" s="60"/>
      <c r="AV197" s="60"/>
      <c r="AW197" s="60"/>
      <c r="AX197" s="60"/>
      <c r="AY197" s="60"/>
      <c r="AZ197" s="60"/>
      <c r="BA197" s="60"/>
      <c r="BB197" s="19"/>
      <c r="BC197" s="27"/>
      <c r="BD197" s="65"/>
      <c r="BE197" s="35"/>
      <c r="BF197" s="60"/>
      <c r="BG197" s="60"/>
      <c r="BH197" s="65"/>
      <c r="BI197" s="14"/>
      <c r="BJ197" s="14"/>
      <c r="BK197" s="60"/>
      <c r="BL197" s="60"/>
      <c r="BM197" s="60"/>
    </row>
    <row r="198" spans="1:65" ht="165" x14ac:dyDescent="0.25">
      <c r="A198" s="160"/>
      <c r="B198" s="154"/>
      <c r="C198" s="19"/>
      <c r="D198" s="27"/>
      <c r="E198" s="19"/>
      <c r="F198" s="32"/>
      <c r="G198" s="32"/>
      <c r="H198" s="19"/>
      <c r="I198" s="19"/>
      <c r="J198" s="19"/>
      <c r="K198" s="19"/>
      <c r="L198" s="143"/>
      <c r="M198" s="27"/>
      <c r="N198" s="27"/>
      <c r="O198" s="78"/>
      <c r="P198" s="27"/>
      <c r="Q198" s="27"/>
      <c r="R198" s="27"/>
      <c r="S198" s="27"/>
      <c r="T198" s="32"/>
      <c r="U198" s="148"/>
      <c r="V198" s="148"/>
      <c r="W198" s="32"/>
      <c r="X198" s="33" t="s">
        <v>365</v>
      </c>
      <c r="Y198" s="26" t="s">
        <v>186</v>
      </c>
      <c r="Z198" s="63">
        <v>42726</v>
      </c>
      <c r="AA198" s="64">
        <v>11968</v>
      </c>
      <c r="AB198" s="33" t="s">
        <v>809</v>
      </c>
      <c r="AC198" s="65"/>
      <c r="AD198" s="65"/>
      <c r="AE198" s="66"/>
      <c r="AF198" s="60"/>
      <c r="AG198" s="74">
        <v>53655.75</v>
      </c>
      <c r="AH198" s="74">
        <v>49586.43</v>
      </c>
      <c r="AI198" s="75"/>
      <c r="AJ198" s="75"/>
      <c r="AK198" s="75"/>
      <c r="AL198" s="38"/>
      <c r="AM198" s="38"/>
      <c r="AN198" s="38"/>
      <c r="AO198" s="38"/>
      <c r="AP198" s="60"/>
      <c r="AQ198" s="60"/>
      <c r="AR198" s="60"/>
      <c r="AS198" s="60"/>
      <c r="AT198" s="60"/>
      <c r="AU198" s="60"/>
      <c r="AV198" s="60"/>
      <c r="AW198" s="60"/>
      <c r="AX198" s="60"/>
      <c r="AY198" s="60"/>
      <c r="AZ198" s="60"/>
      <c r="BA198" s="60"/>
      <c r="BB198" s="19"/>
      <c r="BC198" s="27"/>
      <c r="BD198" s="65"/>
      <c r="BE198" s="35"/>
      <c r="BF198" s="60"/>
      <c r="BG198" s="60"/>
      <c r="BH198" s="65"/>
      <c r="BI198" s="14"/>
      <c r="BJ198" s="14"/>
      <c r="BK198" s="60"/>
      <c r="BL198" s="60"/>
      <c r="BM198" s="60"/>
    </row>
    <row r="199" spans="1:65" ht="105" x14ac:dyDescent="0.25">
      <c r="A199" s="160"/>
      <c r="B199" s="154"/>
      <c r="C199" s="19"/>
      <c r="D199" s="27"/>
      <c r="E199" s="19"/>
      <c r="F199" s="32"/>
      <c r="G199" s="32"/>
      <c r="H199" s="19"/>
      <c r="I199" s="19"/>
      <c r="J199" s="19"/>
      <c r="K199" s="19"/>
      <c r="L199" s="143"/>
      <c r="M199" s="27"/>
      <c r="N199" s="27"/>
      <c r="O199" s="78"/>
      <c r="P199" s="27"/>
      <c r="Q199" s="27"/>
      <c r="R199" s="27"/>
      <c r="S199" s="27"/>
      <c r="T199" s="32"/>
      <c r="U199" s="148"/>
      <c r="V199" s="148"/>
      <c r="W199" s="32"/>
      <c r="X199" s="33" t="s">
        <v>861</v>
      </c>
      <c r="Y199" s="26" t="s">
        <v>187</v>
      </c>
      <c r="Z199" s="63">
        <v>42738</v>
      </c>
      <c r="AA199" s="64">
        <v>11997</v>
      </c>
      <c r="AB199" s="33" t="s">
        <v>807</v>
      </c>
      <c r="AC199" s="65">
        <v>42810</v>
      </c>
      <c r="AD199" s="65">
        <v>42994</v>
      </c>
      <c r="AE199" s="66"/>
      <c r="AF199" s="60"/>
      <c r="AG199" s="74"/>
      <c r="AH199" s="74"/>
      <c r="AI199" s="75"/>
      <c r="AJ199" s="75"/>
      <c r="AK199" s="75"/>
      <c r="AL199" s="38"/>
      <c r="AM199" s="38"/>
      <c r="AN199" s="38"/>
      <c r="AO199" s="38"/>
      <c r="AP199" s="60"/>
      <c r="AQ199" s="60"/>
      <c r="AR199" s="60"/>
      <c r="AS199" s="60"/>
      <c r="AT199" s="60"/>
      <c r="AU199" s="60"/>
      <c r="AV199" s="60"/>
      <c r="AW199" s="60"/>
      <c r="AX199" s="60"/>
      <c r="AY199" s="60"/>
      <c r="AZ199" s="60"/>
      <c r="BA199" s="60"/>
      <c r="BB199" s="19"/>
      <c r="BC199" s="27"/>
      <c r="BD199" s="65">
        <v>42738</v>
      </c>
      <c r="BE199" s="35" t="s">
        <v>808</v>
      </c>
      <c r="BF199" s="60"/>
      <c r="BG199" s="60"/>
      <c r="BH199" s="65"/>
      <c r="BI199" s="14"/>
      <c r="BJ199" s="14"/>
      <c r="BK199" s="60"/>
      <c r="BL199" s="60"/>
      <c r="BM199" s="60"/>
    </row>
    <row r="200" spans="1:65" ht="75" x14ac:dyDescent="0.25">
      <c r="A200" s="160"/>
      <c r="B200" s="154"/>
      <c r="C200" s="19"/>
      <c r="D200" s="27"/>
      <c r="E200" s="19"/>
      <c r="F200" s="32"/>
      <c r="G200" s="32"/>
      <c r="H200" s="19"/>
      <c r="I200" s="19"/>
      <c r="J200" s="19"/>
      <c r="K200" s="19"/>
      <c r="L200" s="143"/>
      <c r="M200" s="27"/>
      <c r="N200" s="27"/>
      <c r="O200" s="78"/>
      <c r="P200" s="27"/>
      <c r="Q200" s="27"/>
      <c r="R200" s="27"/>
      <c r="S200" s="27"/>
      <c r="T200" s="32"/>
      <c r="U200" s="148"/>
      <c r="V200" s="148"/>
      <c r="W200" s="32"/>
      <c r="X200" s="33" t="s">
        <v>861</v>
      </c>
      <c r="Y200" s="26" t="s">
        <v>117</v>
      </c>
      <c r="Z200" s="63">
        <v>42993</v>
      </c>
      <c r="AA200" s="64">
        <v>12156</v>
      </c>
      <c r="AB200" s="33" t="s">
        <v>1085</v>
      </c>
      <c r="AC200" s="65">
        <v>42994</v>
      </c>
      <c r="AD200" s="65">
        <v>43175</v>
      </c>
      <c r="AE200" s="66"/>
      <c r="AF200" s="60"/>
      <c r="AG200" s="74"/>
      <c r="AH200" s="74"/>
      <c r="AI200" s="84"/>
      <c r="AJ200" s="84"/>
      <c r="AK200" s="84"/>
      <c r="AL200" s="38"/>
      <c r="AM200" s="38"/>
      <c r="AN200" s="38"/>
      <c r="AO200" s="38"/>
      <c r="AP200" s="60"/>
      <c r="AQ200" s="60"/>
      <c r="AR200" s="60"/>
      <c r="AS200" s="60"/>
      <c r="AT200" s="60"/>
      <c r="AU200" s="60"/>
      <c r="AV200" s="60"/>
      <c r="AW200" s="60"/>
      <c r="AX200" s="60"/>
      <c r="AY200" s="60"/>
      <c r="AZ200" s="60"/>
      <c r="BA200" s="60"/>
      <c r="BB200" s="19"/>
      <c r="BC200" s="27"/>
      <c r="BD200" s="65"/>
      <c r="BE200" s="35"/>
      <c r="BF200" s="60"/>
      <c r="BG200" s="60"/>
      <c r="BH200" s="65"/>
      <c r="BI200" s="14"/>
      <c r="BJ200" s="14"/>
      <c r="BK200" s="60"/>
      <c r="BL200" s="60"/>
      <c r="BM200" s="60"/>
    </row>
    <row r="201" spans="1:65" ht="120" x14ac:dyDescent="0.25">
      <c r="A201" s="160">
        <v>36</v>
      </c>
      <c r="B201" s="154" t="s">
        <v>433</v>
      </c>
      <c r="C201" s="19" t="s">
        <v>323</v>
      </c>
      <c r="D201" s="27" t="s">
        <v>188</v>
      </c>
      <c r="E201" s="19" t="s">
        <v>124</v>
      </c>
      <c r="F201" s="32" t="s">
        <v>434</v>
      </c>
      <c r="G201" s="28" t="s">
        <v>438</v>
      </c>
      <c r="H201" s="20" t="s">
        <v>373</v>
      </c>
      <c r="I201" s="29">
        <v>42191</v>
      </c>
      <c r="J201" s="29">
        <v>42557</v>
      </c>
      <c r="K201" s="19" t="s">
        <v>421</v>
      </c>
      <c r="L201" s="143" t="s">
        <v>435</v>
      </c>
      <c r="M201" s="27" t="s">
        <v>436</v>
      </c>
      <c r="N201" s="31">
        <v>42277</v>
      </c>
      <c r="O201" s="78">
        <v>57424.32</v>
      </c>
      <c r="P201" s="30" t="s">
        <v>535</v>
      </c>
      <c r="Q201" s="31">
        <v>42278</v>
      </c>
      <c r="R201" s="31">
        <v>42644</v>
      </c>
      <c r="S201" s="27" t="s">
        <v>134</v>
      </c>
      <c r="T201" s="29"/>
      <c r="U201" s="38"/>
      <c r="V201" s="38"/>
      <c r="W201" s="32" t="s">
        <v>135</v>
      </c>
      <c r="X201" s="72" t="s">
        <v>365</v>
      </c>
      <c r="Y201" s="26" t="s">
        <v>136</v>
      </c>
      <c r="Z201" s="63">
        <v>42430</v>
      </c>
      <c r="AA201" s="64">
        <v>11760</v>
      </c>
      <c r="AB201" s="33" t="s">
        <v>505</v>
      </c>
      <c r="AC201" s="60"/>
      <c r="AD201" s="60"/>
      <c r="AE201" s="66"/>
      <c r="AF201" s="60"/>
      <c r="AG201" s="74">
        <f>4785.36*5+4690.22*7</f>
        <v>56758.34</v>
      </c>
      <c r="AH201" s="74">
        <f>4785.36*12</f>
        <v>57424.319999999992</v>
      </c>
      <c r="AI201" s="74"/>
      <c r="AJ201" s="74"/>
      <c r="AK201" s="74"/>
      <c r="AL201" s="38">
        <f>O201-AH201+AG201-AH202+AG202-AH203+AG203-AH204+AG204-AH205+AG205</f>
        <v>202703.72</v>
      </c>
      <c r="AM201" s="38">
        <f>13239.68+4785.36+0+4785.36+9380.44+4690.22+4690.22+4690.22+4690.22+4690.22+4690.22+9380.44+4690.22+4690.22+4690.22+4690.22+10185+9517.58+5494.78+6611.18</f>
        <v>120282.02000000002</v>
      </c>
      <c r="AN201" s="38">
        <f>5494.78+5494.78+10989.56+5494.78+5494.78+5494.78+5494.78+5494.78+5494.78</f>
        <v>54947.799999999996</v>
      </c>
      <c r="AO201" s="38">
        <f>AM201+AN201</f>
        <v>175229.82</v>
      </c>
      <c r="AP201" s="56" t="s">
        <v>373</v>
      </c>
      <c r="AQ201" s="61">
        <v>42191</v>
      </c>
      <c r="AR201" s="61">
        <v>42557</v>
      </c>
      <c r="AS201" s="73" t="s">
        <v>561</v>
      </c>
      <c r="AT201" s="43" t="s">
        <v>437</v>
      </c>
      <c r="AU201" s="73" t="s">
        <v>561</v>
      </c>
      <c r="AV201" s="60"/>
      <c r="AW201" s="60"/>
      <c r="AX201" s="60"/>
      <c r="AY201" s="60"/>
      <c r="AZ201" s="60"/>
      <c r="BA201" s="60"/>
      <c r="BB201" s="22"/>
      <c r="BC201" s="43"/>
      <c r="BD201" s="65"/>
      <c r="BE201" s="22"/>
      <c r="BF201" s="60"/>
      <c r="BG201" s="60"/>
      <c r="BH201" s="60"/>
      <c r="BI201" s="60"/>
      <c r="BJ201" s="60"/>
      <c r="BK201" s="60"/>
      <c r="BL201" s="60"/>
      <c r="BM201" s="60"/>
    </row>
    <row r="202" spans="1:65" ht="60" x14ac:dyDescent="0.25">
      <c r="A202" s="160"/>
      <c r="B202" s="154"/>
      <c r="C202" s="19"/>
      <c r="D202" s="27"/>
      <c r="E202" s="19"/>
      <c r="F202" s="32"/>
      <c r="G202" s="28"/>
      <c r="H202" s="20"/>
      <c r="I202" s="20"/>
      <c r="J202" s="20"/>
      <c r="K202" s="19"/>
      <c r="L202" s="143"/>
      <c r="M202" s="27"/>
      <c r="N202" s="31"/>
      <c r="O202" s="78"/>
      <c r="P202" s="30"/>
      <c r="Q202" s="31"/>
      <c r="R202" s="31"/>
      <c r="S202" s="27"/>
      <c r="T202" s="29"/>
      <c r="U202" s="38"/>
      <c r="V202" s="38"/>
      <c r="W202" s="32"/>
      <c r="X202" s="33" t="s">
        <v>1261</v>
      </c>
      <c r="Y202" s="26" t="s">
        <v>140</v>
      </c>
      <c r="Z202" s="63">
        <v>42643</v>
      </c>
      <c r="AA202" s="64">
        <v>11909</v>
      </c>
      <c r="AB202" s="33" t="s">
        <v>647</v>
      </c>
      <c r="AC202" s="65">
        <v>42644</v>
      </c>
      <c r="AD202" s="65">
        <v>43009</v>
      </c>
      <c r="AE202" s="66"/>
      <c r="AF202" s="60"/>
      <c r="AG202" s="74">
        <v>56282.64</v>
      </c>
      <c r="AH202" s="74"/>
      <c r="AI202" s="74"/>
      <c r="AJ202" s="74"/>
      <c r="AK202" s="74"/>
      <c r="AL202" s="38"/>
      <c r="AM202" s="38"/>
      <c r="AN202" s="38"/>
      <c r="AO202" s="38"/>
      <c r="AP202" s="53"/>
      <c r="AQ202" s="56"/>
      <c r="AR202" s="56"/>
      <c r="AS202" s="73"/>
      <c r="AT202" s="43"/>
      <c r="AU202" s="73"/>
      <c r="AV202" s="60"/>
      <c r="AW202" s="60"/>
      <c r="AX202" s="60"/>
      <c r="AY202" s="60"/>
      <c r="AZ202" s="60"/>
      <c r="BA202" s="60"/>
      <c r="BB202" s="22"/>
      <c r="BC202" s="43"/>
      <c r="BD202" s="65"/>
      <c r="BE202" s="22"/>
      <c r="BF202" s="60"/>
      <c r="BG202" s="60"/>
      <c r="BH202" s="60"/>
      <c r="BI202" s="60"/>
      <c r="BJ202" s="60"/>
      <c r="BK202" s="60"/>
      <c r="BL202" s="60"/>
      <c r="BM202" s="60"/>
    </row>
    <row r="203" spans="1:65" ht="180" x14ac:dyDescent="0.25">
      <c r="A203" s="160"/>
      <c r="B203" s="154"/>
      <c r="C203" s="19"/>
      <c r="D203" s="27"/>
      <c r="E203" s="19"/>
      <c r="F203" s="32"/>
      <c r="G203" s="32"/>
      <c r="H203" s="19"/>
      <c r="I203" s="19"/>
      <c r="J203" s="19"/>
      <c r="K203" s="19"/>
      <c r="L203" s="143"/>
      <c r="M203" s="27"/>
      <c r="N203" s="27"/>
      <c r="O203" s="78"/>
      <c r="P203" s="27"/>
      <c r="Q203" s="27"/>
      <c r="R203" s="27"/>
      <c r="S203" s="27"/>
      <c r="T203" s="19"/>
      <c r="U203" s="38"/>
      <c r="V203" s="38"/>
      <c r="W203" s="32"/>
      <c r="X203" s="72" t="s">
        <v>365</v>
      </c>
      <c r="Y203" s="26" t="s">
        <v>185</v>
      </c>
      <c r="Z203" s="63">
        <v>42891</v>
      </c>
      <c r="AA203" s="64">
        <v>12075</v>
      </c>
      <c r="AB203" s="33" t="s">
        <v>1571</v>
      </c>
      <c r="AC203" s="65"/>
      <c r="AD203" s="65"/>
      <c r="AE203" s="66"/>
      <c r="AF203" s="60"/>
      <c r="AG203" s="74">
        <v>7241.04</v>
      </c>
      <c r="AH203" s="74"/>
      <c r="AI203" s="74"/>
      <c r="AJ203" s="74"/>
      <c r="AK203" s="74"/>
      <c r="AL203" s="38"/>
      <c r="AM203" s="38"/>
      <c r="AN203" s="38"/>
      <c r="AO203" s="38"/>
      <c r="AP203" s="56"/>
      <c r="AQ203" s="56"/>
      <c r="AR203" s="56"/>
      <c r="AS203" s="73"/>
      <c r="AT203" s="43"/>
      <c r="AU203" s="73"/>
      <c r="AV203" s="60"/>
      <c r="AW203" s="60"/>
      <c r="AX203" s="60"/>
      <c r="AY203" s="60"/>
      <c r="AZ203" s="60"/>
      <c r="BA203" s="60"/>
      <c r="BB203" s="22"/>
      <c r="BC203" s="43"/>
      <c r="BD203" s="65"/>
      <c r="BE203" s="22"/>
      <c r="BF203" s="60"/>
      <c r="BG203" s="60"/>
      <c r="BH203" s="60"/>
      <c r="BI203" s="60"/>
      <c r="BJ203" s="60"/>
      <c r="BK203" s="60"/>
      <c r="BL203" s="60"/>
      <c r="BM203" s="60"/>
    </row>
    <row r="204" spans="1:65" ht="60" x14ac:dyDescent="0.25">
      <c r="A204" s="160"/>
      <c r="B204" s="154"/>
      <c r="C204" s="19"/>
      <c r="D204" s="27"/>
      <c r="E204" s="19"/>
      <c r="F204" s="32"/>
      <c r="G204" s="32"/>
      <c r="H204" s="19"/>
      <c r="I204" s="19"/>
      <c r="J204" s="19"/>
      <c r="K204" s="19"/>
      <c r="L204" s="143"/>
      <c r="M204" s="27"/>
      <c r="N204" s="27"/>
      <c r="O204" s="78"/>
      <c r="P204" s="27"/>
      <c r="Q204" s="27"/>
      <c r="R204" s="27"/>
      <c r="S204" s="27"/>
      <c r="T204" s="19"/>
      <c r="U204" s="38"/>
      <c r="V204" s="38"/>
      <c r="W204" s="32"/>
      <c r="X204" s="33" t="s">
        <v>1261</v>
      </c>
      <c r="Y204" s="26" t="s">
        <v>186</v>
      </c>
      <c r="Z204" s="63">
        <v>43007</v>
      </c>
      <c r="AA204" s="64">
        <v>12155</v>
      </c>
      <c r="AB204" s="33" t="s">
        <v>1084</v>
      </c>
      <c r="AC204" s="65">
        <v>43009</v>
      </c>
      <c r="AD204" s="65">
        <v>43374</v>
      </c>
      <c r="AE204" s="66"/>
      <c r="AF204" s="60"/>
      <c r="AG204" s="74">
        <v>65937.36</v>
      </c>
      <c r="AH204" s="74"/>
      <c r="AI204" s="74"/>
      <c r="AJ204" s="74"/>
      <c r="AK204" s="74"/>
      <c r="AL204" s="38"/>
      <c r="AM204" s="38"/>
      <c r="AN204" s="38"/>
      <c r="AO204" s="38"/>
      <c r="AP204" s="56"/>
      <c r="AQ204" s="56"/>
      <c r="AR204" s="56"/>
      <c r="AS204" s="73"/>
      <c r="AT204" s="43"/>
      <c r="AU204" s="73"/>
      <c r="AV204" s="60"/>
      <c r="AW204" s="60"/>
      <c r="AX204" s="60"/>
      <c r="AY204" s="60"/>
      <c r="AZ204" s="60"/>
      <c r="BA204" s="60"/>
      <c r="BB204" s="22"/>
      <c r="BC204" s="43"/>
      <c r="BD204" s="65"/>
      <c r="BE204" s="22"/>
      <c r="BF204" s="60"/>
      <c r="BG204" s="60"/>
      <c r="BH204" s="60"/>
      <c r="BI204" s="60"/>
      <c r="BJ204" s="60"/>
      <c r="BK204" s="60"/>
      <c r="BL204" s="60"/>
      <c r="BM204" s="60"/>
    </row>
    <row r="205" spans="1:65" ht="60" x14ac:dyDescent="0.25">
      <c r="A205" s="160"/>
      <c r="B205" s="154"/>
      <c r="C205" s="19"/>
      <c r="D205" s="27"/>
      <c r="E205" s="19"/>
      <c r="F205" s="32"/>
      <c r="G205" s="32"/>
      <c r="H205" s="19"/>
      <c r="I205" s="19"/>
      <c r="J205" s="19"/>
      <c r="K205" s="19"/>
      <c r="L205" s="143"/>
      <c r="M205" s="27"/>
      <c r="N205" s="27"/>
      <c r="O205" s="78"/>
      <c r="P205" s="27"/>
      <c r="Q205" s="27"/>
      <c r="R205" s="27"/>
      <c r="S205" s="27"/>
      <c r="T205" s="19"/>
      <c r="U205" s="38"/>
      <c r="V205" s="38"/>
      <c r="W205" s="32"/>
      <c r="X205" s="33" t="s">
        <v>1261</v>
      </c>
      <c r="Y205" s="26" t="s">
        <v>187</v>
      </c>
      <c r="Z205" s="63">
        <v>43374</v>
      </c>
      <c r="AA205" s="64">
        <v>12404</v>
      </c>
      <c r="AB205" s="33" t="s">
        <v>1853</v>
      </c>
      <c r="AC205" s="65">
        <v>43374</v>
      </c>
      <c r="AD205" s="65">
        <v>43465</v>
      </c>
      <c r="AE205" s="66"/>
      <c r="AF205" s="60"/>
      <c r="AG205" s="74">
        <v>16484.34</v>
      </c>
      <c r="AH205" s="74"/>
      <c r="AI205" s="74"/>
      <c r="AJ205" s="74"/>
      <c r="AK205" s="74"/>
      <c r="AL205" s="38"/>
      <c r="AM205" s="38"/>
      <c r="AN205" s="38"/>
      <c r="AO205" s="38"/>
      <c r="AP205" s="56"/>
      <c r="AQ205" s="56"/>
      <c r="AR205" s="56"/>
      <c r="AS205" s="73"/>
      <c r="AT205" s="43"/>
      <c r="AU205" s="73"/>
      <c r="AV205" s="60"/>
      <c r="AW205" s="60"/>
      <c r="AX205" s="60"/>
      <c r="AY205" s="60"/>
      <c r="AZ205" s="60"/>
      <c r="BA205" s="60"/>
      <c r="BB205" s="22"/>
      <c r="BC205" s="43"/>
      <c r="BD205" s="65"/>
      <c r="BE205" s="22"/>
      <c r="BF205" s="60"/>
      <c r="BG205" s="60"/>
      <c r="BH205" s="60"/>
      <c r="BI205" s="60"/>
      <c r="BJ205" s="60"/>
      <c r="BK205" s="60"/>
      <c r="BL205" s="60"/>
      <c r="BM205" s="60"/>
    </row>
    <row r="206" spans="1:65" ht="45" x14ac:dyDescent="0.25">
      <c r="A206" s="160">
        <v>37</v>
      </c>
      <c r="B206" s="154" t="s">
        <v>440</v>
      </c>
      <c r="C206" s="19" t="s">
        <v>323</v>
      </c>
      <c r="D206" s="27" t="s">
        <v>242</v>
      </c>
      <c r="E206" s="19" t="s">
        <v>278</v>
      </c>
      <c r="F206" s="32" t="s">
        <v>441</v>
      </c>
      <c r="G206" s="28" t="s">
        <v>442</v>
      </c>
      <c r="H206" s="20"/>
      <c r="I206" s="20"/>
      <c r="J206" s="20"/>
      <c r="K206" s="19" t="s">
        <v>439</v>
      </c>
      <c r="L206" s="143" t="s">
        <v>305</v>
      </c>
      <c r="M206" s="27" t="s">
        <v>384</v>
      </c>
      <c r="N206" s="31">
        <v>42284</v>
      </c>
      <c r="O206" s="78">
        <v>1400000</v>
      </c>
      <c r="P206" s="30" t="s">
        <v>536</v>
      </c>
      <c r="Q206" s="31">
        <v>42284</v>
      </c>
      <c r="R206" s="31">
        <v>42650</v>
      </c>
      <c r="S206" s="27" t="s">
        <v>133</v>
      </c>
      <c r="T206" s="19"/>
      <c r="U206" s="38"/>
      <c r="V206" s="38"/>
      <c r="W206" s="32" t="s">
        <v>135</v>
      </c>
      <c r="X206" s="33" t="s">
        <v>1261</v>
      </c>
      <c r="Y206" s="26" t="s">
        <v>136</v>
      </c>
      <c r="Z206" s="63">
        <v>42650</v>
      </c>
      <c r="AA206" s="64">
        <v>11919</v>
      </c>
      <c r="AB206" s="33" t="s">
        <v>648</v>
      </c>
      <c r="AC206" s="65">
        <v>42650</v>
      </c>
      <c r="AD206" s="65">
        <v>43015</v>
      </c>
      <c r="AE206" s="66"/>
      <c r="AF206" s="60"/>
      <c r="AG206" s="74">
        <v>1400000</v>
      </c>
      <c r="AH206" s="74"/>
      <c r="AI206" s="74"/>
      <c r="AJ206" s="74"/>
      <c r="AK206" s="74"/>
      <c r="AL206" s="38">
        <f>O206-AH206+AG206-AH207+AG207-AH208+AG208</f>
        <v>5600000</v>
      </c>
      <c r="AM206" s="38">
        <f>117675.04+0+103483.28+124957.8+0+121582.3+110720.23+138753.65+150073.4+100000+230864.73+0+169441.47+84107.04+72720.09+99939.25+85260.1+110959.01+74092.81+73875.25</f>
        <v>1968505.4500000004</v>
      </c>
      <c r="AN206" s="38">
        <f>113124.75+148497.47+203769+157456.58+133797.21+85306.85+139716.19+238224.55</f>
        <v>1219892.5999999999</v>
      </c>
      <c r="AO206" s="38">
        <f>AM206+AN206</f>
        <v>3188398.0500000003</v>
      </c>
      <c r="AP206" s="60"/>
      <c r="AQ206" s="60"/>
      <c r="AR206" s="60"/>
      <c r="AS206" s="60"/>
      <c r="AT206" s="60"/>
      <c r="AU206" s="60"/>
      <c r="AV206" s="60"/>
      <c r="AW206" s="60"/>
      <c r="AX206" s="60"/>
      <c r="AY206" s="60"/>
      <c r="AZ206" s="60"/>
      <c r="BA206" s="60"/>
      <c r="BB206" s="22"/>
      <c r="BC206" s="43"/>
      <c r="BD206" s="60"/>
      <c r="BE206" s="60"/>
      <c r="BF206" s="60"/>
      <c r="BG206" s="60"/>
      <c r="BH206" s="60"/>
      <c r="BI206" s="60"/>
      <c r="BJ206" s="60"/>
      <c r="BK206" s="60"/>
      <c r="BL206" s="60"/>
      <c r="BM206" s="60"/>
    </row>
    <row r="207" spans="1:65" ht="45" x14ac:dyDescent="0.25">
      <c r="A207" s="160"/>
      <c r="B207" s="154"/>
      <c r="C207" s="19"/>
      <c r="D207" s="27"/>
      <c r="E207" s="19"/>
      <c r="F207" s="32"/>
      <c r="G207" s="32"/>
      <c r="H207" s="19"/>
      <c r="I207" s="19"/>
      <c r="J207" s="19"/>
      <c r="K207" s="19"/>
      <c r="L207" s="143"/>
      <c r="M207" s="27"/>
      <c r="N207" s="27"/>
      <c r="O207" s="78"/>
      <c r="P207" s="27"/>
      <c r="Q207" s="27"/>
      <c r="R207" s="27"/>
      <c r="S207" s="27"/>
      <c r="T207" s="19"/>
      <c r="U207" s="38"/>
      <c r="V207" s="38"/>
      <c r="W207" s="32"/>
      <c r="X207" s="33" t="s">
        <v>1261</v>
      </c>
      <c r="Y207" s="26" t="s">
        <v>140</v>
      </c>
      <c r="Z207" s="63">
        <v>43010</v>
      </c>
      <c r="AA207" s="64">
        <v>12160</v>
      </c>
      <c r="AB207" s="33" t="s">
        <v>648</v>
      </c>
      <c r="AC207" s="65">
        <v>43015</v>
      </c>
      <c r="AD207" s="65">
        <v>43380</v>
      </c>
      <c r="AE207" s="66"/>
      <c r="AF207" s="60"/>
      <c r="AG207" s="74">
        <v>1400000</v>
      </c>
      <c r="AH207" s="74"/>
      <c r="AI207" s="74"/>
      <c r="AJ207" s="74"/>
      <c r="AK207" s="74"/>
      <c r="AL207" s="38"/>
      <c r="AM207" s="38"/>
      <c r="AN207" s="38"/>
      <c r="AO207" s="38"/>
      <c r="AP207" s="62"/>
      <c r="AQ207" s="62"/>
      <c r="AR207" s="60"/>
      <c r="AS207" s="60"/>
      <c r="AT207" s="60"/>
      <c r="AU207" s="60"/>
      <c r="AV207" s="60"/>
      <c r="AW207" s="60"/>
      <c r="AX207" s="60"/>
      <c r="AY207" s="60"/>
      <c r="AZ207" s="60"/>
      <c r="BA207" s="60"/>
      <c r="BB207" s="22"/>
      <c r="BC207" s="43"/>
      <c r="BD207" s="60"/>
      <c r="BE207" s="60"/>
      <c r="BF207" s="60"/>
      <c r="BG207" s="60"/>
      <c r="BH207" s="60"/>
      <c r="BI207" s="60"/>
      <c r="BJ207" s="60"/>
      <c r="BK207" s="60"/>
      <c r="BL207" s="60"/>
      <c r="BM207" s="60"/>
    </row>
    <row r="208" spans="1:65" ht="45" x14ac:dyDescent="0.25">
      <c r="A208" s="160"/>
      <c r="B208" s="154"/>
      <c r="C208" s="19"/>
      <c r="D208" s="27"/>
      <c r="E208" s="19"/>
      <c r="F208" s="32"/>
      <c r="G208" s="32"/>
      <c r="H208" s="19"/>
      <c r="I208" s="19"/>
      <c r="J208" s="19"/>
      <c r="K208" s="19"/>
      <c r="L208" s="143"/>
      <c r="M208" s="27"/>
      <c r="N208" s="27"/>
      <c r="O208" s="78"/>
      <c r="P208" s="27"/>
      <c r="Q208" s="27"/>
      <c r="R208" s="27"/>
      <c r="S208" s="27"/>
      <c r="T208" s="19"/>
      <c r="U208" s="38"/>
      <c r="V208" s="38"/>
      <c r="W208" s="32"/>
      <c r="X208" s="33" t="s">
        <v>1261</v>
      </c>
      <c r="Y208" s="26" t="s">
        <v>185</v>
      </c>
      <c r="Z208" s="63">
        <v>43374</v>
      </c>
      <c r="AA208" s="64">
        <v>12416</v>
      </c>
      <c r="AB208" s="33" t="s">
        <v>648</v>
      </c>
      <c r="AC208" s="65">
        <v>43380</v>
      </c>
      <c r="AD208" s="65">
        <v>43745</v>
      </c>
      <c r="AE208" s="66"/>
      <c r="AF208" s="60"/>
      <c r="AG208" s="74">
        <v>1400000</v>
      </c>
      <c r="AH208" s="74"/>
      <c r="AI208" s="74"/>
      <c r="AJ208" s="74"/>
      <c r="AK208" s="74"/>
      <c r="AL208" s="38"/>
      <c r="AM208" s="38"/>
      <c r="AN208" s="38"/>
      <c r="AO208" s="38"/>
      <c r="AP208" s="62"/>
      <c r="AQ208" s="62"/>
      <c r="AR208" s="60"/>
      <c r="AS208" s="60"/>
      <c r="AT208" s="60"/>
      <c r="AU208" s="60"/>
      <c r="AV208" s="60"/>
      <c r="AW208" s="60"/>
      <c r="AX208" s="60"/>
      <c r="AY208" s="60"/>
      <c r="AZ208" s="60"/>
      <c r="BA208" s="60"/>
      <c r="BB208" s="22"/>
      <c r="BC208" s="43"/>
      <c r="BD208" s="60"/>
      <c r="BE208" s="60"/>
      <c r="BF208" s="60"/>
      <c r="BG208" s="60"/>
      <c r="BH208" s="60"/>
      <c r="BI208" s="60"/>
      <c r="BJ208" s="60"/>
      <c r="BK208" s="60"/>
      <c r="BL208" s="60"/>
      <c r="BM208" s="60"/>
    </row>
    <row r="209" spans="1:65" ht="60" x14ac:dyDescent="0.25">
      <c r="A209" s="160">
        <v>38</v>
      </c>
      <c r="B209" s="154" t="s">
        <v>433</v>
      </c>
      <c r="C209" s="19" t="s">
        <v>323</v>
      </c>
      <c r="D209" s="27" t="s">
        <v>444</v>
      </c>
      <c r="E209" s="19" t="s">
        <v>124</v>
      </c>
      <c r="F209" s="32" t="s">
        <v>445</v>
      </c>
      <c r="G209" s="28" t="s">
        <v>438</v>
      </c>
      <c r="H209" s="20" t="s">
        <v>373</v>
      </c>
      <c r="I209" s="29">
        <v>42191</v>
      </c>
      <c r="J209" s="29">
        <v>42557</v>
      </c>
      <c r="K209" s="19" t="s">
        <v>443</v>
      </c>
      <c r="L209" s="143" t="s">
        <v>435</v>
      </c>
      <c r="M209" s="27" t="s">
        <v>436</v>
      </c>
      <c r="N209" s="31">
        <v>42290</v>
      </c>
      <c r="O209" s="78">
        <v>56282.64</v>
      </c>
      <c r="P209" s="30" t="s">
        <v>537</v>
      </c>
      <c r="Q209" s="31">
        <v>42290</v>
      </c>
      <c r="R209" s="31">
        <v>42656</v>
      </c>
      <c r="S209" s="27" t="s">
        <v>134</v>
      </c>
      <c r="T209" s="32"/>
      <c r="U209" s="148"/>
      <c r="V209" s="148"/>
      <c r="W209" s="32" t="s">
        <v>135</v>
      </c>
      <c r="X209" s="33" t="s">
        <v>1261</v>
      </c>
      <c r="Y209" s="26" t="s">
        <v>136</v>
      </c>
      <c r="Z209" s="63">
        <v>42643</v>
      </c>
      <c r="AA209" s="64">
        <v>11909</v>
      </c>
      <c r="AB209" s="33" t="s">
        <v>647</v>
      </c>
      <c r="AC209" s="65">
        <v>42656</v>
      </c>
      <c r="AD209" s="65">
        <v>43021</v>
      </c>
      <c r="AE209" s="66"/>
      <c r="AF209" s="60"/>
      <c r="AG209" s="74">
        <v>56282.64</v>
      </c>
      <c r="AH209" s="74"/>
      <c r="AI209" s="74"/>
      <c r="AJ209" s="74"/>
      <c r="AK209" s="74"/>
      <c r="AL209" s="38">
        <f>O209-AH209+AG209-AH210+AG210-AH211+AG211-AH212+AG212</f>
        <v>200195.6</v>
      </c>
      <c r="AM209" s="38">
        <f>9380.44+4690.22+4690.22+4690.22+4690.22+4690.22+4690.22+9380.44+4690.22+4690.22+4690.22+4690.22+10185+5494.78+5494.78+5494.78+10989.56</f>
        <v>103321.98</v>
      </c>
      <c r="AN209" s="38">
        <f>5494.78+5494.78+10989.56+5494.78+5494.78+5494.78+5494.78+5494.78+5494.78</f>
        <v>54947.799999999996</v>
      </c>
      <c r="AO209" s="38">
        <f>AM209+AN209</f>
        <v>158269.78</v>
      </c>
      <c r="AP209" s="56" t="s">
        <v>373</v>
      </c>
      <c r="AQ209" s="61">
        <v>42191</v>
      </c>
      <c r="AR209" s="61">
        <v>42557</v>
      </c>
      <c r="AS209" s="73" t="s">
        <v>561</v>
      </c>
      <c r="AT209" s="43" t="s">
        <v>446</v>
      </c>
      <c r="AU209" s="73" t="s">
        <v>561</v>
      </c>
      <c r="AV209" s="60"/>
      <c r="AW209" s="60"/>
      <c r="AX209" s="60"/>
      <c r="AY209" s="60"/>
      <c r="AZ209" s="60"/>
      <c r="BA209" s="60"/>
      <c r="BB209" s="22"/>
      <c r="BC209" s="43"/>
      <c r="BD209" s="60"/>
      <c r="BE209" s="60"/>
      <c r="BF209" s="60"/>
      <c r="BG209" s="60"/>
      <c r="BH209" s="60"/>
      <c r="BI209" s="60"/>
      <c r="BJ209" s="60"/>
      <c r="BK209" s="60"/>
      <c r="BL209" s="60"/>
      <c r="BM209" s="60"/>
    </row>
    <row r="210" spans="1:65" ht="180" x14ac:dyDescent="0.25">
      <c r="A210" s="160"/>
      <c r="B210" s="154"/>
      <c r="C210" s="19"/>
      <c r="D210" s="27"/>
      <c r="E210" s="19"/>
      <c r="F210" s="32"/>
      <c r="G210" s="28"/>
      <c r="H210" s="20"/>
      <c r="I210" s="29"/>
      <c r="J210" s="29"/>
      <c r="K210" s="19"/>
      <c r="L210" s="143"/>
      <c r="M210" s="27"/>
      <c r="N210" s="31"/>
      <c r="O210" s="78"/>
      <c r="P210" s="30"/>
      <c r="Q210" s="31"/>
      <c r="R210" s="31"/>
      <c r="S210" s="27"/>
      <c r="T210" s="32"/>
      <c r="U210" s="148"/>
      <c r="V210" s="148"/>
      <c r="W210" s="32"/>
      <c r="X210" s="72" t="s">
        <v>365</v>
      </c>
      <c r="Y210" s="26" t="s">
        <v>140</v>
      </c>
      <c r="Z210" s="63">
        <v>42891</v>
      </c>
      <c r="AA210" s="64">
        <v>12075</v>
      </c>
      <c r="AB210" s="33" t="s">
        <v>1571</v>
      </c>
      <c r="AC210" s="65"/>
      <c r="AD210" s="65"/>
      <c r="AE210" s="66"/>
      <c r="AF210" s="60"/>
      <c r="AG210" s="74">
        <v>7589.68</v>
      </c>
      <c r="AH210" s="74"/>
      <c r="AI210" s="74"/>
      <c r="AJ210" s="74"/>
      <c r="AK210" s="74"/>
      <c r="AL210" s="38"/>
      <c r="AM210" s="38"/>
      <c r="AN210" s="38"/>
      <c r="AO210" s="38"/>
      <c r="AP210" s="53"/>
      <c r="AQ210" s="53"/>
      <c r="AR210" s="61"/>
      <c r="AS210" s="73"/>
      <c r="AT210" s="43"/>
      <c r="AU210" s="73"/>
      <c r="AV210" s="60"/>
      <c r="AW210" s="60"/>
      <c r="AX210" s="60"/>
      <c r="AY210" s="60"/>
      <c r="AZ210" s="60"/>
      <c r="BA210" s="60"/>
      <c r="BB210" s="22"/>
      <c r="BC210" s="43"/>
      <c r="BD210" s="60"/>
      <c r="BE210" s="60"/>
      <c r="BF210" s="60"/>
      <c r="BG210" s="60"/>
      <c r="BH210" s="60"/>
      <c r="BI210" s="60"/>
      <c r="BJ210" s="60"/>
      <c r="BK210" s="60"/>
      <c r="BL210" s="60"/>
      <c r="BM210" s="60"/>
    </row>
    <row r="211" spans="1:65" ht="75" x14ac:dyDescent="0.25">
      <c r="A211" s="160"/>
      <c r="B211" s="154"/>
      <c r="C211" s="19"/>
      <c r="D211" s="27"/>
      <c r="E211" s="19"/>
      <c r="F211" s="32"/>
      <c r="G211" s="28"/>
      <c r="H211" s="20"/>
      <c r="I211" s="29"/>
      <c r="J211" s="29"/>
      <c r="K211" s="19"/>
      <c r="L211" s="143"/>
      <c r="M211" s="27"/>
      <c r="N211" s="27"/>
      <c r="O211" s="78"/>
      <c r="P211" s="27"/>
      <c r="Q211" s="27"/>
      <c r="R211" s="27"/>
      <c r="S211" s="27"/>
      <c r="T211" s="32"/>
      <c r="U211" s="148"/>
      <c r="V211" s="148"/>
      <c r="W211" s="32"/>
      <c r="X211" s="33" t="s">
        <v>1261</v>
      </c>
      <c r="Y211" s="26" t="s">
        <v>185</v>
      </c>
      <c r="Z211" s="63">
        <v>43007</v>
      </c>
      <c r="AA211" s="64">
        <v>12155</v>
      </c>
      <c r="AB211" s="33" t="s">
        <v>1086</v>
      </c>
      <c r="AC211" s="65">
        <v>43021</v>
      </c>
      <c r="AD211" s="65">
        <v>43386</v>
      </c>
      <c r="AE211" s="66"/>
      <c r="AF211" s="60"/>
      <c r="AG211" s="74">
        <v>65937.36</v>
      </c>
      <c r="AH211" s="74"/>
      <c r="AI211" s="74"/>
      <c r="AJ211" s="74"/>
      <c r="AK211" s="74"/>
      <c r="AL211" s="38"/>
      <c r="AM211" s="38"/>
      <c r="AN211" s="38"/>
      <c r="AO211" s="38"/>
      <c r="AP211" s="56"/>
      <c r="AQ211" s="61"/>
      <c r="AR211" s="61"/>
      <c r="AS211" s="73"/>
      <c r="AT211" s="43"/>
      <c r="AU211" s="73"/>
      <c r="AV211" s="60"/>
      <c r="AW211" s="60"/>
      <c r="AX211" s="60"/>
      <c r="AY211" s="60"/>
      <c r="AZ211" s="60"/>
      <c r="BA211" s="60"/>
      <c r="BB211" s="22"/>
      <c r="BC211" s="43"/>
      <c r="BD211" s="60"/>
      <c r="BE211" s="60"/>
      <c r="BF211" s="60"/>
      <c r="BG211" s="60"/>
      <c r="BH211" s="60"/>
      <c r="BI211" s="60"/>
      <c r="BJ211" s="60"/>
      <c r="BK211" s="60"/>
      <c r="BL211" s="60"/>
      <c r="BM211" s="60"/>
    </row>
    <row r="212" spans="1:65" ht="60" x14ac:dyDescent="0.25">
      <c r="A212" s="160"/>
      <c r="B212" s="154"/>
      <c r="C212" s="19"/>
      <c r="D212" s="27"/>
      <c r="E212" s="19"/>
      <c r="F212" s="32"/>
      <c r="G212" s="32"/>
      <c r="H212" s="19"/>
      <c r="I212" s="19"/>
      <c r="J212" s="19"/>
      <c r="K212" s="19"/>
      <c r="L212" s="143"/>
      <c r="M212" s="27"/>
      <c r="N212" s="27"/>
      <c r="O212" s="78"/>
      <c r="P212" s="27"/>
      <c r="Q212" s="27"/>
      <c r="R212" s="27"/>
      <c r="S212" s="27"/>
      <c r="T212" s="32"/>
      <c r="U212" s="148"/>
      <c r="V212" s="148"/>
      <c r="W212" s="32"/>
      <c r="X212" s="33" t="s">
        <v>1261</v>
      </c>
      <c r="Y212" s="26" t="s">
        <v>186</v>
      </c>
      <c r="Z212" s="63">
        <v>43374</v>
      </c>
      <c r="AA212" s="64">
        <v>12404</v>
      </c>
      <c r="AB212" s="33" t="s">
        <v>1852</v>
      </c>
      <c r="AC212" s="65">
        <v>43386</v>
      </c>
      <c r="AD212" s="65">
        <v>43465</v>
      </c>
      <c r="AE212" s="66"/>
      <c r="AF212" s="60"/>
      <c r="AG212" s="74">
        <v>14103.28</v>
      </c>
      <c r="AH212" s="74"/>
      <c r="AI212" s="74"/>
      <c r="AJ212" s="74"/>
      <c r="AK212" s="74"/>
      <c r="AL212" s="38"/>
      <c r="AM212" s="38"/>
      <c r="AN212" s="38"/>
      <c r="AO212" s="38"/>
      <c r="AP212" s="56"/>
      <c r="AQ212" s="61"/>
      <c r="AR212" s="61"/>
      <c r="AS212" s="73"/>
      <c r="AT212" s="43"/>
      <c r="AU212" s="73"/>
      <c r="AV212" s="60"/>
      <c r="AW212" s="60"/>
      <c r="AX212" s="60"/>
      <c r="AY212" s="60"/>
      <c r="AZ212" s="60"/>
      <c r="BA212" s="60"/>
      <c r="BB212" s="22"/>
      <c r="BC212" s="43"/>
      <c r="BD212" s="60"/>
      <c r="BE212" s="60"/>
      <c r="BF212" s="60"/>
      <c r="BG212" s="60"/>
      <c r="BH212" s="60"/>
      <c r="BI212" s="60"/>
      <c r="BJ212" s="60"/>
      <c r="BK212" s="60"/>
      <c r="BL212" s="60"/>
      <c r="BM212" s="60"/>
    </row>
    <row r="213" spans="1:65" ht="60" x14ac:dyDescent="0.25">
      <c r="A213" s="159">
        <v>39</v>
      </c>
      <c r="B213" s="154" t="s">
        <v>493</v>
      </c>
      <c r="C213" s="19" t="s">
        <v>468</v>
      </c>
      <c r="D213" s="27" t="s">
        <v>128</v>
      </c>
      <c r="E213" s="19" t="s">
        <v>124</v>
      </c>
      <c r="F213" s="32" t="s">
        <v>496</v>
      </c>
      <c r="G213" s="32" t="s">
        <v>504</v>
      </c>
      <c r="H213" s="20" t="s">
        <v>466</v>
      </c>
      <c r="I213" s="29">
        <v>42423</v>
      </c>
      <c r="J213" s="29">
        <v>42789</v>
      </c>
      <c r="K213" s="19" t="s">
        <v>488</v>
      </c>
      <c r="L213" s="143" t="s">
        <v>494</v>
      </c>
      <c r="M213" s="27" t="s">
        <v>495</v>
      </c>
      <c r="N213" s="31">
        <v>42429</v>
      </c>
      <c r="O213" s="78">
        <v>462000</v>
      </c>
      <c r="P213" s="30" t="s">
        <v>510</v>
      </c>
      <c r="Q213" s="31">
        <v>42429</v>
      </c>
      <c r="R213" s="31">
        <v>42735</v>
      </c>
      <c r="S213" s="27" t="s">
        <v>447</v>
      </c>
      <c r="T213" s="32"/>
      <c r="U213" s="148"/>
      <c r="V213" s="148"/>
      <c r="W213" s="32" t="s">
        <v>135</v>
      </c>
      <c r="X213" s="33" t="s">
        <v>1261</v>
      </c>
      <c r="Y213" s="26" t="s">
        <v>136</v>
      </c>
      <c r="Z213" s="63">
        <v>42720</v>
      </c>
      <c r="AA213" s="64">
        <v>11964</v>
      </c>
      <c r="AB213" s="33" t="s">
        <v>657</v>
      </c>
      <c r="AC213" s="61">
        <v>42735</v>
      </c>
      <c r="AD213" s="61">
        <v>43100</v>
      </c>
      <c r="AE213" s="60"/>
      <c r="AF213" s="60"/>
      <c r="AG213" s="74">
        <v>462000</v>
      </c>
      <c r="AH213" s="74"/>
      <c r="AI213" s="74"/>
      <c r="AJ213" s="74"/>
      <c r="AK213" s="74"/>
      <c r="AL213" s="38">
        <f>O213-AH213+AG213-AH214+AG214-AH215+AG215</f>
        <v>1386000</v>
      </c>
      <c r="AM213" s="38">
        <f>0+0+0+48330.5+26331+11207.5+34719.35+21454.5+14304+6725+11921.5+0+24812+33836.51+23332.5+43238.5+33339.25+29736.55+19723.35+23381+19097.5+23274.55+7089.5</f>
        <v>455854.55999999994</v>
      </c>
      <c r="AN213" s="38">
        <f>60215.55+37212.5+39737+27278.16+37761.11+28078.16+28918.55+33410.5+18322</f>
        <v>310933.53000000003</v>
      </c>
      <c r="AO213" s="38">
        <f>AM213+AN213</f>
        <v>766788.09</v>
      </c>
      <c r="AP213" s="60"/>
      <c r="AQ213" s="60"/>
      <c r="AR213" s="60"/>
      <c r="AS213" s="60"/>
      <c r="AT213" s="60"/>
      <c r="AU213" s="60"/>
      <c r="AV213" s="60"/>
      <c r="AW213" s="60"/>
      <c r="AX213" s="60"/>
      <c r="AY213" s="60"/>
      <c r="AZ213" s="60"/>
      <c r="BA213" s="60"/>
      <c r="BB213" s="22"/>
      <c r="BC213" s="43"/>
      <c r="BD213" s="60"/>
      <c r="BE213" s="60"/>
      <c r="BF213" s="60"/>
      <c r="BG213" s="60"/>
      <c r="BH213" s="60"/>
      <c r="BI213" s="60"/>
      <c r="BJ213" s="60"/>
      <c r="BK213" s="60"/>
      <c r="BL213" s="60"/>
      <c r="BM213" s="60"/>
    </row>
    <row r="214" spans="1:65" ht="45" x14ac:dyDescent="0.25">
      <c r="A214" s="159"/>
      <c r="B214" s="154"/>
      <c r="C214" s="19"/>
      <c r="D214" s="27"/>
      <c r="E214" s="19"/>
      <c r="F214" s="32"/>
      <c r="G214" s="32"/>
      <c r="H214" s="19"/>
      <c r="I214" s="19"/>
      <c r="J214" s="19"/>
      <c r="K214" s="19"/>
      <c r="L214" s="143"/>
      <c r="M214" s="27"/>
      <c r="N214" s="27"/>
      <c r="O214" s="78"/>
      <c r="P214" s="27"/>
      <c r="Q214" s="27"/>
      <c r="R214" s="27"/>
      <c r="S214" s="27"/>
      <c r="T214" s="32"/>
      <c r="U214" s="148"/>
      <c r="V214" s="148"/>
      <c r="W214" s="32"/>
      <c r="X214" s="33" t="s">
        <v>1261</v>
      </c>
      <c r="Y214" s="26" t="s">
        <v>140</v>
      </c>
      <c r="Z214" s="63">
        <v>43082</v>
      </c>
      <c r="AA214" s="64">
        <v>12234</v>
      </c>
      <c r="AB214" s="33" t="s">
        <v>1263</v>
      </c>
      <c r="AC214" s="61">
        <v>43100</v>
      </c>
      <c r="AD214" s="61">
        <v>43281</v>
      </c>
      <c r="AE214" s="60"/>
      <c r="AF214" s="60"/>
      <c r="AG214" s="74">
        <v>231000</v>
      </c>
      <c r="AH214" s="74"/>
      <c r="AI214" s="74"/>
      <c r="AJ214" s="74"/>
      <c r="AK214" s="74"/>
      <c r="AL214" s="38"/>
      <c r="AM214" s="38"/>
      <c r="AN214" s="38"/>
      <c r="AO214" s="38"/>
      <c r="AP214" s="62"/>
      <c r="AQ214" s="60"/>
      <c r="AR214" s="60"/>
      <c r="AS214" s="60"/>
      <c r="AT214" s="60"/>
      <c r="AU214" s="60"/>
      <c r="AV214" s="60"/>
      <c r="AW214" s="60"/>
      <c r="AX214" s="60"/>
      <c r="AY214" s="60"/>
      <c r="AZ214" s="60"/>
      <c r="BA214" s="60"/>
      <c r="BB214" s="22"/>
      <c r="BC214" s="43"/>
      <c r="BD214" s="60"/>
      <c r="BE214" s="60"/>
      <c r="BF214" s="60"/>
      <c r="BG214" s="60"/>
      <c r="BH214" s="60"/>
      <c r="BI214" s="60"/>
      <c r="BJ214" s="60"/>
      <c r="BK214" s="60"/>
      <c r="BL214" s="60"/>
      <c r="BM214" s="60"/>
    </row>
    <row r="215" spans="1:65" ht="45" x14ac:dyDescent="0.25">
      <c r="A215" s="159"/>
      <c r="B215" s="154"/>
      <c r="C215" s="19"/>
      <c r="D215" s="27"/>
      <c r="E215" s="19"/>
      <c r="F215" s="32"/>
      <c r="G215" s="32"/>
      <c r="H215" s="19"/>
      <c r="I215" s="19"/>
      <c r="J215" s="19"/>
      <c r="K215" s="19"/>
      <c r="L215" s="143"/>
      <c r="M215" s="27"/>
      <c r="N215" s="27"/>
      <c r="O215" s="78"/>
      <c r="P215" s="27"/>
      <c r="Q215" s="27"/>
      <c r="R215" s="27"/>
      <c r="S215" s="27"/>
      <c r="T215" s="32"/>
      <c r="U215" s="148"/>
      <c r="V215" s="148"/>
      <c r="W215" s="32"/>
      <c r="X215" s="33" t="s">
        <v>1261</v>
      </c>
      <c r="Y215" s="26" t="s">
        <v>185</v>
      </c>
      <c r="Z215" s="63">
        <v>43271</v>
      </c>
      <c r="AA215" s="64">
        <v>12338</v>
      </c>
      <c r="AB215" s="33" t="s">
        <v>1263</v>
      </c>
      <c r="AC215" s="61">
        <v>43281</v>
      </c>
      <c r="AD215" s="61">
        <v>43465</v>
      </c>
      <c r="AE215" s="60"/>
      <c r="AF215" s="60"/>
      <c r="AG215" s="74">
        <v>231000</v>
      </c>
      <c r="AH215" s="74"/>
      <c r="AI215" s="74"/>
      <c r="AJ215" s="74"/>
      <c r="AK215" s="74"/>
      <c r="AL215" s="38"/>
      <c r="AM215" s="38"/>
      <c r="AN215" s="38"/>
      <c r="AO215" s="38"/>
      <c r="AP215" s="60"/>
      <c r="AQ215" s="60"/>
      <c r="AR215" s="60"/>
      <c r="AS215" s="60"/>
      <c r="AT215" s="60"/>
      <c r="AU215" s="60"/>
      <c r="AV215" s="60"/>
      <c r="AW215" s="60"/>
      <c r="AX215" s="60"/>
      <c r="AY215" s="60"/>
      <c r="AZ215" s="60"/>
      <c r="BA215" s="60"/>
      <c r="BB215" s="22"/>
      <c r="BC215" s="43"/>
      <c r="BD215" s="60"/>
      <c r="BE215" s="60"/>
      <c r="BF215" s="60"/>
      <c r="BG215" s="60"/>
      <c r="BH215" s="60"/>
      <c r="BI215" s="60"/>
      <c r="BJ215" s="60"/>
      <c r="BK215" s="60"/>
      <c r="BL215" s="60"/>
      <c r="BM215" s="60"/>
    </row>
    <row r="216" spans="1:65" ht="60" x14ac:dyDescent="0.25">
      <c r="A216" s="159">
        <v>40</v>
      </c>
      <c r="B216" s="154" t="s">
        <v>493</v>
      </c>
      <c r="C216" s="19" t="s">
        <v>468</v>
      </c>
      <c r="D216" s="27" t="s">
        <v>128</v>
      </c>
      <c r="E216" s="19" t="s">
        <v>124</v>
      </c>
      <c r="F216" s="32" t="s">
        <v>496</v>
      </c>
      <c r="G216" s="32" t="s">
        <v>504</v>
      </c>
      <c r="H216" s="20" t="s">
        <v>466</v>
      </c>
      <c r="I216" s="29">
        <v>42423</v>
      </c>
      <c r="J216" s="29">
        <v>42789</v>
      </c>
      <c r="K216" s="19" t="s">
        <v>489</v>
      </c>
      <c r="L216" s="143" t="s">
        <v>497</v>
      </c>
      <c r="M216" s="27" t="s">
        <v>498</v>
      </c>
      <c r="N216" s="31">
        <v>42429</v>
      </c>
      <c r="O216" s="78">
        <v>90000</v>
      </c>
      <c r="P216" s="30" t="s">
        <v>509</v>
      </c>
      <c r="Q216" s="31">
        <v>42429</v>
      </c>
      <c r="R216" s="31">
        <v>42735</v>
      </c>
      <c r="S216" s="27" t="s">
        <v>447</v>
      </c>
      <c r="T216" s="32"/>
      <c r="U216" s="148"/>
      <c r="V216" s="148"/>
      <c r="W216" s="32" t="s">
        <v>135</v>
      </c>
      <c r="X216" s="33" t="s">
        <v>1261</v>
      </c>
      <c r="Y216" s="26" t="s">
        <v>136</v>
      </c>
      <c r="Z216" s="63">
        <v>42720</v>
      </c>
      <c r="AA216" s="64">
        <v>11964</v>
      </c>
      <c r="AB216" s="33" t="s">
        <v>658</v>
      </c>
      <c r="AC216" s="61">
        <v>42735</v>
      </c>
      <c r="AD216" s="61">
        <v>43100</v>
      </c>
      <c r="AE216" s="60"/>
      <c r="AF216" s="60"/>
      <c r="AG216" s="74">
        <v>90000</v>
      </c>
      <c r="AH216" s="74"/>
      <c r="AI216" s="74"/>
      <c r="AJ216" s="74"/>
      <c r="AK216" s="74"/>
      <c r="AL216" s="38">
        <f>O216-AH216+AG216-AH217+AG217</f>
        <v>225000</v>
      </c>
      <c r="AM216" s="38">
        <f>0+0+0+2830</f>
        <v>2830</v>
      </c>
      <c r="AN216" s="75">
        <f>0</f>
        <v>0</v>
      </c>
      <c r="AO216" s="38">
        <f>AM216+AN216</f>
        <v>2830</v>
      </c>
      <c r="AP216" s="60"/>
      <c r="AQ216" s="60"/>
      <c r="AR216" s="60"/>
      <c r="AS216" s="60"/>
      <c r="AT216" s="60"/>
      <c r="AU216" s="60"/>
      <c r="AV216" s="60"/>
      <c r="AW216" s="60"/>
      <c r="AX216" s="60"/>
      <c r="AY216" s="60"/>
      <c r="AZ216" s="60"/>
      <c r="BA216" s="60"/>
      <c r="BB216" s="22"/>
      <c r="BC216" s="43"/>
      <c r="BD216" s="60"/>
      <c r="BE216" s="60"/>
      <c r="BF216" s="60"/>
      <c r="BG216" s="60"/>
      <c r="BH216" s="60"/>
      <c r="BI216" s="60"/>
      <c r="BJ216" s="60"/>
      <c r="BK216" s="60"/>
      <c r="BL216" s="60"/>
      <c r="BM216" s="60"/>
    </row>
    <row r="217" spans="1:65" ht="45" x14ac:dyDescent="0.25">
      <c r="A217" s="159"/>
      <c r="B217" s="154"/>
      <c r="C217" s="19"/>
      <c r="D217" s="27"/>
      <c r="E217" s="19"/>
      <c r="F217" s="32"/>
      <c r="G217" s="32"/>
      <c r="H217" s="20"/>
      <c r="I217" s="29"/>
      <c r="J217" s="29"/>
      <c r="K217" s="19"/>
      <c r="L217" s="143"/>
      <c r="M217" s="27"/>
      <c r="N217" s="31"/>
      <c r="O217" s="78"/>
      <c r="P217" s="30"/>
      <c r="Q217" s="31"/>
      <c r="R217" s="31"/>
      <c r="S217" s="27"/>
      <c r="T217" s="32"/>
      <c r="U217" s="148"/>
      <c r="V217" s="148"/>
      <c r="W217" s="32"/>
      <c r="X217" s="33" t="s">
        <v>1261</v>
      </c>
      <c r="Y217" s="26" t="s">
        <v>140</v>
      </c>
      <c r="Z217" s="63">
        <v>43087</v>
      </c>
      <c r="AA217" s="64">
        <v>12234</v>
      </c>
      <c r="AB217" s="33" t="s">
        <v>1263</v>
      </c>
      <c r="AC217" s="61">
        <v>43100</v>
      </c>
      <c r="AD217" s="61">
        <v>43281</v>
      </c>
      <c r="AE217" s="60"/>
      <c r="AF217" s="60"/>
      <c r="AG217" s="74">
        <v>45000</v>
      </c>
      <c r="AH217" s="74"/>
      <c r="AI217" s="74"/>
      <c r="AJ217" s="74"/>
      <c r="AK217" s="74"/>
      <c r="AL217" s="38"/>
      <c r="AM217" s="38"/>
      <c r="AN217" s="75"/>
      <c r="AO217" s="38"/>
      <c r="AP217" s="60"/>
      <c r="AQ217" s="60"/>
      <c r="AR217" s="60"/>
      <c r="AS217" s="60"/>
      <c r="AT217" s="60"/>
      <c r="AU217" s="60"/>
      <c r="AV217" s="60"/>
      <c r="AW217" s="60"/>
      <c r="AX217" s="60"/>
      <c r="AY217" s="60"/>
      <c r="AZ217" s="60"/>
      <c r="BA217" s="60"/>
      <c r="BB217" s="22"/>
      <c r="BC217" s="43"/>
      <c r="BD217" s="60"/>
      <c r="BE217" s="60"/>
      <c r="BF217" s="60"/>
      <c r="BG217" s="60"/>
      <c r="BH217" s="60"/>
      <c r="BI217" s="60"/>
      <c r="BJ217" s="60"/>
      <c r="BK217" s="60"/>
      <c r="BL217" s="60"/>
      <c r="BM217" s="60"/>
    </row>
    <row r="218" spans="1:65" ht="60" x14ac:dyDescent="0.25">
      <c r="A218" s="159">
        <v>41</v>
      </c>
      <c r="B218" s="154" t="s">
        <v>493</v>
      </c>
      <c r="C218" s="19" t="s">
        <v>468</v>
      </c>
      <c r="D218" s="27" t="s">
        <v>128</v>
      </c>
      <c r="E218" s="19" t="s">
        <v>124</v>
      </c>
      <c r="F218" s="32" t="s">
        <v>496</v>
      </c>
      <c r="G218" s="32" t="s">
        <v>504</v>
      </c>
      <c r="H218" s="20" t="s">
        <v>466</v>
      </c>
      <c r="I218" s="29">
        <v>42423</v>
      </c>
      <c r="J218" s="29">
        <v>42789</v>
      </c>
      <c r="K218" s="19" t="s">
        <v>490</v>
      </c>
      <c r="L218" s="143" t="s">
        <v>499</v>
      </c>
      <c r="M218" s="27" t="s">
        <v>500</v>
      </c>
      <c r="N218" s="31">
        <v>42429</v>
      </c>
      <c r="O218" s="78">
        <v>48000</v>
      </c>
      <c r="P218" s="30" t="s">
        <v>510</v>
      </c>
      <c r="Q218" s="31">
        <v>42429</v>
      </c>
      <c r="R218" s="31">
        <v>42735</v>
      </c>
      <c r="S218" s="27" t="s">
        <v>447</v>
      </c>
      <c r="T218" s="32"/>
      <c r="U218" s="148"/>
      <c r="V218" s="148"/>
      <c r="W218" s="32" t="s">
        <v>135</v>
      </c>
      <c r="X218" s="33" t="s">
        <v>1261</v>
      </c>
      <c r="Y218" s="26" t="s">
        <v>136</v>
      </c>
      <c r="Z218" s="63">
        <v>42720</v>
      </c>
      <c r="AA218" s="64">
        <v>11964</v>
      </c>
      <c r="AB218" s="33" t="s">
        <v>658</v>
      </c>
      <c r="AC218" s="61">
        <v>42735</v>
      </c>
      <c r="AD218" s="61">
        <v>43100</v>
      </c>
      <c r="AE218" s="60"/>
      <c r="AF218" s="60"/>
      <c r="AG218" s="74">
        <v>48000</v>
      </c>
      <c r="AH218" s="74"/>
      <c r="AI218" s="74"/>
      <c r="AJ218" s="74"/>
      <c r="AK218" s="74"/>
      <c r="AL218" s="38">
        <f>O218-AH218+AG218-AH219+AG219-AH220+AG220</f>
        <v>144000</v>
      </c>
      <c r="AM218" s="38">
        <f>0+0+0</f>
        <v>0</v>
      </c>
      <c r="AN218" s="75">
        <f>10470</f>
        <v>10470</v>
      </c>
      <c r="AO218" s="38">
        <f>AM218+AN218</f>
        <v>10470</v>
      </c>
      <c r="AP218" s="60"/>
      <c r="AQ218" s="60"/>
      <c r="AR218" s="60"/>
      <c r="AS218" s="60"/>
      <c r="AT218" s="60"/>
      <c r="AU218" s="60"/>
      <c r="AV218" s="60"/>
      <c r="AW218" s="60"/>
      <c r="AX218" s="60"/>
      <c r="AY218" s="60"/>
      <c r="AZ218" s="60"/>
      <c r="BA218" s="60"/>
      <c r="BB218" s="22"/>
      <c r="BC218" s="43"/>
      <c r="BD218" s="60"/>
      <c r="BE218" s="60"/>
      <c r="BF218" s="60"/>
      <c r="BG218" s="60"/>
      <c r="BH218" s="60"/>
      <c r="BI218" s="60"/>
      <c r="BJ218" s="60"/>
      <c r="BK218" s="60"/>
      <c r="BL218" s="60"/>
      <c r="BM218" s="60"/>
    </row>
    <row r="219" spans="1:65" ht="45" x14ac:dyDescent="0.25">
      <c r="A219" s="159"/>
      <c r="B219" s="154"/>
      <c r="C219" s="19"/>
      <c r="D219" s="27"/>
      <c r="E219" s="19"/>
      <c r="F219" s="32"/>
      <c r="G219" s="32"/>
      <c r="H219" s="19"/>
      <c r="I219" s="19"/>
      <c r="J219" s="19"/>
      <c r="K219" s="19"/>
      <c r="L219" s="143"/>
      <c r="M219" s="27"/>
      <c r="N219" s="27"/>
      <c r="O219" s="78"/>
      <c r="P219" s="27"/>
      <c r="Q219" s="27"/>
      <c r="R219" s="27"/>
      <c r="S219" s="27"/>
      <c r="T219" s="32"/>
      <c r="U219" s="148"/>
      <c r="V219" s="148"/>
      <c r="W219" s="32"/>
      <c r="X219" s="33" t="s">
        <v>1261</v>
      </c>
      <c r="Y219" s="26" t="s">
        <v>140</v>
      </c>
      <c r="Z219" s="63">
        <v>43082</v>
      </c>
      <c r="AA219" s="64">
        <v>12234</v>
      </c>
      <c r="AB219" s="33" t="s">
        <v>1263</v>
      </c>
      <c r="AC219" s="61">
        <v>43100</v>
      </c>
      <c r="AD219" s="61">
        <v>43281</v>
      </c>
      <c r="AE219" s="60"/>
      <c r="AF219" s="60"/>
      <c r="AG219" s="74">
        <v>24000</v>
      </c>
      <c r="AH219" s="74"/>
      <c r="AI219" s="74"/>
      <c r="AJ219" s="74"/>
      <c r="AK219" s="74"/>
      <c r="AL219" s="38"/>
      <c r="AM219" s="38"/>
      <c r="AN219" s="75"/>
      <c r="AO219" s="38"/>
      <c r="AP219" s="62"/>
      <c r="AQ219" s="60"/>
      <c r="AR219" s="60"/>
      <c r="AS219" s="60"/>
      <c r="AT219" s="60"/>
      <c r="AU219" s="60"/>
      <c r="AV219" s="60"/>
      <c r="AW219" s="60"/>
      <c r="AX219" s="60"/>
      <c r="AY219" s="60"/>
      <c r="AZ219" s="60"/>
      <c r="BA219" s="60"/>
      <c r="BB219" s="22"/>
      <c r="BC219" s="43"/>
      <c r="BD219" s="60"/>
      <c r="BE219" s="60"/>
      <c r="BF219" s="60"/>
      <c r="BG219" s="60"/>
      <c r="BH219" s="60"/>
      <c r="BI219" s="60"/>
      <c r="BJ219" s="60"/>
      <c r="BK219" s="60"/>
      <c r="BL219" s="60"/>
      <c r="BM219" s="60"/>
    </row>
    <row r="220" spans="1:65" ht="45" x14ac:dyDescent="0.25">
      <c r="A220" s="159"/>
      <c r="B220" s="154"/>
      <c r="C220" s="19"/>
      <c r="D220" s="27"/>
      <c r="E220" s="19"/>
      <c r="F220" s="32"/>
      <c r="G220" s="32"/>
      <c r="H220" s="19"/>
      <c r="I220" s="19"/>
      <c r="J220" s="19"/>
      <c r="K220" s="19"/>
      <c r="L220" s="143"/>
      <c r="M220" s="27"/>
      <c r="N220" s="27"/>
      <c r="O220" s="78"/>
      <c r="P220" s="27"/>
      <c r="Q220" s="27"/>
      <c r="R220" s="27"/>
      <c r="S220" s="27"/>
      <c r="T220" s="32"/>
      <c r="U220" s="148"/>
      <c r="V220" s="148"/>
      <c r="W220" s="32"/>
      <c r="X220" s="33" t="s">
        <v>1261</v>
      </c>
      <c r="Y220" s="26" t="s">
        <v>185</v>
      </c>
      <c r="Z220" s="63">
        <v>43272</v>
      </c>
      <c r="AA220" s="64">
        <v>12353</v>
      </c>
      <c r="AB220" s="33" t="s">
        <v>1229</v>
      </c>
      <c r="AC220" s="61">
        <v>43281</v>
      </c>
      <c r="AD220" s="61">
        <v>43465</v>
      </c>
      <c r="AE220" s="60"/>
      <c r="AF220" s="60"/>
      <c r="AG220" s="74">
        <v>24000</v>
      </c>
      <c r="AH220" s="74"/>
      <c r="AI220" s="74"/>
      <c r="AJ220" s="74"/>
      <c r="AK220" s="74"/>
      <c r="AL220" s="38"/>
      <c r="AM220" s="38"/>
      <c r="AN220" s="75"/>
      <c r="AO220" s="38"/>
      <c r="AP220" s="60"/>
      <c r="AQ220" s="60"/>
      <c r="AR220" s="60"/>
      <c r="AS220" s="60"/>
      <c r="AT220" s="60"/>
      <c r="AU220" s="60"/>
      <c r="AV220" s="60"/>
      <c r="AW220" s="60"/>
      <c r="AX220" s="60"/>
      <c r="AY220" s="60"/>
      <c r="AZ220" s="60"/>
      <c r="BA220" s="60"/>
      <c r="BB220" s="22"/>
      <c r="BC220" s="43"/>
      <c r="BD220" s="60"/>
      <c r="BE220" s="60"/>
      <c r="BF220" s="60"/>
      <c r="BG220" s="60"/>
      <c r="BH220" s="60"/>
      <c r="BI220" s="60"/>
      <c r="BJ220" s="60"/>
      <c r="BK220" s="60"/>
      <c r="BL220" s="60"/>
      <c r="BM220" s="60"/>
    </row>
    <row r="221" spans="1:65" ht="90" x14ac:dyDescent="0.25">
      <c r="A221" s="159">
        <v>42</v>
      </c>
      <c r="B221" s="154" t="s">
        <v>433</v>
      </c>
      <c r="C221" s="19" t="s">
        <v>463</v>
      </c>
      <c r="D221" s="27" t="s">
        <v>506</v>
      </c>
      <c r="E221" s="19" t="s">
        <v>124</v>
      </c>
      <c r="F221" s="32" t="s">
        <v>445</v>
      </c>
      <c r="G221" s="32" t="s">
        <v>438</v>
      </c>
      <c r="H221" s="20" t="s">
        <v>373</v>
      </c>
      <c r="I221" s="29">
        <v>42191</v>
      </c>
      <c r="J221" s="29">
        <v>42557</v>
      </c>
      <c r="K221" s="19" t="s">
        <v>503</v>
      </c>
      <c r="L221" s="143" t="s">
        <v>435</v>
      </c>
      <c r="M221" s="27" t="s">
        <v>436</v>
      </c>
      <c r="N221" s="31">
        <v>42444</v>
      </c>
      <c r="O221" s="78">
        <v>147196.20000000001</v>
      </c>
      <c r="P221" s="30" t="s">
        <v>511</v>
      </c>
      <c r="Q221" s="31">
        <v>42444</v>
      </c>
      <c r="R221" s="31">
        <v>42809</v>
      </c>
      <c r="S221" s="27" t="s">
        <v>291</v>
      </c>
      <c r="T221" s="32"/>
      <c r="U221" s="148"/>
      <c r="V221" s="148"/>
      <c r="W221" s="32" t="s">
        <v>135</v>
      </c>
      <c r="X221" s="33" t="s">
        <v>365</v>
      </c>
      <c r="Y221" s="22" t="s">
        <v>136</v>
      </c>
      <c r="Z221" s="35">
        <v>42447</v>
      </c>
      <c r="AA221" s="34">
        <v>11771</v>
      </c>
      <c r="AB221" s="33" t="s">
        <v>508</v>
      </c>
      <c r="AC221" s="60"/>
      <c r="AD221" s="60"/>
      <c r="AE221" s="60"/>
      <c r="AF221" s="60"/>
      <c r="AG221" s="74">
        <f>9380.44*12</f>
        <v>112565.28</v>
      </c>
      <c r="AH221" s="74">
        <f>12266.35*12</f>
        <v>147196.20000000001</v>
      </c>
      <c r="AI221" s="74"/>
      <c r="AJ221" s="74"/>
      <c r="AK221" s="74"/>
      <c r="AL221" s="38">
        <f>O221-AH221+AG221-AH222+AG222-AH223+AG223-AH224+AG224-AH225+AG225</f>
        <v>352863.66000000003</v>
      </c>
      <c r="AM221" s="38">
        <f>0+0+0+8989.57+7035.33+7035.33+7035.33+9380.44+9380.44+9380.44+28141.32+9380.44+9380.44+9380.44+9380.44+20370+19035.16+10989.56+10989.56+21979.12</f>
        <v>207263.36000000002</v>
      </c>
      <c r="AN221" s="38">
        <f>10989.56+10989.56+21979.12+10989.56+10989.56+10989.56+10989.56+10989.56+10989.56</f>
        <v>109895.59999999999</v>
      </c>
      <c r="AO221" s="38">
        <f>AM221+AN221</f>
        <v>317158.96000000002</v>
      </c>
      <c r="AP221" s="56" t="s">
        <v>373</v>
      </c>
      <c r="AQ221" s="61">
        <v>42191</v>
      </c>
      <c r="AR221" s="61">
        <v>42557</v>
      </c>
      <c r="AS221" s="73">
        <v>11610</v>
      </c>
      <c r="AT221" s="43" t="s">
        <v>437</v>
      </c>
      <c r="AU221" s="73">
        <v>11610</v>
      </c>
      <c r="AV221" s="60"/>
      <c r="AW221" s="14"/>
      <c r="AX221" s="14"/>
      <c r="AY221" s="14"/>
      <c r="AZ221" s="14"/>
      <c r="BA221" s="14"/>
      <c r="BB221" s="19"/>
      <c r="BC221" s="27"/>
      <c r="BD221" s="14"/>
      <c r="BE221" s="14"/>
      <c r="BF221" s="14"/>
      <c r="BG221" s="14"/>
      <c r="BH221" s="14"/>
      <c r="BI221" s="14"/>
      <c r="BJ221" s="14"/>
      <c r="BK221" s="14"/>
      <c r="BL221" s="14"/>
      <c r="BM221" s="14"/>
    </row>
    <row r="222" spans="1:65" ht="60" x14ac:dyDescent="0.25">
      <c r="A222" s="159"/>
      <c r="B222" s="154"/>
      <c r="C222" s="19"/>
      <c r="D222" s="27"/>
      <c r="E222" s="19"/>
      <c r="F222" s="32"/>
      <c r="G222" s="32"/>
      <c r="H222" s="20"/>
      <c r="I222" s="29"/>
      <c r="J222" s="29"/>
      <c r="K222" s="19"/>
      <c r="L222" s="143"/>
      <c r="M222" s="27"/>
      <c r="N222" s="31"/>
      <c r="O222" s="78"/>
      <c r="P222" s="30"/>
      <c r="Q222" s="31"/>
      <c r="R222" s="31"/>
      <c r="S222" s="27"/>
      <c r="T222" s="32"/>
      <c r="U222" s="148"/>
      <c r="V222" s="148"/>
      <c r="W222" s="32"/>
      <c r="X222" s="33" t="s">
        <v>1261</v>
      </c>
      <c r="Y222" s="22" t="s">
        <v>140</v>
      </c>
      <c r="Z222" s="35">
        <v>42809</v>
      </c>
      <c r="AA222" s="34">
        <v>12025</v>
      </c>
      <c r="AB222" s="33" t="s">
        <v>863</v>
      </c>
      <c r="AC222" s="65">
        <v>42809</v>
      </c>
      <c r="AD222" s="65">
        <v>43174</v>
      </c>
      <c r="AE222" s="60"/>
      <c r="AF222" s="60"/>
      <c r="AG222" s="74">
        <v>112565.28</v>
      </c>
      <c r="AH222" s="74"/>
      <c r="AI222" s="74"/>
      <c r="AJ222" s="74"/>
      <c r="AK222" s="74"/>
      <c r="AL222" s="38"/>
      <c r="AM222" s="38"/>
      <c r="AN222" s="38"/>
      <c r="AO222" s="38"/>
      <c r="AP222" s="56"/>
      <c r="AQ222" s="61"/>
      <c r="AR222" s="61"/>
      <c r="AS222" s="73"/>
      <c r="AT222" s="43"/>
      <c r="AU222" s="73"/>
      <c r="AV222" s="60"/>
      <c r="AW222" s="14"/>
      <c r="AX222" s="14"/>
      <c r="AY222" s="14"/>
      <c r="AZ222" s="14"/>
      <c r="BA222" s="14"/>
      <c r="BB222" s="19"/>
      <c r="BC222" s="27"/>
      <c r="BD222" s="14"/>
      <c r="BE222" s="14"/>
      <c r="BF222" s="14"/>
      <c r="BG222" s="14"/>
      <c r="BH222" s="14"/>
      <c r="BI222" s="14"/>
      <c r="BJ222" s="14"/>
      <c r="BK222" s="14"/>
      <c r="BL222" s="14"/>
      <c r="BM222" s="14"/>
    </row>
    <row r="223" spans="1:65" ht="180" x14ac:dyDescent="0.25">
      <c r="A223" s="159"/>
      <c r="B223" s="154"/>
      <c r="C223" s="19"/>
      <c r="D223" s="27"/>
      <c r="E223" s="19"/>
      <c r="F223" s="32"/>
      <c r="G223" s="32"/>
      <c r="H223" s="19"/>
      <c r="I223" s="19"/>
      <c r="J223" s="19"/>
      <c r="K223" s="19"/>
      <c r="L223" s="143"/>
      <c r="M223" s="27"/>
      <c r="N223" s="27"/>
      <c r="O223" s="78"/>
      <c r="P223" s="27"/>
      <c r="Q223" s="27"/>
      <c r="R223" s="27"/>
      <c r="S223" s="27"/>
      <c r="T223" s="32"/>
      <c r="U223" s="148"/>
      <c r="V223" s="148"/>
      <c r="W223" s="32"/>
      <c r="X223" s="33" t="s">
        <v>365</v>
      </c>
      <c r="Y223" s="22" t="s">
        <v>185</v>
      </c>
      <c r="Z223" s="35">
        <v>42891</v>
      </c>
      <c r="AA223" s="34">
        <v>12075</v>
      </c>
      <c r="AB223" s="33" t="s">
        <v>964</v>
      </c>
      <c r="AC223" s="65"/>
      <c r="AD223" s="65"/>
      <c r="AE223" s="60"/>
      <c r="AF223" s="60"/>
      <c r="AG223" s="74">
        <v>23332.28</v>
      </c>
      <c r="AH223" s="74"/>
      <c r="AI223" s="74"/>
      <c r="AJ223" s="74"/>
      <c r="AK223" s="74"/>
      <c r="AL223" s="38"/>
      <c r="AM223" s="38"/>
      <c r="AN223" s="38"/>
      <c r="AO223" s="38"/>
      <c r="AP223" s="53"/>
      <c r="AQ223" s="61"/>
      <c r="AR223" s="61"/>
      <c r="AS223" s="73"/>
      <c r="AT223" s="43"/>
      <c r="AU223" s="73"/>
      <c r="AV223" s="60"/>
      <c r="AW223" s="14"/>
      <c r="AX223" s="14"/>
      <c r="AY223" s="14"/>
      <c r="AZ223" s="14"/>
      <c r="BA223" s="14"/>
      <c r="BB223" s="19"/>
      <c r="BC223" s="27"/>
      <c r="BD223" s="14"/>
      <c r="BE223" s="14"/>
      <c r="BF223" s="14"/>
      <c r="BG223" s="14"/>
      <c r="BH223" s="14"/>
      <c r="BI223" s="14"/>
      <c r="BJ223" s="14"/>
      <c r="BK223" s="14"/>
      <c r="BL223" s="14"/>
      <c r="BM223" s="14"/>
    </row>
    <row r="224" spans="1:65" ht="45" x14ac:dyDescent="0.25">
      <c r="A224" s="159"/>
      <c r="B224" s="154"/>
      <c r="C224" s="19"/>
      <c r="D224" s="27"/>
      <c r="E224" s="19"/>
      <c r="F224" s="32"/>
      <c r="G224" s="32"/>
      <c r="H224" s="19"/>
      <c r="I224" s="19"/>
      <c r="J224" s="19"/>
      <c r="K224" s="19"/>
      <c r="L224" s="143"/>
      <c r="M224" s="27"/>
      <c r="N224" s="27"/>
      <c r="O224" s="78"/>
      <c r="P224" s="27"/>
      <c r="Q224" s="27"/>
      <c r="R224" s="27"/>
      <c r="S224" s="27"/>
      <c r="T224" s="32"/>
      <c r="U224" s="148"/>
      <c r="V224" s="148"/>
      <c r="W224" s="32"/>
      <c r="X224" s="33" t="s">
        <v>1261</v>
      </c>
      <c r="Y224" s="22" t="s">
        <v>186</v>
      </c>
      <c r="Z224" s="35">
        <v>43174</v>
      </c>
      <c r="AA224" s="34">
        <v>12264</v>
      </c>
      <c r="AB224" s="33" t="s">
        <v>1405</v>
      </c>
      <c r="AC224" s="65">
        <v>43174</v>
      </c>
      <c r="AD224" s="65">
        <v>43358</v>
      </c>
      <c r="AE224" s="60"/>
      <c r="AF224" s="60"/>
      <c r="AG224" s="74">
        <v>65937.36</v>
      </c>
      <c r="AH224" s="74"/>
      <c r="AI224" s="74"/>
      <c r="AJ224" s="74"/>
      <c r="AK224" s="74"/>
      <c r="AL224" s="38"/>
      <c r="AM224" s="38"/>
      <c r="AN224" s="38"/>
      <c r="AO224" s="38"/>
      <c r="AP224" s="56"/>
      <c r="AQ224" s="61"/>
      <c r="AR224" s="61"/>
      <c r="AS224" s="73"/>
      <c r="AT224" s="43"/>
      <c r="AU224" s="73"/>
      <c r="AV224" s="60"/>
      <c r="AW224" s="14"/>
      <c r="AX224" s="14"/>
      <c r="AY224" s="14"/>
      <c r="AZ224" s="14"/>
      <c r="BA224" s="14"/>
      <c r="BB224" s="19"/>
      <c r="BC224" s="27"/>
      <c r="BD224" s="14"/>
      <c r="BE224" s="14"/>
      <c r="BF224" s="14"/>
      <c r="BG224" s="14"/>
      <c r="BH224" s="14"/>
      <c r="BI224" s="14"/>
      <c r="BJ224" s="14"/>
      <c r="BK224" s="14"/>
      <c r="BL224" s="14"/>
      <c r="BM224" s="14"/>
    </row>
    <row r="225" spans="1:65" ht="60" x14ac:dyDescent="0.25">
      <c r="A225" s="159"/>
      <c r="B225" s="154"/>
      <c r="C225" s="19"/>
      <c r="D225" s="27"/>
      <c r="E225" s="19"/>
      <c r="F225" s="32"/>
      <c r="G225" s="32"/>
      <c r="H225" s="19"/>
      <c r="I225" s="19"/>
      <c r="J225" s="19"/>
      <c r="K225" s="19"/>
      <c r="L225" s="143"/>
      <c r="M225" s="27"/>
      <c r="N225" s="27"/>
      <c r="O225" s="78"/>
      <c r="P225" s="27"/>
      <c r="Q225" s="27"/>
      <c r="R225" s="27"/>
      <c r="S225" s="27"/>
      <c r="T225" s="32"/>
      <c r="U225" s="148"/>
      <c r="V225" s="148"/>
      <c r="W225" s="32"/>
      <c r="X225" s="33" t="s">
        <v>1261</v>
      </c>
      <c r="Y225" s="22" t="s">
        <v>187</v>
      </c>
      <c r="Z225" s="35">
        <v>43357</v>
      </c>
      <c r="AA225" s="34">
        <v>12408</v>
      </c>
      <c r="AB225" s="33" t="s">
        <v>1854</v>
      </c>
      <c r="AC225" s="65">
        <v>43358</v>
      </c>
      <c r="AD225" s="65">
        <v>43465</v>
      </c>
      <c r="AE225" s="60"/>
      <c r="AF225" s="60"/>
      <c r="AG225" s="74">
        <v>38463.46</v>
      </c>
      <c r="AH225" s="74"/>
      <c r="AI225" s="74"/>
      <c r="AJ225" s="74"/>
      <c r="AK225" s="74"/>
      <c r="AL225" s="38"/>
      <c r="AM225" s="38"/>
      <c r="AN225" s="38"/>
      <c r="AO225" s="38"/>
      <c r="AP225" s="56"/>
      <c r="AQ225" s="61"/>
      <c r="AR225" s="61"/>
      <c r="AS225" s="73"/>
      <c r="AT225" s="43"/>
      <c r="AU225" s="73"/>
      <c r="AV225" s="60"/>
      <c r="AW225" s="26"/>
      <c r="AX225" s="26"/>
      <c r="AY225" s="26"/>
      <c r="AZ225" s="26"/>
      <c r="BA225" s="26"/>
      <c r="BB225" s="22"/>
      <c r="BC225" s="43"/>
      <c r="BD225" s="26"/>
      <c r="BE225" s="26"/>
      <c r="BF225" s="26"/>
      <c r="BG225" s="26"/>
      <c r="BH225" s="26"/>
      <c r="BI225" s="26"/>
      <c r="BJ225" s="26"/>
      <c r="BK225" s="26"/>
      <c r="BL225" s="26"/>
      <c r="BM225" s="26"/>
    </row>
    <row r="226" spans="1:65" ht="60" x14ac:dyDescent="0.25">
      <c r="A226" s="160">
        <v>43</v>
      </c>
      <c r="B226" s="154" t="s">
        <v>578</v>
      </c>
      <c r="C226" s="19" t="s">
        <v>470</v>
      </c>
      <c r="D226" s="27" t="s">
        <v>207</v>
      </c>
      <c r="E226" s="19" t="s">
        <v>124</v>
      </c>
      <c r="F226" s="32" t="s">
        <v>581</v>
      </c>
      <c r="G226" s="32" t="s">
        <v>587</v>
      </c>
      <c r="H226" s="20" t="s">
        <v>469</v>
      </c>
      <c r="I226" s="29">
        <v>42467</v>
      </c>
      <c r="J226" s="29">
        <v>42832</v>
      </c>
      <c r="K226" s="19" t="s">
        <v>568</v>
      </c>
      <c r="L226" s="143" t="s">
        <v>579</v>
      </c>
      <c r="M226" s="27" t="s">
        <v>580</v>
      </c>
      <c r="N226" s="31">
        <v>42488</v>
      </c>
      <c r="O226" s="78">
        <v>107976</v>
      </c>
      <c r="P226" s="30">
        <v>11794</v>
      </c>
      <c r="Q226" s="31">
        <v>42488</v>
      </c>
      <c r="R226" s="31">
        <v>42853</v>
      </c>
      <c r="S226" s="27" t="s">
        <v>243</v>
      </c>
      <c r="T226" s="32"/>
      <c r="U226" s="148"/>
      <c r="V226" s="148"/>
      <c r="W226" s="32" t="s">
        <v>135</v>
      </c>
      <c r="X226" s="33" t="s">
        <v>1261</v>
      </c>
      <c r="Y226" s="26" t="s">
        <v>136</v>
      </c>
      <c r="Z226" s="63">
        <v>42850</v>
      </c>
      <c r="AA226" s="64">
        <v>12039</v>
      </c>
      <c r="AB226" s="33" t="s">
        <v>882</v>
      </c>
      <c r="AC226" s="65">
        <v>42853</v>
      </c>
      <c r="AD226" s="65">
        <v>43218</v>
      </c>
      <c r="AE226" s="60"/>
      <c r="AF226" s="60"/>
      <c r="AG226" s="74">
        <v>107976</v>
      </c>
      <c r="AH226" s="74"/>
      <c r="AI226" s="74"/>
      <c r="AJ226" s="74"/>
      <c r="AK226" s="74"/>
      <c r="AL226" s="38">
        <f>O226-AH226+AG226-AH227+AG227-AH228+AG228</f>
        <v>288535.86</v>
      </c>
      <c r="AM226" s="38">
        <f>0+0+0+8127.22+8998+8998+8998+8998+8998+17996+8998+8998+8998+8998+8998+8998+17996+8998+8998+8998</f>
        <v>170091.22</v>
      </c>
      <c r="AN226" s="38">
        <f>8998+8998+8998+8998+8998+8998+8998+8998+8998+8998</f>
        <v>89980</v>
      </c>
      <c r="AO226" s="38">
        <f>AM226+AN226</f>
        <v>260071.22</v>
      </c>
      <c r="AP226" s="60"/>
      <c r="AQ226" s="60"/>
      <c r="AR226" s="60"/>
      <c r="AS226" s="60"/>
      <c r="AT226" s="60"/>
      <c r="AU226" s="60"/>
      <c r="AV226" s="26"/>
      <c r="AW226" s="60"/>
      <c r="AX226" s="60"/>
      <c r="AY226" s="60"/>
      <c r="AZ226" s="60"/>
      <c r="BA226" s="60"/>
      <c r="BB226" s="22"/>
      <c r="BC226" s="43"/>
      <c r="BD226" s="60"/>
      <c r="BE226" s="60"/>
      <c r="BF226" s="60"/>
      <c r="BG226" s="60"/>
      <c r="BH226" s="60"/>
      <c r="BI226" s="60"/>
      <c r="BJ226" s="60"/>
      <c r="BK226" s="60"/>
      <c r="BL226" s="60"/>
      <c r="BM226" s="60"/>
    </row>
    <row r="227" spans="1:65" ht="45" x14ac:dyDescent="0.25">
      <c r="A227" s="160"/>
      <c r="B227" s="154"/>
      <c r="C227" s="19"/>
      <c r="D227" s="27"/>
      <c r="E227" s="19"/>
      <c r="F227" s="32"/>
      <c r="G227" s="32"/>
      <c r="H227" s="19"/>
      <c r="I227" s="19"/>
      <c r="J227" s="19"/>
      <c r="K227" s="19"/>
      <c r="L227" s="143"/>
      <c r="M227" s="27"/>
      <c r="N227" s="27"/>
      <c r="O227" s="78"/>
      <c r="P227" s="27"/>
      <c r="Q227" s="27"/>
      <c r="R227" s="27"/>
      <c r="S227" s="27"/>
      <c r="T227" s="32"/>
      <c r="U227" s="148"/>
      <c r="V227" s="148"/>
      <c r="W227" s="32"/>
      <c r="X227" s="33" t="s">
        <v>1261</v>
      </c>
      <c r="Y227" s="26" t="s">
        <v>140</v>
      </c>
      <c r="Z227" s="63">
        <v>43217</v>
      </c>
      <c r="AA227" s="64">
        <v>12301</v>
      </c>
      <c r="AB227" s="33" t="s">
        <v>1449</v>
      </c>
      <c r="AC227" s="65">
        <v>43218</v>
      </c>
      <c r="AD227" s="65">
        <v>43401</v>
      </c>
      <c r="AE227" s="60"/>
      <c r="AF227" s="60"/>
      <c r="AG227" s="74">
        <v>53988</v>
      </c>
      <c r="AH227" s="74"/>
      <c r="AI227" s="74"/>
      <c r="AJ227" s="74"/>
      <c r="AK227" s="74"/>
      <c r="AL227" s="38"/>
      <c r="AM227" s="38"/>
      <c r="AN227" s="38"/>
      <c r="AO227" s="38"/>
      <c r="AP227" s="62"/>
      <c r="AQ227" s="60"/>
      <c r="AR227" s="60"/>
      <c r="AS227" s="60"/>
      <c r="AT227" s="60"/>
      <c r="AU227" s="60"/>
      <c r="AV227" s="26"/>
      <c r="AW227" s="60"/>
      <c r="AX227" s="60"/>
      <c r="AY227" s="60"/>
      <c r="AZ227" s="60"/>
      <c r="BA227" s="60"/>
      <c r="BB227" s="22"/>
      <c r="BC227" s="43"/>
      <c r="BD227" s="60"/>
      <c r="BE227" s="60"/>
      <c r="BF227" s="60"/>
      <c r="BG227" s="60"/>
      <c r="BH227" s="60"/>
      <c r="BI227" s="60"/>
      <c r="BJ227" s="60"/>
      <c r="BK227" s="60"/>
      <c r="BL227" s="60"/>
      <c r="BM227" s="60"/>
    </row>
    <row r="228" spans="1:65" ht="60" x14ac:dyDescent="0.25">
      <c r="A228" s="160"/>
      <c r="B228" s="154"/>
      <c r="C228" s="19"/>
      <c r="D228" s="27"/>
      <c r="E228" s="19"/>
      <c r="F228" s="32"/>
      <c r="G228" s="32"/>
      <c r="H228" s="19"/>
      <c r="I228" s="19"/>
      <c r="J228" s="19"/>
      <c r="K228" s="19"/>
      <c r="L228" s="143"/>
      <c r="M228" s="27"/>
      <c r="N228" s="27"/>
      <c r="O228" s="78"/>
      <c r="P228" s="27"/>
      <c r="Q228" s="27"/>
      <c r="R228" s="27"/>
      <c r="S228" s="27"/>
      <c r="T228" s="32"/>
      <c r="U228" s="148"/>
      <c r="V228" s="148"/>
      <c r="W228" s="32"/>
      <c r="X228" s="33" t="s">
        <v>1261</v>
      </c>
      <c r="Y228" s="26" t="s">
        <v>185</v>
      </c>
      <c r="Z228" s="63">
        <v>43391</v>
      </c>
      <c r="AA228" s="64">
        <v>12415</v>
      </c>
      <c r="AB228" s="33" t="s">
        <v>1868</v>
      </c>
      <c r="AC228" s="65">
        <v>43401</v>
      </c>
      <c r="AD228" s="65">
        <v>43465</v>
      </c>
      <c r="AE228" s="60"/>
      <c r="AF228" s="60"/>
      <c r="AG228" s="74">
        <v>18595.86</v>
      </c>
      <c r="AH228" s="74"/>
      <c r="AI228" s="74"/>
      <c r="AJ228" s="74"/>
      <c r="AK228" s="74"/>
      <c r="AL228" s="38"/>
      <c r="AM228" s="38"/>
      <c r="AN228" s="38"/>
      <c r="AO228" s="38"/>
      <c r="AP228" s="62"/>
      <c r="AQ228" s="60"/>
      <c r="AR228" s="60"/>
      <c r="AS228" s="60"/>
      <c r="AT228" s="60"/>
      <c r="AU228" s="60"/>
      <c r="AV228" s="26"/>
      <c r="AW228" s="60"/>
      <c r="AX228" s="60"/>
      <c r="AY228" s="60"/>
      <c r="AZ228" s="60"/>
      <c r="BA228" s="60"/>
      <c r="BB228" s="22"/>
      <c r="BC228" s="43"/>
      <c r="BD228" s="60"/>
      <c r="BE228" s="60"/>
      <c r="BF228" s="60"/>
      <c r="BG228" s="60"/>
      <c r="BH228" s="60"/>
      <c r="BI228" s="60"/>
      <c r="BJ228" s="60"/>
      <c r="BK228" s="60"/>
      <c r="BL228" s="60"/>
      <c r="BM228" s="60"/>
    </row>
    <row r="229" spans="1:65" ht="60" x14ac:dyDescent="0.25">
      <c r="A229" s="160">
        <v>44</v>
      </c>
      <c r="B229" s="154" t="s">
        <v>582</v>
      </c>
      <c r="C229" s="19" t="s">
        <v>464</v>
      </c>
      <c r="D229" s="27" t="s">
        <v>585</v>
      </c>
      <c r="E229" s="19" t="s">
        <v>124</v>
      </c>
      <c r="F229" s="32" t="s">
        <v>586</v>
      </c>
      <c r="G229" s="32" t="s">
        <v>588</v>
      </c>
      <c r="H229" s="20"/>
      <c r="I229" s="20"/>
      <c r="J229" s="20"/>
      <c r="K229" s="19" t="s">
        <v>569</v>
      </c>
      <c r="L229" s="143" t="s">
        <v>583</v>
      </c>
      <c r="M229" s="27" t="s">
        <v>584</v>
      </c>
      <c r="N229" s="31">
        <v>42489</v>
      </c>
      <c r="O229" s="78">
        <v>171879.95</v>
      </c>
      <c r="P229" s="30">
        <v>11796</v>
      </c>
      <c r="Q229" s="31">
        <v>42489</v>
      </c>
      <c r="R229" s="31">
        <v>42854</v>
      </c>
      <c r="S229" s="27" t="s">
        <v>243</v>
      </c>
      <c r="T229" s="32"/>
      <c r="U229" s="148"/>
      <c r="V229" s="148"/>
      <c r="W229" s="32" t="s">
        <v>135</v>
      </c>
      <c r="X229" s="33" t="s">
        <v>1261</v>
      </c>
      <c r="Y229" s="26" t="s">
        <v>136</v>
      </c>
      <c r="Z229" s="63">
        <v>42850</v>
      </c>
      <c r="AA229" s="64">
        <v>12039</v>
      </c>
      <c r="AB229" s="33" t="s">
        <v>883</v>
      </c>
      <c r="AC229" s="65">
        <v>42854</v>
      </c>
      <c r="AD229" s="65">
        <v>43219</v>
      </c>
      <c r="AE229" s="60"/>
      <c r="AF229" s="60"/>
      <c r="AG229" s="74">
        <v>171879.95</v>
      </c>
      <c r="AH229" s="74"/>
      <c r="AI229" s="74"/>
      <c r="AJ229" s="74"/>
      <c r="AK229" s="74"/>
      <c r="AL229" s="38">
        <f>O229-AH229+AG229-AH230+AG230-AH231+AG231-AH232+AG232</f>
        <v>475057.06</v>
      </c>
      <c r="AM229" s="38">
        <f>0+0+0+11936.1+7161.66+7161.66+7161.66+7161.66+7161.66+14323.32+7161.66+7161.66+14323.32+7161.66+7161.66+7161.66+7161.66+7161.66</f>
        <v>126522.66000000003</v>
      </c>
      <c r="AN229" s="38">
        <f>7161.66+14323.32+7161.66+7161.66+7161.66+7161.66+7161.66+7161.66+7161.66</f>
        <v>71616.60000000002</v>
      </c>
      <c r="AO229" s="38">
        <f>AM229+AN229</f>
        <v>198139.26000000007</v>
      </c>
      <c r="AP229" s="69"/>
      <c r="AQ229" s="14"/>
      <c r="AR229" s="14"/>
      <c r="AS229" s="14"/>
      <c r="AT229" s="14"/>
      <c r="AU229" s="14"/>
      <c r="AV229" s="14"/>
      <c r="AW229" s="14"/>
      <c r="AX229" s="14"/>
      <c r="AY229" s="14"/>
      <c r="AZ229" s="14"/>
      <c r="BA229" s="14"/>
      <c r="BB229" s="19"/>
      <c r="BC229" s="27"/>
      <c r="BD229" s="14"/>
      <c r="BE229" s="14"/>
      <c r="BF229" s="14"/>
      <c r="BG229" s="14"/>
      <c r="BH229" s="14"/>
      <c r="BI229" s="14"/>
      <c r="BJ229" s="14"/>
      <c r="BK229" s="14"/>
      <c r="BL229" s="14"/>
      <c r="BM229" s="14"/>
    </row>
    <row r="230" spans="1:65" ht="45" x14ac:dyDescent="0.25">
      <c r="A230" s="160"/>
      <c r="B230" s="154"/>
      <c r="C230" s="19"/>
      <c r="D230" s="27"/>
      <c r="E230" s="19"/>
      <c r="F230" s="32"/>
      <c r="G230" s="32"/>
      <c r="H230" s="20"/>
      <c r="I230" s="20"/>
      <c r="J230" s="20"/>
      <c r="K230" s="19"/>
      <c r="L230" s="143"/>
      <c r="M230" s="27"/>
      <c r="N230" s="31"/>
      <c r="O230" s="78"/>
      <c r="P230" s="30"/>
      <c r="Q230" s="31"/>
      <c r="R230" s="31"/>
      <c r="S230" s="27"/>
      <c r="T230" s="32"/>
      <c r="U230" s="148"/>
      <c r="V230" s="148"/>
      <c r="W230" s="32"/>
      <c r="X230" s="33" t="s">
        <v>1261</v>
      </c>
      <c r="Y230" s="26" t="s">
        <v>140</v>
      </c>
      <c r="Z230" s="63">
        <v>43202</v>
      </c>
      <c r="AA230" s="64">
        <v>12284</v>
      </c>
      <c r="AB230" s="33" t="s">
        <v>1449</v>
      </c>
      <c r="AC230" s="65">
        <v>43219</v>
      </c>
      <c r="AD230" s="65">
        <v>43402</v>
      </c>
      <c r="AE230" s="60"/>
      <c r="AF230" s="60"/>
      <c r="AG230" s="74">
        <v>85939.98</v>
      </c>
      <c r="AH230" s="74"/>
      <c r="AI230" s="74"/>
      <c r="AJ230" s="74"/>
      <c r="AK230" s="74"/>
      <c r="AL230" s="38"/>
      <c r="AM230" s="38"/>
      <c r="AN230" s="38"/>
      <c r="AO230" s="38"/>
      <c r="AP230" s="14"/>
      <c r="AQ230" s="14"/>
      <c r="AR230" s="14"/>
      <c r="AS230" s="14"/>
      <c r="AT230" s="14"/>
      <c r="AU230" s="14"/>
      <c r="AV230" s="14"/>
      <c r="AW230" s="14"/>
      <c r="AX230" s="14"/>
      <c r="AY230" s="14"/>
      <c r="AZ230" s="14"/>
      <c r="BA230" s="14"/>
      <c r="BB230" s="19"/>
      <c r="BC230" s="27"/>
      <c r="BD230" s="14"/>
      <c r="BE230" s="14"/>
      <c r="BF230" s="14"/>
      <c r="BG230" s="14"/>
      <c r="BH230" s="14"/>
      <c r="BI230" s="14"/>
      <c r="BJ230" s="14"/>
      <c r="BK230" s="14"/>
      <c r="BL230" s="14"/>
      <c r="BM230" s="14"/>
    </row>
    <row r="231" spans="1:65" ht="120" x14ac:dyDescent="0.25">
      <c r="A231" s="160"/>
      <c r="B231" s="154"/>
      <c r="C231" s="19"/>
      <c r="D231" s="27"/>
      <c r="E231" s="19"/>
      <c r="F231" s="32"/>
      <c r="G231" s="32"/>
      <c r="H231" s="19"/>
      <c r="I231" s="19"/>
      <c r="J231" s="19"/>
      <c r="K231" s="19"/>
      <c r="L231" s="143"/>
      <c r="M231" s="27"/>
      <c r="N231" s="27"/>
      <c r="O231" s="78"/>
      <c r="P231" s="27"/>
      <c r="Q231" s="27"/>
      <c r="R231" s="27"/>
      <c r="S231" s="27"/>
      <c r="T231" s="32"/>
      <c r="U231" s="148"/>
      <c r="V231" s="148"/>
      <c r="W231" s="32"/>
      <c r="X231" s="33" t="s">
        <v>365</v>
      </c>
      <c r="Y231" s="26" t="s">
        <v>185</v>
      </c>
      <c r="Z231" s="63">
        <v>43249</v>
      </c>
      <c r="AA231" s="64">
        <v>12319</v>
      </c>
      <c r="AB231" s="33" t="s">
        <v>1593</v>
      </c>
      <c r="AC231" s="65"/>
      <c r="AD231" s="65"/>
      <c r="AE231" s="60"/>
      <c r="AF231" s="60"/>
      <c r="AG231" s="74">
        <v>11936.1</v>
      </c>
      <c r="AH231" s="74"/>
      <c r="AI231" s="74"/>
      <c r="AJ231" s="74"/>
      <c r="AK231" s="74"/>
      <c r="AL231" s="38"/>
      <c r="AM231" s="38"/>
      <c r="AN231" s="38"/>
      <c r="AO231" s="38"/>
      <c r="AP231" s="14"/>
      <c r="AQ231" s="14"/>
      <c r="AR231" s="14"/>
      <c r="AS231" s="14"/>
      <c r="AT231" s="14"/>
      <c r="AU231" s="14"/>
      <c r="AV231" s="14"/>
      <c r="AW231" s="14"/>
      <c r="AX231" s="14"/>
      <c r="AY231" s="14"/>
      <c r="AZ231" s="14"/>
      <c r="BA231" s="14"/>
      <c r="BB231" s="19"/>
      <c r="BC231" s="27"/>
      <c r="BD231" s="14"/>
      <c r="BE231" s="14"/>
      <c r="BF231" s="14"/>
      <c r="BG231" s="14"/>
      <c r="BH231" s="14"/>
      <c r="BI231" s="14"/>
      <c r="BJ231" s="14"/>
      <c r="BK231" s="14"/>
      <c r="BL231" s="14"/>
      <c r="BM231" s="14"/>
    </row>
    <row r="232" spans="1:65" ht="60" x14ac:dyDescent="0.25">
      <c r="A232" s="160"/>
      <c r="B232" s="154"/>
      <c r="C232" s="19"/>
      <c r="D232" s="27"/>
      <c r="E232" s="19"/>
      <c r="F232" s="32"/>
      <c r="G232" s="32"/>
      <c r="H232" s="19"/>
      <c r="I232" s="19"/>
      <c r="J232" s="19"/>
      <c r="K232" s="19"/>
      <c r="L232" s="143"/>
      <c r="M232" s="27"/>
      <c r="N232" s="27"/>
      <c r="O232" s="78"/>
      <c r="P232" s="27"/>
      <c r="Q232" s="27"/>
      <c r="R232" s="27"/>
      <c r="S232" s="27"/>
      <c r="T232" s="32"/>
      <c r="U232" s="148"/>
      <c r="V232" s="148"/>
      <c r="W232" s="32"/>
      <c r="X232" s="33" t="s">
        <v>1261</v>
      </c>
      <c r="Y232" s="26" t="s">
        <v>186</v>
      </c>
      <c r="Z232" s="63">
        <v>43402</v>
      </c>
      <c r="AA232" s="64">
        <v>12424</v>
      </c>
      <c r="AB232" s="33" t="s">
        <v>1892</v>
      </c>
      <c r="AC232" s="65">
        <v>43402</v>
      </c>
      <c r="AD232" s="65">
        <v>43465</v>
      </c>
      <c r="AE232" s="60"/>
      <c r="AF232" s="60"/>
      <c r="AG232" s="74">
        <v>33421.08</v>
      </c>
      <c r="AH232" s="74"/>
      <c r="AI232" s="74"/>
      <c r="AJ232" s="74"/>
      <c r="AK232" s="74"/>
      <c r="AL232" s="38"/>
      <c r="AM232" s="38"/>
      <c r="AN232" s="38"/>
      <c r="AO232" s="38"/>
      <c r="AP232" s="26"/>
      <c r="AQ232" s="26"/>
      <c r="AR232" s="26"/>
      <c r="AS232" s="26"/>
      <c r="AT232" s="26"/>
      <c r="AU232" s="26"/>
      <c r="AV232" s="26"/>
      <c r="AW232" s="26"/>
      <c r="AX232" s="26"/>
      <c r="AY232" s="26"/>
      <c r="AZ232" s="26"/>
      <c r="BA232" s="26"/>
      <c r="BB232" s="22"/>
      <c r="BC232" s="43"/>
      <c r="BD232" s="26"/>
      <c r="BE232" s="26"/>
      <c r="BF232" s="26"/>
      <c r="BG232" s="26"/>
      <c r="BH232" s="26"/>
      <c r="BI232" s="26"/>
      <c r="BJ232" s="26"/>
      <c r="BK232" s="26"/>
      <c r="BL232" s="26"/>
      <c r="BM232" s="26"/>
    </row>
    <row r="233" spans="1:65" ht="90" x14ac:dyDescent="0.25">
      <c r="A233" s="160">
        <v>45</v>
      </c>
      <c r="B233" s="154" t="s">
        <v>578</v>
      </c>
      <c r="C233" s="19" t="s">
        <v>470</v>
      </c>
      <c r="D233" s="27" t="s">
        <v>207</v>
      </c>
      <c r="E233" s="19" t="s">
        <v>124</v>
      </c>
      <c r="F233" s="32" t="s">
        <v>581</v>
      </c>
      <c r="G233" s="32" t="s">
        <v>587</v>
      </c>
      <c r="H233" s="20" t="s">
        <v>469</v>
      </c>
      <c r="I233" s="29">
        <v>42467</v>
      </c>
      <c r="J233" s="29">
        <v>42832</v>
      </c>
      <c r="K233" s="19" t="s">
        <v>570</v>
      </c>
      <c r="L233" s="143" t="s">
        <v>589</v>
      </c>
      <c r="M233" s="27" t="s">
        <v>590</v>
      </c>
      <c r="N233" s="31">
        <v>42494</v>
      </c>
      <c r="O233" s="78">
        <v>107982</v>
      </c>
      <c r="P233" s="30">
        <v>11800</v>
      </c>
      <c r="Q233" s="31">
        <v>42494</v>
      </c>
      <c r="R233" s="31">
        <v>42859</v>
      </c>
      <c r="S233" s="27" t="s">
        <v>243</v>
      </c>
      <c r="T233" s="32"/>
      <c r="U233" s="148"/>
      <c r="V233" s="148"/>
      <c r="W233" s="32" t="s">
        <v>135</v>
      </c>
      <c r="X233" s="33" t="s">
        <v>1261</v>
      </c>
      <c r="Y233" s="26" t="s">
        <v>136</v>
      </c>
      <c r="Z233" s="63">
        <v>42851</v>
      </c>
      <c r="AA233" s="64">
        <v>12041</v>
      </c>
      <c r="AB233" s="33" t="s">
        <v>899</v>
      </c>
      <c r="AC233" s="65">
        <v>42859</v>
      </c>
      <c r="AD233" s="65">
        <v>43224</v>
      </c>
      <c r="AE233" s="60"/>
      <c r="AF233" s="60"/>
      <c r="AG233" s="74">
        <v>107982</v>
      </c>
      <c r="AH233" s="74"/>
      <c r="AI233" s="74"/>
      <c r="AJ233" s="74"/>
      <c r="AK233" s="74"/>
      <c r="AL233" s="38">
        <f>O233-AH233+AG233-AH234+AG234-AH235+AG235</f>
        <v>286752.2</v>
      </c>
      <c r="AM233" s="38">
        <f>0+0+0+6095.74+8998+8998+8998.5+8998.5+8998.5+17997+0+8998.5+8998.5+8998.5+8998.5+8998.5+8998.5+17997+8998.5+8998.5+8998.5</f>
        <v>168067.74</v>
      </c>
      <c r="AN233" s="38">
        <f>8998.5+8998.5+8998.5+8998.5+8998.5+8998.5+8998.5+8998.5+8998.5+8998.5</f>
        <v>89985</v>
      </c>
      <c r="AO233" s="38">
        <f>AM233+AN233</f>
        <v>258052.74</v>
      </c>
      <c r="AP233" s="60"/>
      <c r="AQ233" s="60"/>
      <c r="AR233" s="60"/>
      <c r="AS233" s="60"/>
      <c r="AT233" s="60"/>
      <c r="AU233" s="60"/>
      <c r="AV233" s="26"/>
      <c r="AW233" s="60"/>
      <c r="AX233" s="60"/>
      <c r="AY233" s="60"/>
      <c r="AZ233" s="60"/>
      <c r="BA233" s="60"/>
      <c r="BB233" s="22"/>
      <c r="BC233" s="43"/>
      <c r="BD233" s="60"/>
      <c r="BE233" s="60"/>
      <c r="BF233" s="60"/>
      <c r="BG233" s="60"/>
      <c r="BH233" s="60"/>
      <c r="BI233" s="60"/>
      <c r="BJ233" s="60"/>
      <c r="BK233" s="60"/>
      <c r="BL233" s="60"/>
      <c r="BM233" s="60"/>
    </row>
    <row r="234" spans="1:65" ht="45" x14ac:dyDescent="0.25">
      <c r="A234" s="160"/>
      <c r="B234" s="154"/>
      <c r="C234" s="19"/>
      <c r="D234" s="27"/>
      <c r="E234" s="19"/>
      <c r="F234" s="32"/>
      <c r="G234" s="32"/>
      <c r="H234" s="19"/>
      <c r="I234" s="19"/>
      <c r="J234" s="19"/>
      <c r="K234" s="19"/>
      <c r="L234" s="143"/>
      <c r="M234" s="27"/>
      <c r="N234" s="27"/>
      <c r="O234" s="78"/>
      <c r="P234" s="27"/>
      <c r="Q234" s="27"/>
      <c r="R234" s="27"/>
      <c r="S234" s="27"/>
      <c r="T234" s="32"/>
      <c r="U234" s="148"/>
      <c r="V234" s="148"/>
      <c r="W234" s="32"/>
      <c r="X234" s="33" t="s">
        <v>1261</v>
      </c>
      <c r="Y234" s="26" t="s">
        <v>140</v>
      </c>
      <c r="Z234" s="63">
        <v>43222</v>
      </c>
      <c r="AA234" s="64">
        <v>12301</v>
      </c>
      <c r="AB234" s="33" t="s">
        <v>1449</v>
      </c>
      <c r="AC234" s="65">
        <v>43224</v>
      </c>
      <c r="AD234" s="65">
        <v>43408</v>
      </c>
      <c r="AE234" s="60"/>
      <c r="AF234" s="60"/>
      <c r="AG234" s="74">
        <v>53991</v>
      </c>
      <c r="AH234" s="74"/>
      <c r="AI234" s="74"/>
      <c r="AJ234" s="74"/>
      <c r="AK234" s="74"/>
      <c r="AL234" s="38"/>
      <c r="AM234" s="38"/>
      <c r="AN234" s="38"/>
      <c r="AO234" s="38"/>
      <c r="AP234" s="62"/>
      <c r="AQ234" s="60"/>
      <c r="AR234" s="60"/>
      <c r="AS234" s="60"/>
      <c r="AT234" s="60"/>
      <c r="AU234" s="60"/>
      <c r="AV234" s="26"/>
      <c r="AW234" s="60"/>
      <c r="AX234" s="60"/>
      <c r="AY234" s="60"/>
      <c r="AZ234" s="60"/>
      <c r="BA234" s="60"/>
      <c r="BB234" s="22"/>
      <c r="BC234" s="43"/>
      <c r="BD234" s="60"/>
      <c r="BE234" s="60"/>
      <c r="BF234" s="60"/>
      <c r="BG234" s="60"/>
      <c r="BH234" s="60"/>
      <c r="BI234" s="60"/>
      <c r="BJ234" s="60"/>
      <c r="BK234" s="60"/>
      <c r="BL234" s="60"/>
      <c r="BM234" s="60"/>
    </row>
    <row r="235" spans="1:65" ht="60" x14ac:dyDescent="0.25">
      <c r="A235" s="160"/>
      <c r="B235" s="154"/>
      <c r="C235" s="19"/>
      <c r="D235" s="27"/>
      <c r="E235" s="19"/>
      <c r="F235" s="32"/>
      <c r="G235" s="32"/>
      <c r="H235" s="19"/>
      <c r="I235" s="19"/>
      <c r="J235" s="19"/>
      <c r="K235" s="19"/>
      <c r="L235" s="143"/>
      <c r="M235" s="27"/>
      <c r="N235" s="27"/>
      <c r="O235" s="78"/>
      <c r="P235" s="27"/>
      <c r="Q235" s="27"/>
      <c r="R235" s="27"/>
      <c r="S235" s="27"/>
      <c r="T235" s="32"/>
      <c r="U235" s="148"/>
      <c r="V235" s="148"/>
      <c r="W235" s="32"/>
      <c r="X235" s="33" t="s">
        <v>1261</v>
      </c>
      <c r="Y235" s="26" t="s">
        <v>185</v>
      </c>
      <c r="Z235" s="63">
        <v>43383</v>
      </c>
      <c r="AA235" s="64">
        <v>12416</v>
      </c>
      <c r="AB235" s="33" t="s">
        <v>1871</v>
      </c>
      <c r="AC235" s="65">
        <v>43408</v>
      </c>
      <c r="AD235" s="65">
        <v>43465</v>
      </c>
      <c r="AE235" s="60"/>
      <c r="AF235" s="60"/>
      <c r="AG235" s="74">
        <v>16797.2</v>
      </c>
      <c r="AH235" s="74"/>
      <c r="AI235" s="74"/>
      <c r="AJ235" s="74"/>
      <c r="AK235" s="74"/>
      <c r="AL235" s="38"/>
      <c r="AM235" s="38"/>
      <c r="AN235" s="38"/>
      <c r="AO235" s="38"/>
      <c r="AP235" s="62"/>
      <c r="AQ235" s="60"/>
      <c r="AR235" s="60"/>
      <c r="AS235" s="60"/>
      <c r="AT235" s="60"/>
      <c r="AU235" s="60"/>
      <c r="AV235" s="26"/>
      <c r="AW235" s="60"/>
      <c r="AX235" s="60"/>
      <c r="AY235" s="60"/>
      <c r="AZ235" s="60"/>
      <c r="BA235" s="60"/>
      <c r="BB235" s="22"/>
      <c r="BC235" s="43"/>
      <c r="BD235" s="60"/>
      <c r="BE235" s="60"/>
      <c r="BF235" s="60"/>
      <c r="BG235" s="60"/>
      <c r="BH235" s="60"/>
      <c r="BI235" s="60"/>
      <c r="BJ235" s="60"/>
      <c r="BK235" s="60"/>
      <c r="BL235" s="60"/>
      <c r="BM235" s="60"/>
    </row>
    <row r="236" spans="1:65" ht="135" x14ac:dyDescent="0.25">
      <c r="A236" s="160">
        <v>46</v>
      </c>
      <c r="B236" s="154" t="s">
        <v>594</v>
      </c>
      <c r="C236" s="19" t="s">
        <v>467</v>
      </c>
      <c r="D236" s="27" t="s">
        <v>225</v>
      </c>
      <c r="E236" s="19" t="s">
        <v>124</v>
      </c>
      <c r="F236" s="32" t="s">
        <v>595</v>
      </c>
      <c r="G236" s="32" t="s">
        <v>597</v>
      </c>
      <c r="H236" s="20"/>
      <c r="I236" s="20"/>
      <c r="J236" s="20"/>
      <c r="K236" s="19" t="s">
        <v>591</v>
      </c>
      <c r="L236" s="143" t="s">
        <v>486</v>
      </c>
      <c r="M236" s="27" t="s">
        <v>342</v>
      </c>
      <c r="N236" s="31">
        <v>42513</v>
      </c>
      <c r="O236" s="78">
        <v>671590.29</v>
      </c>
      <c r="P236" s="30">
        <v>11813</v>
      </c>
      <c r="Q236" s="31">
        <v>42513</v>
      </c>
      <c r="R236" s="31">
        <f>Q236+240</f>
        <v>42753</v>
      </c>
      <c r="S236" s="27" t="s">
        <v>596</v>
      </c>
      <c r="T236" s="32"/>
      <c r="U236" s="148"/>
      <c r="V236" s="148"/>
      <c r="W236" s="32" t="s">
        <v>227</v>
      </c>
      <c r="X236" s="72" t="s">
        <v>365</v>
      </c>
      <c r="Y236" s="26" t="s">
        <v>136</v>
      </c>
      <c r="Z236" s="63">
        <v>42611</v>
      </c>
      <c r="AA236" s="64">
        <v>11885</v>
      </c>
      <c r="AB236" s="33" t="s">
        <v>644</v>
      </c>
      <c r="AC236" s="60"/>
      <c r="AD236" s="60"/>
      <c r="AE236" s="60"/>
      <c r="AF236" s="60"/>
      <c r="AG236" s="74">
        <v>168.47</v>
      </c>
      <c r="AH236" s="74">
        <v>475.61</v>
      </c>
      <c r="AI236" s="74"/>
      <c r="AJ236" s="74"/>
      <c r="AK236" s="74"/>
      <c r="AL236" s="38">
        <f>O236-AH236+AG236-AH239+AG239-AH241+AG241-AH245+AG245-AH242+AG242-AH247+AG247</f>
        <v>774804.97</v>
      </c>
      <c r="AM236" s="38">
        <f>0+0+0+35718.74+141742.03+0+59647.6+48797.74+57013.68+96545.36+24426.66+48689.94+14043.57+58000</f>
        <v>584625.31999999995</v>
      </c>
      <c r="AN236" s="38">
        <f>51225.8+40992.2+8627.7+7733.95+81600</f>
        <v>190179.65</v>
      </c>
      <c r="AO236" s="38">
        <f>AM236+AN236</f>
        <v>774804.97</v>
      </c>
      <c r="AP236" s="60"/>
      <c r="AQ236" s="60"/>
      <c r="AR236" s="60"/>
      <c r="AS236" s="60"/>
      <c r="AT236" s="60"/>
      <c r="AU236" s="60"/>
      <c r="AV236" s="26"/>
      <c r="AW236" s="60"/>
      <c r="AX236" s="60"/>
      <c r="AY236" s="60"/>
      <c r="AZ236" s="60"/>
      <c r="BA236" s="60"/>
      <c r="BB236" s="19" t="s">
        <v>295</v>
      </c>
      <c r="BC236" s="27" t="s">
        <v>176</v>
      </c>
      <c r="BD236" s="65">
        <v>42528</v>
      </c>
      <c r="BE236" s="61">
        <f>BD236+210</f>
        <v>42738</v>
      </c>
      <c r="BF236" s="65"/>
      <c r="BG236" s="60"/>
      <c r="BH236" s="65">
        <v>42530</v>
      </c>
      <c r="BI236" s="14" t="s">
        <v>757</v>
      </c>
      <c r="BJ236" s="14" t="s">
        <v>756</v>
      </c>
      <c r="BK236" s="60"/>
      <c r="BL236" s="60"/>
      <c r="BM236" s="60"/>
    </row>
    <row r="237" spans="1:65" ht="75" x14ac:dyDescent="0.25">
      <c r="A237" s="160"/>
      <c r="B237" s="154"/>
      <c r="C237" s="19"/>
      <c r="D237" s="27"/>
      <c r="E237" s="19"/>
      <c r="F237" s="32"/>
      <c r="G237" s="32"/>
      <c r="H237" s="20"/>
      <c r="I237" s="20"/>
      <c r="J237" s="20"/>
      <c r="K237" s="19"/>
      <c r="L237" s="143"/>
      <c r="M237" s="27"/>
      <c r="N237" s="31"/>
      <c r="O237" s="78"/>
      <c r="P237" s="30"/>
      <c r="Q237" s="31"/>
      <c r="R237" s="31"/>
      <c r="S237" s="27"/>
      <c r="T237" s="32"/>
      <c r="U237" s="148"/>
      <c r="V237" s="148"/>
      <c r="W237" s="32"/>
      <c r="X237" s="72" t="s">
        <v>861</v>
      </c>
      <c r="Y237" s="26" t="s">
        <v>140</v>
      </c>
      <c r="Z237" s="63">
        <v>42737</v>
      </c>
      <c r="AA237" s="64">
        <v>11979</v>
      </c>
      <c r="AB237" s="33" t="s">
        <v>901</v>
      </c>
      <c r="AC237" s="65">
        <v>42753</v>
      </c>
      <c r="AD237" s="65">
        <v>42843</v>
      </c>
      <c r="AE237" s="60"/>
      <c r="AF237" s="60"/>
      <c r="AG237" s="74"/>
      <c r="AH237" s="74"/>
      <c r="AI237" s="74"/>
      <c r="AJ237" s="74"/>
      <c r="AK237" s="74"/>
      <c r="AL237" s="38"/>
      <c r="AM237" s="38"/>
      <c r="AN237" s="38"/>
      <c r="AO237" s="38"/>
      <c r="AP237" s="60"/>
      <c r="AQ237" s="60"/>
      <c r="AR237" s="60"/>
      <c r="AS237" s="60"/>
      <c r="AT237" s="60"/>
      <c r="AU237" s="60"/>
      <c r="AV237" s="26"/>
      <c r="AW237" s="60"/>
      <c r="AX237" s="60"/>
      <c r="AY237" s="60"/>
      <c r="AZ237" s="60"/>
      <c r="BA237" s="60"/>
      <c r="BB237" s="19"/>
      <c r="BC237" s="27"/>
      <c r="BD237" s="65">
        <v>42738</v>
      </c>
      <c r="BE237" s="61">
        <v>42828</v>
      </c>
      <c r="BF237" s="65"/>
      <c r="BG237" s="60"/>
      <c r="BH237" s="65"/>
      <c r="BI237" s="14"/>
      <c r="BJ237" s="14"/>
      <c r="BK237" s="60"/>
      <c r="BL237" s="60"/>
      <c r="BM237" s="60"/>
    </row>
    <row r="238" spans="1:65" ht="75" x14ac:dyDescent="0.25">
      <c r="A238" s="160"/>
      <c r="B238" s="154"/>
      <c r="C238" s="19"/>
      <c r="D238" s="27"/>
      <c r="E238" s="19"/>
      <c r="F238" s="32"/>
      <c r="G238" s="32"/>
      <c r="H238" s="20"/>
      <c r="I238" s="20"/>
      <c r="J238" s="20"/>
      <c r="K238" s="19"/>
      <c r="L238" s="143"/>
      <c r="M238" s="27"/>
      <c r="N238" s="31"/>
      <c r="O238" s="78"/>
      <c r="P238" s="30"/>
      <c r="Q238" s="31"/>
      <c r="R238" s="31"/>
      <c r="S238" s="27"/>
      <c r="T238" s="32"/>
      <c r="U238" s="148"/>
      <c r="V238" s="148"/>
      <c r="W238" s="32"/>
      <c r="X238" s="72" t="s">
        <v>861</v>
      </c>
      <c r="Y238" s="26" t="s">
        <v>185</v>
      </c>
      <c r="Z238" s="63">
        <v>42828</v>
      </c>
      <c r="AA238" s="64">
        <v>12045</v>
      </c>
      <c r="AB238" s="33" t="s">
        <v>900</v>
      </c>
      <c r="AC238" s="65">
        <v>42843</v>
      </c>
      <c r="AD238" s="65">
        <v>42933</v>
      </c>
      <c r="AE238" s="60"/>
      <c r="AF238" s="60"/>
      <c r="AG238" s="74"/>
      <c r="AH238" s="74"/>
      <c r="AI238" s="74"/>
      <c r="AJ238" s="74"/>
      <c r="AK238" s="74"/>
      <c r="AL238" s="38"/>
      <c r="AM238" s="38"/>
      <c r="AN238" s="38"/>
      <c r="AO238" s="38"/>
      <c r="AP238" s="60"/>
      <c r="AQ238" s="60"/>
      <c r="AR238" s="60"/>
      <c r="AS238" s="60"/>
      <c r="AT238" s="60"/>
      <c r="AU238" s="60"/>
      <c r="AV238" s="26"/>
      <c r="AW238" s="60"/>
      <c r="AX238" s="60"/>
      <c r="AY238" s="60"/>
      <c r="AZ238" s="60"/>
      <c r="BA238" s="60"/>
      <c r="BB238" s="19"/>
      <c r="BC238" s="27"/>
      <c r="BD238" s="65">
        <v>42828</v>
      </c>
      <c r="BE238" s="61">
        <v>42918</v>
      </c>
      <c r="BF238" s="65"/>
      <c r="BG238" s="60"/>
      <c r="BH238" s="65"/>
      <c r="BI238" s="14"/>
      <c r="BJ238" s="14"/>
      <c r="BK238" s="60"/>
      <c r="BL238" s="60"/>
      <c r="BM238" s="60"/>
    </row>
    <row r="239" spans="1:65" ht="135" x14ac:dyDescent="0.25">
      <c r="A239" s="160"/>
      <c r="B239" s="154"/>
      <c r="C239" s="19"/>
      <c r="D239" s="27"/>
      <c r="E239" s="19"/>
      <c r="F239" s="32"/>
      <c r="G239" s="32"/>
      <c r="H239" s="20"/>
      <c r="I239" s="20"/>
      <c r="J239" s="20"/>
      <c r="K239" s="19"/>
      <c r="L239" s="143"/>
      <c r="M239" s="27"/>
      <c r="N239" s="31"/>
      <c r="O239" s="78"/>
      <c r="P239" s="30"/>
      <c r="Q239" s="31"/>
      <c r="R239" s="31"/>
      <c r="S239" s="27"/>
      <c r="T239" s="32"/>
      <c r="U239" s="148"/>
      <c r="V239" s="148"/>
      <c r="W239" s="32"/>
      <c r="X239" s="72" t="s">
        <v>365</v>
      </c>
      <c r="Y239" s="26" t="s">
        <v>186</v>
      </c>
      <c r="Z239" s="63">
        <v>42860</v>
      </c>
      <c r="AA239" s="64">
        <v>12048</v>
      </c>
      <c r="AB239" s="33" t="s">
        <v>922</v>
      </c>
      <c r="AC239" s="65"/>
      <c r="AD239" s="65"/>
      <c r="AE239" s="60"/>
      <c r="AF239" s="60"/>
      <c r="AG239" s="74">
        <v>38470.230000000003</v>
      </c>
      <c r="AH239" s="74"/>
      <c r="AI239" s="74"/>
      <c r="AJ239" s="74"/>
      <c r="AK239" s="74"/>
      <c r="AL239" s="38"/>
      <c r="AM239" s="38"/>
      <c r="AN239" s="38"/>
      <c r="AO239" s="38"/>
      <c r="AP239" s="60"/>
      <c r="AQ239" s="60"/>
      <c r="AR239" s="60"/>
      <c r="AS239" s="60"/>
      <c r="AT239" s="60"/>
      <c r="AU239" s="60"/>
      <c r="AV239" s="26"/>
      <c r="AW239" s="60"/>
      <c r="AX239" s="60"/>
      <c r="AY239" s="60"/>
      <c r="AZ239" s="60"/>
      <c r="BA239" s="60"/>
      <c r="BB239" s="19"/>
      <c r="BC239" s="27"/>
      <c r="BD239" s="65"/>
      <c r="BE239" s="61"/>
      <c r="BF239" s="65"/>
      <c r="BG239" s="60"/>
      <c r="BH239" s="65"/>
      <c r="BI239" s="14"/>
      <c r="BJ239" s="14"/>
      <c r="BK239" s="60"/>
      <c r="BL239" s="60"/>
      <c r="BM239" s="60"/>
    </row>
    <row r="240" spans="1:65" ht="75" x14ac:dyDescent="0.25">
      <c r="A240" s="160"/>
      <c r="B240" s="154"/>
      <c r="C240" s="19"/>
      <c r="D240" s="27"/>
      <c r="E240" s="19"/>
      <c r="F240" s="32"/>
      <c r="G240" s="32"/>
      <c r="H240" s="20"/>
      <c r="I240" s="20"/>
      <c r="J240" s="20"/>
      <c r="K240" s="19"/>
      <c r="L240" s="143"/>
      <c r="M240" s="27"/>
      <c r="N240" s="31"/>
      <c r="O240" s="78"/>
      <c r="P240" s="30"/>
      <c r="Q240" s="31"/>
      <c r="R240" s="31"/>
      <c r="S240" s="27"/>
      <c r="T240" s="32"/>
      <c r="U240" s="148"/>
      <c r="V240" s="148"/>
      <c r="W240" s="32"/>
      <c r="X240" s="72" t="s">
        <v>861</v>
      </c>
      <c r="Y240" s="26" t="s">
        <v>187</v>
      </c>
      <c r="Z240" s="63">
        <v>42946</v>
      </c>
      <c r="AA240" s="64">
        <v>12108</v>
      </c>
      <c r="AB240" s="33" t="s">
        <v>900</v>
      </c>
      <c r="AC240" s="65">
        <v>42933</v>
      </c>
      <c r="AD240" s="65">
        <v>43023</v>
      </c>
      <c r="AE240" s="60"/>
      <c r="AF240" s="60"/>
      <c r="AG240" s="74"/>
      <c r="AH240" s="74"/>
      <c r="AI240" s="74"/>
      <c r="AJ240" s="74"/>
      <c r="AK240" s="74"/>
      <c r="AL240" s="38"/>
      <c r="AM240" s="38"/>
      <c r="AN240" s="38"/>
      <c r="AO240" s="38"/>
      <c r="AP240" s="60"/>
      <c r="AQ240" s="62"/>
      <c r="AR240" s="60"/>
      <c r="AS240" s="60"/>
      <c r="AT240" s="60"/>
      <c r="AU240" s="60"/>
      <c r="AV240" s="26"/>
      <c r="AW240" s="60"/>
      <c r="AX240" s="60"/>
      <c r="AY240" s="60"/>
      <c r="AZ240" s="60"/>
      <c r="BA240" s="60"/>
      <c r="BB240" s="19"/>
      <c r="BC240" s="27"/>
      <c r="BD240" s="65">
        <v>42918</v>
      </c>
      <c r="BE240" s="61">
        <v>43008</v>
      </c>
      <c r="BF240" s="65"/>
      <c r="BG240" s="60"/>
      <c r="BH240" s="65"/>
      <c r="BI240" s="14"/>
      <c r="BJ240" s="14"/>
      <c r="BK240" s="60"/>
      <c r="BL240" s="60"/>
      <c r="BM240" s="60"/>
    </row>
    <row r="241" spans="1:65" ht="165" x14ac:dyDescent="0.25">
      <c r="A241" s="160"/>
      <c r="B241" s="154"/>
      <c r="C241" s="19"/>
      <c r="D241" s="27"/>
      <c r="E241" s="19"/>
      <c r="F241" s="32"/>
      <c r="G241" s="32"/>
      <c r="H241" s="20"/>
      <c r="I241" s="20"/>
      <c r="J241" s="19"/>
      <c r="K241" s="19"/>
      <c r="L241" s="143"/>
      <c r="M241" s="27"/>
      <c r="N241" s="27"/>
      <c r="O241" s="78"/>
      <c r="P241" s="27"/>
      <c r="Q241" s="27"/>
      <c r="R241" s="27"/>
      <c r="S241" s="27"/>
      <c r="T241" s="32"/>
      <c r="U241" s="148"/>
      <c r="V241" s="148"/>
      <c r="W241" s="32"/>
      <c r="X241" s="72" t="s">
        <v>365</v>
      </c>
      <c r="Y241" s="26" t="s">
        <v>117</v>
      </c>
      <c r="Z241" s="63">
        <v>42978</v>
      </c>
      <c r="AA241" s="64">
        <v>12137</v>
      </c>
      <c r="AB241" s="33" t="s">
        <v>1066</v>
      </c>
      <c r="AC241" s="65"/>
      <c r="AD241" s="65"/>
      <c r="AE241" s="60"/>
      <c r="AF241" s="60"/>
      <c r="AG241" s="74">
        <v>54242.41</v>
      </c>
      <c r="AH241" s="74">
        <v>5552.47</v>
      </c>
      <c r="AI241" s="74"/>
      <c r="AJ241" s="74"/>
      <c r="AK241" s="74"/>
      <c r="AL241" s="38"/>
      <c r="AM241" s="38"/>
      <c r="AN241" s="38"/>
      <c r="AO241" s="38"/>
      <c r="AP241" s="60"/>
      <c r="AQ241" s="60"/>
      <c r="AR241" s="60"/>
      <c r="AS241" s="60"/>
      <c r="AT241" s="60"/>
      <c r="AU241" s="60"/>
      <c r="AV241" s="26"/>
      <c r="AW241" s="60"/>
      <c r="AX241" s="60"/>
      <c r="AY241" s="60"/>
      <c r="AZ241" s="60"/>
      <c r="BA241" s="60"/>
      <c r="BB241" s="19"/>
      <c r="BC241" s="27"/>
      <c r="BD241" s="65"/>
      <c r="BE241" s="61"/>
      <c r="BF241" s="65"/>
      <c r="BG241" s="60"/>
      <c r="BH241" s="65"/>
      <c r="BI241" s="14"/>
      <c r="BJ241" s="14"/>
      <c r="BK241" s="60"/>
      <c r="BL241" s="60"/>
      <c r="BM241" s="60"/>
    </row>
    <row r="242" spans="1:65" ht="90" x14ac:dyDescent="0.25">
      <c r="A242" s="160"/>
      <c r="B242" s="154"/>
      <c r="C242" s="19"/>
      <c r="D242" s="27"/>
      <c r="E242" s="19"/>
      <c r="F242" s="32"/>
      <c r="G242" s="32"/>
      <c r="H242" s="20"/>
      <c r="I242" s="20"/>
      <c r="J242" s="19"/>
      <c r="K242" s="19"/>
      <c r="L242" s="143"/>
      <c r="M242" s="27"/>
      <c r="N242" s="27"/>
      <c r="O242" s="78"/>
      <c r="P242" s="27"/>
      <c r="Q242" s="27"/>
      <c r="R242" s="27"/>
      <c r="S242" s="27"/>
      <c r="T242" s="32"/>
      <c r="U242" s="148"/>
      <c r="V242" s="148"/>
      <c r="W242" s="32"/>
      <c r="X242" s="72" t="s">
        <v>861</v>
      </c>
      <c r="Y242" s="26" t="s">
        <v>120</v>
      </c>
      <c r="Z242" s="63">
        <v>43004</v>
      </c>
      <c r="AA242" s="64">
        <v>12153</v>
      </c>
      <c r="AB242" s="33" t="s">
        <v>1092</v>
      </c>
      <c r="AC242" s="65">
        <v>43023</v>
      </c>
      <c r="AD242" s="65">
        <v>43113</v>
      </c>
      <c r="AE242" s="60"/>
      <c r="AF242" s="60"/>
      <c r="AG242" s="74"/>
      <c r="AH242" s="74"/>
      <c r="AI242" s="74"/>
      <c r="AJ242" s="74"/>
      <c r="AK242" s="74"/>
      <c r="AL242" s="38"/>
      <c r="AM242" s="38"/>
      <c r="AN242" s="38"/>
      <c r="AO242" s="38"/>
      <c r="AP242" s="60"/>
      <c r="AQ242" s="60"/>
      <c r="AR242" s="60"/>
      <c r="AS242" s="60"/>
      <c r="AT242" s="60"/>
      <c r="AU242" s="60"/>
      <c r="AV242" s="26"/>
      <c r="AW242" s="60"/>
      <c r="AX242" s="60"/>
      <c r="AY242" s="60"/>
      <c r="AZ242" s="60"/>
      <c r="BA242" s="60"/>
      <c r="BB242" s="19"/>
      <c r="BC242" s="27"/>
      <c r="BD242" s="65">
        <v>43008</v>
      </c>
      <c r="BE242" s="61">
        <v>43098</v>
      </c>
      <c r="BF242" s="65"/>
      <c r="BG242" s="60"/>
      <c r="BH242" s="65"/>
      <c r="BI242" s="14"/>
      <c r="BJ242" s="14"/>
      <c r="BK242" s="60"/>
      <c r="BL242" s="60"/>
      <c r="BM242" s="60"/>
    </row>
    <row r="243" spans="1:65" ht="75" x14ac:dyDescent="0.25">
      <c r="A243" s="160"/>
      <c r="B243" s="154"/>
      <c r="C243" s="19"/>
      <c r="D243" s="27"/>
      <c r="E243" s="19"/>
      <c r="F243" s="32"/>
      <c r="G243" s="32"/>
      <c r="H243" s="20"/>
      <c r="I243" s="20"/>
      <c r="J243" s="19"/>
      <c r="K243" s="19"/>
      <c r="L243" s="143"/>
      <c r="M243" s="27"/>
      <c r="N243" s="27"/>
      <c r="O243" s="78"/>
      <c r="P243" s="27"/>
      <c r="Q243" s="27"/>
      <c r="R243" s="27"/>
      <c r="S243" s="27"/>
      <c r="T243" s="32"/>
      <c r="U243" s="148"/>
      <c r="V243" s="148"/>
      <c r="W243" s="32"/>
      <c r="X243" s="72" t="s">
        <v>861</v>
      </c>
      <c r="Y243" s="26" t="s">
        <v>118</v>
      </c>
      <c r="Z243" s="63">
        <v>43091</v>
      </c>
      <c r="AA243" s="64">
        <v>12228</v>
      </c>
      <c r="AB243" s="33" t="s">
        <v>900</v>
      </c>
      <c r="AC243" s="65">
        <v>43113</v>
      </c>
      <c r="AD243" s="65">
        <v>43203</v>
      </c>
      <c r="AE243" s="60"/>
      <c r="AF243" s="60"/>
      <c r="AG243" s="74"/>
      <c r="AH243" s="74"/>
      <c r="AI243" s="74"/>
      <c r="AJ243" s="74"/>
      <c r="AK243" s="74"/>
      <c r="AL243" s="38"/>
      <c r="AM243" s="38"/>
      <c r="AN243" s="38"/>
      <c r="AO243" s="38"/>
      <c r="AP243" s="60"/>
      <c r="AQ243" s="60"/>
      <c r="AR243" s="60"/>
      <c r="AS243" s="60"/>
      <c r="AT243" s="60"/>
      <c r="AU243" s="60"/>
      <c r="AV243" s="26"/>
      <c r="AW243" s="60"/>
      <c r="AX243" s="60"/>
      <c r="AY243" s="60"/>
      <c r="AZ243" s="60"/>
      <c r="BA243" s="60"/>
      <c r="BB243" s="19"/>
      <c r="BC243" s="27"/>
      <c r="BD243" s="61">
        <v>43098</v>
      </c>
      <c r="BE243" s="61">
        <v>43188</v>
      </c>
      <c r="BF243" s="65"/>
      <c r="BG243" s="60"/>
      <c r="BH243" s="65"/>
      <c r="BI243" s="14"/>
      <c r="BJ243" s="14"/>
      <c r="BK243" s="60"/>
      <c r="BL243" s="60"/>
      <c r="BM243" s="60"/>
    </row>
    <row r="244" spans="1:65" ht="90" x14ac:dyDescent="0.25">
      <c r="A244" s="160"/>
      <c r="B244" s="154"/>
      <c r="C244" s="19"/>
      <c r="D244" s="27"/>
      <c r="E244" s="19"/>
      <c r="F244" s="32"/>
      <c r="G244" s="32"/>
      <c r="H244" s="20"/>
      <c r="I244" s="20"/>
      <c r="J244" s="19"/>
      <c r="K244" s="19"/>
      <c r="L244" s="143"/>
      <c r="M244" s="27"/>
      <c r="N244" s="27"/>
      <c r="O244" s="78"/>
      <c r="P244" s="27"/>
      <c r="Q244" s="27"/>
      <c r="R244" s="27"/>
      <c r="S244" s="27"/>
      <c r="T244" s="32"/>
      <c r="U244" s="148"/>
      <c r="V244" s="148"/>
      <c r="W244" s="32"/>
      <c r="X244" s="72" t="s">
        <v>861</v>
      </c>
      <c r="Y244" s="26" t="s">
        <v>279</v>
      </c>
      <c r="Z244" s="63">
        <v>43196</v>
      </c>
      <c r="AA244" s="64">
        <v>12276</v>
      </c>
      <c r="AB244" s="33" t="s">
        <v>1415</v>
      </c>
      <c r="AC244" s="65">
        <v>43203</v>
      </c>
      <c r="AD244" s="65">
        <v>43294</v>
      </c>
      <c r="AE244" s="60"/>
      <c r="AF244" s="60"/>
      <c r="AG244" s="74"/>
      <c r="AH244" s="74"/>
      <c r="AI244" s="74"/>
      <c r="AJ244" s="74"/>
      <c r="AK244" s="74"/>
      <c r="AL244" s="38"/>
      <c r="AM244" s="38"/>
      <c r="AN244" s="38"/>
      <c r="AO244" s="38"/>
      <c r="AP244" s="60"/>
      <c r="AQ244" s="60"/>
      <c r="AR244" s="60"/>
      <c r="AS244" s="60"/>
      <c r="AT244" s="60"/>
      <c r="AU244" s="60"/>
      <c r="AV244" s="26"/>
      <c r="AW244" s="60"/>
      <c r="AX244" s="60"/>
      <c r="AY244" s="60"/>
      <c r="AZ244" s="60"/>
      <c r="BA244" s="60"/>
      <c r="BB244" s="19"/>
      <c r="BC244" s="27"/>
      <c r="BD244" s="61"/>
      <c r="BE244" s="61"/>
      <c r="BF244" s="65"/>
      <c r="BG244" s="60"/>
      <c r="BH244" s="65"/>
      <c r="BI244" s="14"/>
      <c r="BJ244" s="14"/>
      <c r="BK244" s="60"/>
      <c r="BL244" s="60"/>
      <c r="BM244" s="60"/>
    </row>
    <row r="245" spans="1:65" ht="120" x14ac:dyDescent="0.25">
      <c r="A245" s="160"/>
      <c r="B245" s="154"/>
      <c r="C245" s="19"/>
      <c r="D245" s="27"/>
      <c r="E245" s="19"/>
      <c r="F245" s="32"/>
      <c r="G245" s="32"/>
      <c r="H245" s="20"/>
      <c r="I245" s="20"/>
      <c r="J245" s="19"/>
      <c r="K245" s="19"/>
      <c r="L245" s="143"/>
      <c r="M245" s="27"/>
      <c r="N245" s="27"/>
      <c r="O245" s="78"/>
      <c r="P245" s="27"/>
      <c r="Q245" s="27"/>
      <c r="R245" s="27"/>
      <c r="S245" s="27"/>
      <c r="T245" s="32"/>
      <c r="U245" s="148"/>
      <c r="V245" s="148"/>
      <c r="W245" s="32"/>
      <c r="X245" s="72" t="s">
        <v>365</v>
      </c>
      <c r="Y245" s="26" t="s">
        <v>376</v>
      </c>
      <c r="Z245" s="63">
        <v>43217</v>
      </c>
      <c r="AA245" s="64">
        <v>12296</v>
      </c>
      <c r="AB245" s="33" t="s">
        <v>1498</v>
      </c>
      <c r="AC245" s="65"/>
      <c r="AD245" s="65"/>
      <c r="AE245" s="60"/>
      <c r="AF245" s="60"/>
      <c r="AG245" s="74">
        <v>8627.7000000000007</v>
      </c>
      <c r="AH245" s="74"/>
      <c r="AI245" s="74"/>
      <c r="AJ245" s="74"/>
      <c r="AK245" s="74"/>
      <c r="AL245" s="38"/>
      <c r="AM245" s="38"/>
      <c r="AN245" s="38"/>
      <c r="AO245" s="38"/>
      <c r="AP245" s="60"/>
      <c r="AQ245" s="60"/>
      <c r="AR245" s="60"/>
      <c r="AS245" s="60"/>
      <c r="AT245" s="60"/>
      <c r="AU245" s="60"/>
      <c r="AV245" s="26"/>
      <c r="AW245" s="60"/>
      <c r="AX245" s="60"/>
      <c r="AY245" s="60"/>
      <c r="AZ245" s="60"/>
      <c r="BA245" s="60"/>
      <c r="BB245" s="19"/>
      <c r="BC245" s="27"/>
      <c r="BD245" s="61"/>
      <c r="BE245" s="61"/>
      <c r="BF245" s="65"/>
      <c r="BG245" s="60"/>
      <c r="BH245" s="65"/>
      <c r="BI245" s="14"/>
      <c r="BJ245" s="14"/>
      <c r="BK245" s="60"/>
      <c r="BL245" s="60"/>
      <c r="BM245" s="60"/>
    </row>
    <row r="246" spans="1:65" ht="75" x14ac:dyDescent="0.25">
      <c r="A246" s="160"/>
      <c r="B246" s="154"/>
      <c r="C246" s="19"/>
      <c r="D246" s="27"/>
      <c r="E246" s="19"/>
      <c r="F246" s="32"/>
      <c r="G246" s="32"/>
      <c r="H246" s="20"/>
      <c r="I246" s="20"/>
      <c r="J246" s="19"/>
      <c r="K246" s="19"/>
      <c r="L246" s="143"/>
      <c r="M246" s="27"/>
      <c r="N246" s="27"/>
      <c r="O246" s="78"/>
      <c r="P246" s="27"/>
      <c r="Q246" s="27"/>
      <c r="R246" s="27"/>
      <c r="S246" s="27"/>
      <c r="T246" s="32"/>
      <c r="U246" s="148"/>
      <c r="V246" s="148"/>
      <c r="W246" s="32"/>
      <c r="X246" s="72" t="s">
        <v>861</v>
      </c>
      <c r="Y246" s="26" t="s">
        <v>1325</v>
      </c>
      <c r="Z246" s="63">
        <v>43291</v>
      </c>
      <c r="AA246" s="64">
        <v>12356</v>
      </c>
      <c r="AB246" s="33" t="s">
        <v>1709</v>
      </c>
      <c r="AC246" s="65">
        <v>43294</v>
      </c>
      <c r="AD246" s="65">
        <v>43382</v>
      </c>
      <c r="AE246" s="60"/>
      <c r="AF246" s="60"/>
      <c r="AG246" s="74"/>
      <c r="AH246" s="74"/>
      <c r="AI246" s="74"/>
      <c r="AJ246" s="74"/>
      <c r="AK246" s="74"/>
      <c r="AL246" s="38"/>
      <c r="AM246" s="38"/>
      <c r="AN246" s="38"/>
      <c r="AO246" s="38"/>
      <c r="AP246" s="60"/>
      <c r="AQ246" s="60"/>
      <c r="AR246" s="60"/>
      <c r="AS246" s="60"/>
      <c r="AT246" s="60"/>
      <c r="AU246" s="60"/>
      <c r="AV246" s="26"/>
      <c r="AW246" s="60"/>
      <c r="AX246" s="60"/>
      <c r="AY246" s="60"/>
      <c r="AZ246" s="60"/>
      <c r="BA246" s="60"/>
      <c r="BB246" s="19"/>
      <c r="BC246" s="27"/>
      <c r="BD246" s="61"/>
      <c r="BE246" s="61"/>
      <c r="BF246" s="65"/>
      <c r="BG246" s="60"/>
      <c r="BH246" s="65"/>
      <c r="BI246" s="14"/>
      <c r="BJ246" s="14"/>
      <c r="BK246" s="60"/>
      <c r="BL246" s="60"/>
      <c r="BM246" s="60"/>
    </row>
    <row r="247" spans="1:65" ht="150" x14ac:dyDescent="0.25">
      <c r="A247" s="160"/>
      <c r="B247" s="154"/>
      <c r="C247" s="19"/>
      <c r="D247" s="27"/>
      <c r="E247" s="19"/>
      <c r="F247" s="32"/>
      <c r="G247" s="32"/>
      <c r="H247" s="19"/>
      <c r="I247" s="19"/>
      <c r="J247" s="19"/>
      <c r="K247" s="19"/>
      <c r="L247" s="143"/>
      <c r="M247" s="27"/>
      <c r="N247" s="27"/>
      <c r="O247" s="78"/>
      <c r="P247" s="27"/>
      <c r="Q247" s="27"/>
      <c r="R247" s="27"/>
      <c r="S247" s="27"/>
      <c r="T247" s="32"/>
      <c r="U247" s="148"/>
      <c r="V247" s="148"/>
      <c r="W247" s="32"/>
      <c r="X247" s="72" t="s">
        <v>365</v>
      </c>
      <c r="Y247" s="26" t="s">
        <v>1327</v>
      </c>
      <c r="Z247" s="63">
        <v>43311</v>
      </c>
      <c r="AA247" s="64">
        <v>12356</v>
      </c>
      <c r="AB247" s="33" t="s">
        <v>1710</v>
      </c>
      <c r="AC247" s="65"/>
      <c r="AD247" s="65"/>
      <c r="AE247" s="60"/>
      <c r="AF247" s="60"/>
      <c r="AG247" s="74">
        <v>7733.95</v>
      </c>
      <c r="AH247" s="74"/>
      <c r="AI247" s="74"/>
      <c r="AJ247" s="74"/>
      <c r="AK247" s="74"/>
      <c r="AL247" s="38"/>
      <c r="AM247" s="38"/>
      <c r="AN247" s="38"/>
      <c r="AO247" s="38"/>
      <c r="AP247" s="60"/>
      <c r="AQ247" s="60"/>
      <c r="AR247" s="60"/>
      <c r="AS247" s="60"/>
      <c r="AT247" s="60"/>
      <c r="AU247" s="60"/>
      <c r="AV247" s="26"/>
      <c r="AW247" s="60"/>
      <c r="AX247" s="60"/>
      <c r="AY247" s="60"/>
      <c r="AZ247" s="60"/>
      <c r="BA247" s="60"/>
      <c r="BB247" s="19"/>
      <c r="BC247" s="27"/>
      <c r="BD247" s="61"/>
      <c r="BE247" s="61"/>
      <c r="BF247" s="65"/>
      <c r="BG247" s="60"/>
      <c r="BH247" s="65"/>
      <c r="BI247" s="14"/>
      <c r="BJ247" s="14"/>
      <c r="BK247" s="60"/>
      <c r="BL247" s="60"/>
      <c r="BM247" s="60"/>
    </row>
    <row r="248" spans="1:65" ht="45" x14ac:dyDescent="0.25">
      <c r="A248" s="160">
        <v>47</v>
      </c>
      <c r="B248" s="154" t="s">
        <v>606</v>
      </c>
      <c r="C248" s="19" t="s">
        <v>467</v>
      </c>
      <c r="D248" s="27" t="s">
        <v>242</v>
      </c>
      <c r="E248" s="19" t="s">
        <v>611</v>
      </c>
      <c r="F248" s="32" t="s">
        <v>607</v>
      </c>
      <c r="G248" s="32" t="s">
        <v>612</v>
      </c>
      <c r="H248" s="20"/>
      <c r="I248" s="20"/>
      <c r="J248" s="20"/>
      <c r="K248" s="19" t="s">
        <v>598</v>
      </c>
      <c r="L248" s="143" t="s">
        <v>608</v>
      </c>
      <c r="M248" s="27" t="s">
        <v>609</v>
      </c>
      <c r="N248" s="31">
        <v>42535</v>
      </c>
      <c r="O248" s="78">
        <v>1990400</v>
      </c>
      <c r="P248" s="30">
        <v>11826</v>
      </c>
      <c r="Q248" s="31">
        <v>42535</v>
      </c>
      <c r="R248" s="31">
        <v>42900</v>
      </c>
      <c r="S248" s="27" t="s">
        <v>610</v>
      </c>
      <c r="T248" s="19"/>
      <c r="U248" s="38"/>
      <c r="V248" s="38"/>
      <c r="W248" s="32" t="s">
        <v>302</v>
      </c>
      <c r="X248" s="33" t="s">
        <v>1261</v>
      </c>
      <c r="Y248" s="26" t="s">
        <v>136</v>
      </c>
      <c r="Z248" s="63">
        <v>42894</v>
      </c>
      <c r="AA248" s="64">
        <v>12075</v>
      </c>
      <c r="AB248" s="33" t="s">
        <v>963</v>
      </c>
      <c r="AC248" s="65">
        <v>42900</v>
      </c>
      <c r="AD248" s="65">
        <v>43265</v>
      </c>
      <c r="AE248" s="60"/>
      <c r="AF248" s="60"/>
      <c r="AG248" s="74">
        <v>1427400</v>
      </c>
      <c r="AH248" s="74"/>
      <c r="AI248" s="74"/>
      <c r="AJ248" s="74"/>
      <c r="AK248" s="74"/>
      <c r="AL248" s="38">
        <f>O248-AH248+AG248-AH249+AG249</f>
        <v>4190975</v>
      </c>
      <c r="AM248" s="38">
        <f>0+100000+30000+30000+30000+30000+128600+128600+217550+217550+217550+118950+118950+101107.5+101107.5+101107.5</f>
        <v>1671072.5</v>
      </c>
      <c r="AN248" s="38">
        <f>101107.5+101107.5+202215+101107.5+101107.5+101107.5+101107.5+101107.5+101107.5</f>
        <v>1011075</v>
      </c>
      <c r="AO248" s="38">
        <f>AM248+AN248</f>
        <v>2682147.5</v>
      </c>
      <c r="AP248" s="60"/>
      <c r="AQ248" s="60"/>
      <c r="AR248" s="60"/>
      <c r="AS248" s="60"/>
      <c r="AT248" s="60"/>
      <c r="AU248" s="60"/>
      <c r="AV248" s="26"/>
      <c r="AW248" s="60"/>
      <c r="AX248" s="60"/>
      <c r="AY248" s="60"/>
      <c r="AZ248" s="60"/>
      <c r="BA248" s="60"/>
      <c r="BB248" s="22"/>
      <c r="BC248" s="43"/>
      <c r="BD248" s="60"/>
      <c r="BE248" s="60"/>
      <c r="BF248" s="60"/>
      <c r="BG248" s="60"/>
      <c r="BH248" s="60"/>
      <c r="BI248" s="60"/>
      <c r="BJ248" s="60"/>
      <c r="BK248" s="60"/>
      <c r="BL248" s="60"/>
      <c r="BM248" s="60"/>
    </row>
    <row r="249" spans="1:65" ht="60" x14ac:dyDescent="0.25">
      <c r="A249" s="160"/>
      <c r="B249" s="154"/>
      <c r="C249" s="19"/>
      <c r="D249" s="27"/>
      <c r="E249" s="19"/>
      <c r="F249" s="32"/>
      <c r="G249" s="32"/>
      <c r="H249" s="19"/>
      <c r="I249" s="19"/>
      <c r="J249" s="19"/>
      <c r="K249" s="19"/>
      <c r="L249" s="143"/>
      <c r="M249" s="27"/>
      <c r="N249" s="27"/>
      <c r="O249" s="78"/>
      <c r="P249" s="27"/>
      <c r="Q249" s="27"/>
      <c r="R249" s="27"/>
      <c r="S249" s="27"/>
      <c r="T249" s="19"/>
      <c r="U249" s="38"/>
      <c r="V249" s="38"/>
      <c r="W249" s="32"/>
      <c r="X249" s="33" t="s">
        <v>1261</v>
      </c>
      <c r="Y249" s="26" t="s">
        <v>140</v>
      </c>
      <c r="Z249" s="63">
        <v>43263</v>
      </c>
      <c r="AA249" s="64">
        <v>12327</v>
      </c>
      <c r="AB249" s="33" t="s">
        <v>1609</v>
      </c>
      <c r="AC249" s="65">
        <v>43265</v>
      </c>
      <c r="AD249" s="65">
        <v>43465</v>
      </c>
      <c r="AE249" s="60"/>
      <c r="AF249" s="60"/>
      <c r="AG249" s="74">
        <v>773175</v>
      </c>
      <c r="AH249" s="74"/>
      <c r="AI249" s="74"/>
      <c r="AJ249" s="74"/>
      <c r="AK249" s="74"/>
      <c r="AL249" s="38"/>
      <c r="AM249" s="38"/>
      <c r="AN249" s="38"/>
      <c r="AO249" s="38"/>
      <c r="AP249" s="62"/>
      <c r="AQ249" s="60"/>
      <c r="AR249" s="60"/>
      <c r="AS249" s="60"/>
      <c r="AT249" s="60"/>
      <c r="AU249" s="60"/>
      <c r="AV249" s="26"/>
      <c r="AW249" s="60"/>
      <c r="AX249" s="60"/>
      <c r="AY249" s="60"/>
      <c r="AZ249" s="60"/>
      <c r="BA249" s="60"/>
      <c r="BB249" s="22"/>
      <c r="BC249" s="43"/>
      <c r="BD249" s="60"/>
      <c r="BE249" s="60"/>
      <c r="BF249" s="60"/>
      <c r="BG249" s="60"/>
      <c r="BH249" s="60"/>
      <c r="BI249" s="60"/>
      <c r="BJ249" s="60"/>
      <c r="BK249" s="60"/>
      <c r="BL249" s="60"/>
      <c r="BM249" s="60"/>
    </row>
    <row r="250" spans="1:65" ht="60" x14ac:dyDescent="0.25">
      <c r="A250" s="160">
        <v>48</v>
      </c>
      <c r="B250" s="154" t="s">
        <v>390</v>
      </c>
      <c r="C250" s="19" t="s">
        <v>328</v>
      </c>
      <c r="D250" s="27" t="s">
        <v>207</v>
      </c>
      <c r="E250" s="19" t="s">
        <v>124</v>
      </c>
      <c r="F250" s="32" t="s">
        <v>418</v>
      </c>
      <c r="G250" s="28" t="s">
        <v>394</v>
      </c>
      <c r="H250" s="20" t="s">
        <v>492</v>
      </c>
      <c r="I250" s="29">
        <v>42200</v>
      </c>
      <c r="J250" s="29">
        <v>42566</v>
      </c>
      <c r="K250" s="19" t="s">
        <v>599</v>
      </c>
      <c r="L250" s="143" t="s">
        <v>613</v>
      </c>
      <c r="M250" s="27" t="s">
        <v>400</v>
      </c>
      <c r="N250" s="31">
        <v>42538</v>
      </c>
      <c r="O250" s="78">
        <v>54900</v>
      </c>
      <c r="P250" s="30">
        <v>11834</v>
      </c>
      <c r="Q250" s="31">
        <v>42538</v>
      </c>
      <c r="R250" s="31">
        <v>42903</v>
      </c>
      <c r="S250" s="27" t="s">
        <v>605</v>
      </c>
      <c r="T250" s="32"/>
      <c r="U250" s="148"/>
      <c r="V250" s="148"/>
      <c r="W250" s="32" t="s">
        <v>135</v>
      </c>
      <c r="X250" s="72" t="s">
        <v>861</v>
      </c>
      <c r="Y250" s="26" t="s">
        <v>136</v>
      </c>
      <c r="Z250" s="63">
        <v>42902</v>
      </c>
      <c r="AA250" s="64">
        <v>12080</v>
      </c>
      <c r="AB250" s="33" t="s">
        <v>571</v>
      </c>
      <c r="AC250" s="65">
        <v>42903</v>
      </c>
      <c r="AD250" s="65">
        <v>43268</v>
      </c>
      <c r="AE250" s="60"/>
      <c r="AF250" s="60"/>
      <c r="AG250" s="74">
        <v>54900</v>
      </c>
      <c r="AH250" s="74"/>
      <c r="AI250" s="74"/>
      <c r="AJ250" s="74"/>
      <c r="AK250" s="74"/>
      <c r="AL250" s="38">
        <f>O250-AH250+AG250-AH251+AG251</f>
        <v>139232.5</v>
      </c>
      <c r="AM250" s="38">
        <f>0+1220+610+610+0+610+610+610+610+610+610+610+915+1220</f>
        <v>8845</v>
      </c>
      <c r="AN250" s="38">
        <f>3660+3660+3660+3660+3660+3660+3660+3660+3660</f>
        <v>32940</v>
      </c>
      <c r="AO250" s="38">
        <f>AM250+AN250</f>
        <v>41785</v>
      </c>
      <c r="AP250" s="60"/>
      <c r="AQ250" s="60"/>
      <c r="AR250" s="60"/>
      <c r="AS250" s="60"/>
      <c r="AT250" s="60"/>
      <c r="AU250" s="60"/>
      <c r="AV250" s="26"/>
      <c r="AW250" s="60"/>
      <c r="AX250" s="60"/>
      <c r="AY250" s="60"/>
      <c r="AZ250" s="60"/>
      <c r="BA250" s="60"/>
      <c r="BB250" s="22"/>
      <c r="BC250" s="43"/>
      <c r="BD250" s="60"/>
      <c r="BE250" s="60"/>
      <c r="BF250" s="60"/>
      <c r="BG250" s="60"/>
      <c r="BH250" s="60"/>
      <c r="BI250" s="60"/>
      <c r="BJ250" s="60"/>
      <c r="BK250" s="60"/>
      <c r="BL250" s="60"/>
      <c r="BM250" s="60"/>
    </row>
    <row r="251" spans="1:65" ht="60" x14ac:dyDescent="0.25">
      <c r="A251" s="160"/>
      <c r="B251" s="154"/>
      <c r="C251" s="19"/>
      <c r="D251" s="27"/>
      <c r="E251" s="19"/>
      <c r="F251" s="32"/>
      <c r="G251" s="32"/>
      <c r="H251" s="19"/>
      <c r="I251" s="19"/>
      <c r="J251" s="19"/>
      <c r="K251" s="19"/>
      <c r="L251" s="143"/>
      <c r="M251" s="27"/>
      <c r="N251" s="27"/>
      <c r="O251" s="78"/>
      <c r="P251" s="27"/>
      <c r="Q251" s="27"/>
      <c r="R251" s="27"/>
      <c r="S251" s="27"/>
      <c r="T251" s="32"/>
      <c r="U251" s="148"/>
      <c r="V251" s="148"/>
      <c r="W251" s="32"/>
      <c r="X251" s="33" t="s">
        <v>1261</v>
      </c>
      <c r="Y251" s="26" t="s">
        <v>140</v>
      </c>
      <c r="Z251" s="63">
        <v>43259</v>
      </c>
      <c r="AA251" s="64">
        <v>12327</v>
      </c>
      <c r="AB251" s="33" t="s">
        <v>1610</v>
      </c>
      <c r="AC251" s="65">
        <v>43268</v>
      </c>
      <c r="AD251" s="65">
        <v>43465</v>
      </c>
      <c r="AE251" s="60"/>
      <c r="AF251" s="60"/>
      <c r="AG251" s="74">
        <v>29432.5</v>
      </c>
      <c r="AH251" s="74"/>
      <c r="AI251" s="74"/>
      <c r="AJ251" s="74"/>
      <c r="AK251" s="74"/>
      <c r="AL251" s="38"/>
      <c r="AM251" s="38"/>
      <c r="AN251" s="38"/>
      <c r="AO251" s="38"/>
      <c r="AP251" s="62"/>
      <c r="AQ251" s="60"/>
      <c r="AR251" s="60"/>
      <c r="AS251" s="60"/>
      <c r="AT251" s="60"/>
      <c r="AU251" s="60"/>
      <c r="AV251" s="26"/>
      <c r="AW251" s="60"/>
      <c r="AX251" s="60"/>
      <c r="AY251" s="60"/>
      <c r="AZ251" s="60"/>
      <c r="BA251" s="60"/>
      <c r="BB251" s="22"/>
      <c r="BC251" s="43"/>
      <c r="BD251" s="60"/>
      <c r="BE251" s="60"/>
      <c r="BF251" s="60"/>
      <c r="BG251" s="60"/>
      <c r="BH251" s="60"/>
      <c r="BI251" s="60"/>
      <c r="BJ251" s="60"/>
      <c r="BK251" s="60"/>
      <c r="BL251" s="60"/>
      <c r="BM251" s="60"/>
    </row>
    <row r="252" spans="1:65" ht="150" x14ac:dyDescent="0.25">
      <c r="A252" s="159">
        <v>49</v>
      </c>
      <c r="B252" s="154" t="s">
        <v>615</v>
      </c>
      <c r="C252" s="19" t="s">
        <v>465</v>
      </c>
      <c r="D252" s="27" t="s">
        <v>616</v>
      </c>
      <c r="E252" s="19" t="s">
        <v>124</v>
      </c>
      <c r="F252" s="32" t="s">
        <v>617</v>
      </c>
      <c r="G252" s="28" t="s">
        <v>626</v>
      </c>
      <c r="H252" s="20" t="s">
        <v>464</v>
      </c>
      <c r="I252" s="29">
        <v>42473</v>
      </c>
      <c r="J252" s="29">
        <v>42838</v>
      </c>
      <c r="K252" s="19" t="s">
        <v>600</v>
      </c>
      <c r="L252" s="143" t="s">
        <v>335</v>
      </c>
      <c r="M252" s="27" t="s">
        <v>355</v>
      </c>
      <c r="N252" s="31">
        <v>42545</v>
      </c>
      <c r="O252" s="78">
        <v>138349.20000000001</v>
      </c>
      <c r="P252" s="30">
        <v>11842</v>
      </c>
      <c r="Q252" s="31">
        <v>42545</v>
      </c>
      <c r="R252" s="31">
        <v>42910</v>
      </c>
      <c r="S252" s="27" t="s">
        <v>618</v>
      </c>
      <c r="T252" s="32"/>
      <c r="U252" s="148"/>
      <c r="V252" s="148"/>
      <c r="W252" s="32" t="s">
        <v>135</v>
      </c>
      <c r="X252" s="72" t="s">
        <v>365</v>
      </c>
      <c r="Y252" s="26" t="s">
        <v>136</v>
      </c>
      <c r="Z252" s="63">
        <v>42719</v>
      </c>
      <c r="AA252" s="64">
        <v>11965</v>
      </c>
      <c r="AB252" s="33" t="s">
        <v>669</v>
      </c>
      <c r="AC252" s="60"/>
      <c r="AD252" s="60"/>
      <c r="AE252" s="60"/>
      <c r="AF252" s="60"/>
      <c r="AG252" s="74">
        <v>5263.98</v>
      </c>
      <c r="AH252" s="74"/>
      <c r="AI252" s="74"/>
      <c r="AJ252" s="74"/>
      <c r="AK252" s="74"/>
      <c r="AL252" s="38">
        <f>O252-AH252+AG252-AH253+AG253-AH254+AG254</f>
        <v>361561.80000000005</v>
      </c>
      <c r="AM252" s="38">
        <f>2231.43+4611.64+4611.64+4611.64+4611.64+4611.64+4790.08+4790.08+4790.08+9260.56+11256.59+11975.2+11975.2+10618.01+11975.2+9580.16+9580.16</f>
        <v>125880.95</v>
      </c>
      <c r="AN252" s="38">
        <f>11975.2+26185.77+11975+11975.2+11975.2+11975.2+11975.2+11975.2+11975.2+11975.2</f>
        <v>133962.37</v>
      </c>
      <c r="AO252" s="38">
        <f>AM252+AN252</f>
        <v>259843.32</v>
      </c>
      <c r="AP252" s="56" t="s">
        <v>464</v>
      </c>
      <c r="AQ252" s="61">
        <v>42473</v>
      </c>
      <c r="AR252" s="61">
        <v>42838</v>
      </c>
      <c r="AS252" s="60" t="s">
        <v>755</v>
      </c>
      <c r="AT252" s="60" t="s">
        <v>619</v>
      </c>
      <c r="AU252" s="73" t="s">
        <v>627</v>
      </c>
      <c r="AV252" s="26"/>
      <c r="AW252" s="60"/>
      <c r="AX252" s="60"/>
      <c r="AY252" s="60"/>
      <c r="AZ252" s="60"/>
      <c r="BA252" s="60"/>
      <c r="BB252" s="22"/>
      <c r="BC252" s="43"/>
      <c r="BD252" s="60"/>
      <c r="BE252" s="60"/>
      <c r="BF252" s="60"/>
      <c r="BG252" s="60"/>
      <c r="BH252" s="60"/>
      <c r="BI252" s="60"/>
      <c r="BJ252" s="60"/>
      <c r="BK252" s="60"/>
      <c r="BL252" s="60"/>
      <c r="BM252" s="60"/>
    </row>
    <row r="253" spans="1:65" ht="60" x14ac:dyDescent="0.25">
      <c r="A253" s="159"/>
      <c r="B253" s="154"/>
      <c r="C253" s="19"/>
      <c r="D253" s="27"/>
      <c r="E253" s="19"/>
      <c r="F253" s="32"/>
      <c r="G253" s="28"/>
      <c r="H253" s="20"/>
      <c r="I253" s="29"/>
      <c r="J253" s="29"/>
      <c r="K253" s="19"/>
      <c r="L253" s="143"/>
      <c r="M253" s="27"/>
      <c r="N253" s="31"/>
      <c r="O253" s="78"/>
      <c r="P253" s="30"/>
      <c r="Q253" s="31"/>
      <c r="R253" s="31"/>
      <c r="S253" s="27"/>
      <c r="T253" s="32"/>
      <c r="U253" s="148"/>
      <c r="V253" s="148"/>
      <c r="W253" s="32"/>
      <c r="X253" s="33" t="s">
        <v>1261</v>
      </c>
      <c r="Y253" s="26" t="s">
        <v>140</v>
      </c>
      <c r="Z253" s="63">
        <v>42910</v>
      </c>
      <c r="AA253" s="64">
        <v>12093</v>
      </c>
      <c r="AB253" s="33" t="s">
        <v>1008</v>
      </c>
      <c r="AC253" s="65">
        <v>42910</v>
      </c>
      <c r="AD253" s="65">
        <v>43275</v>
      </c>
      <c r="AE253" s="60"/>
      <c r="AF253" s="60"/>
      <c r="AG253" s="74">
        <v>143702.39999999999</v>
      </c>
      <c r="AH253" s="74"/>
      <c r="AI253" s="74"/>
      <c r="AJ253" s="74"/>
      <c r="AK253" s="74"/>
      <c r="AL253" s="38"/>
      <c r="AM253" s="38"/>
      <c r="AN253" s="38"/>
      <c r="AO253" s="38"/>
      <c r="AP253" s="53"/>
      <c r="AQ253" s="61"/>
      <c r="AR253" s="61"/>
      <c r="AS253" s="60"/>
      <c r="AT253" s="60"/>
      <c r="AU253" s="73"/>
      <c r="AV253" s="26"/>
      <c r="AW253" s="60"/>
      <c r="AX253" s="60"/>
      <c r="AY253" s="60"/>
      <c r="AZ253" s="60"/>
      <c r="BA253" s="60"/>
      <c r="BB253" s="22"/>
      <c r="BC253" s="43"/>
      <c r="BD253" s="60"/>
      <c r="BE253" s="60"/>
      <c r="BF253" s="60"/>
      <c r="BG253" s="60"/>
      <c r="BH253" s="60"/>
      <c r="BI253" s="60"/>
      <c r="BJ253" s="60"/>
      <c r="BK253" s="60"/>
      <c r="BL253" s="60"/>
      <c r="BM253" s="60"/>
    </row>
    <row r="254" spans="1:65" ht="60" x14ac:dyDescent="0.25">
      <c r="A254" s="159"/>
      <c r="B254" s="154"/>
      <c r="C254" s="19"/>
      <c r="D254" s="27"/>
      <c r="E254" s="19"/>
      <c r="F254" s="32"/>
      <c r="G254" s="32"/>
      <c r="H254" s="19"/>
      <c r="I254" s="19"/>
      <c r="J254" s="19"/>
      <c r="K254" s="19"/>
      <c r="L254" s="143"/>
      <c r="M254" s="27"/>
      <c r="N254" s="27"/>
      <c r="O254" s="78"/>
      <c r="P254" s="27"/>
      <c r="Q254" s="27"/>
      <c r="R254" s="27"/>
      <c r="S254" s="27"/>
      <c r="T254" s="32"/>
      <c r="U254" s="148"/>
      <c r="V254" s="148"/>
      <c r="W254" s="32"/>
      <c r="X254" s="33" t="s">
        <v>1261</v>
      </c>
      <c r="Y254" s="26" t="s">
        <v>185</v>
      </c>
      <c r="Z254" s="63">
        <v>43275</v>
      </c>
      <c r="AA254" s="64">
        <v>12353</v>
      </c>
      <c r="AB254" s="33" t="s">
        <v>1688</v>
      </c>
      <c r="AC254" s="65">
        <v>43275</v>
      </c>
      <c r="AD254" s="65">
        <v>43465</v>
      </c>
      <c r="AE254" s="60"/>
      <c r="AF254" s="60"/>
      <c r="AG254" s="74">
        <v>74246.22</v>
      </c>
      <c r="AH254" s="74"/>
      <c r="AI254" s="74"/>
      <c r="AJ254" s="74"/>
      <c r="AK254" s="74"/>
      <c r="AL254" s="38"/>
      <c r="AM254" s="38"/>
      <c r="AN254" s="38"/>
      <c r="AO254" s="38"/>
      <c r="AP254" s="56"/>
      <c r="AQ254" s="61"/>
      <c r="AR254" s="61"/>
      <c r="AS254" s="60"/>
      <c r="AT254" s="60"/>
      <c r="AU254" s="73"/>
      <c r="AV254" s="26"/>
      <c r="AW254" s="60"/>
      <c r="AX254" s="60"/>
      <c r="AY254" s="60"/>
      <c r="AZ254" s="60"/>
      <c r="BA254" s="60"/>
      <c r="BB254" s="22"/>
      <c r="BC254" s="43"/>
      <c r="BD254" s="60"/>
      <c r="BE254" s="60"/>
      <c r="BF254" s="60"/>
      <c r="BG254" s="60"/>
      <c r="BH254" s="60"/>
      <c r="BI254" s="60"/>
      <c r="BJ254" s="60"/>
      <c r="BK254" s="60"/>
      <c r="BL254" s="60"/>
      <c r="BM254" s="60"/>
    </row>
    <row r="255" spans="1:65" ht="60" x14ac:dyDescent="0.25">
      <c r="A255" s="159">
        <v>50</v>
      </c>
      <c r="B255" s="154" t="s">
        <v>578</v>
      </c>
      <c r="C255" s="19" t="s">
        <v>470</v>
      </c>
      <c r="D255" s="27" t="s">
        <v>207</v>
      </c>
      <c r="E255" s="19" t="s">
        <v>124</v>
      </c>
      <c r="F255" s="32" t="s">
        <v>581</v>
      </c>
      <c r="G255" s="28" t="s">
        <v>625</v>
      </c>
      <c r="H255" s="20" t="s">
        <v>469</v>
      </c>
      <c r="I255" s="29">
        <v>42467</v>
      </c>
      <c r="J255" s="29">
        <v>42832</v>
      </c>
      <c r="K255" s="19" t="s">
        <v>614</v>
      </c>
      <c r="L255" s="143" t="s">
        <v>624</v>
      </c>
      <c r="M255" s="27" t="s">
        <v>413</v>
      </c>
      <c r="N255" s="31">
        <v>42577</v>
      </c>
      <c r="O255" s="78">
        <v>53988</v>
      </c>
      <c r="P255" s="30">
        <v>11859</v>
      </c>
      <c r="Q255" s="31">
        <v>42577</v>
      </c>
      <c r="R255" s="31">
        <v>42942</v>
      </c>
      <c r="S255" s="27" t="s">
        <v>243</v>
      </c>
      <c r="T255" s="32"/>
      <c r="U255" s="148"/>
      <c r="V255" s="148"/>
      <c r="W255" s="59" t="s">
        <v>135</v>
      </c>
      <c r="X255" s="33" t="s">
        <v>861</v>
      </c>
      <c r="Y255" s="26" t="s">
        <v>136</v>
      </c>
      <c r="Z255" s="63">
        <v>42942</v>
      </c>
      <c r="AA255" s="64">
        <v>12108</v>
      </c>
      <c r="AB255" s="33" t="s">
        <v>883</v>
      </c>
      <c r="AC255" s="65">
        <v>42942</v>
      </c>
      <c r="AD255" s="65">
        <v>43307</v>
      </c>
      <c r="AE255" s="60"/>
      <c r="AF255" s="60"/>
      <c r="AG255" s="74"/>
      <c r="AH255" s="74"/>
      <c r="AI255" s="74"/>
      <c r="AJ255" s="74"/>
      <c r="AK255" s="74"/>
      <c r="AL255" s="38">
        <f>O255-AH255+AG255-AH256+AG256</f>
        <v>77082.880000000005</v>
      </c>
      <c r="AM255" s="38">
        <f>0+5399+4499+8998+4499+4499+4499+4499+4499+4499+8798+4499+4499+4499</f>
        <v>68185</v>
      </c>
      <c r="AN255" s="38">
        <f>4499+4499+4499+4499+4499+4499+4499+4499+4499+4499</f>
        <v>44990</v>
      </c>
      <c r="AO255" s="38">
        <f>AM255+AN255</f>
        <v>113175</v>
      </c>
      <c r="AP255" s="60"/>
      <c r="AQ255" s="60"/>
      <c r="AR255" s="60"/>
      <c r="AS255" s="60"/>
      <c r="AT255" s="60"/>
      <c r="AU255" s="60"/>
      <c r="AV255" s="26"/>
      <c r="AW255" s="60"/>
      <c r="AX255" s="60"/>
      <c r="AY255" s="60"/>
      <c r="AZ255" s="60"/>
      <c r="BA255" s="60"/>
      <c r="BB255" s="22"/>
      <c r="BC255" s="43"/>
      <c r="BD255" s="60"/>
      <c r="BE255" s="60"/>
      <c r="BF255" s="60"/>
      <c r="BG255" s="60"/>
      <c r="BH255" s="60"/>
      <c r="BI255" s="60"/>
      <c r="BJ255" s="60"/>
      <c r="BK255" s="60"/>
      <c r="BL255" s="60"/>
      <c r="BM255" s="60"/>
    </row>
    <row r="256" spans="1:65" ht="60" x14ac:dyDescent="0.25">
      <c r="A256" s="159"/>
      <c r="B256" s="154"/>
      <c r="C256" s="19"/>
      <c r="D256" s="27"/>
      <c r="E256" s="19"/>
      <c r="F256" s="32"/>
      <c r="G256" s="32"/>
      <c r="H256" s="19"/>
      <c r="I256" s="19"/>
      <c r="J256" s="19"/>
      <c r="K256" s="19"/>
      <c r="L256" s="143"/>
      <c r="M256" s="27"/>
      <c r="N256" s="27"/>
      <c r="O256" s="78"/>
      <c r="P256" s="27"/>
      <c r="Q256" s="27"/>
      <c r="R256" s="27"/>
      <c r="S256" s="27"/>
      <c r="T256" s="32"/>
      <c r="U256" s="148"/>
      <c r="V256" s="148"/>
      <c r="W256" s="32"/>
      <c r="X256" s="33" t="s">
        <v>1261</v>
      </c>
      <c r="Y256" s="26" t="s">
        <v>140</v>
      </c>
      <c r="Z256" s="63">
        <v>43301</v>
      </c>
      <c r="AA256" s="64">
        <v>12356</v>
      </c>
      <c r="AB256" s="33" t="s">
        <v>1707</v>
      </c>
      <c r="AC256" s="65">
        <v>43307</v>
      </c>
      <c r="AD256" s="65">
        <v>43465</v>
      </c>
      <c r="AE256" s="60"/>
      <c r="AF256" s="60"/>
      <c r="AG256" s="74">
        <v>23094.880000000001</v>
      </c>
      <c r="AH256" s="74"/>
      <c r="AI256" s="74"/>
      <c r="AJ256" s="74"/>
      <c r="AK256" s="74"/>
      <c r="AL256" s="38"/>
      <c r="AM256" s="38"/>
      <c r="AN256" s="38"/>
      <c r="AO256" s="38"/>
      <c r="AP256" s="62"/>
      <c r="AQ256" s="62"/>
      <c r="AR256" s="60"/>
      <c r="AS256" s="60"/>
      <c r="AT256" s="60"/>
      <c r="AU256" s="60"/>
      <c r="AV256" s="26"/>
      <c r="AW256" s="60"/>
      <c r="AX256" s="60"/>
      <c r="AY256" s="60"/>
      <c r="AZ256" s="60"/>
      <c r="BA256" s="60"/>
      <c r="BB256" s="22"/>
      <c r="BC256" s="43"/>
      <c r="BD256" s="60"/>
      <c r="BE256" s="60"/>
      <c r="BF256" s="60"/>
      <c r="BG256" s="60"/>
      <c r="BH256" s="60"/>
      <c r="BI256" s="60"/>
      <c r="BJ256" s="60"/>
      <c r="BK256" s="60"/>
      <c r="BL256" s="60"/>
      <c r="BM256" s="60"/>
    </row>
    <row r="257" spans="1:65" ht="90" x14ac:dyDescent="0.25">
      <c r="A257" s="159">
        <v>51</v>
      </c>
      <c r="B257" s="154" t="s">
        <v>651</v>
      </c>
      <c r="C257" s="19" t="s">
        <v>474</v>
      </c>
      <c r="D257" s="27" t="s">
        <v>128</v>
      </c>
      <c r="E257" s="19" t="s">
        <v>124</v>
      </c>
      <c r="F257" s="32" t="s">
        <v>654</v>
      </c>
      <c r="G257" s="32" t="s">
        <v>655</v>
      </c>
      <c r="H257" s="20" t="s">
        <v>472</v>
      </c>
      <c r="I257" s="29">
        <v>42706</v>
      </c>
      <c r="J257" s="29">
        <v>43071</v>
      </c>
      <c r="K257" s="19" t="s">
        <v>649</v>
      </c>
      <c r="L257" s="143" t="s">
        <v>652</v>
      </c>
      <c r="M257" s="27" t="s">
        <v>653</v>
      </c>
      <c r="N257" s="31">
        <v>42709</v>
      </c>
      <c r="O257" s="78">
        <v>139387.97</v>
      </c>
      <c r="P257" s="30">
        <v>11956</v>
      </c>
      <c r="Q257" s="31">
        <v>42709</v>
      </c>
      <c r="R257" s="31">
        <v>43074</v>
      </c>
      <c r="S257" s="27" t="s">
        <v>605</v>
      </c>
      <c r="T257" s="32"/>
      <c r="U257" s="148"/>
      <c r="V257" s="148"/>
      <c r="W257" s="32" t="s">
        <v>135</v>
      </c>
      <c r="X257" s="72" t="s">
        <v>365</v>
      </c>
      <c r="Y257" s="26" t="s">
        <v>136</v>
      </c>
      <c r="Z257" s="63">
        <v>42845</v>
      </c>
      <c r="AA257" s="64">
        <v>12045</v>
      </c>
      <c r="AB257" s="33" t="s">
        <v>902</v>
      </c>
      <c r="AC257" s="60"/>
      <c r="AD257" s="60"/>
      <c r="AE257" s="60">
        <v>0.71</v>
      </c>
      <c r="AF257" s="60"/>
      <c r="AG257" s="74">
        <v>989.73</v>
      </c>
      <c r="AH257" s="74"/>
      <c r="AI257" s="74"/>
      <c r="AJ257" s="74"/>
      <c r="AK257" s="74"/>
      <c r="AL257" s="38">
        <f>O257-AH257+AG257-AH258+AG258-AH259+AG259</f>
        <v>294763.03000000003</v>
      </c>
      <c r="AM257" s="38">
        <f>0+139387.97+989.73+1425.23</f>
        <v>141802.93000000002</v>
      </c>
      <c r="AN257" s="38">
        <f>152960.1</f>
        <v>152960.1</v>
      </c>
      <c r="AO257" s="38">
        <f>AM257+AN257</f>
        <v>294763.03000000003</v>
      </c>
      <c r="AP257" s="60"/>
      <c r="AQ257" s="60"/>
      <c r="AR257" s="60"/>
      <c r="AS257" s="60"/>
      <c r="AT257" s="60"/>
      <c r="AU257" s="60"/>
      <c r="AV257" s="26"/>
      <c r="AW257" s="60"/>
      <c r="AX257" s="60"/>
      <c r="AY257" s="60"/>
      <c r="AZ257" s="60"/>
      <c r="BA257" s="60"/>
      <c r="BB257" s="22"/>
      <c r="BC257" s="43"/>
      <c r="BD257" s="60"/>
      <c r="BE257" s="60"/>
      <c r="BF257" s="60"/>
      <c r="BG257" s="60"/>
      <c r="BH257" s="60"/>
      <c r="BI257" s="60"/>
      <c r="BJ257" s="60"/>
      <c r="BK257" s="60"/>
      <c r="BL257" s="60"/>
      <c r="BM257" s="60"/>
    </row>
    <row r="258" spans="1:65" ht="105" x14ac:dyDescent="0.25">
      <c r="A258" s="161"/>
      <c r="B258" s="154"/>
      <c r="C258" s="19"/>
      <c r="D258" s="27"/>
      <c r="E258" s="19"/>
      <c r="F258" s="32"/>
      <c r="G258" s="32"/>
      <c r="H258" s="20"/>
      <c r="I258" s="29"/>
      <c r="J258" s="29"/>
      <c r="K258" s="19"/>
      <c r="L258" s="143"/>
      <c r="M258" s="27"/>
      <c r="N258" s="31"/>
      <c r="O258" s="78"/>
      <c r="P258" s="30"/>
      <c r="Q258" s="31"/>
      <c r="R258" s="31"/>
      <c r="S258" s="27"/>
      <c r="T258" s="32"/>
      <c r="U258" s="148"/>
      <c r="V258" s="148"/>
      <c r="W258" s="32"/>
      <c r="X258" s="72" t="s">
        <v>365</v>
      </c>
      <c r="Y258" s="26" t="s">
        <v>140</v>
      </c>
      <c r="Z258" s="63">
        <v>43045</v>
      </c>
      <c r="AA258" s="64">
        <v>12181</v>
      </c>
      <c r="AB258" s="33" t="s">
        <v>1133</v>
      </c>
      <c r="AC258" s="60"/>
      <c r="AD258" s="60"/>
      <c r="AE258" s="60">
        <v>1.02</v>
      </c>
      <c r="AF258" s="60"/>
      <c r="AG258" s="74">
        <v>1425.23</v>
      </c>
      <c r="AH258" s="74"/>
      <c r="AI258" s="74"/>
      <c r="AJ258" s="74"/>
      <c r="AK258" s="74"/>
      <c r="AL258" s="38"/>
      <c r="AM258" s="38"/>
      <c r="AN258" s="38"/>
      <c r="AO258" s="38"/>
      <c r="AP258" s="60"/>
      <c r="AQ258" s="60"/>
      <c r="AR258" s="60"/>
      <c r="AS258" s="60"/>
      <c r="AT258" s="60"/>
      <c r="AU258" s="60"/>
      <c r="AV258" s="26"/>
      <c r="AW258" s="60"/>
      <c r="AX258" s="60"/>
      <c r="AY258" s="60"/>
      <c r="AZ258" s="60"/>
      <c r="BA258" s="60"/>
      <c r="BB258" s="22"/>
      <c r="BC258" s="43"/>
      <c r="BD258" s="60"/>
      <c r="BE258" s="60"/>
      <c r="BF258" s="60"/>
      <c r="BG258" s="60"/>
      <c r="BH258" s="60"/>
      <c r="BI258" s="60"/>
      <c r="BJ258" s="60"/>
      <c r="BK258" s="60"/>
      <c r="BL258" s="60"/>
      <c r="BM258" s="60"/>
    </row>
    <row r="259" spans="1:65" ht="60" x14ac:dyDescent="0.25">
      <c r="A259" s="161"/>
      <c r="B259" s="154"/>
      <c r="C259" s="19"/>
      <c r="D259" s="27"/>
      <c r="E259" s="19"/>
      <c r="F259" s="32"/>
      <c r="G259" s="32"/>
      <c r="H259" s="19"/>
      <c r="I259" s="19"/>
      <c r="J259" s="19"/>
      <c r="K259" s="19"/>
      <c r="L259" s="143"/>
      <c r="M259" s="27"/>
      <c r="N259" s="27"/>
      <c r="O259" s="78"/>
      <c r="P259" s="27"/>
      <c r="Q259" s="27"/>
      <c r="R259" s="27"/>
      <c r="S259" s="27"/>
      <c r="T259" s="32"/>
      <c r="U259" s="148"/>
      <c r="V259" s="148"/>
      <c r="W259" s="32"/>
      <c r="X259" s="33" t="s">
        <v>1261</v>
      </c>
      <c r="Y259" s="26" t="s">
        <v>185</v>
      </c>
      <c r="Z259" s="63">
        <v>43068</v>
      </c>
      <c r="AA259" s="64">
        <v>12195</v>
      </c>
      <c r="AB259" s="33" t="s">
        <v>941</v>
      </c>
      <c r="AC259" s="65">
        <v>43074</v>
      </c>
      <c r="AD259" s="65">
        <v>43439</v>
      </c>
      <c r="AE259" s="60"/>
      <c r="AF259" s="60"/>
      <c r="AG259" s="74">
        <v>152960.1</v>
      </c>
      <c r="AH259" s="74"/>
      <c r="AI259" s="74"/>
      <c r="AJ259" s="74"/>
      <c r="AK259" s="74"/>
      <c r="AL259" s="38"/>
      <c r="AM259" s="38"/>
      <c r="AN259" s="38"/>
      <c r="AO259" s="38"/>
      <c r="AP259" s="60"/>
      <c r="AQ259" s="60"/>
      <c r="AR259" s="60"/>
      <c r="AS259" s="60"/>
      <c r="AT259" s="60"/>
      <c r="AU259" s="60"/>
      <c r="AV259" s="26"/>
      <c r="AW259" s="60"/>
      <c r="AX259" s="60"/>
      <c r="AY259" s="60"/>
      <c r="AZ259" s="60"/>
      <c r="BA259" s="60"/>
      <c r="BB259" s="22"/>
      <c r="BC259" s="43"/>
      <c r="BD259" s="60"/>
      <c r="BE259" s="60"/>
      <c r="BF259" s="60"/>
      <c r="BG259" s="60"/>
      <c r="BH259" s="60"/>
      <c r="BI259" s="60"/>
      <c r="BJ259" s="60"/>
      <c r="BK259" s="60"/>
      <c r="BL259" s="60"/>
      <c r="BM259" s="60"/>
    </row>
    <row r="260" spans="1:65" ht="90" x14ac:dyDescent="0.25">
      <c r="A260" s="162">
        <v>52</v>
      </c>
      <c r="B260" s="155">
        <v>37998</v>
      </c>
      <c r="C260" s="22" t="s">
        <v>676</v>
      </c>
      <c r="D260" s="43" t="s">
        <v>143</v>
      </c>
      <c r="E260" s="22" t="s">
        <v>278</v>
      </c>
      <c r="F260" s="33" t="s">
        <v>940</v>
      </c>
      <c r="G260" s="33" t="s">
        <v>930</v>
      </c>
      <c r="H260" s="23"/>
      <c r="I260" s="35"/>
      <c r="J260" s="35"/>
      <c r="K260" s="22" t="s">
        <v>679</v>
      </c>
      <c r="L260" s="140" t="s">
        <v>937</v>
      </c>
      <c r="M260" s="43" t="s">
        <v>931</v>
      </c>
      <c r="N260" s="61">
        <v>42797</v>
      </c>
      <c r="O260" s="77">
        <v>902090.64</v>
      </c>
      <c r="P260" s="76">
        <v>12032</v>
      </c>
      <c r="Q260" s="61">
        <v>42797</v>
      </c>
      <c r="R260" s="61">
        <v>43162</v>
      </c>
      <c r="S260" s="43" t="s">
        <v>198</v>
      </c>
      <c r="T260" s="22"/>
      <c r="U260" s="77"/>
      <c r="V260" s="77"/>
      <c r="W260" s="33" t="s">
        <v>208</v>
      </c>
      <c r="X260" s="33" t="s">
        <v>1261</v>
      </c>
      <c r="Y260" s="22" t="s">
        <v>136</v>
      </c>
      <c r="Z260" s="35">
        <v>43161</v>
      </c>
      <c r="AA260" s="34">
        <v>12259</v>
      </c>
      <c r="AB260" s="33" t="s">
        <v>1569</v>
      </c>
      <c r="AC260" s="61">
        <v>43162</v>
      </c>
      <c r="AD260" s="61">
        <v>43527</v>
      </c>
      <c r="AE260" s="43"/>
      <c r="AF260" s="46"/>
      <c r="AG260" s="77">
        <v>902090.64</v>
      </c>
      <c r="AH260" s="77"/>
      <c r="AI260" s="77"/>
      <c r="AJ260" s="77"/>
      <c r="AK260" s="77"/>
      <c r="AL260" s="74">
        <f>O260-AH260+AG260</f>
        <v>1804181.28</v>
      </c>
      <c r="AM260" s="77">
        <f>70162.61+75174.22+75174.22+75174.22+75174.22+75174.22+75174.22</f>
        <v>521207.92999999993</v>
      </c>
      <c r="AN260" s="77">
        <f>75174.22+150348.44+75174.22+75174.22+150348.44+75174.22+75174.22+75174.22+75174.22+75174.22</f>
        <v>902090.6399999999</v>
      </c>
      <c r="AO260" s="77">
        <f t="shared" ref="AO260:AO270" si="0">AM260+AN260</f>
        <v>1423298.5699999998</v>
      </c>
      <c r="AP260" s="37"/>
      <c r="AQ260" s="43"/>
      <c r="AR260" s="43"/>
      <c r="AS260" s="43"/>
      <c r="AT260" s="43"/>
      <c r="AU260" s="43"/>
      <c r="AV260" s="43"/>
      <c r="AW260" s="43"/>
      <c r="AX260" s="43"/>
      <c r="AY260" s="43"/>
      <c r="AZ260" s="43"/>
      <c r="BA260" s="43"/>
      <c r="BB260" s="22"/>
      <c r="BC260" s="43"/>
      <c r="BD260" s="43"/>
      <c r="BE260" s="43"/>
      <c r="BF260" s="43"/>
      <c r="BG260" s="43"/>
      <c r="BH260" s="60"/>
      <c r="BI260" s="60"/>
      <c r="BJ260" s="60"/>
      <c r="BK260" s="60"/>
      <c r="BL260" s="60"/>
      <c r="BM260" s="60"/>
    </row>
    <row r="261" spans="1:65" ht="60" x14ac:dyDescent="0.25">
      <c r="A261" s="159">
        <v>53</v>
      </c>
      <c r="B261" s="154" t="s">
        <v>615</v>
      </c>
      <c r="C261" s="19" t="s">
        <v>465</v>
      </c>
      <c r="D261" s="27" t="s">
        <v>1334</v>
      </c>
      <c r="E261" s="19" t="s">
        <v>278</v>
      </c>
      <c r="F261" s="32" t="s">
        <v>715</v>
      </c>
      <c r="G261" s="28" t="s">
        <v>626</v>
      </c>
      <c r="H261" s="20" t="s">
        <v>464</v>
      </c>
      <c r="I261" s="29">
        <v>42473</v>
      </c>
      <c r="J261" s="29">
        <v>42838</v>
      </c>
      <c r="K261" s="19" t="s">
        <v>710</v>
      </c>
      <c r="L261" s="143" t="s">
        <v>713</v>
      </c>
      <c r="M261" s="27" t="s">
        <v>714</v>
      </c>
      <c r="N261" s="31">
        <v>42768</v>
      </c>
      <c r="O261" s="78">
        <v>448306.8</v>
      </c>
      <c r="P261" s="30" t="s">
        <v>762</v>
      </c>
      <c r="Q261" s="31">
        <v>42768</v>
      </c>
      <c r="R261" s="31">
        <v>43133</v>
      </c>
      <c r="S261" s="27" t="s">
        <v>134</v>
      </c>
      <c r="T261" s="32"/>
      <c r="U261" s="148"/>
      <c r="V261" s="148"/>
      <c r="W261" s="32" t="s">
        <v>135</v>
      </c>
      <c r="X261" s="33" t="s">
        <v>1261</v>
      </c>
      <c r="Y261" s="22" t="s">
        <v>136</v>
      </c>
      <c r="Z261" s="35">
        <v>43133</v>
      </c>
      <c r="AA261" s="34">
        <v>12259</v>
      </c>
      <c r="AB261" s="33" t="s">
        <v>1330</v>
      </c>
      <c r="AC261" s="61">
        <v>43133</v>
      </c>
      <c r="AD261" s="79">
        <v>43314</v>
      </c>
      <c r="AE261" s="43"/>
      <c r="AF261" s="46"/>
      <c r="AG261" s="77">
        <v>224153.4</v>
      </c>
      <c r="AH261" s="77"/>
      <c r="AI261" s="77"/>
      <c r="AJ261" s="77"/>
      <c r="AK261" s="77"/>
      <c r="AL261" s="38">
        <f>O261-AH261+AG261-AH262+AG262</f>
        <v>859254.7</v>
      </c>
      <c r="AM261" s="38">
        <f>17434.15+18679.45+21917.22+26151.23+26151.23</f>
        <v>110333.28</v>
      </c>
      <c r="AN261" s="38">
        <f>26151.23+52302.46+29887.12+29887.12+29887.12+29887.12+29887.12+29887.12+29389+29513.53</f>
        <v>316678.93999999994</v>
      </c>
      <c r="AO261" s="38">
        <f t="shared" si="0"/>
        <v>427012.22</v>
      </c>
      <c r="AP261" s="37"/>
      <c r="AQ261" s="43"/>
      <c r="AR261" s="43"/>
      <c r="AS261" s="43"/>
      <c r="AT261" s="43"/>
      <c r="AU261" s="43"/>
      <c r="AV261" s="43"/>
      <c r="AW261" s="43"/>
      <c r="AX261" s="43"/>
      <c r="AY261" s="43"/>
      <c r="AZ261" s="43"/>
      <c r="BA261" s="43"/>
      <c r="BB261" s="22"/>
      <c r="BC261" s="43"/>
      <c r="BD261" s="43"/>
      <c r="BE261" s="43"/>
      <c r="BF261" s="43"/>
      <c r="BG261" s="43"/>
      <c r="BH261" s="26"/>
      <c r="BI261" s="26"/>
      <c r="BJ261" s="26"/>
      <c r="BK261" s="26"/>
      <c r="BL261" s="26"/>
      <c r="BM261" s="26"/>
    </row>
    <row r="262" spans="1:65" ht="60" x14ac:dyDescent="0.25">
      <c r="A262" s="159"/>
      <c r="B262" s="154"/>
      <c r="C262" s="19"/>
      <c r="D262" s="27"/>
      <c r="E262" s="19"/>
      <c r="F262" s="32"/>
      <c r="G262" s="32"/>
      <c r="H262" s="19"/>
      <c r="I262" s="19"/>
      <c r="J262" s="19"/>
      <c r="K262" s="19"/>
      <c r="L262" s="143"/>
      <c r="M262" s="27"/>
      <c r="N262" s="27"/>
      <c r="O262" s="78"/>
      <c r="P262" s="27"/>
      <c r="Q262" s="27"/>
      <c r="R262" s="27"/>
      <c r="S262" s="27"/>
      <c r="T262" s="32"/>
      <c r="U262" s="148"/>
      <c r="V262" s="148"/>
      <c r="W262" s="32"/>
      <c r="X262" s="33" t="s">
        <v>1261</v>
      </c>
      <c r="Y262" s="22" t="s">
        <v>140</v>
      </c>
      <c r="Z262" s="35">
        <v>43311</v>
      </c>
      <c r="AA262" s="34">
        <v>12358</v>
      </c>
      <c r="AB262" s="33" t="s">
        <v>1712</v>
      </c>
      <c r="AC262" s="79">
        <v>43314</v>
      </c>
      <c r="AD262" s="79">
        <v>43465</v>
      </c>
      <c r="AE262" s="43"/>
      <c r="AF262" s="46"/>
      <c r="AG262" s="77">
        <v>186794.5</v>
      </c>
      <c r="AH262" s="77"/>
      <c r="AI262" s="77"/>
      <c r="AJ262" s="77"/>
      <c r="AK262" s="77"/>
      <c r="AL262" s="38"/>
      <c r="AM262" s="38"/>
      <c r="AN262" s="38"/>
      <c r="AO262" s="38"/>
      <c r="AP262" s="22"/>
      <c r="AQ262" s="43"/>
      <c r="AR262" s="43"/>
      <c r="AS262" s="43"/>
      <c r="AT262" s="43"/>
      <c r="AU262" s="43"/>
      <c r="AV262" s="43"/>
      <c r="AW262" s="43"/>
      <c r="AX262" s="43"/>
      <c r="AY262" s="43"/>
      <c r="AZ262" s="43"/>
      <c r="BA262" s="43"/>
      <c r="BB262" s="22"/>
      <c r="BC262" s="43"/>
      <c r="BD262" s="43"/>
      <c r="BE262" s="43"/>
      <c r="BF262" s="43"/>
      <c r="BG262" s="43"/>
      <c r="BH262" s="26"/>
      <c r="BI262" s="26"/>
      <c r="BJ262" s="26"/>
      <c r="BK262" s="26"/>
      <c r="BL262" s="26"/>
      <c r="BM262" s="26"/>
    </row>
    <row r="263" spans="1:65" ht="45" x14ac:dyDescent="0.25">
      <c r="A263" s="159">
        <v>54</v>
      </c>
      <c r="B263" s="154" t="s">
        <v>615</v>
      </c>
      <c r="C263" s="19" t="s">
        <v>676</v>
      </c>
      <c r="D263" s="27" t="s">
        <v>843</v>
      </c>
      <c r="E263" s="19" t="s">
        <v>278</v>
      </c>
      <c r="F263" s="32" t="s">
        <v>844</v>
      </c>
      <c r="G263" s="28" t="s">
        <v>878</v>
      </c>
      <c r="H263" s="20" t="s">
        <v>464</v>
      </c>
      <c r="I263" s="29">
        <v>42473</v>
      </c>
      <c r="J263" s="29">
        <v>42838</v>
      </c>
      <c r="K263" s="45" t="s">
        <v>845</v>
      </c>
      <c r="L263" s="143" t="s">
        <v>335</v>
      </c>
      <c r="M263" s="27" t="s">
        <v>355</v>
      </c>
      <c r="N263" s="31">
        <v>42814</v>
      </c>
      <c r="O263" s="78">
        <v>580653.36</v>
      </c>
      <c r="P263" s="30">
        <v>12020</v>
      </c>
      <c r="Q263" s="31">
        <v>42814</v>
      </c>
      <c r="R263" s="31">
        <v>43179</v>
      </c>
      <c r="S263" s="27" t="s">
        <v>618</v>
      </c>
      <c r="T263" s="19"/>
      <c r="U263" s="38"/>
      <c r="V263" s="38"/>
      <c r="W263" s="32" t="s">
        <v>135</v>
      </c>
      <c r="X263" s="33" t="s">
        <v>1261</v>
      </c>
      <c r="Y263" s="22" t="s">
        <v>136</v>
      </c>
      <c r="Z263" s="35">
        <v>43175</v>
      </c>
      <c r="AA263" s="34">
        <v>12264</v>
      </c>
      <c r="AB263" s="33" t="s">
        <v>1404</v>
      </c>
      <c r="AC263" s="61">
        <v>43179</v>
      </c>
      <c r="AD263" s="61">
        <v>43363</v>
      </c>
      <c r="AE263" s="22"/>
      <c r="AF263" s="22"/>
      <c r="AG263" s="25">
        <v>290326.68</v>
      </c>
      <c r="AH263" s="25"/>
      <c r="AI263" s="25"/>
      <c r="AJ263" s="25"/>
      <c r="AK263" s="25"/>
      <c r="AL263" s="38">
        <f>O263-AH263+AG263-AH264+AG264-AH265+AG265</f>
        <v>1067994.56</v>
      </c>
      <c r="AM263" s="38">
        <f>0+1972.87+2466.09+12072.56+17997.51+18757.28+18757.28+18757.28+18757.28</f>
        <v>109538.15</v>
      </c>
      <c r="AN263" s="38">
        <f>18757.28+22776+54259.21+33418.15+36618.24+38553.18+39520.85+39520.65+39595.07+36384.77</f>
        <v>359403.4</v>
      </c>
      <c r="AO263" s="38">
        <f t="shared" si="0"/>
        <v>468941.55000000005</v>
      </c>
      <c r="AP263" s="22"/>
      <c r="AQ263" s="22"/>
      <c r="AR263" s="22"/>
      <c r="AS263" s="22"/>
      <c r="AT263" s="22"/>
      <c r="AU263" s="26"/>
      <c r="AV263" s="26"/>
      <c r="AW263" s="26"/>
      <c r="AX263" s="26"/>
      <c r="AY263" s="26"/>
      <c r="AZ263" s="26"/>
      <c r="BA263" s="26"/>
      <c r="BB263" s="26"/>
      <c r="BC263" s="60"/>
      <c r="BD263" s="26"/>
      <c r="BE263" s="26"/>
      <c r="BF263" s="26"/>
      <c r="BG263" s="26"/>
      <c r="BH263" s="26"/>
      <c r="BI263" s="26"/>
      <c r="BJ263" s="26"/>
      <c r="BK263" s="26"/>
      <c r="BL263" s="26"/>
      <c r="BM263" s="26"/>
    </row>
    <row r="264" spans="1:65" ht="90" x14ac:dyDescent="0.25">
      <c r="A264" s="159"/>
      <c r="B264" s="154"/>
      <c r="C264" s="19"/>
      <c r="D264" s="27"/>
      <c r="E264" s="19"/>
      <c r="F264" s="32"/>
      <c r="G264" s="28"/>
      <c r="H264" s="20"/>
      <c r="I264" s="29"/>
      <c r="J264" s="29"/>
      <c r="K264" s="45"/>
      <c r="L264" s="143"/>
      <c r="M264" s="27"/>
      <c r="N264" s="31"/>
      <c r="O264" s="78"/>
      <c r="P264" s="30"/>
      <c r="Q264" s="31"/>
      <c r="R264" s="31"/>
      <c r="S264" s="27"/>
      <c r="T264" s="19"/>
      <c r="U264" s="38"/>
      <c r="V264" s="38"/>
      <c r="W264" s="32"/>
      <c r="X264" s="33" t="s">
        <v>365</v>
      </c>
      <c r="Y264" s="22" t="s">
        <v>140</v>
      </c>
      <c r="Z264" s="35">
        <v>43222</v>
      </c>
      <c r="AA264" s="34">
        <v>12313</v>
      </c>
      <c r="AB264" s="33" t="s">
        <v>1556</v>
      </c>
      <c r="AC264" s="61"/>
      <c r="AD264" s="61"/>
      <c r="AE264" s="22"/>
      <c r="AF264" s="22"/>
      <c r="AG264" s="25">
        <v>20837.759999999998</v>
      </c>
      <c r="AH264" s="25"/>
      <c r="AI264" s="25"/>
      <c r="AJ264" s="25"/>
      <c r="AK264" s="25"/>
      <c r="AL264" s="38"/>
      <c r="AM264" s="38"/>
      <c r="AN264" s="38"/>
      <c r="AO264" s="38"/>
      <c r="AP264" s="37"/>
      <c r="AQ264" s="22"/>
      <c r="AR264" s="22"/>
      <c r="AS264" s="22"/>
      <c r="AT264" s="22"/>
      <c r="AU264" s="26"/>
      <c r="AV264" s="26"/>
      <c r="AW264" s="26"/>
      <c r="AX264" s="26"/>
      <c r="AY264" s="26"/>
      <c r="AZ264" s="26"/>
      <c r="BA264" s="26"/>
      <c r="BB264" s="26"/>
      <c r="BC264" s="60"/>
      <c r="BD264" s="26"/>
      <c r="BE264" s="26"/>
      <c r="BF264" s="26"/>
      <c r="BG264" s="26"/>
      <c r="BH264" s="26"/>
      <c r="BI264" s="26"/>
      <c r="BJ264" s="26"/>
      <c r="BK264" s="26"/>
      <c r="BL264" s="26"/>
      <c r="BM264" s="26"/>
    </row>
    <row r="265" spans="1:65" ht="60" x14ac:dyDescent="0.25">
      <c r="A265" s="159"/>
      <c r="B265" s="154"/>
      <c r="C265" s="19"/>
      <c r="D265" s="27"/>
      <c r="E265" s="19"/>
      <c r="F265" s="32"/>
      <c r="G265" s="32"/>
      <c r="H265" s="19"/>
      <c r="I265" s="19"/>
      <c r="J265" s="19"/>
      <c r="K265" s="19"/>
      <c r="L265" s="143"/>
      <c r="M265" s="27"/>
      <c r="N265" s="27"/>
      <c r="O265" s="78"/>
      <c r="P265" s="27"/>
      <c r="Q265" s="27"/>
      <c r="R265" s="27"/>
      <c r="S265" s="27"/>
      <c r="T265" s="19"/>
      <c r="U265" s="38"/>
      <c r="V265" s="38"/>
      <c r="W265" s="32"/>
      <c r="X265" s="33" t="s">
        <v>1261</v>
      </c>
      <c r="Y265" s="22" t="s">
        <v>185</v>
      </c>
      <c r="Z265" s="35">
        <v>43354</v>
      </c>
      <c r="AA265" s="34">
        <v>12387</v>
      </c>
      <c r="AB265" s="33" t="s">
        <v>1809</v>
      </c>
      <c r="AC265" s="61">
        <v>43363</v>
      </c>
      <c r="AD265" s="61">
        <v>43465</v>
      </c>
      <c r="AE265" s="22"/>
      <c r="AF265" s="22"/>
      <c r="AG265" s="25">
        <v>176176.76</v>
      </c>
      <c r="AH265" s="25"/>
      <c r="AI265" s="25"/>
      <c r="AJ265" s="25"/>
      <c r="AK265" s="25"/>
      <c r="AL265" s="38"/>
      <c r="AM265" s="38"/>
      <c r="AN265" s="38"/>
      <c r="AO265" s="38"/>
      <c r="AP265" s="22"/>
      <c r="AQ265" s="22"/>
      <c r="AR265" s="22"/>
      <c r="AS265" s="22"/>
      <c r="AT265" s="22"/>
      <c r="AU265" s="26"/>
      <c r="AV265" s="26"/>
      <c r="AW265" s="26"/>
      <c r="AX265" s="26"/>
      <c r="AY265" s="26"/>
      <c r="AZ265" s="26"/>
      <c r="BA265" s="26"/>
      <c r="BB265" s="26"/>
      <c r="BC265" s="60"/>
      <c r="BD265" s="26"/>
      <c r="BE265" s="26"/>
      <c r="BF265" s="26"/>
      <c r="BG265" s="26"/>
      <c r="BH265" s="26"/>
      <c r="BI265" s="26"/>
      <c r="BJ265" s="26"/>
      <c r="BK265" s="26"/>
      <c r="BL265" s="26"/>
      <c r="BM265" s="26"/>
    </row>
    <row r="266" spans="1:65" ht="45" x14ac:dyDescent="0.25">
      <c r="A266" s="159">
        <v>55</v>
      </c>
      <c r="B266" s="154" t="s">
        <v>578</v>
      </c>
      <c r="C266" s="19" t="s">
        <v>470</v>
      </c>
      <c r="D266" s="27" t="s">
        <v>128</v>
      </c>
      <c r="E266" s="19" t="s">
        <v>278</v>
      </c>
      <c r="F266" s="32" t="s">
        <v>869</v>
      </c>
      <c r="G266" s="28" t="s">
        <v>875</v>
      </c>
      <c r="H266" s="20" t="s">
        <v>469</v>
      </c>
      <c r="I266" s="29">
        <v>42467</v>
      </c>
      <c r="J266" s="29">
        <v>42832</v>
      </c>
      <c r="K266" s="45" t="s">
        <v>868</v>
      </c>
      <c r="L266" s="143" t="s">
        <v>624</v>
      </c>
      <c r="M266" s="27" t="s">
        <v>413</v>
      </c>
      <c r="N266" s="31">
        <v>42825</v>
      </c>
      <c r="O266" s="78">
        <v>50400</v>
      </c>
      <c r="P266" s="30">
        <v>12028</v>
      </c>
      <c r="Q266" s="31">
        <v>42825</v>
      </c>
      <c r="R266" s="31">
        <v>43190</v>
      </c>
      <c r="S266" s="27" t="s">
        <v>198</v>
      </c>
      <c r="T266" s="32"/>
      <c r="U266" s="148"/>
      <c r="V266" s="148"/>
      <c r="W266" s="32" t="s">
        <v>135</v>
      </c>
      <c r="X266" s="33" t="s">
        <v>1261</v>
      </c>
      <c r="Y266" s="22" t="s">
        <v>136</v>
      </c>
      <c r="Z266" s="35">
        <v>43189</v>
      </c>
      <c r="AA266" s="34">
        <v>12281</v>
      </c>
      <c r="AB266" s="33" t="s">
        <v>1447</v>
      </c>
      <c r="AC266" s="35">
        <v>43190</v>
      </c>
      <c r="AD266" s="35">
        <v>43373</v>
      </c>
      <c r="AE266" s="22"/>
      <c r="AF266" s="22"/>
      <c r="AG266" s="25">
        <v>25200</v>
      </c>
      <c r="AH266" s="25"/>
      <c r="AI266" s="25"/>
      <c r="AJ266" s="25"/>
      <c r="AK266" s="25"/>
      <c r="AL266" s="38">
        <f>O266-AH266+AG266-AH267+AG267</f>
        <v>88200</v>
      </c>
      <c r="AM266" s="38">
        <f>4200+4200+4200+8400+4200+4200+4200</f>
        <v>33600</v>
      </c>
      <c r="AN266" s="38">
        <f>4200+4200+4200+4200+4200+4200+4200+4200+4200+4200</f>
        <v>42000</v>
      </c>
      <c r="AO266" s="38">
        <f t="shared" si="0"/>
        <v>75600</v>
      </c>
      <c r="AP266" s="37"/>
      <c r="AQ266" s="22"/>
      <c r="AR266" s="22"/>
      <c r="AS266" s="22"/>
      <c r="AT266" s="22"/>
      <c r="AU266" s="26"/>
      <c r="AV266" s="26"/>
      <c r="AW266" s="26"/>
      <c r="AX266" s="26"/>
      <c r="AY266" s="26"/>
      <c r="AZ266" s="26"/>
      <c r="BA266" s="26"/>
      <c r="BB266" s="26"/>
      <c r="BC266" s="60"/>
      <c r="BD266" s="26"/>
      <c r="BE266" s="26"/>
      <c r="BF266" s="26"/>
      <c r="BG266" s="26"/>
      <c r="BH266" s="26"/>
      <c r="BI266" s="26"/>
      <c r="BJ266" s="26"/>
      <c r="BK266" s="26"/>
      <c r="BL266" s="26"/>
      <c r="BM266" s="26"/>
    </row>
    <row r="267" spans="1:65" ht="45" x14ac:dyDescent="0.25">
      <c r="A267" s="159"/>
      <c r="B267" s="154"/>
      <c r="C267" s="19"/>
      <c r="D267" s="27"/>
      <c r="E267" s="19"/>
      <c r="F267" s="32"/>
      <c r="G267" s="32"/>
      <c r="H267" s="19"/>
      <c r="I267" s="19"/>
      <c r="J267" s="19"/>
      <c r="K267" s="45"/>
      <c r="L267" s="143"/>
      <c r="M267" s="27"/>
      <c r="N267" s="27"/>
      <c r="O267" s="78"/>
      <c r="P267" s="27"/>
      <c r="Q267" s="27"/>
      <c r="R267" s="27"/>
      <c r="S267" s="27"/>
      <c r="T267" s="32"/>
      <c r="U267" s="148"/>
      <c r="V267" s="148"/>
      <c r="W267" s="32"/>
      <c r="X267" s="33" t="s">
        <v>1261</v>
      </c>
      <c r="Y267" s="22" t="s">
        <v>140</v>
      </c>
      <c r="Z267" s="35">
        <v>43371</v>
      </c>
      <c r="AA267" s="34">
        <v>12415</v>
      </c>
      <c r="AB267" s="33" t="s">
        <v>1862</v>
      </c>
      <c r="AC267" s="35">
        <v>43373</v>
      </c>
      <c r="AD267" s="61">
        <v>43465</v>
      </c>
      <c r="AE267" s="22"/>
      <c r="AF267" s="22"/>
      <c r="AG267" s="25">
        <v>12600</v>
      </c>
      <c r="AH267" s="25"/>
      <c r="AI267" s="25"/>
      <c r="AJ267" s="25"/>
      <c r="AK267" s="25"/>
      <c r="AL267" s="38"/>
      <c r="AM267" s="38"/>
      <c r="AN267" s="38"/>
      <c r="AO267" s="38"/>
      <c r="AP267" s="37"/>
      <c r="AQ267" s="22"/>
      <c r="AR267" s="22"/>
      <c r="AS267" s="22"/>
      <c r="AT267" s="22"/>
      <c r="AU267" s="26"/>
      <c r="AV267" s="26"/>
      <c r="AW267" s="26"/>
      <c r="AX267" s="26"/>
      <c r="AY267" s="26"/>
      <c r="AZ267" s="26"/>
      <c r="BA267" s="26"/>
      <c r="BB267" s="26"/>
      <c r="BC267" s="60"/>
      <c r="BD267" s="26"/>
      <c r="BE267" s="26"/>
      <c r="BF267" s="26"/>
      <c r="BG267" s="26"/>
      <c r="BH267" s="26"/>
      <c r="BI267" s="26"/>
      <c r="BJ267" s="26"/>
      <c r="BK267" s="26"/>
      <c r="BL267" s="26"/>
      <c r="BM267" s="26"/>
    </row>
    <row r="268" spans="1:65" ht="45" x14ac:dyDescent="0.25">
      <c r="A268" s="159">
        <v>56</v>
      </c>
      <c r="B268" s="154" t="s">
        <v>870</v>
      </c>
      <c r="C268" s="19" t="s">
        <v>680</v>
      </c>
      <c r="D268" s="27" t="s">
        <v>128</v>
      </c>
      <c r="E268" s="19" t="s">
        <v>278</v>
      </c>
      <c r="F268" s="32" t="s">
        <v>872</v>
      </c>
      <c r="G268" s="32" t="s">
        <v>876</v>
      </c>
      <c r="H268" s="20" t="s">
        <v>683</v>
      </c>
      <c r="I268" s="29">
        <v>42775</v>
      </c>
      <c r="J268" s="29">
        <v>43140</v>
      </c>
      <c r="K268" s="45" t="s">
        <v>874</v>
      </c>
      <c r="L268" s="143" t="s">
        <v>232</v>
      </c>
      <c r="M268" s="27" t="s">
        <v>871</v>
      </c>
      <c r="N268" s="31">
        <v>42828</v>
      </c>
      <c r="O268" s="78">
        <v>117990</v>
      </c>
      <c r="P268" s="30">
        <v>12028</v>
      </c>
      <c r="Q268" s="31">
        <v>42828</v>
      </c>
      <c r="R268" s="31">
        <v>43100</v>
      </c>
      <c r="S268" s="27" t="s">
        <v>198</v>
      </c>
      <c r="T268" s="32"/>
      <c r="U268" s="148"/>
      <c r="V268" s="148"/>
      <c r="W268" s="32" t="s">
        <v>873</v>
      </c>
      <c r="X268" s="33" t="s">
        <v>1261</v>
      </c>
      <c r="Y268" s="22" t="s">
        <v>136</v>
      </c>
      <c r="Z268" s="35">
        <v>43082</v>
      </c>
      <c r="AA268" s="34">
        <v>12228</v>
      </c>
      <c r="AB268" s="33" t="s">
        <v>1228</v>
      </c>
      <c r="AC268" s="35">
        <v>43100</v>
      </c>
      <c r="AD268" s="35">
        <v>43281</v>
      </c>
      <c r="AE268" s="22"/>
      <c r="AF268" s="22"/>
      <c r="AG268" s="25">
        <v>58995</v>
      </c>
      <c r="AH268" s="25"/>
      <c r="AI268" s="25"/>
      <c r="AJ268" s="25"/>
      <c r="AK268" s="25"/>
      <c r="AL268" s="38">
        <f>O268-AH268+AG268-AH269+AG269</f>
        <v>235980</v>
      </c>
      <c r="AM268" s="38">
        <f>0+3560</f>
        <v>3560</v>
      </c>
      <c r="AN268" s="38">
        <f>4120+2670</f>
        <v>6790</v>
      </c>
      <c r="AO268" s="38">
        <f t="shared" si="0"/>
        <v>10350</v>
      </c>
      <c r="AP268" s="22"/>
      <c r="AQ268" s="22"/>
      <c r="AR268" s="22"/>
      <c r="AS268" s="22"/>
      <c r="AT268" s="22"/>
      <c r="AU268" s="26"/>
      <c r="AV268" s="26"/>
      <c r="AW268" s="26"/>
      <c r="AX268" s="26"/>
      <c r="AY268" s="26"/>
      <c r="AZ268" s="26"/>
      <c r="BA268" s="26"/>
      <c r="BB268" s="26"/>
      <c r="BC268" s="60"/>
      <c r="BD268" s="26"/>
      <c r="BE268" s="26"/>
      <c r="BF268" s="26"/>
      <c r="BG268" s="26"/>
      <c r="BH268" s="26"/>
      <c r="BI268" s="26"/>
      <c r="BJ268" s="26"/>
      <c r="BK268" s="26"/>
      <c r="BL268" s="26"/>
      <c r="BM268" s="26"/>
    </row>
    <row r="269" spans="1:65" ht="45" x14ac:dyDescent="0.25">
      <c r="A269" s="159"/>
      <c r="B269" s="154"/>
      <c r="C269" s="19"/>
      <c r="D269" s="27"/>
      <c r="E269" s="19"/>
      <c r="F269" s="32"/>
      <c r="G269" s="32"/>
      <c r="H269" s="19"/>
      <c r="I269" s="19"/>
      <c r="J269" s="19"/>
      <c r="K269" s="45"/>
      <c r="L269" s="143"/>
      <c r="M269" s="27"/>
      <c r="N269" s="31"/>
      <c r="O269" s="78"/>
      <c r="P269" s="27"/>
      <c r="Q269" s="31"/>
      <c r="R269" s="31"/>
      <c r="S269" s="27"/>
      <c r="T269" s="32"/>
      <c r="U269" s="148"/>
      <c r="V269" s="148"/>
      <c r="W269" s="32"/>
      <c r="X269" s="33" t="s">
        <v>1261</v>
      </c>
      <c r="Y269" s="22" t="s">
        <v>140</v>
      </c>
      <c r="Z269" s="35">
        <v>43276</v>
      </c>
      <c r="AA269" s="34">
        <v>12334</v>
      </c>
      <c r="AB269" s="33" t="s">
        <v>1229</v>
      </c>
      <c r="AC269" s="35">
        <v>43281</v>
      </c>
      <c r="AD269" s="35">
        <v>43465</v>
      </c>
      <c r="AE269" s="22"/>
      <c r="AF269" s="22"/>
      <c r="AG269" s="25">
        <v>58995</v>
      </c>
      <c r="AH269" s="25"/>
      <c r="AI269" s="25"/>
      <c r="AJ269" s="25"/>
      <c r="AK269" s="25"/>
      <c r="AL269" s="38"/>
      <c r="AM269" s="38"/>
      <c r="AN269" s="38"/>
      <c r="AO269" s="38"/>
      <c r="AP269" s="37"/>
      <c r="AQ269" s="22"/>
      <c r="AR269" s="22"/>
      <c r="AS269" s="22"/>
      <c r="AT269" s="22"/>
      <c r="AU269" s="26"/>
      <c r="AV269" s="26"/>
      <c r="AW269" s="26"/>
      <c r="AX269" s="26"/>
      <c r="AY269" s="26"/>
      <c r="AZ269" s="26"/>
      <c r="BA269" s="26"/>
      <c r="BB269" s="26"/>
      <c r="BC269" s="60"/>
      <c r="BD269" s="26"/>
      <c r="BE269" s="26"/>
      <c r="BF269" s="26"/>
      <c r="BG269" s="26"/>
      <c r="BH269" s="26"/>
      <c r="BI269" s="26"/>
      <c r="BJ269" s="26"/>
      <c r="BK269" s="26"/>
      <c r="BL269" s="26"/>
      <c r="BM269" s="26"/>
    </row>
    <row r="270" spans="1:65" x14ac:dyDescent="0.25">
      <c r="A270" s="160">
        <v>57</v>
      </c>
      <c r="B270" s="154" t="s">
        <v>933</v>
      </c>
      <c r="C270" s="19" t="s">
        <v>677</v>
      </c>
      <c r="D270" s="80" t="s">
        <v>225</v>
      </c>
      <c r="E270" s="19" t="s">
        <v>278</v>
      </c>
      <c r="F270" s="32" t="s">
        <v>934</v>
      </c>
      <c r="G270" s="32" t="s">
        <v>936</v>
      </c>
      <c r="H270" s="20"/>
      <c r="I270" s="20"/>
      <c r="J270" s="20"/>
      <c r="K270" s="45" t="s">
        <v>932</v>
      </c>
      <c r="L270" s="143" t="s">
        <v>423</v>
      </c>
      <c r="M270" s="27" t="s">
        <v>384</v>
      </c>
      <c r="N270" s="31">
        <v>42878</v>
      </c>
      <c r="O270" s="78">
        <v>141102.53</v>
      </c>
      <c r="P270" s="30">
        <v>12061</v>
      </c>
      <c r="Q270" s="31">
        <v>42878</v>
      </c>
      <c r="R270" s="31">
        <v>42998</v>
      </c>
      <c r="S270" s="27" t="s">
        <v>198</v>
      </c>
      <c r="T270" s="19"/>
      <c r="U270" s="38"/>
      <c r="V270" s="38"/>
      <c r="W270" s="32" t="s">
        <v>227</v>
      </c>
      <c r="X270" s="33"/>
      <c r="Y270" s="22"/>
      <c r="Z270" s="35"/>
      <c r="AA270" s="34"/>
      <c r="AB270" s="33"/>
      <c r="AC270" s="35"/>
      <c r="AD270" s="35"/>
      <c r="AE270" s="22"/>
      <c r="AF270" s="22"/>
      <c r="AG270" s="25"/>
      <c r="AH270" s="25"/>
      <c r="AI270" s="25"/>
      <c r="AJ270" s="25"/>
      <c r="AK270" s="25"/>
      <c r="AL270" s="75">
        <f>O270-AH270+AG270-AH274+AG274</f>
        <v>175742.52</v>
      </c>
      <c r="AM270" s="38">
        <f>36022.32+33335.35</f>
        <v>69357.67</v>
      </c>
      <c r="AN270" s="38">
        <f>31386.5+39009.69+30227.93+5760.73</f>
        <v>106384.84999999999</v>
      </c>
      <c r="AO270" s="38">
        <f t="shared" si="0"/>
        <v>175742.52</v>
      </c>
      <c r="AP270" s="22"/>
      <c r="AQ270" s="22"/>
      <c r="AR270" s="22"/>
      <c r="AS270" s="22"/>
      <c r="AT270" s="22"/>
      <c r="AU270" s="26"/>
      <c r="AV270" s="26"/>
      <c r="AW270" s="26"/>
      <c r="AX270" s="26"/>
      <c r="AY270" s="26"/>
      <c r="AZ270" s="26"/>
      <c r="BA270" s="26"/>
      <c r="BB270" s="14" t="s">
        <v>1095</v>
      </c>
      <c r="BC270" s="27" t="s">
        <v>1020</v>
      </c>
      <c r="BD270" s="35">
        <v>42935</v>
      </c>
      <c r="BE270" s="63">
        <v>43025</v>
      </c>
      <c r="BF270" s="26"/>
      <c r="BG270" s="26"/>
      <c r="BH270" s="26"/>
      <c r="BI270" s="14" t="s">
        <v>757</v>
      </c>
      <c r="BJ270" s="14" t="s">
        <v>756</v>
      </c>
      <c r="BK270" s="26"/>
      <c r="BL270" s="26"/>
      <c r="BM270" s="26"/>
    </row>
    <row r="271" spans="1:65" ht="75" x14ac:dyDescent="0.25">
      <c r="A271" s="160"/>
      <c r="B271" s="154"/>
      <c r="C271" s="19"/>
      <c r="D271" s="80"/>
      <c r="E271" s="19"/>
      <c r="F271" s="32"/>
      <c r="G271" s="32"/>
      <c r="H271" s="20"/>
      <c r="I271" s="20"/>
      <c r="J271" s="20"/>
      <c r="K271" s="45"/>
      <c r="L271" s="143"/>
      <c r="M271" s="27"/>
      <c r="N271" s="31"/>
      <c r="O271" s="78"/>
      <c r="P271" s="30"/>
      <c r="Q271" s="31"/>
      <c r="R271" s="31"/>
      <c r="S271" s="27"/>
      <c r="T271" s="19"/>
      <c r="U271" s="38"/>
      <c r="V271" s="38"/>
      <c r="W271" s="32"/>
      <c r="X271" s="33" t="s">
        <v>861</v>
      </c>
      <c r="Y271" s="22" t="s">
        <v>136</v>
      </c>
      <c r="Z271" s="35">
        <v>42997</v>
      </c>
      <c r="AA271" s="34">
        <v>12164</v>
      </c>
      <c r="AB271" s="33" t="s">
        <v>1094</v>
      </c>
      <c r="AC271" s="35">
        <v>42998</v>
      </c>
      <c r="AD271" s="35">
        <v>43088</v>
      </c>
      <c r="AE271" s="22"/>
      <c r="AF271" s="22"/>
      <c r="AG271" s="25"/>
      <c r="AH271" s="25"/>
      <c r="AI271" s="25"/>
      <c r="AJ271" s="25"/>
      <c r="AK271" s="25"/>
      <c r="AL271" s="75"/>
      <c r="AM271" s="38"/>
      <c r="AN271" s="38"/>
      <c r="AO271" s="38"/>
      <c r="AP271" s="22"/>
      <c r="AQ271" s="22"/>
      <c r="AR271" s="22"/>
      <c r="AS271" s="22"/>
      <c r="AT271" s="22"/>
      <c r="AU271" s="26"/>
      <c r="AV271" s="26"/>
      <c r="AW271" s="26"/>
      <c r="AX271" s="26"/>
      <c r="AY271" s="26"/>
      <c r="AZ271" s="26"/>
      <c r="BA271" s="26"/>
      <c r="BB271" s="14"/>
      <c r="BC271" s="27"/>
      <c r="BD271" s="63">
        <v>43025</v>
      </c>
      <c r="BE271" s="63">
        <v>43115</v>
      </c>
      <c r="BF271" s="26"/>
      <c r="BG271" s="26"/>
      <c r="BH271" s="26"/>
      <c r="BI271" s="14"/>
      <c r="BJ271" s="14"/>
      <c r="BK271" s="26"/>
      <c r="BL271" s="26"/>
      <c r="BM271" s="26"/>
    </row>
    <row r="272" spans="1:65" ht="75" x14ac:dyDescent="0.25">
      <c r="A272" s="160"/>
      <c r="B272" s="154"/>
      <c r="C272" s="19"/>
      <c r="D272" s="80"/>
      <c r="E272" s="19"/>
      <c r="F272" s="32"/>
      <c r="G272" s="32"/>
      <c r="H272" s="19"/>
      <c r="I272" s="19"/>
      <c r="J272" s="19"/>
      <c r="K272" s="19"/>
      <c r="L272" s="143"/>
      <c r="M272" s="27"/>
      <c r="N272" s="27"/>
      <c r="O272" s="78"/>
      <c r="P272" s="27"/>
      <c r="Q272" s="27"/>
      <c r="R272" s="27"/>
      <c r="S272" s="27"/>
      <c r="T272" s="19"/>
      <c r="U272" s="38"/>
      <c r="V272" s="38"/>
      <c r="W272" s="32"/>
      <c r="X272" s="33" t="s">
        <v>861</v>
      </c>
      <c r="Y272" s="22" t="s">
        <v>140</v>
      </c>
      <c r="Z272" s="35">
        <v>43088</v>
      </c>
      <c r="AA272" s="34">
        <v>12249</v>
      </c>
      <c r="AB272" s="33" t="s">
        <v>1094</v>
      </c>
      <c r="AC272" s="35">
        <v>43088</v>
      </c>
      <c r="AD272" s="35">
        <v>43178</v>
      </c>
      <c r="AE272" s="22"/>
      <c r="AF272" s="22"/>
      <c r="AG272" s="25"/>
      <c r="AH272" s="25"/>
      <c r="AI272" s="25"/>
      <c r="AJ272" s="25"/>
      <c r="AK272" s="25"/>
      <c r="AL272" s="75"/>
      <c r="AM272" s="38"/>
      <c r="AN272" s="38"/>
      <c r="AO272" s="38"/>
      <c r="AP272" s="22"/>
      <c r="AQ272" s="22"/>
      <c r="AR272" s="22"/>
      <c r="AS272" s="22"/>
      <c r="AT272" s="22"/>
      <c r="AU272" s="26"/>
      <c r="AV272" s="26"/>
      <c r="AW272" s="26"/>
      <c r="AX272" s="26"/>
      <c r="AY272" s="26"/>
      <c r="AZ272" s="26"/>
      <c r="BA272" s="26"/>
      <c r="BB272" s="14"/>
      <c r="BC272" s="27"/>
      <c r="BD272" s="63">
        <v>43115</v>
      </c>
      <c r="BE272" s="63">
        <v>43205</v>
      </c>
      <c r="BF272" s="26"/>
      <c r="BG272" s="26"/>
      <c r="BH272" s="26"/>
      <c r="BI272" s="14"/>
      <c r="BJ272" s="14"/>
      <c r="BK272" s="26"/>
      <c r="BL272" s="26"/>
      <c r="BM272" s="26"/>
    </row>
    <row r="273" spans="1:65" ht="90" x14ac:dyDescent="0.25">
      <c r="A273" s="160"/>
      <c r="B273" s="154"/>
      <c r="C273" s="19"/>
      <c r="D273" s="80"/>
      <c r="E273" s="19"/>
      <c r="F273" s="32"/>
      <c r="G273" s="32"/>
      <c r="H273" s="19"/>
      <c r="I273" s="19"/>
      <c r="J273" s="19"/>
      <c r="K273" s="19"/>
      <c r="L273" s="143"/>
      <c r="M273" s="27"/>
      <c r="N273" s="27"/>
      <c r="O273" s="78"/>
      <c r="P273" s="27"/>
      <c r="Q273" s="27"/>
      <c r="R273" s="27"/>
      <c r="S273" s="27"/>
      <c r="T273" s="19"/>
      <c r="U273" s="38"/>
      <c r="V273" s="38"/>
      <c r="W273" s="32"/>
      <c r="X273" s="33" t="s">
        <v>861</v>
      </c>
      <c r="Y273" s="22" t="s">
        <v>185</v>
      </c>
      <c r="Z273" s="35">
        <v>43178</v>
      </c>
      <c r="AA273" s="34">
        <v>12273</v>
      </c>
      <c r="AB273" s="33" t="s">
        <v>1408</v>
      </c>
      <c r="AC273" s="35">
        <v>43178</v>
      </c>
      <c r="AD273" s="35">
        <v>43268</v>
      </c>
      <c r="AE273" s="22"/>
      <c r="AF273" s="22"/>
      <c r="AG273" s="25"/>
      <c r="AH273" s="25"/>
      <c r="AI273" s="25"/>
      <c r="AJ273" s="25"/>
      <c r="AK273" s="25"/>
      <c r="AL273" s="75"/>
      <c r="AM273" s="38"/>
      <c r="AN273" s="38"/>
      <c r="AO273" s="38"/>
      <c r="AP273" s="22"/>
      <c r="AQ273" s="22"/>
      <c r="AR273" s="22"/>
      <c r="AS273" s="22"/>
      <c r="AT273" s="22"/>
      <c r="AU273" s="26"/>
      <c r="AV273" s="26"/>
      <c r="AW273" s="26"/>
      <c r="AX273" s="26"/>
      <c r="AY273" s="26"/>
      <c r="AZ273" s="26"/>
      <c r="BA273" s="26"/>
      <c r="BB273" s="14"/>
      <c r="BC273" s="27"/>
      <c r="BD273" s="63">
        <v>43205</v>
      </c>
      <c r="BE273" s="63">
        <v>43295</v>
      </c>
      <c r="BF273" s="26"/>
      <c r="BG273" s="26"/>
      <c r="BH273" s="26"/>
      <c r="BI273" s="14"/>
      <c r="BJ273" s="14"/>
      <c r="BK273" s="26"/>
      <c r="BL273" s="26"/>
      <c r="BM273" s="26"/>
    </row>
    <row r="274" spans="1:65" ht="150" x14ac:dyDescent="0.25">
      <c r="A274" s="160"/>
      <c r="B274" s="154"/>
      <c r="C274" s="19"/>
      <c r="D274" s="80"/>
      <c r="E274" s="19"/>
      <c r="F274" s="32"/>
      <c r="G274" s="32"/>
      <c r="H274" s="19"/>
      <c r="I274" s="19"/>
      <c r="J274" s="19"/>
      <c r="K274" s="19"/>
      <c r="L274" s="143"/>
      <c r="M274" s="27"/>
      <c r="N274" s="27"/>
      <c r="O274" s="78"/>
      <c r="P274" s="27"/>
      <c r="Q274" s="27"/>
      <c r="R274" s="27"/>
      <c r="S274" s="27"/>
      <c r="T274" s="19"/>
      <c r="U274" s="38"/>
      <c r="V274" s="38"/>
      <c r="W274" s="32"/>
      <c r="X274" s="33" t="s">
        <v>365</v>
      </c>
      <c r="Y274" s="22" t="s">
        <v>186</v>
      </c>
      <c r="Z274" s="35">
        <v>43206</v>
      </c>
      <c r="AA274" s="34">
        <v>12285</v>
      </c>
      <c r="AB274" s="33" t="s">
        <v>1450</v>
      </c>
      <c r="AC274" s="35"/>
      <c r="AD274" s="35"/>
      <c r="AE274" s="22"/>
      <c r="AF274" s="22"/>
      <c r="AG274" s="25">
        <v>35221.769999999997</v>
      </c>
      <c r="AH274" s="25">
        <v>581.78</v>
      </c>
      <c r="AI274" s="25"/>
      <c r="AJ274" s="25"/>
      <c r="AK274" s="25"/>
      <c r="AL274" s="75"/>
      <c r="AM274" s="38"/>
      <c r="AN274" s="38"/>
      <c r="AO274" s="38"/>
      <c r="AP274" s="22"/>
      <c r="AQ274" s="22"/>
      <c r="AR274" s="22"/>
      <c r="AS274" s="22"/>
      <c r="AT274" s="22"/>
      <c r="AU274" s="26"/>
      <c r="AV274" s="26"/>
      <c r="AW274" s="26"/>
      <c r="AX274" s="26"/>
      <c r="AY274" s="26"/>
      <c r="AZ274" s="26"/>
      <c r="BA274" s="26"/>
      <c r="BB274" s="14"/>
      <c r="BC274" s="27"/>
      <c r="BD274" s="63"/>
      <c r="BE274" s="63"/>
      <c r="BF274" s="26"/>
      <c r="BG274" s="26"/>
      <c r="BH274" s="26"/>
      <c r="BI274" s="14"/>
      <c r="BJ274" s="14"/>
      <c r="BK274" s="26"/>
      <c r="BL274" s="26"/>
      <c r="BM274" s="26"/>
    </row>
    <row r="275" spans="1:65" ht="75" x14ac:dyDescent="0.25">
      <c r="A275" s="160"/>
      <c r="B275" s="154"/>
      <c r="C275" s="19"/>
      <c r="D275" s="80"/>
      <c r="E275" s="19"/>
      <c r="F275" s="32"/>
      <c r="G275" s="32"/>
      <c r="H275" s="19"/>
      <c r="I275" s="19"/>
      <c r="J275" s="19"/>
      <c r="K275" s="19"/>
      <c r="L275" s="143"/>
      <c r="M275" s="27"/>
      <c r="N275" s="27"/>
      <c r="O275" s="78"/>
      <c r="P275" s="27"/>
      <c r="Q275" s="27"/>
      <c r="R275" s="27"/>
      <c r="S275" s="27"/>
      <c r="T275" s="19"/>
      <c r="U275" s="38"/>
      <c r="V275" s="38"/>
      <c r="W275" s="32"/>
      <c r="X275" s="33" t="s">
        <v>861</v>
      </c>
      <c r="Y275" s="22" t="s">
        <v>187</v>
      </c>
      <c r="Z275" s="35">
        <v>43265</v>
      </c>
      <c r="AA275" s="34">
        <v>12352</v>
      </c>
      <c r="AB275" s="33" t="s">
        <v>1674</v>
      </c>
      <c r="AC275" s="35">
        <v>43268</v>
      </c>
      <c r="AD275" s="35">
        <v>43328</v>
      </c>
      <c r="AE275" s="22"/>
      <c r="AF275" s="22"/>
      <c r="AG275" s="25"/>
      <c r="AH275" s="25"/>
      <c r="AI275" s="25"/>
      <c r="AJ275" s="25"/>
      <c r="AK275" s="25"/>
      <c r="AL275" s="75"/>
      <c r="AM275" s="38"/>
      <c r="AN275" s="38"/>
      <c r="AO275" s="38"/>
      <c r="AP275" s="22"/>
      <c r="AQ275" s="22"/>
      <c r="AR275" s="22"/>
      <c r="AS275" s="22"/>
      <c r="AT275" s="22"/>
      <c r="AU275" s="26"/>
      <c r="AV275" s="26"/>
      <c r="AW275" s="26"/>
      <c r="AX275" s="26"/>
      <c r="AY275" s="26"/>
      <c r="AZ275" s="26"/>
      <c r="BA275" s="26"/>
      <c r="BB275" s="14"/>
      <c r="BC275" s="27"/>
      <c r="BD275" s="63"/>
      <c r="BE275" s="63"/>
      <c r="BF275" s="26"/>
      <c r="BG275" s="26"/>
      <c r="BH275" s="26"/>
      <c r="BI275" s="14"/>
      <c r="BJ275" s="14"/>
      <c r="BK275" s="26"/>
      <c r="BL275" s="26"/>
      <c r="BM275" s="26"/>
    </row>
    <row r="276" spans="1:65" ht="105" x14ac:dyDescent="0.25">
      <c r="A276" s="163">
        <v>58</v>
      </c>
      <c r="B276" s="155" t="s">
        <v>952</v>
      </c>
      <c r="C276" s="22" t="s">
        <v>677</v>
      </c>
      <c r="D276" s="81" t="s">
        <v>962</v>
      </c>
      <c r="E276" s="22"/>
      <c r="F276" s="33" t="s">
        <v>953</v>
      </c>
      <c r="G276" s="33"/>
      <c r="H276" s="23"/>
      <c r="I276" s="23"/>
      <c r="J276" s="23"/>
      <c r="K276" s="24" t="s">
        <v>951</v>
      </c>
      <c r="L276" s="140" t="s">
        <v>435</v>
      </c>
      <c r="M276" s="43" t="s">
        <v>436</v>
      </c>
      <c r="N276" s="61">
        <v>42898</v>
      </c>
      <c r="O276" s="77">
        <v>465213.22</v>
      </c>
      <c r="P276" s="76">
        <v>12075</v>
      </c>
      <c r="Q276" s="61">
        <v>42898</v>
      </c>
      <c r="R276" s="61">
        <v>43263</v>
      </c>
      <c r="S276" s="43" t="s">
        <v>142</v>
      </c>
      <c r="T276" s="22"/>
      <c r="U276" s="25"/>
      <c r="V276" s="25"/>
      <c r="W276" s="33" t="s">
        <v>135</v>
      </c>
      <c r="X276" s="33" t="s">
        <v>1261</v>
      </c>
      <c r="Y276" s="22" t="s">
        <v>136</v>
      </c>
      <c r="Z276" s="35">
        <v>43263</v>
      </c>
      <c r="AA276" s="34">
        <v>12329</v>
      </c>
      <c r="AB276" s="33" t="s">
        <v>1678</v>
      </c>
      <c r="AC276" s="35">
        <v>43263</v>
      </c>
      <c r="AD276" s="35">
        <v>43465</v>
      </c>
      <c r="AE276" s="22"/>
      <c r="AF276" s="22"/>
      <c r="AG276" s="25">
        <v>253282.78</v>
      </c>
      <c r="AH276" s="25"/>
      <c r="AI276" s="25"/>
      <c r="AJ276" s="25"/>
      <c r="AK276" s="25"/>
      <c r="AL276" s="74">
        <f>O276-AH276+AG276</f>
        <v>718496</v>
      </c>
      <c r="AM276" s="25">
        <f>17110.66</f>
        <v>17110.66</v>
      </c>
      <c r="AN276" s="25">
        <f>8242.17+8242.17+18773.58+13164.25+13164.25+13164.25+15446.01+15797.1+15797.1</f>
        <v>121790.88</v>
      </c>
      <c r="AO276" s="77">
        <f>AM276+AN276</f>
        <v>138901.54</v>
      </c>
      <c r="AP276" s="22" t="s">
        <v>961</v>
      </c>
      <c r="AQ276" s="35">
        <v>42670</v>
      </c>
      <c r="AR276" s="35">
        <v>43035</v>
      </c>
      <c r="AS276" s="34">
        <v>11965</v>
      </c>
      <c r="AT276" s="22" t="s">
        <v>446</v>
      </c>
      <c r="AU276" s="26"/>
      <c r="AV276" s="26"/>
      <c r="AW276" s="26"/>
      <c r="AX276" s="26"/>
      <c r="AY276" s="26"/>
      <c r="AZ276" s="26"/>
      <c r="BA276" s="26"/>
      <c r="BB276" s="26"/>
      <c r="BC276" s="60"/>
      <c r="BD276" s="26"/>
      <c r="BE276" s="26"/>
      <c r="BF276" s="26"/>
      <c r="BG276" s="26"/>
      <c r="BH276" s="26"/>
      <c r="BI276" s="26"/>
      <c r="BJ276" s="26"/>
      <c r="BK276" s="26"/>
      <c r="BL276" s="26"/>
      <c r="BM276" s="26"/>
    </row>
    <row r="277" spans="1:65" ht="90" x14ac:dyDescent="0.25">
      <c r="A277" s="163">
        <v>59</v>
      </c>
      <c r="B277" s="155" t="s">
        <v>956</v>
      </c>
      <c r="C277" s="22" t="s">
        <v>698</v>
      </c>
      <c r="D277" s="81" t="s">
        <v>240</v>
      </c>
      <c r="E277" s="22"/>
      <c r="F277" s="33" t="s">
        <v>955</v>
      </c>
      <c r="G277" s="33"/>
      <c r="H277" s="23"/>
      <c r="I277" s="23"/>
      <c r="J277" s="23"/>
      <c r="K277" s="24" t="s">
        <v>954</v>
      </c>
      <c r="L277" s="140" t="s">
        <v>957</v>
      </c>
      <c r="M277" s="43" t="s">
        <v>958</v>
      </c>
      <c r="N277" s="61">
        <v>42900</v>
      </c>
      <c r="O277" s="77">
        <v>30000</v>
      </c>
      <c r="P277" s="76">
        <v>12081</v>
      </c>
      <c r="Q277" s="61">
        <v>42900</v>
      </c>
      <c r="R277" s="61">
        <v>43265</v>
      </c>
      <c r="S277" s="43" t="s">
        <v>243</v>
      </c>
      <c r="T277" s="22"/>
      <c r="U277" s="25"/>
      <c r="V277" s="25"/>
      <c r="W277" s="33" t="s">
        <v>302</v>
      </c>
      <c r="X277" s="33" t="s">
        <v>1261</v>
      </c>
      <c r="Y277" s="22" t="s">
        <v>136</v>
      </c>
      <c r="Z277" s="35">
        <v>43263</v>
      </c>
      <c r="AA277" s="34">
        <v>12332</v>
      </c>
      <c r="AB277" s="33" t="s">
        <v>1673</v>
      </c>
      <c r="AC277" s="35">
        <v>43265</v>
      </c>
      <c r="AD277" s="35">
        <v>43465</v>
      </c>
      <c r="AE277" s="22"/>
      <c r="AF277" s="22"/>
      <c r="AG277" s="25">
        <v>16333.28</v>
      </c>
      <c r="AH277" s="25"/>
      <c r="AI277" s="25"/>
      <c r="AJ277" s="25"/>
      <c r="AK277" s="25"/>
      <c r="AL277" s="74">
        <f>O277-AH277+AG277</f>
        <v>46333.279999999999</v>
      </c>
      <c r="AM277" s="25">
        <f>2666.66+2500+2500+2500+2500+2500</f>
        <v>15166.66</v>
      </c>
      <c r="AN277" s="25">
        <f>2500+2500+2500+2500+2500+5000+2500+5000</f>
        <v>25000</v>
      </c>
      <c r="AO277" s="77">
        <f>AM277+AN277</f>
        <v>40166.660000000003</v>
      </c>
      <c r="AP277" s="37"/>
      <c r="AQ277" s="22"/>
      <c r="AR277" s="22"/>
      <c r="AS277" s="22"/>
      <c r="AT277" s="22"/>
      <c r="AU277" s="26"/>
      <c r="AV277" s="26" t="s">
        <v>121</v>
      </c>
      <c r="AW277" s="22" t="s">
        <v>977</v>
      </c>
      <c r="AX277" s="64">
        <v>12058</v>
      </c>
      <c r="AY277" s="63">
        <v>42879</v>
      </c>
      <c r="AZ277" s="64">
        <v>12074</v>
      </c>
      <c r="BA277" s="63">
        <v>42900</v>
      </c>
      <c r="BB277" s="26"/>
      <c r="BC277" s="60"/>
      <c r="BD277" s="26"/>
      <c r="BE277" s="26"/>
      <c r="BF277" s="26"/>
      <c r="BG277" s="26"/>
      <c r="BH277" s="26"/>
      <c r="BI277" s="26"/>
      <c r="BJ277" s="26"/>
      <c r="BK277" s="26"/>
      <c r="BL277" s="26"/>
      <c r="BM277" s="26"/>
    </row>
    <row r="278" spans="1:65" x14ac:dyDescent="0.25">
      <c r="A278" s="160">
        <v>60</v>
      </c>
      <c r="B278" s="154" t="s">
        <v>981</v>
      </c>
      <c r="C278" s="19" t="s">
        <v>678</v>
      </c>
      <c r="D278" s="80" t="s">
        <v>225</v>
      </c>
      <c r="E278" s="19" t="s">
        <v>278</v>
      </c>
      <c r="F278" s="32" t="s">
        <v>984</v>
      </c>
      <c r="G278" s="32" t="s">
        <v>1161</v>
      </c>
      <c r="H278" s="20"/>
      <c r="I278" s="20"/>
      <c r="J278" s="20"/>
      <c r="K278" s="45" t="s">
        <v>985</v>
      </c>
      <c r="L278" s="143" t="s">
        <v>982</v>
      </c>
      <c r="M278" s="27" t="s">
        <v>983</v>
      </c>
      <c r="N278" s="31">
        <v>42914</v>
      </c>
      <c r="O278" s="78">
        <v>701807.89</v>
      </c>
      <c r="P278" s="30">
        <v>12084</v>
      </c>
      <c r="Q278" s="31">
        <v>42914</v>
      </c>
      <c r="R278" s="31">
        <v>43124</v>
      </c>
      <c r="S278" s="27" t="s">
        <v>986</v>
      </c>
      <c r="T278" s="32"/>
      <c r="U278" s="148"/>
      <c r="V278" s="148"/>
      <c r="W278" s="32" t="s">
        <v>227</v>
      </c>
      <c r="X278" s="33"/>
      <c r="Y278" s="22"/>
      <c r="Z278" s="22"/>
      <c r="AA278" s="22"/>
      <c r="AB278" s="33"/>
      <c r="AC278" s="22"/>
      <c r="AD278" s="22"/>
      <c r="AE278" s="22"/>
      <c r="AF278" s="22"/>
      <c r="AG278" s="25"/>
      <c r="AH278" s="25"/>
      <c r="AI278" s="25"/>
      <c r="AJ278" s="25"/>
      <c r="AK278" s="25"/>
      <c r="AL278" s="38">
        <f>O278-AH278+AG278-AH281+AG281</f>
        <v>868176.54</v>
      </c>
      <c r="AM278" s="38">
        <f>89183.44+239778.24+35298.38</f>
        <v>364260.06</v>
      </c>
      <c r="AN278" s="38">
        <f>97359.7+45000+47872.53+110000+57958.55</f>
        <v>358190.77999999997</v>
      </c>
      <c r="AO278" s="38">
        <f>AM278+AN278</f>
        <v>722450.84</v>
      </c>
      <c r="AP278" s="22"/>
      <c r="AQ278" s="22"/>
      <c r="AR278" s="22"/>
      <c r="AS278" s="22"/>
      <c r="AT278" s="22"/>
      <c r="AU278" s="26"/>
      <c r="AV278" s="26"/>
      <c r="AW278" s="26"/>
      <c r="AX278" s="26"/>
      <c r="AY278" s="26"/>
      <c r="AZ278" s="26"/>
      <c r="BA278" s="26"/>
      <c r="BB278" s="14" t="s">
        <v>295</v>
      </c>
      <c r="BC278" s="27" t="s">
        <v>1020</v>
      </c>
      <c r="BD278" s="63">
        <v>42935</v>
      </c>
      <c r="BE278" s="35">
        <v>43085</v>
      </c>
      <c r="BF278" s="26"/>
      <c r="BG278" s="26"/>
      <c r="BH278" s="26"/>
      <c r="BI278" s="14" t="s">
        <v>756</v>
      </c>
      <c r="BJ278" s="14" t="s">
        <v>757</v>
      </c>
      <c r="BK278" s="26"/>
      <c r="BL278" s="26"/>
      <c r="BM278" s="26"/>
    </row>
    <row r="279" spans="1:65" ht="90" x14ac:dyDescent="0.25">
      <c r="A279" s="160"/>
      <c r="B279" s="154"/>
      <c r="C279" s="19"/>
      <c r="D279" s="80"/>
      <c r="E279" s="19"/>
      <c r="F279" s="32"/>
      <c r="G279" s="32"/>
      <c r="H279" s="20"/>
      <c r="I279" s="20"/>
      <c r="J279" s="20"/>
      <c r="K279" s="45"/>
      <c r="L279" s="143"/>
      <c r="M279" s="27"/>
      <c r="N279" s="31"/>
      <c r="O279" s="78"/>
      <c r="P279" s="30"/>
      <c r="Q279" s="31"/>
      <c r="R279" s="31"/>
      <c r="S279" s="27"/>
      <c r="T279" s="32"/>
      <c r="U279" s="148"/>
      <c r="V279" s="148"/>
      <c r="W279" s="32"/>
      <c r="X279" s="33" t="s">
        <v>861</v>
      </c>
      <c r="Y279" s="22" t="s">
        <v>136</v>
      </c>
      <c r="Z279" s="35">
        <v>43082</v>
      </c>
      <c r="AA279" s="34">
        <v>12249</v>
      </c>
      <c r="AB279" s="33" t="s">
        <v>1292</v>
      </c>
      <c r="AC279" s="35">
        <v>43124</v>
      </c>
      <c r="AD279" s="35">
        <v>43334</v>
      </c>
      <c r="AE279" s="22"/>
      <c r="AF279" s="22"/>
      <c r="AG279" s="25"/>
      <c r="AH279" s="25"/>
      <c r="AI279" s="25"/>
      <c r="AJ279" s="25"/>
      <c r="AK279" s="25"/>
      <c r="AL279" s="38"/>
      <c r="AM279" s="38"/>
      <c r="AN279" s="38"/>
      <c r="AO279" s="38"/>
      <c r="AP279" s="22"/>
      <c r="AQ279" s="22"/>
      <c r="AR279" s="22"/>
      <c r="AS279" s="22"/>
      <c r="AT279" s="22"/>
      <c r="AU279" s="26"/>
      <c r="AV279" s="26"/>
      <c r="AW279" s="26"/>
      <c r="AX279" s="26"/>
      <c r="AY279" s="26"/>
      <c r="AZ279" s="26"/>
      <c r="BA279" s="26"/>
      <c r="BB279" s="14"/>
      <c r="BC279" s="27"/>
      <c r="BD279" s="35">
        <v>43085</v>
      </c>
      <c r="BE279" s="35">
        <v>43235</v>
      </c>
      <c r="BF279" s="26"/>
      <c r="BG279" s="26"/>
      <c r="BH279" s="26"/>
      <c r="BI279" s="14"/>
      <c r="BJ279" s="14"/>
      <c r="BK279" s="26"/>
      <c r="BL279" s="26"/>
      <c r="BM279" s="26"/>
    </row>
    <row r="280" spans="1:65" ht="75" x14ac:dyDescent="0.25">
      <c r="A280" s="160"/>
      <c r="B280" s="154"/>
      <c r="C280" s="19"/>
      <c r="D280" s="80"/>
      <c r="E280" s="19"/>
      <c r="F280" s="32"/>
      <c r="G280" s="32"/>
      <c r="H280" s="19"/>
      <c r="I280" s="19"/>
      <c r="J280" s="19"/>
      <c r="K280" s="19"/>
      <c r="L280" s="143"/>
      <c r="M280" s="27"/>
      <c r="N280" s="31"/>
      <c r="O280" s="78"/>
      <c r="P280" s="30"/>
      <c r="Q280" s="31"/>
      <c r="R280" s="31"/>
      <c r="S280" s="27"/>
      <c r="T280" s="32"/>
      <c r="U280" s="148"/>
      <c r="V280" s="148"/>
      <c r="W280" s="32"/>
      <c r="X280" s="33" t="s">
        <v>861</v>
      </c>
      <c r="Y280" s="22" t="s">
        <v>140</v>
      </c>
      <c r="Z280" s="35">
        <v>43234</v>
      </c>
      <c r="AA280" s="34">
        <v>12309</v>
      </c>
      <c r="AB280" s="33" t="s">
        <v>1532</v>
      </c>
      <c r="AC280" s="35"/>
      <c r="AD280" s="35"/>
      <c r="AE280" s="22"/>
      <c r="AF280" s="22"/>
      <c r="AG280" s="25"/>
      <c r="AH280" s="25"/>
      <c r="AI280" s="25"/>
      <c r="AJ280" s="25"/>
      <c r="AK280" s="25"/>
      <c r="AL280" s="38"/>
      <c r="AM280" s="38"/>
      <c r="AN280" s="38"/>
      <c r="AO280" s="38"/>
      <c r="AP280" s="22"/>
      <c r="AQ280" s="22"/>
      <c r="AR280" s="22"/>
      <c r="AS280" s="22"/>
      <c r="AT280" s="22"/>
      <c r="AU280" s="26"/>
      <c r="AV280" s="26"/>
      <c r="AW280" s="26"/>
      <c r="AX280" s="26"/>
      <c r="AY280" s="26"/>
      <c r="AZ280" s="26"/>
      <c r="BA280" s="26"/>
      <c r="BB280" s="14"/>
      <c r="BC280" s="27"/>
      <c r="BD280" s="35">
        <v>43235</v>
      </c>
      <c r="BE280" s="35">
        <v>43325</v>
      </c>
      <c r="BF280" s="26"/>
      <c r="BG280" s="26"/>
      <c r="BH280" s="26"/>
      <c r="BI280" s="14"/>
      <c r="BJ280" s="14"/>
      <c r="BK280" s="26"/>
      <c r="BL280" s="26"/>
      <c r="BM280" s="26"/>
    </row>
    <row r="281" spans="1:65" ht="150" x14ac:dyDescent="0.25">
      <c r="A281" s="160"/>
      <c r="B281" s="154"/>
      <c r="C281" s="19"/>
      <c r="D281" s="80"/>
      <c r="E281" s="19"/>
      <c r="F281" s="32"/>
      <c r="G281" s="32"/>
      <c r="H281" s="19"/>
      <c r="I281" s="19"/>
      <c r="J281" s="19"/>
      <c r="K281" s="19"/>
      <c r="L281" s="143"/>
      <c r="M281" s="27"/>
      <c r="N281" s="31"/>
      <c r="O281" s="78"/>
      <c r="P281" s="30"/>
      <c r="Q281" s="31"/>
      <c r="R281" s="31"/>
      <c r="S281" s="27"/>
      <c r="T281" s="32"/>
      <c r="U281" s="148"/>
      <c r="V281" s="148"/>
      <c r="W281" s="32"/>
      <c r="X281" s="33" t="s">
        <v>365</v>
      </c>
      <c r="Y281" s="22" t="s">
        <v>185</v>
      </c>
      <c r="Z281" s="35">
        <v>43258</v>
      </c>
      <c r="AA281" s="34">
        <v>12321</v>
      </c>
      <c r="AB281" s="33" t="s">
        <v>1595</v>
      </c>
      <c r="AC281" s="35"/>
      <c r="AD281" s="35"/>
      <c r="AE281" s="22"/>
      <c r="AF281" s="22"/>
      <c r="AG281" s="25">
        <v>169353.68</v>
      </c>
      <c r="AH281" s="25">
        <v>2985.03</v>
      </c>
      <c r="AI281" s="25"/>
      <c r="AJ281" s="25"/>
      <c r="AK281" s="25"/>
      <c r="AL281" s="38"/>
      <c r="AM281" s="38"/>
      <c r="AN281" s="38"/>
      <c r="AO281" s="38"/>
      <c r="AP281" s="22"/>
      <c r="AQ281" s="22"/>
      <c r="AR281" s="22"/>
      <c r="AS281" s="22"/>
      <c r="AT281" s="22"/>
      <c r="AU281" s="26"/>
      <c r="AV281" s="26"/>
      <c r="AW281" s="26"/>
      <c r="AX281" s="26"/>
      <c r="AY281" s="26"/>
      <c r="AZ281" s="26"/>
      <c r="BA281" s="26"/>
      <c r="BB281" s="14"/>
      <c r="BC281" s="27"/>
      <c r="BD281" s="35"/>
      <c r="BE281" s="35"/>
      <c r="BF281" s="26"/>
      <c r="BG281" s="26"/>
      <c r="BH281" s="26"/>
      <c r="BI281" s="14"/>
      <c r="BJ281" s="14"/>
      <c r="BK281" s="26"/>
      <c r="BL281" s="26"/>
      <c r="BM281" s="26"/>
    </row>
    <row r="282" spans="1:65" ht="75" x14ac:dyDescent="0.25">
      <c r="A282" s="160"/>
      <c r="B282" s="154"/>
      <c r="C282" s="19"/>
      <c r="D282" s="80"/>
      <c r="E282" s="19"/>
      <c r="F282" s="32"/>
      <c r="G282" s="32"/>
      <c r="H282" s="19"/>
      <c r="I282" s="19"/>
      <c r="J282" s="19"/>
      <c r="K282" s="19"/>
      <c r="L282" s="143"/>
      <c r="M282" s="27"/>
      <c r="N282" s="27"/>
      <c r="O282" s="78"/>
      <c r="P282" s="27"/>
      <c r="Q282" s="27"/>
      <c r="R282" s="27"/>
      <c r="S282" s="27"/>
      <c r="T282" s="32"/>
      <c r="U282" s="148"/>
      <c r="V282" s="148"/>
      <c r="W282" s="32"/>
      <c r="X282" s="33" t="s">
        <v>861</v>
      </c>
      <c r="Y282" s="22" t="s">
        <v>186</v>
      </c>
      <c r="Z282" s="35">
        <v>43322</v>
      </c>
      <c r="AA282" s="34">
        <v>12391</v>
      </c>
      <c r="AB282" s="33" t="s">
        <v>1813</v>
      </c>
      <c r="AC282" s="35">
        <v>43334</v>
      </c>
      <c r="AD282" s="35">
        <v>43424</v>
      </c>
      <c r="AE282" s="22"/>
      <c r="AF282" s="22"/>
      <c r="AG282" s="25"/>
      <c r="AH282" s="25"/>
      <c r="AI282" s="25"/>
      <c r="AJ282" s="25"/>
      <c r="AK282" s="25"/>
      <c r="AL282" s="38"/>
      <c r="AM282" s="38"/>
      <c r="AN282" s="38"/>
      <c r="AO282" s="38"/>
      <c r="AP282" s="22"/>
      <c r="AQ282" s="22"/>
      <c r="AR282" s="22"/>
      <c r="AS282" s="22"/>
      <c r="AT282" s="22"/>
      <c r="AU282" s="26"/>
      <c r="AV282" s="26"/>
      <c r="AW282" s="26"/>
      <c r="AX282" s="26"/>
      <c r="AY282" s="26"/>
      <c r="AZ282" s="26"/>
      <c r="BA282" s="26"/>
      <c r="BB282" s="14"/>
      <c r="BC282" s="27"/>
      <c r="BD282" s="35">
        <v>43325</v>
      </c>
      <c r="BE282" s="35">
        <v>43415</v>
      </c>
      <c r="BF282" s="26"/>
      <c r="BG282" s="26"/>
      <c r="BH282" s="26"/>
      <c r="BI282" s="14"/>
      <c r="BJ282" s="14"/>
      <c r="BK282" s="26"/>
      <c r="BL282" s="26"/>
      <c r="BM282" s="26"/>
    </row>
    <row r="283" spans="1:65" ht="105" x14ac:dyDescent="0.25">
      <c r="A283" s="163">
        <v>61</v>
      </c>
      <c r="B283" s="155" t="s">
        <v>987</v>
      </c>
      <c r="C283" s="22" t="s">
        <v>695</v>
      </c>
      <c r="D283" s="81" t="s">
        <v>240</v>
      </c>
      <c r="E283" s="22"/>
      <c r="F283" s="33" t="s">
        <v>988</v>
      </c>
      <c r="G283" s="33"/>
      <c r="H283" s="23"/>
      <c r="I283" s="23"/>
      <c r="J283" s="23"/>
      <c r="K283" s="24" t="s">
        <v>989</v>
      </c>
      <c r="L283" s="140" t="s">
        <v>990</v>
      </c>
      <c r="M283" s="43" t="s">
        <v>991</v>
      </c>
      <c r="N283" s="61">
        <v>42917</v>
      </c>
      <c r="O283" s="77">
        <v>144000</v>
      </c>
      <c r="P283" s="76">
        <v>12087</v>
      </c>
      <c r="Q283" s="61">
        <v>42917</v>
      </c>
      <c r="R283" s="61">
        <v>43282</v>
      </c>
      <c r="S283" s="43" t="s">
        <v>602</v>
      </c>
      <c r="T283" s="22"/>
      <c r="U283" s="25"/>
      <c r="V283" s="25"/>
      <c r="W283" s="33" t="s">
        <v>302</v>
      </c>
      <c r="X283" s="33" t="s">
        <v>1261</v>
      </c>
      <c r="Y283" s="22" t="s">
        <v>136</v>
      </c>
      <c r="Z283" s="35">
        <v>43280</v>
      </c>
      <c r="AA283" s="34">
        <v>12353</v>
      </c>
      <c r="AB283" s="33" t="s">
        <v>1684</v>
      </c>
      <c r="AC283" s="35">
        <v>43282</v>
      </c>
      <c r="AD283" s="35">
        <v>43465</v>
      </c>
      <c r="AE283" s="22"/>
      <c r="AF283" s="22"/>
      <c r="AG283" s="25">
        <v>72000</v>
      </c>
      <c r="AH283" s="25"/>
      <c r="AI283" s="25"/>
      <c r="AJ283" s="25"/>
      <c r="AK283" s="25"/>
      <c r="AL283" s="74">
        <f t="shared" ref="AL283:AL359" si="1">O283-AH283+AG283</f>
        <v>216000</v>
      </c>
      <c r="AM283" s="25">
        <f>12000+12000+12000+12000+12000+12000</f>
        <v>72000</v>
      </c>
      <c r="AN283" s="25">
        <f>12000+12000+12000+12000+12000+12000+12000+12000+12000+12000</f>
        <v>120000</v>
      </c>
      <c r="AO283" s="77">
        <f t="shared" ref="AO283:AO359" si="2">AM283+AN283</f>
        <v>192000</v>
      </c>
      <c r="AP283" s="37"/>
      <c r="AQ283" s="22"/>
      <c r="AR283" s="22"/>
      <c r="AS283" s="22"/>
      <c r="AT283" s="22"/>
      <c r="AU283" s="26"/>
      <c r="AV283" s="26" t="s">
        <v>121</v>
      </c>
      <c r="AW283" s="22" t="s">
        <v>992</v>
      </c>
      <c r="AX283" s="64">
        <v>12037</v>
      </c>
      <c r="AY283" s="63">
        <v>42849</v>
      </c>
      <c r="AZ283" s="64">
        <v>12086</v>
      </c>
      <c r="BA283" s="63">
        <v>42919</v>
      </c>
      <c r="BB283" s="26"/>
      <c r="BC283" s="60"/>
      <c r="BD283" s="63"/>
      <c r="BE283" s="26"/>
      <c r="BF283" s="26"/>
      <c r="BG283" s="26"/>
      <c r="BH283" s="26"/>
      <c r="BI283" s="26"/>
      <c r="BJ283" s="26"/>
      <c r="BK283" s="26"/>
      <c r="BL283" s="26"/>
      <c r="BM283" s="26"/>
    </row>
    <row r="284" spans="1:65" ht="90" x14ac:dyDescent="0.25">
      <c r="A284" s="160">
        <v>62</v>
      </c>
      <c r="B284" s="154" t="s">
        <v>1015</v>
      </c>
      <c r="C284" s="19" t="s">
        <v>675</v>
      </c>
      <c r="D284" s="80" t="s">
        <v>242</v>
      </c>
      <c r="E284" s="19"/>
      <c r="F284" s="32" t="s">
        <v>1017</v>
      </c>
      <c r="G284" s="32" t="s">
        <v>1159</v>
      </c>
      <c r="H284" s="20"/>
      <c r="I284" s="20"/>
      <c r="J284" s="20"/>
      <c r="K284" s="45" t="s">
        <v>1014</v>
      </c>
      <c r="L284" s="143" t="s">
        <v>1016</v>
      </c>
      <c r="M284" s="27" t="s">
        <v>1018</v>
      </c>
      <c r="N284" s="31">
        <v>42962</v>
      </c>
      <c r="O284" s="78">
        <v>1059352.92</v>
      </c>
      <c r="P284" s="30">
        <v>12119</v>
      </c>
      <c r="Q284" s="31">
        <v>42962</v>
      </c>
      <c r="R284" s="31">
        <v>43292</v>
      </c>
      <c r="S284" s="27" t="s">
        <v>1019</v>
      </c>
      <c r="T284" s="19"/>
      <c r="U284" s="38"/>
      <c r="V284" s="38"/>
      <c r="W284" s="32" t="s">
        <v>227</v>
      </c>
      <c r="X284" s="33"/>
      <c r="Y284" s="22"/>
      <c r="Z284" s="35"/>
      <c r="AA284" s="34"/>
      <c r="AB284" s="33"/>
      <c r="AC284" s="35"/>
      <c r="AD284" s="35"/>
      <c r="AE284" s="22"/>
      <c r="AF284" s="22"/>
      <c r="AG284" s="25"/>
      <c r="AH284" s="25"/>
      <c r="AI284" s="25"/>
      <c r="AJ284" s="25"/>
      <c r="AK284" s="25"/>
      <c r="AL284" s="75">
        <f t="shared" si="1"/>
        <v>1059352.92</v>
      </c>
      <c r="AM284" s="38"/>
      <c r="AN284" s="38">
        <f>91228.83+60483.1+131016.33+104287.45+113393.96</f>
        <v>500409.67000000004</v>
      </c>
      <c r="AO284" s="38">
        <f t="shared" si="2"/>
        <v>500409.67000000004</v>
      </c>
      <c r="AP284" s="22"/>
      <c r="AQ284" s="22"/>
      <c r="AR284" s="22"/>
      <c r="AS284" s="22"/>
      <c r="AT284" s="22"/>
      <c r="AU284" s="26"/>
      <c r="AV284" s="26"/>
      <c r="AW284" s="26"/>
      <c r="AX284" s="26"/>
      <c r="AY284" s="26"/>
      <c r="AZ284" s="26"/>
      <c r="BA284" s="26"/>
      <c r="BB284" s="26" t="s">
        <v>295</v>
      </c>
      <c r="BC284" s="43" t="s">
        <v>1020</v>
      </c>
      <c r="BD284" s="63">
        <v>42969</v>
      </c>
      <c r="BE284" s="35">
        <v>43269</v>
      </c>
      <c r="BF284" s="63"/>
      <c r="BG284" s="26"/>
      <c r="BH284" s="26"/>
      <c r="BI284" s="14" t="s">
        <v>756</v>
      </c>
      <c r="BJ284" s="14" t="s">
        <v>757</v>
      </c>
      <c r="BK284" s="26"/>
      <c r="BL284" s="26"/>
      <c r="BM284" s="26"/>
    </row>
    <row r="285" spans="1:65" ht="75" x14ac:dyDescent="0.25">
      <c r="A285" s="160"/>
      <c r="B285" s="154"/>
      <c r="C285" s="19"/>
      <c r="D285" s="80"/>
      <c r="E285" s="19"/>
      <c r="F285" s="32"/>
      <c r="G285" s="32"/>
      <c r="H285" s="20"/>
      <c r="I285" s="20"/>
      <c r="J285" s="20"/>
      <c r="K285" s="45"/>
      <c r="L285" s="143"/>
      <c r="M285" s="27"/>
      <c r="N285" s="31"/>
      <c r="O285" s="78"/>
      <c r="P285" s="30"/>
      <c r="Q285" s="31"/>
      <c r="R285" s="31"/>
      <c r="S285" s="27"/>
      <c r="T285" s="19"/>
      <c r="U285" s="38"/>
      <c r="V285" s="38"/>
      <c r="W285" s="32"/>
      <c r="X285" s="33" t="s">
        <v>861</v>
      </c>
      <c r="Y285" s="22" t="s">
        <v>136</v>
      </c>
      <c r="Z285" s="35">
        <v>43269</v>
      </c>
      <c r="AA285" s="34">
        <v>12361</v>
      </c>
      <c r="AB285" s="33" t="s">
        <v>1734</v>
      </c>
      <c r="AC285" s="35">
        <v>43292</v>
      </c>
      <c r="AD285" s="35">
        <v>43622</v>
      </c>
      <c r="AE285" s="22"/>
      <c r="AF285" s="22"/>
      <c r="AG285" s="25"/>
      <c r="AH285" s="25"/>
      <c r="AI285" s="25"/>
      <c r="AJ285" s="25"/>
      <c r="AK285" s="25"/>
      <c r="AL285" s="75"/>
      <c r="AM285" s="38"/>
      <c r="AN285" s="38"/>
      <c r="AO285" s="38"/>
      <c r="AP285" s="37"/>
      <c r="AQ285" s="22"/>
      <c r="AR285" s="22"/>
      <c r="AS285" s="22"/>
      <c r="AT285" s="22"/>
      <c r="AU285" s="26"/>
      <c r="AV285" s="26"/>
      <c r="AW285" s="26"/>
      <c r="AX285" s="26"/>
      <c r="AY285" s="26"/>
      <c r="AZ285" s="26"/>
      <c r="BA285" s="26"/>
      <c r="BB285" s="26"/>
      <c r="BC285" s="43"/>
      <c r="BD285" s="63">
        <v>43269</v>
      </c>
      <c r="BE285" s="35">
        <v>43569</v>
      </c>
      <c r="BF285" s="63"/>
      <c r="BG285" s="26"/>
      <c r="BH285" s="26"/>
      <c r="BI285" s="14"/>
      <c r="BJ285" s="14"/>
      <c r="BK285" s="26"/>
      <c r="BL285" s="26"/>
      <c r="BM285" s="26"/>
    </row>
    <row r="286" spans="1:65" x14ac:dyDescent="0.25">
      <c r="A286" s="160">
        <v>63</v>
      </c>
      <c r="B286" s="154" t="s">
        <v>1027</v>
      </c>
      <c r="C286" s="19" t="s">
        <v>677</v>
      </c>
      <c r="D286" s="80" t="s">
        <v>242</v>
      </c>
      <c r="E286" s="19" t="s">
        <v>278</v>
      </c>
      <c r="F286" s="32" t="s">
        <v>1030</v>
      </c>
      <c r="G286" s="32" t="s">
        <v>1158</v>
      </c>
      <c r="H286" s="20"/>
      <c r="I286" s="20"/>
      <c r="J286" s="20"/>
      <c r="K286" s="45" t="s">
        <v>1026</v>
      </c>
      <c r="L286" s="143" t="s">
        <v>1028</v>
      </c>
      <c r="M286" s="27" t="s">
        <v>1029</v>
      </c>
      <c r="N286" s="31">
        <v>42969</v>
      </c>
      <c r="O286" s="78">
        <v>1078669.8999999999</v>
      </c>
      <c r="P286" s="30">
        <v>12140</v>
      </c>
      <c r="Q286" s="31">
        <v>42969</v>
      </c>
      <c r="R286" s="31">
        <v>43209</v>
      </c>
      <c r="S286" s="27" t="s">
        <v>1031</v>
      </c>
      <c r="T286" s="32"/>
      <c r="U286" s="148"/>
      <c r="V286" s="148"/>
      <c r="W286" s="32" t="s">
        <v>227</v>
      </c>
      <c r="X286" s="33"/>
      <c r="Y286" s="22"/>
      <c r="Z286" s="35"/>
      <c r="AA286" s="34"/>
      <c r="AB286" s="33"/>
      <c r="AC286" s="35"/>
      <c r="AD286" s="35"/>
      <c r="AE286" s="22"/>
      <c r="AF286" s="22"/>
      <c r="AG286" s="25"/>
      <c r="AH286" s="25"/>
      <c r="AI286" s="25"/>
      <c r="AJ286" s="25"/>
      <c r="AK286" s="25"/>
      <c r="AL286" s="38">
        <f>O286-AH286+AG286-AH288+AG288</f>
        <v>1267335.7999999998</v>
      </c>
      <c r="AM286" s="38">
        <f>399915.35</f>
        <v>399915.35</v>
      </c>
      <c r="AN286" s="38">
        <f>109918.61+105596.29+192052.02+116550.98+67351.88+78669.9</f>
        <v>670139.68000000005</v>
      </c>
      <c r="AO286" s="38">
        <f t="shared" si="2"/>
        <v>1070055.03</v>
      </c>
      <c r="AP286" s="22"/>
      <c r="AQ286" s="22"/>
      <c r="AR286" s="22"/>
      <c r="AS286" s="22"/>
      <c r="AT286" s="22"/>
      <c r="AU286" s="26"/>
      <c r="AV286" s="26"/>
      <c r="AW286" s="26"/>
      <c r="AX286" s="26"/>
      <c r="AY286" s="26"/>
      <c r="AZ286" s="26"/>
      <c r="BA286" s="26"/>
      <c r="BB286" s="14" t="s">
        <v>295</v>
      </c>
      <c r="BC286" s="27" t="s">
        <v>1020</v>
      </c>
      <c r="BD286" s="63">
        <v>42992</v>
      </c>
      <c r="BE286" s="35">
        <v>43202</v>
      </c>
      <c r="BF286" s="63"/>
      <c r="BG286" s="26"/>
      <c r="BH286" s="26"/>
      <c r="BI286" s="14" t="s">
        <v>757</v>
      </c>
      <c r="BJ286" s="14" t="s">
        <v>756</v>
      </c>
      <c r="BK286" s="26"/>
      <c r="BL286" s="26"/>
      <c r="BM286" s="26"/>
    </row>
    <row r="287" spans="1:65" ht="90" x14ac:dyDescent="0.25">
      <c r="A287" s="160"/>
      <c r="B287" s="154"/>
      <c r="C287" s="19"/>
      <c r="D287" s="80"/>
      <c r="E287" s="19"/>
      <c r="F287" s="32"/>
      <c r="G287" s="32"/>
      <c r="H287" s="20"/>
      <c r="I287" s="20"/>
      <c r="J287" s="20"/>
      <c r="K287" s="45"/>
      <c r="L287" s="143"/>
      <c r="M287" s="27"/>
      <c r="N287" s="31"/>
      <c r="O287" s="78"/>
      <c r="P287" s="30"/>
      <c r="Q287" s="31"/>
      <c r="R287" s="31"/>
      <c r="S287" s="27"/>
      <c r="T287" s="32"/>
      <c r="U287" s="148"/>
      <c r="V287" s="148"/>
      <c r="W287" s="32"/>
      <c r="X287" s="33" t="s">
        <v>861</v>
      </c>
      <c r="Y287" s="22" t="s">
        <v>136</v>
      </c>
      <c r="Z287" s="35">
        <v>43200</v>
      </c>
      <c r="AA287" s="34">
        <v>12293</v>
      </c>
      <c r="AB287" s="33" t="s">
        <v>1494</v>
      </c>
      <c r="AC287" s="35">
        <v>43209</v>
      </c>
      <c r="AD287" s="35">
        <v>43419</v>
      </c>
      <c r="AE287" s="22"/>
      <c r="AF287" s="22"/>
      <c r="AG287" s="25"/>
      <c r="AH287" s="25"/>
      <c r="AI287" s="25"/>
      <c r="AJ287" s="25"/>
      <c r="AK287" s="25"/>
      <c r="AL287" s="38"/>
      <c r="AM287" s="38"/>
      <c r="AN287" s="38"/>
      <c r="AO287" s="38"/>
      <c r="AP287" s="22"/>
      <c r="AQ287" s="22"/>
      <c r="AR287" s="22"/>
      <c r="AS287" s="22"/>
      <c r="AT287" s="22"/>
      <c r="AU287" s="26"/>
      <c r="AV287" s="26"/>
      <c r="AW287" s="26"/>
      <c r="AX287" s="26"/>
      <c r="AY287" s="26"/>
      <c r="AZ287" s="26"/>
      <c r="BA287" s="26"/>
      <c r="BB287" s="14"/>
      <c r="BC287" s="27"/>
      <c r="BD287" s="35">
        <v>43202</v>
      </c>
      <c r="BE287" s="35">
        <v>43382</v>
      </c>
      <c r="BF287" s="63"/>
      <c r="BG287" s="26"/>
      <c r="BH287" s="26"/>
      <c r="BI287" s="14"/>
      <c r="BJ287" s="14"/>
      <c r="BK287" s="26"/>
      <c r="BL287" s="26"/>
      <c r="BM287" s="26"/>
    </row>
    <row r="288" spans="1:65" ht="150" x14ac:dyDescent="0.25">
      <c r="A288" s="160"/>
      <c r="B288" s="154"/>
      <c r="C288" s="19"/>
      <c r="D288" s="80"/>
      <c r="E288" s="19"/>
      <c r="F288" s="32"/>
      <c r="G288" s="32"/>
      <c r="H288" s="19"/>
      <c r="I288" s="19"/>
      <c r="J288" s="19"/>
      <c r="K288" s="19"/>
      <c r="L288" s="143"/>
      <c r="M288" s="27"/>
      <c r="N288" s="27"/>
      <c r="O288" s="78"/>
      <c r="P288" s="27"/>
      <c r="Q288" s="27"/>
      <c r="R288" s="27"/>
      <c r="S288" s="27"/>
      <c r="T288" s="32"/>
      <c r="U288" s="148"/>
      <c r="V288" s="148"/>
      <c r="W288" s="32"/>
      <c r="X288" s="33" t="s">
        <v>365</v>
      </c>
      <c r="Y288" s="22" t="s">
        <v>140</v>
      </c>
      <c r="Z288" s="35">
        <v>43294</v>
      </c>
      <c r="AA288" s="34">
        <v>12346</v>
      </c>
      <c r="AB288" s="33" t="s">
        <v>1683</v>
      </c>
      <c r="AC288" s="35"/>
      <c r="AD288" s="35"/>
      <c r="AE288" s="22"/>
      <c r="AF288" s="22"/>
      <c r="AG288" s="25">
        <v>188665.9</v>
      </c>
      <c r="AH288" s="25"/>
      <c r="AI288" s="25"/>
      <c r="AJ288" s="25"/>
      <c r="AK288" s="25"/>
      <c r="AL288" s="38"/>
      <c r="AM288" s="38"/>
      <c r="AN288" s="38"/>
      <c r="AO288" s="38"/>
      <c r="AP288" s="37"/>
      <c r="AQ288" s="22"/>
      <c r="AR288" s="22"/>
      <c r="AS288" s="22"/>
      <c r="AT288" s="22"/>
      <c r="AU288" s="26"/>
      <c r="AV288" s="26"/>
      <c r="AW288" s="26"/>
      <c r="AX288" s="26"/>
      <c r="AY288" s="26"/>
      <c r="AZ288" s="26"/>
      <c r="BA288" s="26"/>
      <c r="BB288" s="14"/>
      <c r="BC288" s="27"/>
      <c r="BD288" s="35"/>
      <c r="BE288" s="35"/>
      <c r="BF288" s="63"/>
      <c r="BG288" s="26"/>
      <c r="BH288" s="26"/>
      <c r="BI288" s="14"/>
      <c r="BJ288" s="14"/>
      <c r="BK288" s="26"/>
      <c r="BL288" s="26"/>
      <c r="BM288" s="26"/>
    </row>
    <row r="289" spans="1:65" ht="75" x14ac:dyDescent="0.25">
      <c r="A289" s="160"/>
      <c r="B289" s="154"/>
      <c r="C289" s="19"/>
      <c r="D289" s="27"/>
      <c r="E289" s="19"/>
      <c r="F289" s="32"/>
      <c r="G289" s="32"/>
      <c r="H289" s="19"/>
      <c r="I289" s="19"/>
      <c r="J289" s="19"/>
      <c r="K289" s="19"/>
      <c r="L289" s="143"/>
      <c r="M289" s="27"/>
      <c r="N289" s="27"/>
      <c r="O289" s="78"/>
      <c r="P289" s="27"/>
      <c r="Q289" s="27"/>
      <c r="R289" s="27"/>
      <c r="S289" s="27"/>
      <c r="T289" s="32"/>
      <c r="U289" s="148"/>
      <c r="V289" s="148"/>
      <c r="W289" s="32"/>
      <c r="X289" s="33" t="s">
        <v>861</v>
      </c>
      <c r="Y289" s="22" t="s">
        <v>185</v>
      </c>
      <c r="Z289" s="35">
        <v>43395</v>
      </c>
      <c r="AA289" s="34">
        <v>12420</v>
      </c>
      <c r="AB289" s="33" t="s">
        <v>1891</v>
      </c>
      <c r="AC289" s="35">
        <v>43419</v>
      </c>
      <c r="AD289" s="35">
        <v>43479</v>
      </c>
      <c r="AE289" s="22"/>
      <c r="AF289" s="22"/>
      <c r="AG289" s="25"/>
      <c r="AH289" s="25"/>
      <c r="AI289" s="25"/>
      <c r="AJ289" s="25"/>
      <c r="AK289" s="25"/>
      <c r="AL289" s="38"/>
      <c r="AM289" s="38"/>
      <c r="AN289" s="38"/>
      <c r="AO289" s="38"/>
      <c r="AP289" s="37"/>
      <c r="AQ289" s="22"/>
      <c r="AR289" s="22"/>
      <c r="AS289" s="22"/>
      <c r="AT289" s="22"/>
      <c r="AU289" s="26"/>
      <c r="AV289" s="26"/>
      <c r="AW289" s="26"/>
      <c r="AX289" s="26"/>
      <c r="AY289" s="26"/>
      <c r="AZ289" s="26"/>
      <c r="BA289" s="26"/>
      <c r="BB289" s="14"/>
      <c r="BC289" s="27"/>
      <c r="BD289" s="35"/>
      <c r="BE289" s="35"/>
      <c r="BF289" s="63"/>
      <c r="BG289" s="26"/>
      <c r="BH289" s="26"/>
      <c r="BI289" s="14"/>
      <c r="BJ289" s="14"/>
      <c r="BK289" s="26"/>
      <c r="BL289" s="26"/>
      <c r="BM289" s="26"/>
    </row>
    <row r="290" spans="1:65" ht="45" x14ac:dyDescent="0.25">
      <c r="A290" s="163">
        <v>64</v>
      </c>
      <c r="B290" s="155" t="s">
        <v>1049</v>
      </c>
      <c r="C290" s="22" t="s">
        <v>684</v>
      </c>
      <c r="D290" s="81" t="s">
        <v>128</v>
      </c>
      <c r="E290" s="22" t="s">
        <v>278</v>
      </c>
      <c r="F290" s="33" t="s">
        <v>1050</v>
      </c>
      <c r="G290" s="33" t="s">
        <v>1063</v>
      </c>
      <c r="H290" s="23" t="s">
        <v>687</v>
      </c>
      <c r="I290" s="35">
        <v>42807</v>
      </c>
      <c r="J290" s="35">
        <v>43172</v>
      </c>
      <c r="K290" s="24" t="s">
        <v>1047</v>
      </c>
      <c r="L290" s="140" t="s">
        <v>579</v>
      </c>
      <c r="M290" s="43" t="s">
        <v>1051</v>
      </c>
      <c r="N290" s="61">
        <v>42996</v>
      </c>
      <c r="O290" s="77">
        <v>316680</v>
      </c>
      <c r="P290" s="76">
        <v>12143</v>
      </c>
      <c r="Q290" s="61">
        <v>42996</v>
      </c>
      <c r="R290" s="61">
        <v>43361</v>
      </c>
      <c r="S290" s="43" t="s">
        <v>198</v>
      </c>
      <c r="T290" s="22"/>
      <c r="U290" s="25"/>
      <c r="V290" s="25"/>
      <c r="W290" s="33" t="s">
        <v>135</v>
      </c>
      <c r="X290" s="33"/>
      <c r="Y290" s="22"/>
      <c r="Z290" s="22"/>
      <c r="AA290" s="22"/>
      <c r="AB290" s="33"/>
      <c r="AC290" s="22"/>
      <c r="AD290" s="22"/>
      <c r="AE290" s="22"/>
      <c r="AF290" s="22"/>
      <c r="AG290" s="25"/>
      <c r="AH290" s="25"/>
      <c r="AI290" s="25"/>
      <c r="AJ290" s="25"/>
      <c r="AK290" s="25"/>
      <c r="AL290" s="74">
        <f t="shared" si="1"/>
        <v>316680</v>
      </c>
      <c r="AM290" s="25"/>
      <c r="AN290" s="25">
        <f>0</f>
        <v>0</v>
      </c>
      <c r="AO290" s="77">
        <f t="shared" si="2"/>
        <v>0</v>
      </c>
      <c r="AP290" s="22"/>
      <c r="AQ290" s="22"/>
      <c r="AR290" s="22"/>
      <c r="AS290" s="22"/>
      <c r="AT290" s="22"/>
      <c r="AU290" s="26"/>
      <c r="AV290" s="26"/>
      <c r="AW290" s="26"/>
      <c r="AX290" s="26"/>
      <c r="AY290" s="26"/>
      <c r="AZ290" s="26"/>
      <c r="BA290" s="26"/>
      <c r="BB290" s="26"/>
      <c r="BC290" s="60"/>
      <c r="BD290" s="26"/>
      <c r="BE290" s="26"/>
      <c r="BF290" s="26"/>
      <c r="BG290" s="26"/>
      <c r="BH290" s="26"/>
      <c r="BI290" s="26"/>
      <c r="BJ290" s="26"/>
      <c r="BK290" s="26"/>
      <c r="BL290" s="26"/>
      <c r="BM290" s="26"/>
    </row>
    <row r="291" spans="1:65" x14ac:dyDescent="0.25">
      <c r="A291" s="160">
        <v>65</v>
      </c>
      <c r="B291" s="154" t="s">
        <v>1054</v>
      </c>
      <c r="C291" s="19" t="s">
        <v>689</v>
      </c>
      <c r="D291" s="80" t="s">
        <v>225</v>
      </c>
      <c r="E291" s="19"/>
      <c r="F291" s="32" t="s">
        <v>1057</v>
      </c>
      <c r="G291" s="32" t="s">
        <v>1160</v>
      </c>
      <c r="H291" s="20"/>
      <c r="I291" s="20"/>
      <c r="J291" s="20"/>
      <c r="K291" s="45" t="s">
        <v>1048</v>
      </c>
      <c r="L291" s="143" t="s">
        <v>1055</v>
      </c>
      <c r="M291" s="27" t="s">
        <v>1056</v>
      </c>
      <c r="N291" s="31">
        <v>42997</v>
      </c>
      <c r="O291" s="78">
        <v>707000</v>
      </c>
      <c r="P291" s="30">
        <v>12142</v>
      </c>
      <c r="Q291" s="31">
        <v>42997</v>
      </c>
      <c r="R291" s="31">
        <v>43327</v>
      </c>
      <c r="S291" s="27" t="s">
        <v>1058</v>
      </c>
      <c r="T291" s="32"/>
      <c r="U291" s="148"/>
      <c r="V291" s="148"/>
      <c r="W291" s="32" t="s">
        <v>227</v>
      </c>
      <c r="X291" s="33"/>
      <c r="Y291" s="22"/>
      <c r="Z291" s="22"/>
      <c r="AA291" s="22"/>
      <c r="AB291" s="33"/>
      <c r="AC291" s="22"/>
      <c r="AD291" s="22"/>
      <c r="AE291" s="22"/>
      <c r="AF291" s="22"/>
      <c r="AG291" s="25"/>
      <c r="AH291" s="25"/>
      <c r="AI291" s="25"/>
      <c r="AJ291" s="25"/>
      <c r="AK291" s="25"/>
      <c r="AL291" s="75">
        <f t="shared" si="1"/>
        <v>707000</v>
      </c>
      <c r="AM291" s="38">
        <f>89749.35+50000</f>
        <v>139749.35</v>
      </c>
      <c r="AN291" s="38">
        <f>50000+42931.14+110667.71+52630.59+78780.48+3969.23+9712.82</f>
        <v>348691.97</v>
      </c>
      <c r="AO291" s="38">
        <f t="shared" si="2"/>
        <v>488441.31999999995</v>
      </c>
      <c r="AP291" s="22"/>
      <c r="AQ291" s="22"/>
      <c r="AR291" s="22"/>
      <c r="AS291" s="22"/>
      <c r="AT291" s="22"/>
      <c r="AU291" s="26"/>
      <c r="AV291" s="26"/>
      <c r="AW291" s="26"/>
      <c r="AX291" s="26"/>
      <c r="AY291" s="26"/>
      <c r="AZ291" s="26"/>
      <c r="BA291" s="26"/>
      <c r="BB291" s="14" t="s">
        <v>295</v>
      </c>
      <c r="BC291" s="27" t="s">
        <v>1020</v>
      </c>
      <c r="BD291" s="63">
        <v>43003</v>
      </c>
      <c r="BE291" s="35">
        <f>BD291+300</f>
        <v>43303</v>
      </c>
      <c r="BF291" s="63"/>
      <c r="BG291" s="26"/>
      <c r="BH291" s="26"/>
      <c r="BI291" s="14" t="s">
        <v>756</v>
      </c>
      <c r="BJ291" s="14" t="s">
        <v>757</v>
      </c>
      <c r="BK291" s="26"/>
      <c r="BL291" s="26"/>
      <c r="BM291" s="26"/>
    </row>
    <row r="292" spans="1:65" ht="90" x14ac:dyDescent="0.25">
      <c r="A292" s="160"/>
      <c r="B292" s="154"/>
      <c r="C292" s="19"/>
      <c r="D292" s="80"/>
      <c r="E292" s="19"/>
      <c r="F292" s="32"/>
      <c r="G292" s="32"/>
      <c r="H292" s="20"/>
      <c r="I292" s="20"/>
      <c r="J292" s="20"/>
      <c r="K292" s="45"/>
      <c r="L292" s="143"/>
      <c r="M292" s="27"/>
      <c r="N292" s="27"/>
      <c r="O292" s="78"/>
      <c r="P292" s="27"/>
      <c r="Q292" s="27"/>
      <c r="R292" s="27"/>
      <c r="S292" s="27"/>
      <c r="T292" s="32"/>
      <c r="U292" s="148"/>
      <c r="V292" s="148"/>
      <c r="W292" s="32"/>
      <c r="X292" s="33" t="s">
        <v>861</v>
      </c>
      <c r="Y292" s="22" t="s">
        <v>136</v>
      </c>
      <c r="Z292" s="35">
        <v>43298</v>
      </c>
      <c r="AA292" s="34">
        <v>12361</v>
      </c>
      <c r="AB292" s="33" t="s">
        <v>1735</v>
      </c>
      <c r="AC292" s="35">
        <v>43327</v>
      </c>
      <c r="AD292" s="35">
        <v>43447</v>
      </c>
      <c r="AE292" s="22"/>
      <c r="AF292" s="22"/>
      <c r="AG292" s="25"/>
      <c r="AH292" s="25"/>
      <c r="AI292" s="25"/>
      <c r="AJ292" s="25"/>
      <c r="AK292" s="25"/>
      <c r="AL292" s="75"/>
      <c r="AM292" s="38"/>
      <c r="AN292" s="38"/>
      <c r="AO292" s="38"/>
      <c r="AP292" s="37"/>
      <c r="AQ292" s="22"/>
      <c r="AR292" s="22"/>
      <c r="AS292" s="22"/>
      <c r="AT292" s="22"/>
      <c r="AU292" s="26"/>
      <c r="AV292" s="26"/>
      <c r="AW292" s="26"/>
      <c r="AX292" s="26"/>
      <c r="AY292" s="26"/>
      <c r="AZ292" s="26"/>
      <c r="BA292" s="26"/>
      <c r="BB292" s="14"/>
      <c r="BC292" s="27"/>
      <c r="BD292" s="63">
        <v>43303</v>
      </c>
      <c r="BE292" s="35">
        <v>43423</v>
      </c>
      <c r="BF292" s="63"/>
      <c r="BG292" s="26"/>
      <c r="BH292" s="26"/>
      <c r="BI292" s="14"/>
      <c r="BJ292" s="14"/>
      <c r="BK292" s="26"/>
      <c r="BL292" s="26"/>
      <c r="BM292" s="26"/>
    </row>
    <row r="293" spans="1:65" ht="60" x14ac:dyDescent="0.25">
      <c r="A293" s="163">
        <v>66</v>
      </c>
      <c r="B293" s="155" t="s">
        <v>1102</v>
      </c>
      <c r="C293" s="22" t="s">
        <v>758</v>
      </c>
      <c r="D293" s="81" t="s">
        <v>240</v>
      </c>
      <c r="E293" s="22" t="s">
        <v>124</v>
      </c>
      <c r="F293" s="33" t="s">
        <v>1103</v>
      </c>
      <c r="G293" s="33"/>
      <c r="H293" s="23"/>
      <c r="I293" s="23"/>
      <c r="J293" s="23"/>
      <c r="K293" s="24" t="s">
        <v>1104</v>
      </c>
      <c r="L293" s="140" t="s">
        <v>768</v>
      </c>
      <c r="M293" s="43" t="s">
        <v>769</v>
      </c>
      <c r="N293" s="61">
        <v>43031</v>
      </c>
      <c r="O293" s="77">
        <v>16102.5</v>
      </c>
      <c r="P293" s="76">
        <v>12177</v>
      </c>
      <c r="Q293" s="61">
        <v>43031</v>
      </c>
      <c r="R293" s="61">
        <v>43396</v>
      </c>
      <c r="S293" s="43" t="s">
        <v>198</v>
      </c>
      <c r="T293" s="22"/>
      <c r="U293" s="25"/>
      <c r="V293" s="25"/>
      <c r="W293" s="33" t="s">
        <v>184</v>
      </c>
      <c r="X293" s="33"/>
      <c r="Y293" s="22"/>
      <c r="Z293" s="22"/>
      <c r="AA293" s="22"/>
      <c r="AB293" s="33"/>
      <c r="AC293" s="22"/>
      <c r="AD293" s="22"/>
      <c r="AE293" s="22"/>
      <c r="AF293" s="22"/>
      <c r="AG293" s="25"/>
      <c r="AH293" s="25"/>
      <c r="AI293" s="25"/>
      <c r="AJ293" s="25"/>
      <c r="AK293" s="25"/>
      <c r="AL293" s="74">
        <f t="shared" si="1"/>
        <v>16102.5</v>
      </c>
      <c r="AM293" s="25"/>
      <c r="AN293" s="25">
        <f>527.52+461.94+3162.9+2310.6+3382.42+2191.84</f>
        <v>12037.220000000001</v>
      </c>
      <c r="AO293" s="77">
        <f t="shared" si="2"/>
        <v>12037.220000000001</v>
      </c>
      <c r="AP293" s="37"/>
      <c r="AQ293" s="22"/>
      <c r="AR293" s="22"/>
      <c r="AS293" s="22"/>
      <c r="AT293" s="22"/>
      <c r="AU293" s="26"/>
      <c r="AV293" s="26" t="s">
        <v>121</v>
      </c>
      <c r="AW293" s="22" t="s">
        <v>640</v>
      </c>
      <c r="AX293" s="64">
        <v>12161</v>
      </c>
      <c r="AY293" s="63">
        <v>43026</v>
      </c>
      <c r="AZ293" s="64">
        <v>12164</v>
      </c>
      <c r="BA293" s="63">
        <v>43028</v>
      </c>
      <c r="BB293" s="26"/>
      <c r="BC293" s="60"/>
      <c r="BD293" s="26"/>
      <c r="BE293" s="26"/>
      <c r="BF293" s="26"/>
      <c r="BG293" s="26"/>
      <c r="BH293" s="26"/>
      <c r="BI293" s="26"/>
      <c r="BJ293" s="26"/>
      <c r="BK293" s="26"/>
      <c r="BL293" s="26"/>
      <c r="BM293" s="26"/>
    </row>
    <row r="294" spans="1:65" x14ac:dyDescent="0.25">
      <c r="A294" s="160">
        <v>67</v>
      </c>
      <c r="B294" s="154" t="s">
        <v>1106</v>
      </c>
      <c r="C294" s="19" t="s">
        <v>690</v>
      </c>
      <c r="D294" s="80" t="s">
        <v>225</v>
      </c>
      <c r="E294" s="19"/>
      <c r="F294" s="32" t="s">
        <v>1107</v>
      </c>
      <c r="G294" s="32" t="s">
        <v>1109</v>
      </c>
      <c r="H294" s="20"/>
      <c r="I294" s="20"/>
      <c r="J294" s="20"/>
      <c r="K294" s="45" t="s">
        <v>1105</v>
      </c>
      <c r="L294" s="143" t="s">
        <v>1055</v>
      </c>
      <c r="M294" s="27" t="s">
        <v>1056</v>
      </c>
      <c r="N294" s="31">
        <v>43038</v>
      </c>
      <c r="O294" s="78">
        <v>695007.22</v>
      </c>
      <c r="P294" s="30">
        <v>12172</v>
      </c>
      <c r="Q294" s="31">
        <v>43038</v>
      </c>
      <c r="R294" s="31">
        <v>43368</v>
      </c>
      <c r="S294" s="27" t="s">
        <v>1108</v>
      </c>
      <c r="T294" s="32"/>
      <c r="U294" s="148"/>
      <c r="V294" s="148"/>
      <c r="W294" s="32" t="s">
        <v>227</v>
      </c>
      <c r="X294" s="33"/>
      <c r="Y294" s="22"/>
      <c r="Z294" s="22"/>
      <c r="AA294" s="22"/>
      <c r="AB294" s="33"/>
      <c r="AC294" s="22"/>
      <c r="AD294" s="22"/>
      <c r="AE294" s="22"/>
      <c r="AF294" s="22"/>
      <c r="AG294" s="25"/>
      <c r="AH294" s="25"/>
      <c r="AI294" s="25"/>
      <c r="AJ294" s="25"/>
      <c r="AK294" s="25"/>
      <c r="AL294" s="38">
        <f>O294-AH294+AG294-AH295+AG295-AH296+AG296</f>
        <v>746588.79999999993</v>
      </c>
      <c r="AM294" s="38">
        <f>39487.93</f>
        <v>39487.93</v>
      </c>
      <c r="AN294" s="38">
        <f>39702.23+6271+72788.25+54982.55+41603.1+28308.64+124113.25</f>
        <v>367769.02</v>
      </c>
      <c r="AO294" s="38">
        <f t="shared" si="2"/>
        <v>407256.95</v>
      </c>
      <c r="AP294" s="22"/>
      <c r="AQ294" s="22"/>
      <c r="AR294" s="22"/>
      <c r="AS294" s="22"/>
      <c r="AT294" s="22"/>
      <c r="AU294" s="26"/>
      <c r="AV294" s="26"/>
      <c r="AW294" s="26"/>
      <c r="AX294" s="26"/>
      <c r="AY294" s="26"/>
      <c r="AZ294" s="26"/>
      <c r="BA294" s="26"/>
      <c r="BB294" s="19" t="s">
        <v>295</v>
      </c>
      <c r="BC294" s="27" t="s">
        <v>1020</v>
      </c>
      <c r="BD294" s="63">
        <v>43060</v>
      </c>
      <c r="BE294" s="35">
        <f>BD294+300</f>
        <v>43360</v>
      </c>
      <c r="BF294" s="63"/>
      <c r="BG294" s="26"/>
      <c r="BH294" s="26"/>
      <c r="BI294" s="14" t="s">
        <v>756</v>
      </c>
      <c r="BJ294" s="14" t="s">
        <v>757</v>
      </c>
      <c r="BK294" s="26"/>
      <c r="BL294" s="26"/>
      <c r="BM294" s="26"/>
    </row>
    <row r="295" spans="1:65" ht="90" x14ac:dyDescent="0.25">
      <c r="A295" s="160"/>
      <c r="B295" s="154"/>
      <c r="C295" s="19"/>
      <c r="D295" s="80"/>
      <c r="E295" s="19"/>
      <c r="F295" s="32"/>
      <c r="G295" s="32"/>
      <c r="H295" s="20"/>
      <c r="I295" s="20"/>
      <c r="J295" s="20"/>
      <c r="K295" s="45"/>
      <c r="L295" s="143"/>
      <c r="M295" s="27"/>
      <c r="N295" s="27"/>
      <c r="O295" s="78"/>
      <c r="P295" s="27"/>
      <c r="Q295" s="27"/>
      <c r="R295" s="27"/>
      <c r="S295" s="27"/>
      <c r="T295" s="32"/>
      <c r="U295" s="148"/>
      <c r="V295" s="148"/>
      <c r="W295" s="32"/>
      <c r="X295" s="33" t="s">
        <v>861</v>
      </c>
      <c r="Y295" s="22" t="s">
        <v>136</v>
      </c>
      <c r="Z295" s="35">
        <v>42995</v>
      </c>
      <c r="AA295" s="34">
        <v>12396</v>
      </c>
      <c r="AB295" s="33" t="s">
        <v>1831</v>
      </c>
      <c r="AC295" s="35">
        <v>43368</v>
      </c>
      <c r="AD295" s="35">
        <v>43518</v>
      </c>
      <c r="AE295" s="22"/>
      <c r="AF295" s="22"/>
      <c r="AG295" s="25"/>
      <c r="AH295" s="25"/>
      <c r="AI295" s="25"/>
      <c r="AJ295" s="25"/>
      <c r="AK295" s="25"/>
      <c r="AL295" s="38"/>
      <c r="AM295" s="38"/>
      <c r="AN295" s="38"/>
      <c r="AO295" s="38"/>
      <c r="AP295" s="22"/>
      <c r="AQ295" s="22"/>
      <c r="AR295" s="22"/>
      <c r="AS295" s="22"/>
      <c r="AT295" s="22"/>
      <c r="AU295" s="26"/>
      <c r="AV295" s="26"/>
      <c r="AW295" s="26"/>
      <c r="AX295" s="26"/>
      <c r="AY295" s="26"/>
      <c r="AZ295" s="26"/>
      <c r="BA295" s="26"/>
      <c r="BB295" s="19"/>
      <c r="BC295" s="27"/>
      <c r="BD295" s="63">
        <v>43360</v>
      </c>
      <c r="BE295" s="35">
        <v>43510</v>
      </c>
      <c r="BF295" s="63"/>
      <c r="BG295" s="26"/>
      <c r="BH295" s="26"/>
      <c r="BI295" s="14"/>
      <c r="BJ295" s="14"/>
      <c r="BK295" s="26"/>
      <c r="BL295" s="26"/>
      <c r="BM295" s="26"/>
    </row>
    <row r="296" spans="1:65" ht="150" x14ac:dyDescent="0.25">
      <c r="A296" s="160"/>
      <c r="B296" s="154"/>
      <c r="C296" s="19"/>
      <c r="D296" s="80"/>
      <c r="E296" s="19"/>
      <c r="F296" s="32"/>
      <c r="G296" s="32"/>
      <c r="H296" s="20"/>
      <c r="I296" s="20"/>
      <c r="J296" s="20"/>
      <c r="K296" s="45"/>
      <c r="L296" s="143"/>
      <c r="M296" s="27"/>
      <c r="N296" s="27"/>
      <c r="O296" s="78"/>
      <c r="P296" s="27"/>
      <c r="Q296" s="27"/>
      <c r="R296" s="27"/>
      <c r="S296" s="27"/>
      <c r="T296" s="32"/>
      <c r="U296" s="148"/>
      <c r="V296" s="148"/>
      <c r="W296" s="32"/>
      <c r="X296" s="33" t="s">
        <v>365</v>
      </c>
      <c r="Y296" s="22" t="s">
        <v>140</v>
      </c>
      <c r="Z296" s="35">
        <v>43368</v>
      </c>
      <c r="AA296" s="34">
        <v>12396</v>
      </c>
      <c r="AB296" s="33" t="s">
        <v>1832</v>
      </c>
      <c r="AC296" s="22"/>
      <c r="AD296" s="22"/>
      <c r="AE296" s="22"/>
      <c r="AF296" s="22"/>
      <c r="AG296" s="25">
        <v>51581.58</v>
      </c>
      <c r="AH296" s="25"/>
      <c r="AI296" s="25"/>
      <c r="AJ296" s="25"/>
      <c r="AK296" s="25"/>
      <c r="AL296" s="38"/>
      <c r="AM296" s="38"/>
      <c r="AN296" s="38"/>
      <c r="AO296" s="38"/>
      <c r="AP296" s="37"/>
      <c r="AQ296" s="22"/>
      <c r="AR296" s="22"/>
      <c r="AS296" s="22"/>
      <c r="AT296" s="22"/>
      <c r="AU296" s="26"/>
      <c r="AV296" s="26"/>
      <c r="AW296" s="26"/>
      <c r="AX296" s="26"/>
      <c r="AY296" s="26"/>
      <c r="AZ296" s="26"/>
      <c r="BA296" s="26"/>
      <c r="BB296" s="19"/>
      <c r="BC296" s="27"/>
      <c r="BD296" s="63"/>
      <c r="BE296" s="35"/>
      <c r="BF296" s="63"/>
      <c r="BG296" s="26"/>
      <c r="BH296" s="26"/>
      <c r="BI296" s="14"/>
      <c r="BJ296" s="14"/>
      <c r="BK296" s="26"/>
      <c r="BL296" s="26"/>
      <c r="BM296" s="26"/>
    </row>
    <row r="297" spans="1:65" x14ac:dyDescent="0.25">
      <c r="A297" s="160">
        <v>68</v>
      </c>
      <c r="B297" s="154" t="s">
        <v>1122</v>
      </c>
      <c r="C297" s="19" t="s">
        <v>675</v>
      </c>
      <c r="D297" s="80" t="s">
        <v>1123</v>
      </c>
      <c r="E297" s="19" t="s">
        <v>124</v>
      </c>
      <c r="F297" s="32" t="s">
        <v>1124</v>
      </c>
      <c r="G297" s="32" t="s">
        <v>1140</v>
      </c>
      <c r="H297" s="20"/>
      <c r="I297" s="20"/>
      <c r="J297" s="20"/>
      <c r="K297" s="45" t="s">
        <v>1127</v>
      </c>
      <c r="L297" s="143" t="s">
        <v>1126</v>
      </c>
      <c r="M297" s="27" t="s">
        <v>1128</v>
      </c>
      <c r="N297" s="31">
        <v>43047</v>
      </c>
      <c r="O297" s="78">
        <v>81265.149999999994</v>
      </c>
      <c r="P297" s="30">
        <v>12184</v>
      </c>
      <c r="Q297" s="31">
        <v>43047</v>
      </c>
      <c r="R297" s="31">
        <v>43137</v>
      </c>
      <c r="S297" s="27" t="s">
        <v>243</v>
      </c>
      <c r="T297" s="32"/>
      <c r="U297" s="148"/>
      <c r="V297" s="148"/>
      <c r="W297" s="32" t="s">
        <v>227</v>
      </c>
      <c r="X297" s="33"/>
      <c r="Y297" s="35"/>
      <c r="Z297" s="35"/>
      <c r="AA297" s="34"/>
      <c r="AB297" s="33"/>
      <c r="AC297" s="35"/>
      <c r="AD297" s="35"/>
      <c r="AE297" s="22"/>
      <c r="AF297" s="22"/>
      <c r="AG297" s="25"/>
      <c r="AH297" s="25"/>
      <c r="AI297" s="25"/>
      <c r="AJ297" s="25"/>
      <c r="AK297" s="25"/>
      <c r="AL297" s="38">
        <f>O297-AH297+AG297-AH300+AG300</f>
        <v>88241.819999999992</v>
      </c>
      <c r="AM297" s="38"/>
      <c r="AN297" s="38">
        <f>27628.84+31934.03+28678.95</f>
        <v>88241.819999999992</v>
      </c>
      <c r="AO297" s="38">
        <f t="shared" si="2"/>
        <v>88241.819999999992</v>
      </c>
      <c r="AP297" s="22"/>
      <c r="AQ297" s="22"/>
      <c r="AR297" s="22"/>
      <c r="AS297" s="22"/>
      <c r="AT297" s="22"/>
      <c r="AU297" s="26"/>
      <c r="AV297" s="26"/>
      <c r="AW297" s="26"/>
      <c r="AX297" s="26"/>
      <c r="AY297" s="26"/>
      <c r="AZ297" s="26"/>
      <c r="BA297" s="26"/>
      <c r="BB297" s="14" t="s">
        <v>1125</v>
      </c>
      <c r="BC297" s="27" t="s">
        <v>1020</v>
      </c>
      <c r="BD297" s="63">
        <v>43102</v>
      </c>
      <c r="BE297" s="35">
        <v>43161</v>
      </c>
      <c r="BF297" s="63"/>
      <c r="BG297" s="26"/>
      <c r="BH297" s="26"/>
      <c r="BI297" s="14" t="s">
        <v>757</v>
      </c>
      <c r="BJ297" s="14" t="s">
        <v>756</v>
      </c>
      <c r="BK297" s="26"/>
      <c r="BL297" s="26"/>
      <c r="BM297" s="26"/>
    </row>
    <row r="298" spans="1:65" ht="90" x14ac:dyDescent="0.25">
      <c r="A298" s="160"/>
      <c r="B298" s="154"/>
      <c r="C298" s="19"/>
      <c r="D298" s="80"/>
      <c r="E298" s="19"/>
      <c r="F298" s="32"/>
      <c r="G298" s="32"/>
      <c r="H298" s="20"/>
      <c r="I298" s="20"/>
      <c r="J298" s="20"/>
      <c r="K298" s="45"/>
      <c r="L298" s="143"/>
      <c r="M298" s="27"/>
      <c r="N298" s="27"/>
      <c r="O298" s="78"/>
      <c r="P298" s="27"/>
      <c r="Q298" s="27"/>
      <c r="R298" s="27"/>
      <c r="S298" s="27"/>
      <c r="T298" s="32"/>
      <c r="U298" s="148"/>
      <c r="V298" s="148"/>
      <c r="W298" s="32"/>
      <c r="X298" s="33" t="s">
        <v>861</v>
      </c>
      <c r="Y298" s="35" t="s">
        <v>136</v>
      </c>
      <c r="Z298" s="35">
        <v>43137</v>
      </c>
      <c r="AA298" s="34">
        <v>12264</v>
      </c>
      <c r="AB298" s="33" t="s">
        <v>1406</v>
      </c>
      <c r="AC298" s="35">
        <v>43137</v>
      </c>
      <c r="AD298" s="35">
        <v>43227</v>
      </c>
      <c r="AE298" s="22"/>
      <c r="AF298" s="22"/>
      <c r="AG298" s="25"/>
      <c r="AH298" s="25"/>
      <c r="AI298" s="25"/>
      <c r="AJ298" s="25"/>
      <c r="AK298" s="25"/>
      <c r="AL298" s="38"/>
      <c r="AM298" s="38"/>
      <c r="AN298" s="38"/>
      <c r="AO298" s="38"/>
      <c r="AP298" s="22"/>
      <c r="AQ298" s="22"/>
      <c r="AR298" s="22"/>
      <c r="AS298" s="22"/>
      <c r="AT298" s="22"/>
      <c r="AU298" s="26"/>
      <c r="AV298" s="26"/>
      <c r="AW298" s="26"/>
      <c r="AX298" s="26"/>
      <c r="AY298" s="26"/>
      <c r="AZ298" s="26"/>
      <c r="BA298" s="26"/>
      <c r="BB298" s="14"/>
      <c r="BC298" s="27"/>
      <c r="BD298" s="35">
        <v>43162</v>
      </c>
      <c r="BE298" s="35">
        <v>43222</v>
      </c>
      <c r="BF298" s="63"/>
      <c r="BG298" s="26"/>
      <c r="BH298" s="26"/>
      <c r="BI298" s="14"/>
      <c r="BJ298" s="14"/>
      <c r="BK298" s="26"/>
      <c r="BL298" s="26"/>
      <c r="BM298" s="26"/>
    </row>
    <row r="299" spans="1:65" ht="75" x14ac:dyDescent="0.25">
      <c r="A299" s="160"/>
      <c r="B299" s="154"/>
      <c r="C299" s="19"/>
      <c r="D299" s="80"/>
      <c r="E299" s="19"/>
      <c r="F299" s="32"/>
      <c r="G299" s="32"/>
      <c r="H299" s="19"/>
      <c r="I299" s="19"/>
      <c r="J299" s="19"/>
      <c r="K299" s="19"/>
      <c r="L299" s="143"/>
      <c r="M299" s="27"/>
      <c r="N299" s="27"/>
      <c r="O299" s="78"/>
      <c r="P299" s="27"/>
      <c r="Q299" s="27"/>
      <c r="R299" s="27"/>
      <c r="S299" s="27"/>
      <c r="T299" s="32"/>
      <c r="U299" s="148"/>
      <c r="V299" s="148"/>
      <c r="W299" s="32"/>
      <c r="X299" s="33" t="s">
        <v>861</v>
      </c>
      <c r="Y299" s="35" t="s">
        <v>140</v>
      </c>
      <c r="Z299" s="35">
        <v>43227</v>
      </c>
      <c r="AA299" s="34">
        <v>12309</v>
      </c>
      <c r="AB299" s="33" t="s">
        <v>1533</v>
      </c>
      <c r="AC299" s="35">
        <v>43227</v>
      </c>
      <c r="AD299" s="35">
        <v>43317</v>
      </c>
      <c r="AE299" s="22"/>
      <c r="AF299" s="22"/>
      <c r="AG299" s="25"/>
      <c r="AH299" s="25"/>
      <c r="AI299" s="25"/>
      <c r="AJ299" s="25"/>
      <c r="AK299" s="25"/>
      <c r="AL299" s="38"/>
      <c r="AM299" s="38"/>
      <c r="AN299" s="38"/>
      <c r="AO299" s="38"/>
      <c r="AP299" s="22"/>
      <c r="AQ299" s="22"/>
      <c r="AR299" s="22"/>
      <c r="AS299" s="22"/>
      <c r="AT299" s="22"/>
      <c r="AU299" s="26"/>
      <c r="AV299" s="26"/>
      <c r="AW299" s="26"/>
      <c r="AX299" s="26"/>
      <c r="AY299" s="26"/>
      <c r="AZ299" s="26"/>
      <c r="BA299" s="26"/>
      <c r="BB299" s="14"/>
      <c r="BC299" s="27"/>
      <c r="BD299" s="35"/>
      <c r="BE299" s="35"/>
      <c r="BF299" s="63"/>
      <c r="BG299" s="26"/>
      <c r="BH299" s="26"/>
      <c r="BI299" s="14"/>
      <c r="BJ299" s="14"/>
      <c r="BK299" s="26"/>
      <c r="BL299" s="26"/>
      <c r="BM299" s="26"/>
    </row>
    <row r="300" spans="1:65" ht="135" x14ac:dyDescent="0.25">
      <c r="A300" s="160"/>
      <c r="B300" s="154"/>
      <c r="C300" s="19"/>
      <c r="D300" s="80"/>
      <c r="E300" s="19"/>
      <c r="F300" s="32"/>
      <c r="G300" s="32"/>
      <c r="H300" s="19"/>
      <c r="I300" s="19"/>
      <c r="J300" s="19"/>
      <c r="K300" s="19"/>
      <c r="L300" s="143"/>
      <c r="M300" s="27"/>
      <c r="N300" s="27"/>
      <c r="O300" s="78"/>
      <c r="P300" s="27"/>
      <c r="Q300" s="27"/>
      <c r="R300" s="27"/>
      <c r="S300" s="27"/>
      <c r="T300" s="32"/>
      <c r="U300" s="148"/>
      <c r="V300" s="148"/>
      <c r="W300" s="32"/>
      <c r="X300" s="33" t="s">
        <v>365</v>
      </c>
      <c r="Y300" s="35" t="s">
        <v>185</v>
      </c>
      <c r="Z300" s="35">
        <v>43237</v>
      </c>
      <c r="AA300" s="34">
        <v>12309</v>
      </c>
      <c r="AB300" s="33" t="s">
        <v>1534</v>
      </c>
      <c r="AC300" s="35"/>
      <c r="AD300" s="35"/>
      <c r="AE300" s="25"/>
      <c r="AF300" s="25"/>
      <c r="AG300" s="25">
        <v>16046.02</v>
      </c>
      <c r="AH300" s="25">
        <v>9069.35</v>
      </c>
      <c r="AI300" s="25"/>
      <c r="AJ300" s="25"/>
      <c r="AK300" s="25"/>
      <c r="AL300" s="38"/>
      <c r="AM300" s="38"/>
      <c r="AN300" s="38"/>
      <c r="AO300" s="38"/>
      <c r="AP300" s="22"/>
      <c r="AQ300" s="22"/>
      <c r="AR300" s="22"/>
      <c r="AS300" s="22"/>
      <c r="AT300" s="22"/>
      <c r="AU300" s="26"/>
      <c r="AV300" s="26"/>
      <c r="AW300" s="26"/>
      <c r="AX300" s="26"/>
      <c r="AY300" s="26"/>
      <c r="AZ300" s="26"/>
      <c r="BA300" s="26"/>
      <c r="BB300" s="14"/>
      <c r="BC300" s="27"/>
      <c r="BD300" s="35"/>
      <c r="BE300" s="35"/>
      <c r="BF300" s="63"/>
      <c r="BG300" s="26"/>
      <c r="BH300" s="26"/>
      <c r="BI300" s="14"/>
      <c r="BJ300" s="14"/>
      <c r="BK300" s="26"/>
      <c r="BL300" s="26"/>
      <c r="BM300" s="26"/>
    </row>
    <row r="301" spans="1:65" ht="75" x14ac:dyDescent="0.25">
      <c r="A301" s="163">
        <v>69</v>
      </c>
      <c r="B301" s="156" t="s">
        <v>1145</v>
      </c>
      <c r="C301" s="26" t="s">
        <v>760</v>
      </c>
      <c r="D301" s="81" t="s">
        <v>240</v>
      </c>
      <c r="E301" s="22" t="s">
        <v>124</v>
      </c>
      <c r="F301" s="33" t="s">
        <v>1147</v>
      </c>
      <c r="G301" s="72"/>
      <c r="H301" s="82"/>
      <c r="I301" s="82"/>
      <c r="J301" s="82"/>
      <c r="K301" s="83" t="s">
        <v>1146</v>
      </c>
      <c r="L301" s="144" t="s">
        <v>1148</v>
      </c>
      <c r="M301" s="60" t="s">
        <v>1149</v>
      </c>
      <c r="N301" s="65">
        <v>43076</v>
      </c>
      <c r="O301" s="74">
        <v>7998</v>
      </c>
      <c r="P301" s="73">
        <v>12198</v>
      </c>
      <c r="Q301" s="65">
        <v>43076</v>
      </c>
      <c r="R301" s="65">
        <v>43166</v>
      </c>
      <c r="S301" s="60" t="s">
        <v>142</v>
      </c>
      <c r="T301" s="26"/>
      <c r="U301" s="84"/>
      <c r="V301" s="84"/>
      <c r="W301" s="72" t="s">
        <v>116</v>
      </c>
      <c r="X301" s="72"/>
      <c r="Y301" s="26"/>
      <c r="Z301" s="26"/>
      <c r="AA301" s="26"/>
      <c r="AB301" s="72"/>
      <c r="AC301" s="26"/>
      <c r="AD301" s="26"/>
      <c r="AE301" s="26"/>
      <c r="AF301" s="26"/>
      <c r="AG301" s="84"/>
      <c r="AH301" s="84"/>
      <c r="AI301" s="84"/>
      <c r="AJ301" s="84"/>
      <c r="AK301" s="84"/>
      <c r="AL301" s="74">
        <f t="shared" si="1"/>
        <v>7998</v>
      </c>
      <c r="AM301" s="84"/>
      <c r="AN301" s="84">
        <f>2666+2666+2666</f>
        <v>7998</v>
      </c>
      <c r="AO301" s="77">
        <f t="shared" si="2"/>
        <v>7998</v>
      </c>
      <c r="AP301" s="26"/>
      <c r="AQ301" s="26"/>
      <c r="AR301" s="26"/>
      <c r="AS301" s="26"/>
      <c r="AT301" s="26"/>
      <c r="AU301" s="26"/>
      <c r="AV301" s="26" t="s">
        <v>121</v>
      </c>
      <c r="AW301" s="22" t="s">
        <v>1150</v>
      </c>
      <c r="AX301" s="26"/>
      <c r="AY301" s="26"/>
      <c r="AZ301" s="26"/>
      <c r="BA301" s="26"/>
      <c r="BB301" s="26"/>
      <c r="BC301" s="60"/>
      <c r="BD301" s="26"/>
      <c r="BE301" s="26"/>
      <c r="BF301" s="26"/>
      <c r="BG301" s="26"/>
      <c r="BH301" s="26"/>
      <c r="BI301" s="26"/>
      <c r="BJ301" s="26"/>
      <c r="BK301" s="26"/>
      <c r="BL301" s="26"/>
      <c r="BM301" s="26"/>
    </row>
    <row r="302" spans="1:65" ht="90" x14ac:dyDescent="0.25">
      <c r="A302" s="163">
        <v>70</v>
      </c>
      <c r="B302" s="155" t="s">
        <v>1188</v>
      </c>
      <c r="C302" s="22" t="s">
        <v>789</v>
      </c>
      <c r="D302" s="81" t="s">
        <v>128</v>
      </c>
      <c r="E302" s="22" t="s">
        <v>124</v>
      </c>
      <c r="F302" s="33" t="s">
        <v>1189</v>
      </c>
      <c r="G302" s="33" t="s">
        <v>1215</v>
      </c>
      <c r="H302" s="23" t="s">
        <v>786</v>
      </c>
      <c r="I302" s="35">
        <v>43082</v>
      </c>
      <c r="J302" s="35">
        <v>43447</v>
      </c>
      <c r="K302" s="24" t="s">
        <v>1168</v>
      </c>
      <c r="L302" s="140" t="s">
        <v>1190</v>
      </c>
      <c r="M302" s="43" t="s">
        <v>274</v>
      </c>
      <c r="N302" s="61">
        <v>43102</v>
      </c>
      <c r="O302" s="77">
        <v>87168.3</v>
      </c>
      <c r="P302" s="76">
        <v>12228</v>
      </c>
      <c r="Q302" s="61">
        <v>43102</v>
      </c>
      <c r="R302" s="61">
        <v>43283</v>
      </c>
      <c r="S302" s="43" t="s">
        <v>1192</v>
      </c>
      <c r="T302" s="22"/>
      <c r="U302" s="25"/>
      <c r="V302" s="25"/>
      <c r="W302" s="33" t="s">
        <v>1191</v>
      </c>
      <c r="X302" s="33" t="s">
        <v>1261</v>
      </c>
      <c r="Y302" s="22" t="s">
        <v>136</v>
      </c>
      <c r="Z302" s="35">
        <v>43272</v>
      </c>
      <c r="AA302" s="34">
        <v>12336</v>
      </c>
      <c r="AB302" s="33" t="s">
        <v>1263</v>
      </c>
      <c r="AC302" s="35">
        <v>43283</v>
      </c>
      <c r="AD302" s="35">
        <v>43465</v>
      </c>
      <c r="AE302" s="22"/>
      <c r="AF302" s="22"/>
      <c r="AG302" s="25">
        <v>87168.3</v>
      </c>
      <c r="AH302" s="25"/>
      <c r="AI302" s="25"/>
      <c r="AJ302" s="25"/>
      <c r="AK302" s="25"/>
      <c r="AL302" s="74">
        <f t="shared" si="1"/>
        <v>174336.6</v>
      </c>
      <c r="AM302" s="25"/>
      <c r="AN302" s="25">
        <f>14528.05+14528.05+14528.05+14528.05+14528.05+14528.05+14528.05+14528.05+14528.05</f>
        <v>130752.45000000001</v>
      </c>
      <c r="AO302" s="77">
        <f t="shared" si="2"/>
        <v>130752.45000000001</v>
      </c>
      <c r="AP302" s="37"/>
      <c r="AQ302" s="22"/>
      <c r="AR302" s="22"/>
      <c r="AS302" s="22"/>
      <c r="AT302" s="22"/>
      <c r="AU302" s="26"/>
      <c r="AV302" s="26"/>
      <c r="AW302" s="26"/>
      <c r="AX302" s="26"/>
      <c r="AY302" s="26"/>
      <c r="AZ302" s="26"/>
      <c r="BA302" s="26"/>
      <c r="BB302" s="26"/>
      <c r="BC302" s="60"/>
      <c r="BD302" s="26"/>
      <c r="BE302" s="26"/>
      <c r="BF302" s="26"/>
      <c r="BG302" s="26"/>
      <c r="BH302" s="26"/>
      <c r="BI302" s="26"/>
      <c r="BJ302" s="26"/>
      <c r="BK302" s="26"/>
      <c r="BL302" s="26"/>
      <c r="BM302" s="26"/>
    </row>
    <row r="303" spans="1:65" ht="60" x14ac:dyDescent="0.25">
      <c r="A303" s="163">
        <v>71</v>
      </c>
      <c r="B303" s="157" t="s">
        <v>1256</v>
      </c>
      <c r="C303" s="22" t="s">
        <v>788</v>
      </c>
      <c r="D303" s="81" t="s">
        <v>128</v>
      </c>
      <c r="E303" s="22" t="s">
        <v>124</v>
      </c>
      <c r="F303" s="33" t="s">
        <v>1257</v>
      </c>
      <c r="G303" s="33" t="s">
        <v>1258</v>
      </c>
      <c r="H303" s="23" t="s">
        <v>774</v>
      </c>
      <c r="I303" s="35">
        <v>43031</v>
      </c>
      <c r="J303" s="35">
        <v>43396</v>
      </c>
      <c r="K303" s="24" t="s">
        <v>1255</v>
      </c>
      <c r="L303" s="140" t="s">
        <v>499</v>
      </c>
      <c r="M303" s="43" t="s">
        <v>500</v>
      </c>
      <c r="N303" s="61">
        <v>43102</v>
      </c>
      <c r="O303" s="77">
        <v>18714</v>
      </c>
      <c r="P303" s="76">
        <v>12243</v>
      </c>
      <c r="Q303" s="61">
        <v>43102</v>
      </c>
      <c r="R303" s="61">
        <v>43283</v>
      </c>
      <c r="S303" s="43" t="s">
        <v>1196</v>
      </c>
      <c r="T303" s="22"/>
      <c r="U303" s="25"/>
      <c r="V303" s="25"/>
      <c r="W303" s="33" t="s">
        <v>135</v>
      </c>
      <c r="X303" s="33" t="s">
        <v>1261</v>
      </c>
      <c r="Y303" s="22" t="s">
        <v>136</v>
      </c>
      <c r="Z303" s="35">
        <v>43272</v>
      </c>
      <c r="AA303" s="34">
        <v>12353</v>
      </c>
      <c r="AB303" s="33" t="s">
        <v>1676</v>
      </c>
      <c r="AC303" s="35">
        <v>43283</v>
      </c>
      <c r="AD303" s="35">
        <v>43465</v>
      </c>
      <c r="AE303" s="22"/>
      <c r="AF303" s="22"/>
      <c r="AG303" s="25">
        <v>18714</v>
      </c>
      <c r="AH303" s="25"/>
      <c r="AI303" s="25"/>
      <c r="AJ303" s="25"/>
      <c r="AK303" s="25"/>
      <c r="AL303" s="74">
        <f t="shared" si="1"/>
        <v>37428</v>
      </c>
      <c r="AM303" s="25"/>
      <c r="AN303" s="25">
        <f>3119+266+3399+3128+768+987+1339+1036+1747</f>
        <v>15789</v>
      </c>
      <c r="AO303" s="77">
        <f t="shared" si="2"/>
        <v>15789</v>
      </c>
      <c r="AP303" s="37"/>
      <c r="AQ303" s="22"/>
      <c r="AR303" s="22"/>
      <c r="AS303" s="22"/>
      <c r="AT303" s="22"/>
      <c r="AU303" s="26"/>
      <c r="AV303" s="26"/>
      <c r="AW303" s="26"/>
      <c r="AX303" s="26"/>
      <c r="AY303" s="26"/>
      <c r="AZ303" s="26"/>
      <c r="BA303" s="26"/>
      <c r="BB303" s="26"/>
      <c r="BC303" s="60"/>
      <c r="BD303" s="26"/>
      <c r="BE303" s="26"/>
      <c r="BF303" s="26"/>
      <c r="BG303" s="26"/>
      <c r="BH303" s="26"/>
      <c r="BI303" s="26"/>
      <c r="BJ303" s="26"/>
      <c r="BK303" s="26"/>
      <c r="BL303" s="26"/>
      <c r="BM303" s="26"/>
    </row>
    <row r="304" spans="1:65" ht="165" x14ac:dyDescent="0.25">
      <c r="A304" s="163">
        <v>72</v>
      </c>
      <c r="B304" s="157" t="s">
        <v>1272</v>
      </c>
      <c r="C304" s="22" t="s">
        <v>678</v>
      </c>
      <c r="D304" s="81" t="s">
        <v>1276</v>
      </c>
      <c r="E304" s="22" t="s">
        <v>124</v>
      </c>
      <c r="F304" s="33" t="s">
        <v>1273</v>
      </c>
      <c r="G304" s="33" t="s">
        <v>1279</v>
      </c>
      <c r="H304" s="23"/>
      <c r="I304" s="35"/>
      <c r="J304" s="35"/>
      <c r="K304" s="24" t="s">
        <v>1271</v>
      </c>
      <c r="L304" s="140" t="s">
        <v>1274</v>
      </c>
      <c r="M304" s="43" t="s">
        <v>763</v>
      </c>
      <c r="N304" s="61">
        <v>43102</v>
      </c>
      <c r="O304" s="77">
        <v>214974</v>
      </c>
      <c r="P304" s="76">
        <v>12247</v>
      </c>
      <c r="Q304" s="61">
        <v>43102</v>
      </c>
      <c r="R304" s="61">
        <v>43467</v>
      </c>
      <c r="S304" s="43" t="s">
        <v>1275</v>
      </c>
      <c r="T304" s="22"/>
      <c r="U304" s="25"/>
      <c r="V304" s="25"/>
      <c r="W304" s="33" t="s">
        <v>487</v>
      </c>
      <c r="X304" s="33"/>
      <c r="Y304" s="22"/>
      <c r="Z304" s="22"/>
      <c r="AA304" s="22"/>
      <c r="AB304" s="33"/>
      <c r="AC304" s="22"/>
      <c r="AD304" s="22"/>
      <c r="AE304" s="22"/>
      <c r="AF304" s="22"/>
      <c r="AG304" s="25"/>
      <c r="AH304" s="25"/>
      <c r="AI304" s="25"/>
      <c r="AJ304" s="25"/>
      <c r="AK304" s="25"/>
      <c r="AL304" s="74">
        <f t="shared" si="1"/>
        <v>214974</v>
      </c>
      <c r="AM304" s="25"/>
      <c r="AN304" s="25">
        <f>21429+23994+27747+17046+29458+22995</f>
        <v>142669</v>
      </c>
      <c r="AO304" s="77">
        <f t="shared" si="2"/>
        <v>142669</v>
      </c>
      <c r="AP304" s="22" t="s">
        <v>675</v>
      </c>
      <c r="AQ304" s="35">
        <v>42737</v>
      </c>
      <c r="AR304" s="35">
        <v>43102</v>
      </c>
      <c r="AS304" s="34">
        <v>11970</v>
      </c>
      <c r="AT304" s="22" t="s">
        <v>437</v>
      </c>
      <c r="AU304" s="34">
        <v>11970</v>
      </c>
      <c r="AV304" s="26"/>
      <c r="AW304" s="26"/>
      <c r="AX304" s="26"/>
      <c r="AY304" s="26"/>
      <c r="AZ304" s="26"/>
      <c r="BA304" s="26"/>
      <c r="BB304" s="26"/>
      <c r="BC304" s="60"/>
      <c r="BD304" s="26"/>
      <c r="BE304" s="26"/>
      <c r="BF304" s="26"/>
      <c r="BG304" s="26"/>
      <c r="BH304" s="26"/>
      <c r="BI304" s="26"/>
      <c r="BJ304" s="26"/>
      <c r="BK304" s="26"/>
      <c r="BL304" s="26"/>
      <c r="BM304" s="26"/>
    </row>
    <row r="305" spans="1:65" ht="60" x14ac:dyDescent="0.25">
      <c r="A305" s="163">
        <v>73</v>
      </c>
      <c r="B305" s="155" t="s">
        <v>978</v>
      </c>
      <c r="C305" s="22" t="s">
        <v>699</v>
      </c>
      <c r="D305" s="81" t="s">
        <v>128</v>
      </c>
      <c r="E305" s="22" t="s">
        <v>124</v>
      </c>
      <c r="F305" s="33" t="s">
        <v>979</v>
      </c>
      <c r="G305" s="33" t="s">
        <v>973</v>
      </c>
      <c r="H305" s="23" t="s">
        <v>692</v>
      </c>
      <c r="I305" s="35">
        <v>42852</v>
      </c>
      <c r="J305" s="35">
        <v>43217</v>
      </c>
      <c r="K305" s="24" t="s">
        <v>1169</v>
      </c>
      <c r="L305" s="140" t="s">
        <v>980</v>
      </c>
      <c r="M305" s="43" t="s">
        <v>650</v>
      </c>
      <c r="N305" s="61">
        <v>43103</v>
      </c>
      <c r="O305" s="77">
        <v>486280</v>
      </c>
      <c r="P305" s="76">
        <v>12223</v>
      </c>
      <c r="Q305" s="61">
        <v>43103</v>
      </c>
      <c r="R305" s="61">
        <v>43465</v>
      </c>
      <c r="S305" s="43" t="s">
        <v>1193</v>
      </c>
      <c r="T305" s="22"/>
      <c r="U305" s="25"/>
      <c r="V305" s="25"/>
      <c r="W305" s="33" t="s">
        <v>184</v>
      </c>
      <c r="X305" s="33"/>
      <c r="Y305" s="22"/>
      <c r="Z305" s="22"/>
      <c r="AA305" s="22"/>
      <c r="AB305" s="33"/>
      <c r="AC305" s="22"/>
      <c r="AD305" s="22"/>
      <c r="AE305" s="22"/>
      <c r="AF305" s="22"/>
      <c r="AG305" s="25"/>
      <c r="AH305" s="25"/>
      <c r="AI305" s="25"/>
      <c r="AJ305" s="25"/>
      <c r="AK305" s="25"/>
      <c r="AL305" s="74">
        <f t="shared" si="1"/>
        <v>486280</v>
      </c>
      <c r="AM305" s="25"/>
      <c r="AN305" s="25">
        <f>54394.79+24130+27111.96+46092.69+49887.67+22321.02+22029.94+16201.39</f>
        <v>262169.45999999996</v>
      </c>
      <c r="AO305" s="77">
        <f t="shared" si="2"/>
        <v>262169.45999999996</v>
      </c>
      <c r="AP305" s="37"/>
      <c r="AQ305" s="22"/>
      <c r="AR305" s="22"/>
      <c r="AS305" s="22"/>
      <c r="AT305" s="22"/>
      <c r="AU305" s="26"/>
      <c r="AV305" s="26"/>
      <c r="AW305" s="26"/>
      <c r="AX305" s="26"/>
      <c r="AY305" s="26"/>
      <c r="AZ305" s="26"/>
      <c r="BA305" s="26"/>
      <c r="BB305" s="26"/>
      <c r="BC305" s="60"/>
      <c r="BD305" s="26"/>
      <c r="BE305" s="26"/>
      <c r="BF305" s="26"/>
      <c r="BG305" s="26"/>
      <c r="BH305" s="26"/>
      <c r="BI305" s="26"/>
      <c r="BJ305" s="26"/>
      <c r="BK305" s="26"/>
      <c r="BL305" s="26"/>
      <c r="BM305" s="26"/>
    </row>
    <row r="306" spans="1:65" ht="105" x14ac:dyDescent="0.25">
      <c r="A306" s="163">
        <v>74</v>
      </c>
      <c r="B306" s="155" t="s">
        <v>795</v>
      </c>
      <c r="C306" s="22" t="s">
        <v>473</v>
      </c>
      <c r="D306" s="81" t="s">
        <v>128</v>
      </c>
      <c r="E306" s="22" t="s">
        <v>124</v>
      </c>
      <c r="F306" s="33" t="s">
        <v>797</v>
      </c>
      <c r="G306" s="33" t="s">
        <v>805</v>
      </c>
      <c r="H306" s="23" t="s">
        <v>675</v>
      </c>
      <c r="I306" s="35">
        <v>42746</v>
      </c>
      <c r="J306" s="35">
        <v>43111</v>
      </c>
      <c r="K306" s="24" t="s">
        <v>1170</v>
      </c>
      <c r="L306" s="140" t="s">
        <v>796</v>
      </c>
      <c r="M306" s="43" t="s">
        <v>241</v>
      </c>
      <c r="N306" s="61">
        <v>43103</v>
      </c>
      <c r="O306" s="77">
        <v>97740</v>
      </c>
      <c r="P306" s="76">
        <v>12240</v>
      </c>
      <c r="Q306" s="61">
        <v>43103</v>
      </c>
      <c r="R306" s="61">
        <v>43465</v>
      </c>
      <c r="S306" s="43" t="s">
        <v>1194</v>
      </c>
      <c r="T306" s="22"/>
      <c r="U306" s="25"/>
      <c r="V306" s="25"/>
      <c r="W306" s="33" t="s">
        <v>787</v>
      </c>
      <c r="X306" s="33"/>
      <c r="Y306" s="22" t="s">
        <v>1443</v>
      </c>
      <c r="Z306" s="35">
        <v>43195</v>
      </c>
      <c r="AA306" s="34">
        <v>12280</v>
      </c>
      <c r="AB306" s="33" t="s">
        <v>1444</v>
      </c>
      <c r="AC306" s="22"/>
      <c r="AD306" s="22"/>
      <c r="AE306" s="22"/>
      <c r="AF306" s="22"/>
      <c r="AG306" s="25"/>
      <c r="AH306" s="25"/>
      <c r="AI306" s="25"/>
      <c r="AJ306" s="25"/>
      <c r="AK306" s="25"/>
      <c r="AL306" s="74">
        <f t="shared" si="1"/>
        <v>97740</v>
      </c>
      <c r="AM306" s="25"/>
      <c r="AN306" s="25">
        <f>10600+87140</f>
        <v>97740</v>
      </c>
      <c r="AO306" s="77">
        <f t="shared" si="2"/>
        <v>97740</v>
      </c>
      <c r="AP306" s="22"/>
      <c r="AQ306" s="22"/>
      <c r="AR306" s="22"/>
      <c r="AS306" s="22"/>
      <c r="AT306" s="22"/>
      <c r="AU306" s="26"/>
      <c r="AV306" s="26"/>
      <c r="AW306" s="26"/>
      <c r="AX306" s="26"/>
      <c r="AY306" s="26"/>
      <c r="AZ306" s="26"/>
      <c r="BA306" s="26"/>
      <c r="BB306" s="26"/>
      <c r="BC306" s="60"/>
      <c r="BD306" s="26"/>
      <c r="BE306" s="26"/>
      <c r="BF306" s="26"/>
      <c r="BG306" s="26"/>
      <c r="BH306" s="26"/>
      <c r="BI306" s="26"/>
      <c r="BJ306" s="26"/>
      <c r="BK306" s="26"/>
      <c r="BL306" s="26"/>
      <c r="BM306" s="26"/>
    </row>
    <row r="307" spans="1:65" ht="90" x14ac:dyDescent="0.25">
      <c r="A307" s="163">
        <v>75</v>
      </c>
      <c r="B307" s="155" t="s">
        <v>1073</v>
      </c>
      <c r="C307" s="22" t="s">
        <v>772</v>
      </c>
      <c r="D307" s="81" t="s">
        <v>128</v>
      </c>
      <c r="E307" s="22" t="s">
        <v>124</v>
      </c>
      <c r="F307" s="33" t="s">
        <v>221</v>
      </c>
      <c r="G307" s="33" t="s">
        <v>1093</v>
      </c>
      <c r="H307" s="23" t="s">
        <v>765</v>
      </c>
      <c r="I307" s="35">
        <v>43014</v>
      </c>
      <c r="J307" s="35">
        <v>43379</v>
      </c>
      <c r="K307" s="24" t="s">
        <v>1171</v>
      </c>
      <c r="L307" s="140" t="s">
        <v>377</v>
      </c>
      <c r="M307" s="43" t="s">
        <v>378</v>
      </c>
      <c r="N307" s="61">
        <v>43116</v>
      </c>
      <c r="O307" s="77">
        <v>41000</v>
      </c>
      <c r="P307" s="76">
        <v>12229</v>
      </c>
      <c r="Q307" s="61">
        <v>43116</v>
      </c>
      <c r="R307" s="61">
        <v>43465</v>
      </c>
      <c r="S307" s="43" t="s">
        <v>1195</v>
      </c>
      <c r="T307" s="22"/>
      <c r="U307" s="25"/>
      <c r="V307" s="25"/>
      <c r="W307" s="33" t="s">
        <v>292</v>
      </c>
      <c r="X307" s="33" t="s">
        <v>365</v>
      </c>
      <c r="Y307" s="22" t="s">
        <v>136</v>
      </c>
      <c r="Z307" s="35">
        <v>43231</v>
      </c>
      <c r="AA307" s="34">
        <v>12311</v>
      </c>
      <c r="AB307" s="33" t="s">
        <v>1535</v>
      </c>
      <c r="AC307" s="22"/>
      <c r="AD307" s="22"/>
      <c r="AE307" s="25"/>
      <c r="AF307" s="22"/>
      <c r="AG307" s="25">
        <v>10250</v>
      </c>
      <c r="AH307" s="25"/>
      <c r="AI307" s="25"/>
      <c r="AJ307" s="25"/>
      <c r="AK307" s="25"/>
      <c r="AL307" s="74">
        <f t="shared" si="1"/>
        <v>51250</v>
      </c>
      <c r="AM307" s="25"/>
      <c r="AN307" s="25">
        <f>25000+16000+7235+3000</f>
        <v>51235</v>
      </c>
      <c r="AO307" s="77">
        <f t="shared" si="2"/>
        <v>51235</v>
      </c>
      <c r="AP307" s="37"/>
      <c r="AQ307" s="22"/>
      <c r="AR307" s="22"/>
      <c r="AS307" s="22"/>
      <c r="AT307" s="22"/>
      <c r="AU307" s="26"/>
      <c r="AV307" s="26"/>
      <c r="AW307" s="26"/>
      <c r="AX307" s="26"/>
      <c r="AY307" s="26"/>
      <c r="AZ307" s="26"/>
      <c r="BA307" s="26"/>
      <c r="BB307" s="26"/>
      <c r="BC307" s="60"/>
      <c r="BD307" s="26"/>
      <c r="BE307" s="26"/>
      <c r="BF307" s="26"/>
      <c r="BG307" s="26"/>
      <c r="BH307" s="26"/>
      <c r="BI307" s="26"/>
      <c r="BJ307" s="26"/>
      <c r="BK307" s="26"/>
      <c r="BL307" s="26"/>
      <c r="BM307" s="26"/>
    </row>
    <row r="308" spans="1:65" ht="60" x14ac:dyDescent="0.25">
      <c r="A308" s="163">
        <v>76</v>
      </c>
      <c r="B308" s="155" t="s">
        <v>1073</v>
      </c>
      <c r="C308" s="22" t="s">
        <v>772</v>
      </c>
      <c r="D308" s="81" t="s">
        <v>128</v>
      </c>
      <c r="E308" s="22" t="s">
        <v>124</v>
      </c>
      <c r="F308" s="33" t="s">
        <v>221</v>
      </c>
      <c r="G308" s="33" t="s">
        <v>1093</v>
      </c>
      <c r="H308" s="23" t="s">
        <v>765</v>
      </c>
      <c r="I308" s="35">
        <v>43014</v>
      </c>
      <c r="J308" s="35">
        <v>43379</v>
      </c>
      <c r="K308" s="24" t="s">
        <v>1172</v>
      </c>
      <c r="L308" s="140" t="s">
        <v>379</v>
      </c>
      <c r="M308" s="43" t="s">
        <v>222</v>
      </c>
      <c r="N308" s="61">
        <v>43116</v>
      </c>
      <c r="O308" s="77">
        <v>56700</v>
      </c>
      <c r="P308" s="76">
        <v>12229</v>
      </c>
      <c r="Q308" s="61">
        <v>43116</v>
      </c>
      <c r="R308" s="61">
        <v>43465</v>
      </c>
      <c r="S308" s="43" t="s">
        <v>1195</v>
      </c>
      <c r="T308" s="22"/>
      <c r="U308" s="25"/>
      <c r="V308" s="25"/>
      <c r="W308" s="33" t="s">
        <v>292</v>
      </c>
      <c r="X308" s="33"/>
      <c r="Y308" s="22"/>
      <c r="Z308" s="22"/>
      <c r="AA308" s="22"/>
      <c r="AB308" s="33"/>
      <c r="AC308" s="22"/>
      <c r="AD308" s="22"/>
      <c r="AE308" s="22"/>
      <c r="AF308" s="22"/>
      <c r="AG308" s="25"/>
      <c r="AH308" s="25"/>
      <c r="AI308" s="25"/>
      <c r="AJ308" s="25"/>
      <c r="AK308" s="25"/>
      <c r="AL308" s="74">
        <f>O308-AH308+AG308</f>
        <v>56700</v>
      </c>
      <c r="AM308" s="25"/>
      <c r="AN308" s="25">
        <f>54460+2240</f>
        <v>56700</v>
      </c>
      <c r="AO308" s="77">
        <f t="shared" si="2"/>
        <v>56700</v>
      </c>
      <c r="AP308" s="22"/>
      <c r="AQ308" s="22"/>
      <c r="AR308" s="22"/>
      <c r="AS308" s="22"/>
      <c r="AT308" s="22"/>
      <c r="AU308" s="26"/>
      <c r="AV308" s="26"/>
      <c r="AW308" s="26"/>
      <c r="AX308" s="26"/>
      <c r="AY308" s="26"/>
      <c r="AZ308" s="26"/>
      <c r="BA308" s="26"/>
      <c r="BB308" s="26"/>
      <c r="BC308" s="60"/>
      <c r="BD308" s="26"/>
      <c r="BE308" s="26"/>
      <c r="BF308" s="26"/>
      <c r="BG308" s="26"/>
      <c r="BH308" s="26"/>
      <c r="BI308" s="26"/>
      <c r="BJ308" s="26"/>
      <c r="BK308" s="26"/>
      <c r="BL308" s="26"/>
      <c r="BM308" s="26"/>
    </row>
    <row r="309" spans="1:65" ht="90" x14ac:dyDescent="0.25">
      <c r="A309" s="160">
        <v>77</v>
      </c>
      <c r="B309" s="154" t="s">
        <v>1073</v>
      </c>
      <c r="C309" s="19" t="s">
        <v>772</v>
      </c>
      <c r="D309" s="80" t="s">
        <v>128</v>
      </c>
      <c r="E309" s="19" t="s">
        <v>124</v>
      </c>
      <c r="F309" s="32" t="s">
        <v>221</v>
      </c>
      <c r="G309" s="32" t="s">
        <v>1093</v>
      </c>
      <c r="H309" s="20" t="s">
        <v>765</v>
      </c>
      <c r="I309" s="29">
        <v>43014</v>
      </c>
      <c r="J309" s="29">
        <v>43379</v>
      </c>
      <c r="K309" s="45" t="s">
        <v>1173</v>
      </c>
      <c r="L309" s="143" t="s">
        <v>656</v>
      </c>
      <c r="M309" s="27" t="s">
        <v>601</v>
      </c>
      <c r="N309" s="31">
        <v>43116</v>
      </c>
      <c r="O309" s="78">
        <v>32844</v>
      </c>
      <c r="P309" s="30">
        <v>12229</v>
      </c>
      <c r="Q309" s="31">
        <v>43116</v>
      </c>
      <c r="R309" s="31">
        <v>43465</v>
      </c>
      <c r="S309" s="27" t="s">
        <v>1195</v>
      </c>
      <c r="T309" s="19"/>
      <c r="U309" s="38"/>
      <c r="V309" s="38"/>
      <c r="W309" s="32" t="s">
        <v>292</v>
      </c>
      <c r="X309" s="33" t="s">
        <v>365</v>
      </c>
      <c r="Y309" s="22" t="s">
        <v>136</v>
      </c>
      <c r="Z309" s="35">
        <v>43231</v>
      </c>
      <c r="AA309" s="34">
        <v>12311</v>
      </c>
      <c r="AB309" s="33" t="s">
        <v>1536</v>
      </c>
      <c r="AC309" s="22"/>
      <c r="AD309" s="22"/>
      <c r="AE309" s="22"/>
      <c r="AF309" s="22"/>
      <c r="AG309" s="25">
        <v>1701</v>
      </c>
      <c r="AH309" s="25"/>
      <c r="AI309" s="25"/>
      <c r="AJ309" s="25"/>
      <c r="AK309" s="25"/>
      <c r="AL309" s="38">
        <f>O309-AH309+AG309-AH310+AG310</f>
        <v>34680</v>
      </c>
      <c r="AM309" s="38"/>
      <c r="AN309" s="38">
        <f>6879+12763.2+10397.4+1536+110.7+120</f>
        <v>31806.3</v>
      </c>
      <c r="AO309" s="38">
        <f t="shared" si="2"/>
        <v>31806.3</v>
      </c>
      <c r="AP309" s="22"/>
      <c r="AQ309" s="22"/>
      <c r="AR309" s="22"/>
      <c r="AS309" s="22"/>
      <c r="AT309" s="22"/>
      <c r="AU309" s="26"/>
      <c r="AV309" s="26"/>
      <c r="AW309" s="26"/>
      <c r="AX309" s="26"/>
      <c r="AY309" s="26"/>
      <c r="AZ309" s="26"/>
      <c r="BA309" s="26"/>
      <c r="BB309" s="26"/>
      <c r="BC309" s="60"/>
      <c r="BD309" s="26"/>
      <c r="BE309" s="26"/>
      <c r="BF309" s="26"/>
      <c r="BG309" s="26"/>
      <c r="BH309" s="26"/>
      <c r="BI309" s="26"/>
      <c r="BJ309" s="26"/>
      <c r="BK309" s="26"/>
      <c r="BL309" s="26"/>
      <c r="BM309" s="26"/>
    </row>
    <row r="310" spans="1:65" ht="75" x14ac:dyDescent="0.25">
      <c r="A310" s="160"/>
      <c r="B310" s="154"/>
      <c r="C310" s="19"/>
      <c r="D310" s="80"/>
      <c r="E310" s="19"/>
      <c r="F310" s="32"/>
      <c r="G310" s="32"/>
      <c r="H310" s="20"/>
      <c r="I310" s="29"/>
      <c r="J310" s="29"/>
      <c r="K310" s="45"/>
      <c r="L310" s="143"/>
      <c r="M310" s="27"/>
      <c r="N310" s="27"/>
      <c r="O310" s="78"/>
      <c r="P310" s="27"/>
      <c r="Q310" s="27"/>
      <c r="R310" s="27"/>
      <c r="S310" s="27"/>
      <c r="T310" s="19"/>
      <c r="U310" s="38"/>
      <c r="V310" s="38"/>
      <c r="W310" s="32"/>
      <c r="X310" s="33" t="s">
        <v>365</v>
      </c>
      <c r="Y310" s="22" t="s">
        <v>140</v>
      </c>
      <c r="Z310" s="35">
        <v>43305</v>
      </c>
      <c r="AA310" s="34">
        <v>12362</v>
      </c>
      <c r="AB310" s="33" t="s">
        <v>1739</v>
      </c>
      <c r="AC310" s="22"/>
      <c r="AD310" s="22"/>
      <c r="AE310" s="22"/>
      <c r="AF310" s="22"/>
      <c r="AG310" s="25">
        <v>135</v>
      </c>
      <c r="AH310" s="25"/>
      <c r="AI310" s="25"/>
      <c r="AJ310" s="25"/>
      <c r="AK310" s="25"/>
      <c r="AL310" s="38"/>
      <c r="AM310" s="38"/>
      <c r="AN310" s="38"/>
      <c r="AO310" s="38"/>
      <c r="AP310" s="37"/>
      <c r="AQ310" s="22"/>
      <c r="AR310" s="22"/>
      <c r="AS310" s="22"/>
      <c r="AT310" s="22"/>
      <c r="AU310" s="26"/>
      <c r="AV310" s="26"/>
      <c r="AW310" s="26"/>
      <c r="AX310" s="26"/>
      <c r="AY310" s="26"/>
      <c r="AZ310" s="26"/>
      <c r="BA310" s="26"/>
      <c r="BB310" s="26"/>
      <c r="BC310" s="60"/>
      <c r="BD310" s="26"/>
      <c r="BE310" s="26"/>
      <c r="BF310" s="26"/>
      <c r="BG310" s="26"/>
      <c r="BH310" s="26"/>
      <c r="BI310" s="26"/>
      <c r="BJ310" s="26"/>
      <c r="BK310" s="26"/>
      <c r="BL310" s="26"/>
      <c r="BM310" s="26"/>
    </row>
    <row r="311" spans="1:65" ht="90" x14ac:dyDescent="0.25">
      <c r="A311" s="163">
        <v>78</v>
      </c>
      <c r="B311" s="155" t="s">
        <v>1073</v>
      </c>
      <c r="C311" s="22" t="s">
        <v>772</v>
      </c>
      <c r="D311" s="81" t="s">
        <v>128</v>
      </c>
      <c r="E311" s="22" t="s">
        <v>124</v>
      </c>
      <c r="F311" s="33" t="s">
        <v>221</v>
      </c>
      <c r="G311" s="33" t="s">
        <v>1093</v>
      </c>
      <c r="H311" s="23" t="s">
        <v>765</v>
      </c>
      <c r="I311" s="35">
        <v>43014</v>
      </c>
      <c r="J311" s="35">
        <v>43379</v>
      </c>
      <c r="K311" s="24" t="s">
        <v>1174</v>
      </c>
      <c r="L311" s="140" t="s">
        <v>779</v>
      </c>
      <c r="M311" s="43" t="s">
        <v>780</v>
      </c>
      <c r="N311" s="61">
        <v>43116</v>
      </c>
      <c r="O311" s="77">
        <v>17024</v>
      </c>
      <c r="P311" s="76">
        <v>12229</v>
      </c>
      <c r="Q311" s="61">
        <v>43116</v>
      </c>
      <c r="R311" s="61">
        <v>43465</v>
      </c>
      <c r="S311" s="43" t="s">
        <v>1195</v>
      </c>
      <c r="T311" s="22"/>
      <c r="U311" s="25"/>
      <c r="V311" s="25"/>
      <c r="W311" s="33" t="s">
        <v>292</v>
      </c>
      <c r="X311" s="33" t="s">
        <v>365</v>
      </c>
      <c r="Y311" s="22" t="s">
        <v>136</v>
      </c>
      <c r="Z311" s="35">
        <v>43231</v>
      </c>
      <c r="AA311" s="34">
        <v>12311</v>
      </c>
      <c r="AB311" s="33" t="s">
        <v>1537</v>
      </c>
      <c r="AC311" s="22"/>
      <c r="AD311" s="22"/>
      <c r="AE311" s="22"/>
      <c r="AF311" s="22"/>
      <c r="AG311" s="25">
        <v>4175</v>
      </c>
      <c r="AH311" s="25"/>
      <c r="AI311" s="25"/>
      <c r="AJ311" s="25"/>
      <c r="AK311" s="25"/>
      <c r="AL311" s="74">
        <f>O311-AH311+AG311</f>
        <v>21199</v>
      </c>
      <c r="AM311" s="25"/>
      <c r="AN311" s="25">
        <f>13850.64+1800+4175</f>
        <v>19825.64</v>
      </c>
      <c r="AO311" s="77">
        <f t="shared" si="2"/>
        <v>19825.64</v>
      </c>
      <c r="AP311" s="37"/>
      <c r="AQ311" s="22"/>
      <c r="AR311" s="22"/>
      <c r="AS311" s="22"/>
      <c r="AT311" s="22"/>
      <c r="AU311" s="26"/>
      <c r="AV311" s="26"/>
      <c r="AW311" s="26"/>
      <c r="AX311" s="26"/>
      <c r="AY311" s="26"/>
      <c r="AZ311" s="26"/>
      <c r="BA311" s="26"/>
      <c r="BB311" s="26"/>
      <c r="BC311" s="60"/>
      <c r="BD311" s="26"/>
      <c r="BE311" s="26"/>
      <c r="BF311" s="26"/>
      <c r="BG311" s="26"/>
      <c r="BH311" s="26"/>
      <c r="BI311" s="26"/>
      <c r="BJ311" s="26"/>
      <c r="BK311" s="26"/>
      <c r="BL311" s="26"/>
      <c r="BM311" s="26"/>
    </row>
    <row r="312" spans="1:65" ht="105" x14ac:dyDescent="0.25">
      <c r="A312" s="163">
        <v>79</v>
      </c>
      <c r="B312" s="155" t="s">
        <v>1073</v>
      </c>
      <c r="C312" s="22" t="s">
        <v>772</v>
      </c>
      <c r="D312" s="81" t="s">
        <v>128</v>
      </c>
      <c r="E312" s="22" t="s">
        <v>124</v>
      </c>
      <c r="F312" s="33" t="s">
        <v>221</v>
      </c>
      <c r="G312" s="33" t="s">
        <v>1093</v>
      </c>
      <c r="H312" s="23" t="s">
        <v>1399</v>
      </c>
      <c r="I312" s="35" t="s">
        <v>1876</v>
      </c>
      <c r="J312" s="35" t="s">
        <v>1877</v>
      </c>
      <c r="K312" s="24" t="s">
        <v>1175</v>
      </c>
      <c r="L312" s="140" t="s">
        <v>1078</v>
      </c>
      <c r="M312" s="43" t="s">
        <v>1079</v>
      </c>
      <c r="N312" s="61">
        <v>43116</v>
      </c>
      <c r="O312" s="77">
        <v>134630</v>
      </c>
      <c r="P312" s="76">
        <v>12230</v>
      </c>
      <c r="Q312" s="61">
        <v>43116</v>
      </c>
      <c r="R312" s="61">
        <v>43465</v>
      </c>
      <c r="S312" s="43" t="s">
        <v>1195</v>
      </c>
      <c r="T312" s="22"/>
      <c r="U312" s="25"/>
      <c r="V312" s="25"/>
      <c r="W312" s="33" t="s">
        <v>292</v>
      </c>
      <c r="X312" s="33" t="s">
        <v>365</v>
      </c>
      <c r="Y312" s="22" t="s">
        <v>136</v>
      </c>
      <c r="Z312" s="35">
        <v>43231</v>
      </c>
      <c r="AA312" s="34">
        <v>12311</v>
      </c>
      <c r="AB312" s="33" t="s">
        <v>1538</v>
      </c>
      <c r="AC312" s="22"/>
      <c r="AD312" s="22"/>
      <c r="AE312" s="22"/>
      <c r="AF312" s="22"/>
      <c r="AG312" s="25">
        <v>24982.5</v>
      </c>
      <c r="AH312" s="25"/>
      <c r="AI312" s="25"/>
      <c r="AJ312" s="25"/>
      <c r="AK312" s="25"/>
      <c r="AL312" s="74">
        <f t="shared" si="1"/>
        <v>159612.5</v>
      </c>
      <c r="AM312" s="25"/>
      <c r="AN312" s="25">
        <f>61808.2+4560+20611.9</f>
        <v>86980.1</v>
      </c>
      <c r="AO312" s="77">
        <f t="shared" si="2"/>
        <v>86980.1</v>
      </c>
      <c r="AP312" s="37"/>
      <c r="AQ312" s="22"/>
      <c r="AR312" s="22"/>
      <c r="AS312" s="22"/>
      <c r="AT312" s="22"/>
      <c r="AU312" s="26"/>
      <c r="AV312" s="26"/>
      <c r="AW312" s="26"/>
      <c r="AX312" s="26"/>
      <c r="AY312" s="26"/>
      <c r="AZ312" s="26"/>
      <c r="BA312" s="26"/>
      <c r="BB312" s="26"/>
      <c r="BC312" s="60"/>
      <c r="BD312" s="26"/>
      <c r="BE312" s="26"/>
      <c r="BF312" s="26"/>
      <c r="BG312" s="26"/>
      <c r="BH312" s="26"/>
      <c r="BI312" s="26"/>
      <c r="BJ312" s="26"/>
      <c r="BK312" s="26"/>
      <c r="BL312" s="26"/>
      <c r="BM312" s="26"/>
    </row>
    <row r="313" spans="1:65" ht="105" x14ac:dyDescent="0.25">
      <c r="A313" s="160">
        <v>80</v>
      </c>
      <c r="B313" s="154" t="s">
        <v>1073</v>
      </c>
      <c r="C313" s="19" t="s">
        <v>772</v>
      </c>
      <c r="D313" s="80" t="s">
        <v>128</v>
      </c>
      <c r="E313" s="19" t="s">
        <v>124</v>
      </c>
      <c r="F313" s="32" t="s">
        <v>221</v>
      </c>
      <c r="G313" s="32" t="s">
        <v>1093</v>
      </c>
      <c r="H313" s="20" t="s">
        <v>767</v>
      </c>
      <c r="I313" s="29">
        <v>43027</v>
      </c>
      <c r="J313" s="29">
        <v>43392</v>
      </c>
      <c r="K313" s="45" t="s">
        <v>1176</v>
      </c>
      <c r="L313" s="143" t="s">
        <v>1096</v>
      </c>
      <c r="M313" s="27" t="s">
        <v>1097</v>
      </c>
      <c r="N313" s="31">
        <v>43116</v>
      </c>
      <c r="O313" s="78">
        <v>228467</v>
      </c>
      <c r="P313" s="30">
        <v>12229</v>
      </c>
      <c r="Q313" s="31">
        <v>43116</v>
      </c>
      <c r="R313" s="31">
        <v>43465</v>
      </c>
      <c r="S313" s="27" t="s">
        <v>1195</v>
      </c>
      <c r="T313" s="32"/>
      <c r="U313" s="148"/>
      <c r="V313" s="148"/>
      <c r="W313" s="32" t="s">
        <v>292</v>
      </c>
      <c r="X313" s="33" t="s">
        <v>365</v>
      </c>
      <c r="Y313" s="22" t="s">
        <v>136</v>
      </c>
      <c r="Z313" s="35">
        <v>43231</v>
      </c>
      <c r="AA313" s="34">
        <v>12311</v>
      </c>
      <c r="AB313" s="33" t="s">
        <v>1567</v>
      </c>
      <c r="AC313" s="22"/>
      <c r="AD313" s="22"/>
      <c r="AE313" s="22"/>
      <c r="AF313" s="22"/>
      <c r="AG313" s="25">
        <v>47855.8</v>
      </c>
      <c r="AH313" s="25"/>
      <c r="AI313" s="25"/>
      <c r="AJ313" s="25"/>
      <c r="AK313" s="25"/>
      <c r="AL313" s="38">
        <f>O313-AH313+AG313-AH314+AG314</f>
        <v>277845.8</v>
      </c>
      <c r="AM313" s="38"/>
      <c r="AN313" s="38">
        <f>10194+38431.64+179826+3746.4+27855.8+17757.4</f>
        <v>277811.24</v>
      </c>
      <c r="AO313" s="38">
        <f t="shared" si="2"/>
        <v>277811.24</v>
      </c>
      <c r="AP313" s="22"/>
      <c r="AQ313" s="22"/>
      <c r="AR313" s="22"/>
      <c r="AS313" s="22"/>
      <c r="AT313" s="22"/>
      <c r="AU313" s="26"/>
      <c r="AV313" s="26"/>
      <c r="AW313" s="26"/>
      <c r="AX313" s="26"/>
      <c r="AY313" s="26"/>
      <c r="AZ313" s="26"/>
      <c r="BA313" s="26"/>
      <c r="BB313" s="26"/>
      <c r="BC313" s="60"/>
      <c r="BD313" s="26"/>
      <c r="BE313" s="26"/>
      <c r="BF313" s="26"/>
      <c r="BG313" s="26"/>
      <c r="BH313" s="26"/>
      <c r="BI313" s="26"/>
      <c r="BJ313" s="26"/>
      <c r="BK313" s="26"/>
      <c r="BL313" s="26"/>
      <c r="BM313" s="26"/>
    </row>
    <row r="314" spans="1:65" ht="75" x14ac:dyDescent="0.25">
      <c r="A314" s="160"/>
      <c r="B314" s="154"/>
      <c r="C314" s="19"/>
      <c r="D314" s="80"/>
      <c r="E314" s="19"/>
      <c r="F314" s="32"/>
      <c r="G314" s="32"/>
      <c r="H314" s="20"/>
      <c r="I314" s="29"/>
      <c r="J314" s="29"/>
      <c r="K314" s="45"/>
      <c r="L314" s="143"/>
      <c r="M314" s="27"/>
      <c r="N314" s="27"/>
      <c r="O314" s="78"/>
      <c r="P314" s="27"/>
      <c r="Q314" s="27"/>
      <c r="R314" s="27"/>
      <c r="S314" s="27"/>
      <c r="T314" s="32"/>
      <c r="U314" s="148"/>
      <c r="V314" s="148"/>
      <c r="W314" s="32"/>
      <c r="X314" s="33" t="s">
        <v>365</v>
      </c>
      <c r="Y314" s="22" t="s">
        <v>140</v>
      </c>
      <c r="Z314" s="35">
        <v>43305</v>
      </c>
      <c r="AA314" s="34">
        <v>12362</v>
      </c>
      <c r="AB314" s="33" t="s">
        <v>1740</v>
      </c>
      <c r="AC314" s="22"/>
      <c r="AD314" s="22"/>
      <c r="AE314" s="22"/>
      <c r="AF314" s="22"/>
      <c r="AG314" s="25">
        <v>1523</v>
      </c>
      <c r="AH314" s="25"/>
      <c r="AI314" s="25"/>
      <c r="AJ314" s="25"/>
      <c r="AK314" s="25"/>
      <c r="AL314" s="38"/>
      <c r="AM314" s="38"/>
      <c r="AN314" s="38"/>
      <c r="AO314" s="38"/>
      <c r="AP314" s="37"/>
      <c r="AQ314" s="22"/>
      <c r="AR314" s="22"/>
      <c r="AS314" s="22"/>
      <c r="AT314" s="22"/>
      <c r="AU314" s="26"/>
      <c r="AV314" s="26"/>
      <c r="AW314" s="26"/>
      <c r="AX314" s="26"/>
      <c r="AY314" s="26"/>
      <c r="AZ314" s="26"/>
      <c r="BA314" s="26"/>
      <c r="BB314" s="26"/>
      <c r="BC314" s="60"/>
      <c r="BD314" s="26"/>
      <c r="BE314" s="26"/>
      <c r="BF314" s="26"/>
      <c r="BG314" s="26"/>
      <c r="BH314" s="26"/>
      <c r="BI314" s="26"/>
      <c r="BJ314" s="26"/>
      <c r="BK314" s="26"/>
      <c r="BL314" s="26"/>
      <c r="BM314" s="26"/>
    </row>
    <row r="315" spans="1:65" ht="120" x14ac:dyDescent="0.25">
      <c r="A315" s="160">
        <v>81</v>
      </c>
      <c r="B315" s="154" t="s">
        <v>1073</v>
      </c>
      <c r="C315" s="19" t="s">
        <v>772</v>
      </c>
      <c r="D315" s="80" t="s">
        <v>128</v>
      </c>
      <c r="E315" s="19" t="s">
        <v>124</v>
      </c>
      <c r="F315" s="32" t="s">
        <v>221</v>
      </c>
      <c r="G315" s="32" t="s">
        <v>1093</v>
      </c>
      <c r="H315" s="20" t="s">
        <v>765</v>
      </c>
      <c r="I315" s="29">
        <v>43014</v>
      </c>
      <c r="J315" s="29">
        <v>43379</v>
      </c>
      <c r="K315" s="45" t="s">
        <v>1177</v>
      </c>
      <c r="L315" s="143" t="s">
        <v>375</v>
      </c>
      <c r="M315" s="27" t="s">
        <v>299</v>
      </c>
      <c r="N315" s="31">
        <v>43116</v>
      </c>
      <c r="O315" s="78">
        <v>342738</v>
      </c>
      <c r="P315" s="30">
        <v>12229</v>
      </c>
      <c r="Q315" s="31">
        <v>43116</v>
      </c>
      <c r="R315" s="31">
        <v>43465</v>
      </c>
      <c r="S315" s="27" t="s">
        <v>1195</v>
      </c>
      <c r="T315" s="32"/>
      <c r="U315" s="148"/>
      <c r="V315" s="148"/>
      <c r="W315" s="32" t="s">
        <v>292</v>
      </c>
      <c r="X315" s="33" t="s">
        <v>365</v>
      </c>
      <c r="Y315" s="22" t="s">
        <v>136</v>
      </c>
      <c r="Z315" s="35">
        <v>43231</v>
      </c>
      <c r="AA315" s="34">
        <v>12311</v>
      </c>
      <c r="AB315" s="33" t="s">
        <v>1539</v>
      </c>
      <c r="AC315" s="22"/>
      <c r="AD315" s="22"/>
      <c r="AE315" s="22"/>
      <c r="AF315" s="22"/>
      <c r="AG315" s="25">
        <v>63439.25</v>
      </c>
      <c r="AH315" s="25"/>
      <c r="AI315" s="25"/>
      <c r="AJ315" s="25"/>
      <c r="AK315" s="25"/>
      <c r="AL315" s="38">
        <f>O315-AH315+AG315-AH316+AG316</f>
        <v>425052.25</v>
      </c>
      <c r="AM315" s="38"/>
      <c r="AN315" s="38">
        <f>172614.5+159384.52+10695.18+48614.75+3262+30393.5</f>
        <v>424964.45</v>
      </c>
      <c r="AO315" s="38">
        <f t="shared" si="2"/>
        <v>424964.45</v>
      </c>
      <c r="AP315" s="22"/>
      <c r="AQ315" s="22"/>
      <c r="AR315" s="22"/>
      <c r="AS315" s="22"/>
      <c r="AT315" s="22"/>
      <c r="AU315" s="26"/>
      <c r="AV315" s="26"/>
      <c r="AW315" s="26"/>
      <c r="AX315" s="26"/>
      <c r="AY315" s="26"/>
      <c r="AZ315" s="26"/>
      <c r="BA315" s="26"/>
      <c r="BB315" s="26"/>
      <c r="BC315" s="60"/>
      <c r="BD315" s="26"/>
      <c r="BE315" s="26"/>
      <c r="BF315" s="26"/>
      <c r="BG315" s="26"/>
      <c r="BH315" s="26"/>
      <c r="BI315" s="26"/>
      <c r="BJ315" s="26"/>
      <c r="BK315" s="26"/>
      <c r="BL315" s="26"/>
      <c r="BM315" s="26"/>
    </row>
    <row r="316" spans="1:65" ht="75" x14ac:dyDescent="0.25">
      <c r="A316" s="160"/>
      <c r="B316" s="154"/>
      <c r="C316" s="19"/>
      <c r="D316" s="80"/>
      <c r="E316" s="19"/>
      <c r="F316" s="32"/>
      <c r="G316" s="32"/>
      <c r="H316" s="20"/>
      <c r="I316" s="29"/>
      <c r="J316" s="29"/>
      <c r="K316" s="45"/>
      <c r="L316" s="143"/>
      <c r="M316" s="27"/>
      <c r="N316" s="27"/>
      <c r="O316" s="78"/>
      <c r="P316" s="27"/>
      <c r="Q316" s="27"/>
      <c r="R316" s="27"/>
      <c r="S316" s="27"/>
      <c r="T316" s="32"/>
      <c r="U316" s="148"/>
      <c r="V316" s="148"/>
      <c r="W316" s="32"/>
      <c r="X316" s="33" t="s">
        <v>365</v>
      </c>
      <c r="Y316" s="22" t="s">
        <v>140</v>
      </c>
      <c r="Z316" s="35">
        <v>43305</v>
      </c>
      <c r="AA316" s="34">
        <v>12362</v>
      </c>
      <c r="AB316" s="33" t="s">
        <v>1741</v>
      </c>
      <c r="AC316" s="22"/>
      <c r="AD316" s="22"/>
      <c r="AE316" s="22"/>
      <c r="AF316" s="22"/>
      <c r="AG316" s="25">
        <v>18875</v>
      </c>
      <c r="AH316" s="25"/>
      <c r="AI316" s="25"/>
      <c r="AJ316" s="25"/>
      <c r="AK316" s="25"/>
      <c r="AL316" s="38"/>
      <c r="AM316" s="38"/>
      <c r="AN316" s="38"/>
      <c r="AO316" s="38"/>
      <c r="AP316" s="37"/>
      <c r="AQ316" s="22"/>
      <c r="AR316" s="22"/>
      <c r="AS316" s="22"/>
      <c r="AT316" s="22"/>
      <c r="AU316" s="26"/>
      <c r="AV316" s="26"/>
      <c r="AW316" s="26"/>
      <c r="AX316" s="26"/>
      <c r="AY316" s="26"/>
      <c r="AZ316" s="26"/>
      <c r="BA316" s="26"/>
      <c r="BB316" s="26"/>
      <c r="BC316" s="60"/>
      <c r="BD316" s="26"/>
      <c r="BE316" s="26"/>
      <c r="BF316" s="26"/>
      <c r="BG316" s="26"/>
      <c r="BH316" s="26"/>
      <c r="BI316" s="26"/>
      <c r="BJ316" s="26"/>
      <c r="BK316" s="26"/>
      <c r="BL316" s="26"/>
      <c r="BM316" s="26"/>
    </row>
    <row r="317" spans="1:65" ht="30" x14ac:dyDescent="0.25">
      <c r="A317" s="163">
        <v>82</v>
      </c>
      <c r="B317" s="155" t="s">
        <v>775</v>
      </c>
      <c r="C317" s="22" t="s">
        <v>471</v>
      </c>
      <c r="D317" s="81" t="s">
        <v>128</v>
      </c>
      <c r="E317" s="22" t="s">
        <v>124</v>
      </c>
      <c r="F317" s="33" t="s">
        <v>385</v>
      </c>
      <c r="G317" s="33" t="s">
        <v>804</v>
      </c>
      <c r="H317" s="22" t="s">
        <v>678</v>
      </c>
      <c r="I317" s="35">
        <v>42765</v>
      </c>
      <c r="J317" s="35">
        <v>43130</v>
      </c>
      <c r="K317" s="24" t="s">
        <v>1178</v>
      </c>
      <c r="L317" s="140" t="s">
        <v>223</v>
      </c>
      <c r="M317" s="43" t="s">
        <v>776</v>
      </c>
      <c r="N317" s="61">
        <v>43117</v>
      </c>
      <c r="O317" s="77">
        <v>131765</v>
      </c>
      <c r="P317" s="76">
        <v>12228</v>
      </c>
      <c r="Q317" s="61">
        <v>43117</v>
      </c>
      <c r="R317" s="61">
        <v>43465</v>
      </c>
      <c r="S317" s="43" t="s">
        <v>1196</v>
      </c>
      <c r="T317" s="22"/>
      <c r="U317" s="25"/>
      <c r="V317" s="25"/>
      <c r="W317" s="33" t="s">
        <v>184</v>
      </c>
      <c r="X317" s="33"/>
      <c r="Y317" s="22"/>
      <c r="Z317" s="22"/>
      <c r="AA317" s="22"/>
      <c r="AB317" s="33"/>
      <c r="AC317" s="22"/>
      <c r="AD317" s="22"/>
      <c r="AE317" s="22"/>
      <c r="AF317" s="22"/>
      <c r="AG317" s="25"/>
      <c r="AH317" s="25"/>
      <c r="AI317" s="25"/>
      <c r="AJ317" s="25"/>
      <c r="AK317" s="25"/>
      <c r="AL317" s="74">
        <f>O317-AH317+AG317</f>
        <v>131765</v>
      </c>
      <c r="AM317" s="25"/>
      <c r="AN317" s="25">
        <f>55590+9620</f>
        <v>65210</v>
      </c>
      <c r="AO317" s="77">
        <f t="shared" si="2"/>
        <v>65210</v>
      </c>
      <c r="AP317" s="37"/>
      <c r="AQ317" s="22"/>
      <c r="AR317" s="22"/>
      <c r="AS317" s="22"/>
      <c r="AT317" s="22"/>
      <c r="AU317" s="26"/>
      <c r="AV317" s="26"/>
      <c r="AW317" s="26"/>
      <c r="AX317" s="26"/>
      <c r="AY317" s="26"/>
      <c r="AZ317" s="26"/>
      <c r="BA317" s="26"/>
      <c r="BB317" s="26"/>
      <c r="BC317" s="60"/>
      <c r="BD317" s="26"/>
      <c r="BE317" s="26"/>
      <c r="BF317" s="26"/>
      <c r="BG317" s="26"/>
      <c r="BH317" s="26"/>
      <c r="BI317" s="26"/>
      <c r="BJ317" s="26"/>
      <c r="BK317" s="26"/>
      <c r="BL317" s="26"/>
      <c r="BM317" s="26"/>
    </row>
    <row r="318" spans="1:65" ht="30" x14ac:dyDescent="0.25">
      <c r="A318" s="163">
        <v>83</v>
      </c>
      <c r="B318" s="155" t="s">
        <v>775</v>
      </c>
      <c r="C318" s="22" t="s">
        <v>471</v>
      </c>
      <c r="D318" s="81" t="s">
        <v>128</v>
      </c>
      <c r="E318" s="22" t="s">
        <v>124</v>
      </c>
      <c r="F318" s="33" t="s">
        <v>385</v>
      </c>
      <c r="G318" s="33" t="s">
        <v>804</v>
      </c>
      <c r="H318" s="22" t="s">
        <v>678</v>
      </c>
      <c r="I318" s="35">
        <v>42765</v>
      </c>
      <c r="J318" s="35">
        <v>43130</v>
      </c>
      <c r="K318" s="24" t="s">
        <v>1179</v>
      </c>
      <c r="L318" s="140" t="s">
        <v>475</v>
      </c>
      <c r="M318" s="43" t="s">
        <v>476</v>
      </c>
      <c r="N318" s="61">
        <v>43117</v>
      </c>
      <c r="O318" s="77">
        <v>14920</v>
      </c>
      <c r="P318" s="76">
        <v>12229</v>
      </c>
      <c r="Q318" s="61">
        <v>43117</v>
      </c>
      <c r="R318" s="61">
        <v>43465</v>
      </c>
      <c r="S318" s="43" t="s">
        <v>1196</v>
      </c>
      <c r="T318" s="22"/>
      <c r="U318" s="25"/>
      <c r="V318" s="25"/>
      <c r="W318" s="33" t="s">
        <v>184</v>
      </c>
      <c r="X318" s="33"/>
      <c r="Y318" s="22"/>
      <c r="Z318" s="22"/>
      <c r="AA318" s="22"/>
      <c r="AB318" s="33"/>
      <c r="AC318" s="22"/>
      <c r="AD318" s="22"/>
      <c r="AE318" s="22"/>
      <c r="AF318" s="22"/>
      <c r="AG318" s="25"/>
      <c r="AH318" s="25"/>
      <c r="AI318" s="25"/>
      <c r="AJ318" s="25"/>
      <c r="AK318" s="25"/>
      <c r="AL318" s="74">
        <f t="shared" si="1"/>
        <v>14920</v>
      </c>
      <c r="AM318" s="25"/>
      <c r="AN318" s="25">
        <f>2960+11150</f>
        <v>14110</v>
      </c>
      <c r="AO318" s="77">
        <f t="shared" si="2"/>
        <v>14110</v>
      </c>
      <c r="AP318" s="37"/>
      <c r="AQ318" s="22"/>
      <c r="AR318" s="22"/>
      <c r="AS318" s="22"/>
      <c r="AT318" s="22"/>
      <c r="AU318" s="26"/>
      <c r="AV318" s="26"/>
      <c r="AW318" s="26"/>
      <c r="AX318" s="26"/>
      <c r="AY318" s="26"/>
      <c r="AZ318" s="26"/>
      <c r="BA318" s="26"/>
      <c r="BB318" s="26"/>
      <c r="BC318" s="60"/>
      <c r="BD318" s="26"/>
      <c r="BE318" s="26"/>
      <c r="BF318" s="26"/>
      <c r="BG318" s="26"/>
      <c r="BH318" s="26"/>
      <c r="BI318" s="26"/>
      <c r="BJ318" s="26"/>
      <c r="BK318" s="26"/>
      <c r="BL318" s="26"/>
      <c r="BM318" s="26"/>
    </row>
    <row r="319" spans="1:65" ht="30" x14ac:dyDescent="0.25">
      <c r="A319" s="163">
        <v>84</v>
      </c>
      <c r="B319" s="155" t="s">
        <v>775</v>
      </c>
      <c r="C319" s="22" t="s">
        <v>471</v>
      </c>
      <c r="D319" s="81" t="s">
        <v>128</v>
      </c>
      <c r="E319" s="22" t="s">
        <v>124</v>
      </c>
      <c r="F319" s="33" t="s">
        <v>385</v>
      </c>
      <c r="G319" s="33" t="s">
        <v>804</v>
      </c>
      <c r="H319" s="22" t="s">
        <v>678</v>
      </c>
      <c r="I319" s="35">
        <v>42765</v>
      </c>
      <c r="J319" s="35">
        <v>43130</v>
      </c>
      <c r="K319" s="24" t="s">
        <v>1180</v>
      </c>
      <c r="L319" s="140" t="s">
        <v>379</v>
      </c>
      <c r="M319" s="43" t="s">
        <v>222</v>
      </c>
      <c r="N319" s="61">
        <v>43117</v>
      </c>
      <c r="O319" s="77">
        <v>43038</v>
      </c>
      <c r="P319" s="76">
        <v>12229</v>
      </c>
      <c r="Q319" s="61">
        <v>43117</v>
      </c>
      <c r="R319" s="61">
        <v>43465</v>
      </c>
      <c r="S319" s="43" t="s">
        <v>1196</v>
      </c>
      <c r="T319" s="22"/>
      <c r="U319" s="25"/>
      <c r="V319" s="25"/>
      <c r="W319" s="33" t="s">
        <v>184</v>
      </c>
      <c r="X319" s="33"/>
      <c r="Y319" s="22"/>
      <c r="Z319" s="22"/>
      <c r="AA319" s="22"/>
      <c r="AB319" s="33"/>
      <c r="AC319" s="22"/>
      <c r="AD319" s="22"/>
      <c r="AE319" s="22"/>
      <c r="AF319" s="22"/>
      <c r="AG319" s="25"/>
      <c r="AH319" s="25"/>
      <c r="AI319" s="25"/>
      <c r="AJ319" s="25"/>
      <c r="AK319" s="25"/>
      <c r="AL319" s="74">
        <f t="shared" si="1"/>
        <v>43038</v>
      </c>
      <c r="AM319" s="25"/>
      <c r="AN319" s="25">
        <f>32205.58+29.7</f>
        <v>32235.280000000002</v>
      </c>
      <c r="AO319" s="77">
        <f t="shared" si="2"/>
        <v>32235.280000000002</v>
      </c>
      <c r="AP319" s="37"/>
      <c r="AQ319" s="22"/>
      <c r="AR319" s="22"/>
      <c r="AS319" s="22"/>
      <c r="AT319" s="22"/>
      <c r="AU319" s="26"/>
      <c r="AV319" s="26"/>
      <c r="AW319" s="26"/>
      <c r="AX319" s="26"/>
      <c r="AY319" s="26"/>
      <c r="AZ319" s="26"/>
      <c r="BA319" s="26"/>
      <c r="BB319" s="26"/>
      <c r="BC319" s="60"/>
      <c r="BD319" s="26"/>
      <c r="BE319" s="26"/>
      <c r="BF319" s="26"/>
      <c r="BG319" s="26"/>
      <c r="BH319" s="26"/>
      <c r="BI319" s="26"/>
      <c r="BJ319" s="26"/>
      <c r="BK319" s="26"/>
      <c r="BL319" s="26"/>
      <c r="BM319" s="26"/>
    </row>
    <row r="320" spans="1:65" ht="90" x14ac:dyDescent="0.25">
      <c r="A320" s="163">
        <v>85</v>
      </c>
      <c r="B320" s="155" t="s">
        <v>775</v>
      </c>
      <c r="C320" s="22" t="s">
        <v>471</v>
      </c>
      <c r="D320" s="81" t="s">
        <v>128</v>
      </c>
      <c r="E320" s="22" t="s">
        <v>124</v>
      </c>
      <c r="F320" s="33" t="s">
        <v>385</v>
      </c>
      <c r="G320" s="33" t="s">
        <v>804</v>
      </c>
      <c r="H320" s="22" t="s">
        <v>678</v>
      </c>
      <c r="I320" s="35">
        <v>42765</v>
      </c>
      <c r="J320" s="35">
        <v>43130</v>
      </c>
      <c r="K320" s="24" t="s">
        <v>1181</v>
      </c>
      <c r="L320" s="140" t="s">
        <v>360</v>
      </c>
      <c r="M320" s="43" t="s">
        <v>366</v>
      </c>
      <c r="N320" s="61">
        <v>43117</v>
      </c>
      <c r="O320" s="77">
        <v>89486</v>
      </c>
      <c r="P320" s="76">
        <v>12228</v>
      </c>
      <c r="Q320" s="61">
        <v>43117</v>
      </c>
      <c r="R320" s="61">
        <v>43465</v>
      </c>
      <c r="S320" s="43" t="s">
        <v>1196</v>
      </c>
      <c r="T320" s="22"/>
      <c r="U320" s="25"/>
      <c r="V320" s="25"/>
      <c r="W320" s="33" t="s">
        <v>184</v>
      </c>
      <c r="X320" s="33" t="s">
        <v>365</v>
      </c>
      <c r="Y320" s="22" t="s">
        <v>136</v>
      </c>
      <c r="Z320" s="35">
        <v>43308</v>
      </c>
      <c r="AA320" s="34">
        <v>12355</v>
      </c>
      <c r="AB320" s="33" t="s">
        <v>1690</v>
      </c>
      <c r="AC320" s="22"/>
      <c r="AD320" s="22"/>
      <c r="AE320" s="22"/>
      <c r="AF320" s="22"/>
      <c r="AG320" s="25">
        <v>16675</v>
      </c>
      <c r="AH320" s="25"/>
      <c r="AI320" s="25"/>
      <c r="AJ320" s="25"/>
      <c r="AK320" s="25"/>
      <c r="AL320" s="74">
        <f t="shared" si="1"/>
        <v>106161</v>
      </c>
      <c r="AM320" s="25"/>
      <c r="AN320" s="25">
        <f>60633.6+16675</f>
        <v>77308.600000000006</v>
      </c>
      <c r="AO320" s="77">
        <f t="shared" si="2"/>
        <v>77308.600000000006</v>
      </c>
      <c r="AP320" s="37"/>
      <c r="AQ320" s="22"/>
      <c r="AR320" s="22"/>
      <c r="AS320" s="22"/>
      <c r="AT320" s="22"/>
      <c r="AU320" s="26"/>
      <c r="AV320" s="26"/>
      <c r="AW320" s="26"/>
      <c r="AX320" s="26"/>
      <c r="AY320" s="26"/>
      <c r="AZ320" s="26"/>
      <c r="BA320" s="26"/>
      <c r="BB320" s="26"/>
      <c r="BC320" s="60"/>
      <c r="BD320" s="26"/>
      <c r="BE320" s="26"/>
      <c r="BF320" s="26"/>
      <c r="BG320" s="26"/>
      <c r="BH320" s="26"/>
      <c r="BI320" s="26"/>
      <c r="BJ320" s="26"/>
      <c r="BK320" s="26"/>
      <c r="BL320" s="26"/>
      <c r="BM320" s="26"/>
    </row>
    <row r="321" spans="1:65" ht="30" x14ac:dyDescent="0.25">
      <c r="A321" s="163">
        <v>86</v>
      </c>
      <c r="B321" s="155" t="s">
        <v>775</v>
      </c>
      <c r="C321" s="22" t="s">
        <v>471</v>
      </c>
      <c r="D321" s="81" t="s">
        <v>128</v>
      </c>
      <c r="E321" s="22" t="s">
        <v>124</v>
      </c>
      <c r="F321" s="33" t="s">
        <v>385</v>
      </c>
      <c r="G321" s="33" t="s">
        <v>804</v>
      </c>
      <c r="H321" s="22" t="s">
        <v>678</v>
      </c>
      <c r="I321" s="35">
        <v>42765</v>
      </c>
      <c r="J321" s="35">
        <v>43130</v>
      </c>
      <c r="K321" s="24" t="s">
        <v>1182</v>
      </c>
      <c r="L321" s="140" t="s">
        <v>244</v>
      </c>
      <c r="M321" s="43" t="s">
        <v>245</v>
      </c>
      <c r="N321" s="61">
        <v>43117</v>
      </c>
      <c r="O321" s="77">
        <v>240</v>
      </c>
      <c r="P321" s="76">
        <v>12229</v>
      </c>
      <c r="Q321" s="61">
        <v>43117</v>
      </c>
      <c r="R321" s="61">
        <v>43465</v>
      </c>
      <c r="S321" s="43" t="s">
        <v>1196</v>
      </c>
      <c r="T321" s="22"/>
      <c r="U321" s="25"/>
      <c r="V321" s="25"/>
      <c r="W321" s="33" t="s">
        <v>184</v>
      </c>
      <c r="X321" s="33"/>
      <c r="Y321" s="22"/>
      <c r="Z321" s="22"/>
      <c r="AA321" s="22"/>
      <c r="AB321" s="33"/>
      <c r="AC321" s="22"/>
      <c r="AD321" s="22"/>
      <c r="AE321" s="22"/>
      <c r="AF321" s="22"/>
      <c r="AG321" s="25"/>
      <c r="AH321" s="25"/>
      <c r="AI321" s="25"/>
      <c r="AJ321" s="25"/>
      <c r="AK321" s="25"/>
      <c r="AL321" s="74">
        <f t="shared" si="1"/>
        <v>240</v>
      </c>
      <c r="AM321" s="25"/>
      <c r="AN321" s="25">
        <f>0</f>
        <v>0</v>
      </c>
      <c r="AO321" s="77">
        <f t="shared" si="2"/>
        <v>0</v>
      </c>
      <c r="AP321" s="22"/>
      <c r="AQ321" s="22"/>
      <c r="AR321" s="22"/>
      <c r="AS321" s="22"/>
      <c r="AT321" s="22"/>
      <c r="AU321" s="26"/>
      <c r="AV321" s="26"/>
      <c r="AW321" s="26"/>
      <c r="AX321" s="26"/>
      <c r="AY321" s="26"/>
      <c r="AZ321" s="26"/>
      <c r="BA321" s="26"/>
      <c r="BB321" s="26"/>
      <c r="BC321" s="60"/>
      <c r="BD321" s="26"/>
      <c r="BE321" s="26"/>
      <c r="BF321" s="26"/>
      <c r="BG321" s="26"/>
      <c r="BH321" s="26"/>
      <c r="BI321" s="26"/>
      <c r="BJ321" s="26"/>
      <c r="BK321" s="26"/>
      <c r="BL321" s="26"/>
      <c r="BM321" s="26"/>
    </row>
    <row r="322" spans="1:65" ht="30" x14ac:dyDescent="0.25">
      <c r="A322" s="163">
        <v>87</v>
      </c>
      <c r="B322" s="155" t="s">
        <v>775</v>
      </c>
      <c r="C322" s="22" t="s">
        <v>471</v>
      </c>
      <c r="D322" s="81" t="s">
        <v>128</v>
      </c>
      <c r="E322" s="22" t="s">
        <v>124</v>
      </c>
      <c r="F322" s="33" t="s">
        <v>385</v>
      </c>
      <c r="G322" s="33" t="s">
        <v>804</v>
      </c>
      <c r="H322" s="22" t="s">
        <v>678</v>
      </c>
      <c r="I322" s="35">
        <v>42765</v>
      </c>
      <c r="J322" s="35">
        <v>43130</v>
      </c>
      <c r="K322" s="24" t="s">
        <v>1183</v>
      </c>
      <c r="L322" s="140" t="s">
        <v>779</v>
      </c>
      <c r="M322" s="43" t="s">
        <v>780</v>
      </c>
      <c r="N322" s="61">
        <v>43117</v>
      </c>
      <c r="O322" s="77">
        <v>2350</v>
      </c>
      <c r="P322" s="76">
        <v>12229</v>
      </c>
      <c r="Q322" s="61">
        <v>43117</v>
      </c>
      <c r="R322" s="61">
        <v>43465</v>
      </c>
      <c r="S322" s="43" t="s">
        <v>1196</v>
      </c>
      <c r="T322" s="22"/>
      <c r="U322" s="25"/>
      <c r="V322" s="25"/>
      <c r="W322" s="33" t="s">
        <v>184</v>
      </c>
      <c r="X322" s="33"/>
      <c r="Y322" s="22"/>
      <c r="Z322" s="22"/>
      <c r="AA322" s="22"/>
      <c r="AB322" s="33"/>
      <c r="AC322" s="22"/>
      <c r="AD322" s="22"/>
      <c r="AE322" s="22"/>
      <c r="AF322" s="22"/>
      <c r="AG322" s="25"/>
      <c r="AH322" s="25"/>
      <c r="AI322" s="25"/>
      <c r="AJ322" s="25"/>
      <c r="AK322" s="25"/>
      <c r="AL322" s="74">
        <f t="shared" si="1"/>
        <v>2350</v>
      </c>
      <c r="AM322" s="25"/>
      <c r="AN322" s="25">
        <f>2350</f>
        <v>2350</v>
      </c>
      <c r="AO322" s="77">
        <f t="shared" si="2"/>
        <v>2350</v>
      </c>
      <c r="AP322" s="22"/>
      <c r="AQ322" s="22"/>
      <c r="AR322" s="22"/>
      <c r="AS322" s="22"/>
      <c r="AT322" s="22"/>
      <c r="AU322" s="26"/>
      <c r="AV322" s="26"/>
      <c r="AW322" s="26"/>
      <c r="AX322" s="26"/>
      <c r="AY322" s="26"/>
      <c r="AZ322" s="26"/>
      <c r="BA322" s="26"/>
      <c r="BB322" s="26"/>
      <c r="BC322" s="60"/>
      <c r="BD322" s="26"/>
      <c r="BE322" s="26"/>
      <c r="BF322" s="26"/>
      <c r="BG322" s="26"/>
      <c r="BH322" s="26"/>
      <c r="BI322" s="26"/>
      <c r="BJ322" s="26"/>
      <c r="BK322" s="26"/>
      <c r="BL322" s="26"/>
      <c r="BM322" s="26"/>
    </row>
    <row r="323" spans="1:65" ht="90" x14ac:dyDescent="0.25">
      <c r="A323" s="163">
        <v>88</v>
      </c>
      <c r="B323" s="155" t="s">
        <v>959</v>
      </c>
      <c r="C323" s="22" t="s">
        <v>691</v>
      </c>
      <c r="D323" s="81" t="s">
        <v>128</v>
      </c>
      <c r="E323" s="22" t="s">
        <v>124</v>
      </c>
      <c r="F323" s="33" t="s">
        <v>960</v>
      </c>
      <c r="G323" s="33" t="s">
        <v>993</v>
      </c>
      <c r="H323" s="23" t="s">
        <v>702</v>
      </c>
      <c r="I323" s="35">
        <v>42900</v>
      </c>
      <c r="J323" s="35">
        <v>43265</v>
      </c>
      <c r="K323" s="24" t="s">
        <v>1184</v>
      </c>
      <c r="L323" s="140" t="s">
        <v>360</v>
      </c>
      <c r="M323" s="43" t="s">
        <v>229</v>
      </c>
      <c r="N323" s="61">
        <v>43117</v>
      </c>
      <c r="O323" s="77">
        <v>948000</v>
      </c>
      <c r="P323" s="76">
        <v>12229</v>
      </c>
      <c r="Q323" s="61">
        <v>43117</v>
      </c>
      <c r="R323" s="61">
        <v>43465</v>
      </c>
      <c r="S323" s="43" t="s">
        <v>1196</v>
      </c>
      <c r="T323" s="22"/>
      <c r="U323" s="25"/>
      <c r="V323" s="25"/>
      <c r="W323" s="33" t="s">
        <v>787</v>
      </c>
      <c r="X323" s="33" t="s">
        <v>365</v>
      </c>
      <c r="Y323" s="22" t="s">
        <v>136</v>
      </c>
      <c r="Z323" s="35">
        <v>43271</v>
      </c>
      <c r="AA323" s="34">
        <v>12329</v>
      </c>
      <c r="AB323" s="33" t="s">
        <v>1612</v>
      </c>
      <c r="AC323" s="22"/>
      <c r="AD323" s="22"/>
      <c r="AE323" s="22"/>
      <c r="AF323" s="22"/>
      <c r="AG323" s="25">
        <v>237000</v>
      </c>
      <c r="AH323" s="25"/>
      <c r="AI323" s="25"/>
      <c r="AJ323" s="25"/>
      <c r="AK323" s="25"/>
      <c r="AL323" s="74">
        <f t="shared" si="1"/>
        <v>1185000</v>
      </c>
      <c r="AM323" s="25"/>
      <c r="AN323" s="25">
        <f>130192+221200+221200+221200+142042+99287.2+12166</f>
        <v>1047287.2</v>
      </c>
      <c r="AO323" s="77">
        <f t="shared" si="2"/>
        <v>1047287.2</v>
      </c>
      <c r="AP323" s="37"/>
      <c r="AQ323" s="22"/>
      <c r="AR323" s="22"/>
      <c r="AS323" s="22"/>
      <c r="AT323" s="22"/>
      <c r="AU323" s="26"/>
      <c r="AV323" s="26"/>
      <c r="AW323" s="26"/>
      <c r="AX323" s="26"/>
      <c r="AY323" s="26"/>
      <c r="AZ323" s="26"/>
      <c r="BA323" s="26"/>
      <c r="BB323" s="26"/>
      <c r="BC323" s="60"/>
      <c r="BD323" s="26"/>
      <c r="BE323" s="26"/>
      <c r="BF323" s="26"/>
      <c r="BG323" s="26"/>
      <c r="BH323" s="26"/>
      <c r="BI323" s="26"/>
      <c r="BJ323" s="26"/>
      <c r="BK323" s="26"/>
      <c r="BL323" s="26"/>
      <c r="BM323" s="26"/>
    </row>
    <row r="324" spans="1:65" ht="60" x14ac:dyDescent="0.25">
      <c r="A324" s="163">
        <v>89</v>
      </c>
      <c r="B324" s="155" t="s">
        <v>775</v>
      </c>
      <c r="C324" s="22" t="s">
        <v>471</v>
      </c>
      <c r="D324" s="81" t="s">
        <v>128</v>
      </c>
      <c r="E324" s="22" t="s">
        <v>124</v>
      </c>
      <c r="F324" s="33" t="s">
        <v>385</v>
      </c>
      <c r="G324" s="33" t="s">
        <v>804</v>
      </c>
      <c r="H324" s="22" t="s">
        <v>678</v>
      </c>
      <c r="I324" s="35">
        <v>42765</v>
      </c>
      <c r="J324" s="35">
        <v>43130</v>
      </c>
      <c r="K324" s="24" t="s">
        <v>1185</v>
      </c>
      <c r="L324" s="140" t="s">
        <v>645</v>
      </c>
      <c r="M324" s="43" t="s">
        <v>646</v>
      </c>
      <c r="N324" s="61">
        <v>43117</v>
      </c>
      <c r="O324" s="77">
        <v>12900</v>
      </c>
      <c r="P324" s="76">
        <v>12240</v>
      </c>
      <c r="Q324" s="61">
        <v>43117</v>
      </c>
      <c r="R324" s="61">
        <v>43465</v>
      </c>
      <c r="S324" s="43" t="s">
        <v>1246</v>
      </c>
      <c r="T324" s="22"/>
      <c r="U324" s="25"/>
      <c r="V324" s="25"/>
      <c r="W324" s="33" t="s">
        <v>184</v>
      </c>
      <c r="X324" s="33"/>
      <c r="Y324" s="22"/>
      <c r="Z324" s="35"/>
      <c r="AA324" s="34"/>
      <c r="AB324" s="33"/>
      <c r="AC324" s="22"/>
      <c r="AD324" s="22"/>
      <c r="AE324" s="22"/>
      <c r="AF324" s="22"/>
      <c r="AG324" s="25"/>
      <c r="AH324" s="25"/>
      <c r="AI324" s="25"/>
      <c r="AJ324" s="25"/>
      <c r="AK324" s="25"/>
      <c r="AL324" s="74">
        <f>O324-AH324+AG324</f>
        <v>12900</v>
      </c>
      <c r="AM324" s="25"/>
      <c r="AN324" s="25">
        <f>12900</f>
        <v>12900</v>
      </c>
      <c r="AO324" s="77">
        <f t="shared" si="2"/>
        <v>12900</v>
      </c>
      <c r="AP324" s="22"/>
      <c r="AQ324" s="22"/>
      <c r="AR324" s="22"/>
      <c r="AS324" s="22"/>
      <c r="AT324" s="22"/>
      <c r="AU324" s="26"/>
      <c r="AV324" s="26"/>
      <c r="AW324" s="26"/>
      <c r="AX324" s="26"/>
      <c r="AY324" s="26"/>
      <c r="AZ324" s="26"/>
      <c r="BA324" s="26"/>
      <c r="BB324" s="26"/>
      <c r="BC324" s="60"/>
      <c r="BD324" s="26"/>
      <c r="BE324" s="26"/>
      <c r="BF324" s="26"/>
      <c r="BG324" s="26"/>
      <c r="BH324" s="26"/>
      <c r="BI324" s="26"/>
      <c r="BJ324" s="26"/>
      <c r="BK324" s="26"/>
      <c r="BL324" s="26"/>
      <c r="BM324" s="26"/>
    </row>
    <row r="325" spans="1:65" ht="45" x14ac:dyDescent="0.25">
      <c r="A325" s="163">
        <v>90</v>
      </c>
      <c r="B325" s="155" t="s">
        <v>946</v>
      </c>
      <c r="C325" s="22" t="s">
        <v>702</v>
      </c>
      <c r="D325" s="81" t="s">
        <v>128</v>
      </c>
      <c r="E325" s="22" t="s">
        <v>124</v>
      </c>
      <c r="F325" s="33" t="s">
        <v>947</v>
      </c>
      <c r="G325" s="33" t="s">
        <v>950</v>
      </c>
      <c r="H325" s="23" t="s">
        <v>696</v>
      </c>
      <c r="I325" s="35">
        <v>42885</v>
      </c>
      <c r="J325" s="35">
        <v>43250</v>
      </c>
      <c r="K325" s="24" t="s">
        <v>1186</v>
      </c>
      <c r="L325" s="140" t="s">
        <v>475</v>
      </c>
      <c r="M325" s="43" t="s">
        <v>476</v>
      </c>
      <c r="N325" s="61">
        <v>43124</v>
      </c>
      <c r="O325" s="77">
        <v>140000</v>
      </c>
      <c r="P325" s="76">
        <v>12229</v>
      </c>
      <c r="Q325" s="61">
        <v>43124</v>
      </c>
      <c r="R325" s="61">
        <v>43465</v>
      </c>
      <c r="S325" s="43" t="s">
        <v>1196</v>
      </c>
      <c r="T325" s="22"/>
      <c r="U325" s="25"/>
      <c r="V325" s="25"/>
      <c r="W325" s="33" t="s">
        <v>787</v>
      </c>
      <c r="X325" s="33"/>
      <c r="Y325" s="22"/>
      <c r="Z325" s="22"/>
      <c r="AA325" s="22"/>
      <c r="AB325" s="33"/>
      <c r="AC325" s="22"/>
      <c r="AD325" s="22"/>
      <c r="AE325" s="22"/>
      <c r="AF325" s="22"/>
      <c r="AG325" s="25"/>
      <c r="AH325" s="25"/>
      <c r="AI325" s="25"/>
      <c r="AJ325" s="25"/>
      <c r="AK325" s="25"/>
      <c r="AL325" s="74">
        <f t="shared" si="1"/>
        <v>140000</v>
      </c>
      <c r="AM325" s="25"/>
      <c r="AN325" s="25">
        <f>140000</f>
        <v>140000</v>
      </c>
      <c r="AO325" s="77">
        <f t="shared" si="2"/>
        <v>140000</v>
      </c>
      <c r="AP325" s="22"/>
      <c r="AQ325" s="22"/>
      <c r="AR325" s="22"/>
      <c r="AS325" s="22"/>
      <c r="AT325" s="22"/>
      <c r="AU325" s="26"/>
      <c r="AV325" s="26"/>
      <c r="AW325" s="26"/>
      <c r="AX325" s="26"/>
      <c r="AY325" s="26"/>
      <c r="AZ325" s="26"/>
      <c r="BA325" s="26"/>
      <c r="BB325" s="26"/>
      <c r="BC325" s="60"/>
      <c r="BD325" s="26"/>
      <c r="BE325" s="26"/>
      <c r="BF325" s="26"/>
      <c r="BG325" s="26"/>
      <c r="BH325" s="26"/>
      <c r="BI325" s="26"/>
      <c r="BJ325" s="26"/>
      <c r="BK325" s="26"/>
      <c r="BL325" s="26"/>
      <c r="BM325" s="26"/>
    </row>
    <row r="326" spans="1:65" ht="30" x14ac:dyDescent="0.25">
      <c r="A326" s="163">
        <v>91</v>
      </c>
      <c r="B326" s="155" t="s">
        <v>824</v>
      </c>
      <c r="C326" s="22" t="s">
        <v>686</v>
      </c>
      <c r="D326" s="81" t="s">
        <v>128</v>
      </c>
      <c r="E326" s="22" t="s">
        <v>124</v>
      </c>
      <c r="F326" s="33" t="s">
        <v>825</v>
      </c>
      <c r="G326" s="33" t="s">
        <v>840</v>
      </c>
      <c r="H326" s="23" t="s">
        <v>686</v>
      </c>
      <c r="I326" s="35">
        <v>42802</v>
      </c>
      <c r="J326" s="35">
        <v>43167</v>
      </c>
      <c r="K326" s="24" t="s">
        <v>1187</v>
      </c>
      <c r="L326" s="140" t="s">
        <v>826</v>
      </c>
      <c r="M326" s="43" t="s">
        <v>827</v>
      </c>
      <c r="N326" s="61">
        <v>43124</v>
      </c>
      <c r="O326" s="77">
        <v>1375</v>
      </c>
      <c r="P326" s="76">
        <v>12237</v>
      </c>
      <c r="Q326" s="61">
        <v>43124</v>
      </c>
      <c r="R326" s="61">
        <v>43465</v>
      </c>
      <c r="S326" s="43" t="s">
        <v>1230</v>
      </c>
      <c r="T326" s="22"/>
      <c r="U326" s="25"/>
      <c r="V326" s="25"/>
      <c r="W326" s="33" t="s">
        <v>184</v>
      </c>
      <c r="X326" s="33"/>
      <c r="Y326" s="22"/>
      <c r="Z326" s="22"/>
      <c r="AA326" s="22"/>
      <c r="AB326" s="33"/>
      <c r="AC326" s="22"/>
      <c r="AD326" s="22"/>
      <c r="AE326" s="22"/>
      <c r="AF326" s="22"/>
      <c r="AG326" s="25"/>
      <c r="AH326" s="25"/>
      <c r="AI326" s="25"/>
      <c r="AJ326" s="25"/>
      <c r="AK326" s="25"/>
      <c r="AL326" s="74">
        <f t="shared" si="1"/>
        <v>1375</v>
      </c>
      <c r="AM326" s="25"/>
      <c r="AN326" s="25">
        <f>1375</f>
        <v>1375</v>
      </c>
      <c r="AO326" s="77">
        <f t="shared" si="2"/>
        <v>1375</v>
      </c>
      <c r="AP326" s="22"/>
      <c r="AQ326" s="22"/>
      <c r="AR326" s="22"/>
      <c r="AS326" s="22"/>
      <c r="AT326" s="22"/>
      <c r="AU326" s="26"/>
      <c r="AV326" s="26"/>
      <c r="AW326" s="26"/>
      <c r="AX326" s="26"/>
      <c r="AY326" s="26"/>
      <c r="AZ326" s="26"/>
      <c r="BA326" s="26"/>
      <c r="BB326" s="26"/>
      <c r="BC326" s="60"/>
      <c r="BD326" s="26"/>
      <c r="BE326" s="26"/>
      <c r="BF326" s="26"/>
      <c r="BG326" s="26"/>
      <c r="BH326" s="26"/>
      <c r="BI326" s="26"/>
      <c r="BJ326" s="26"/>
      <c r="BK326" s="26"/>
      <c r="BL326" s="26"/>
      <c r="BM326" s="26"/>
    </row>
    <row r="327" spans="1:65" ht="30" x14ac:dyDescent="0.25">
      <c r="A327" s="163">
        <v>92</v>
      </c>
      <c r="B327" s="155" t="s">
        <v>824</v>
      </c>
      <c r="C327" s="22" t="s">
        <v>686</v>
      </c>
      <c r="D327" s="81" t="s">
        <v>128</v>
      </c>
      <c r="E327" s="22" t="s">
        <v>124</v>
      </c>
      <c r="F327" s="33" t="s">
        <v>825</v>
      </c>
      <c r="G327" s="33" t="s">
        <v>840</v>
      </c>
      <c r="H327" s="23" t="s">
        <v>686</v>
      </c>
      <c r="I327" s="35">
        <v>42802</v>
      </c>
      <c r="J327" s="35">
        <v>43167</v>
      </c>
      <c r="K327" s="24" t="s">
        <v>1197</v>
      </c>
      <c r="L327" s="140" t="s">
        <v>828</v>
      </c>
      <c r="M327" s="43" t="s">
        <v>829</v>
      </c>
      <c r="N327" s="61">
        <v>43124</v>
      </c>
      <c r="O327" s="77">
        <v>15544</v>
      </c>
      <c r="P327" s="76">
        <v>12237</v>
      </c>
      <c r="Q327" s="61">
        <v>43124</v>
      </c>
      <c r="R327" s="61">
        <v>43465</v>
      </c>
      <c r="S327" s="43" t="s">
        <v>1230</v>
      </c>
      <c r="T327" s="22"/>
      <c r="U327" s="25"/>
      <c r="V327" s="25"/>
      <c r="W327" s="33" t="s">
        <v>184</v>
      </c>
      <c r="X327" s="33"/>
      <c r="Y327" s="22"/>
      <c r="Z327" s="22"/>
      <c r="AA327" s="22"/>
      <c r="AB327" s="33"/>
      <c r="AC327" s="22"/>
      <c r="AD327" s="22"/>
      <c r="AE327" s="22"/>
      <c r="AF327" s="22"/>
      <c r="AG327" s="25"/>
      <c r="AH327" s="25"/>
      <c r="AI327" s="25"/>
      <c r="AJ327" s="25"/>
      <c r="AK327" s="25"/>
      <c r="AL327" s="74">
        <f>O327-AH327+AG327</f>
        <v>15544</v>
      </c>
      <c r="AM327" s="25"/>
      <c r="AN327" s="25">
        <f>15544</f>
        <v>15544</v>
      </c>
      <c r="AO327" s="77">
        <f t="shared" si="2"/>
        <v>15544</v>
      </c>
      <c r="AP327" s="22"/>
      <c r="AQ327" s="22"/>
      <c r="AR327" s="22"/>
      <c r="AS327" s="22"/>
      <c r="AT327" s="22"/>
      <c r="AU327" s="26"/>
      <c r="AV327" s="26"/>
      <c r="AW327" s="26"/>
      <c r="AX327" s="26"/>
      <c r="AY327" s="26"/>
      <c r="AZ327" s="26"/>
      <c r="BA327" s="26"/>
      <c r="BB327" s="26"/>
      <c r="BC327" s="60"/>
      <c r="BD327" s="26"/>
      <c r="BE327" s="26"/>
      <c r="BF327" s="26"/>
      <c r="BG327" s="26"/>
      <c r="BH327" s="26"/>
      <c r="BI327" s="26"/>
      <c r="BJ327" s="26"/>
      <c r="BK327" s="26"/>
      <c r="BL327" s="26"/>
      <c r="BM327" s="26"/>
    </row>
    <row r="328" spans="1:65" ht="30" x14ac:dyDescent="0.25">
      <c r="A328" s="163">
        <v>93</v>
      </c>
      <c r="B328" s="155" t="s">
        <v>824</v>
      </c>
      <c r="C328" s="22" t="s">
        <v>686</v>
      </c>
      <c r="D328" s="81" t="s">
        <v>128</v>
      </c>
      <c r="E328" s="22" t="s">
        <v>124</v>
      </c>
      <c r="F328" s="33" t="s">
        <v>825</v>
      </c>
      <c r="G328" s="33" t="s">
        <v>840</v>
      </c>
      <c r="H328" s="23" t="s">
        <v>686</v>
      </c>
      <c r="I328" s="35">
        <v>42802</v>
      </c>
      <c r="J328" s="35">
        <v>43167</v>
      </c>
      <c r="K328" s="24" t="s">
        <v>1198</v>
      </c>
      <c r="L328" s="140" t="s">
        <v>838</v>
      </c>
      <c r="M328" s="43" t="s">
        <v>839</v>
      </c>
      <c r="N328" s="61">
        <v>43124</v>
      </c>
      <c r="O328" s="77">
        <v>365.8</v>
      </c>
      <c r="P328" s="76">
        <v>12237</v>
      </c>
      <c r="Q328" s="61">
        <v>43124</v>
      </c>
      <c r="R328" s="61">
        <v>43465</v>
      </c>
      <c r="S328" s="43" t="s">
        <v>1230</v>
      </c>
      <c r="T328" s="22"/>
      <c r="U328" s="25"/>
      <c r="V328" s="25"/>
      <c r="W328" s="33" t="s">
        <v>184</v>
      </c>
      <c r="X328" s="33"/>
      <c r="Y328" s="22"/>
      <c r="Z328" s="22"/>
      <c r="AA328" s="22"/>
      <c r="AB328" s="33"/>
      <c r="AC328" s="22"/>
      <c r="AD328" s="22"/>
      <c r="AE328" s="22"/>
      <c r="AF328" s="22"/>
      <c r="AG328" s="25"/>
      <c r="AH328" s="25"/>
      <c r="AI328" s="25"/>
      <c r="AJ328" s="25"/>
      <c r="AK328" s="25"/>
      <c r="AL328" s="74">
        <f t="shared" si="1"/>
        <v>365.8</v>
      </c>
      <c r="AM328" s="25"/>
      <c r="AN328" s="25">
        <f>365.8</f>
        <v>365.8</v>
      </c>
      <c r="AO328" s="77">
        <f t="shared" si="2"/>
        <v>365.8</v>
      </c>
      <c r="AP328" s="22"/>
      <c r="AQ328" s="22"/>
      <c r="AR328" s="22"/>
      <c r="AS328" s="22"/>
      <c r="AT328" s="22"/>
      <c r="AU328" s="26"/>
      <c r="AV328" s="26"/>
      <c r="AW328" s="26"/>
      <c r="AX328" s="26"/>
      <c r="AY328" s="26"/>
      <c r="AZ328" s="26"/>
      <c r="BA328" s="26"/>
      <c r="BB328" s="26"/>
      <c r="BC328" s="60"/>
      <c r="BD328" s="26"/>
      <c r="BE328" s="26"/>
      <c r="BF328" s="26"/>
      <c r="BG328" s="26"/>
      <c r="BH328" s="26"/>
      <c r="BI328" s="26"/>
      <c r="BJ328" s="26"/>
      <c r="BK328" s="26"/>
      <c r="BL328" s="26"/>
      <c r="BM328" s="26"/>
    </row>
    <row r="329" spans="1:65" ht="30" x14ac:dyDescent="0.25">
      <c r="A329" s="163">
        <v>94</v>
      </c>
      <c r="B329" s="155" t="s">
        <v>824</v>
      </c>
      <c r="C329" s="22" t="s">
        <v>686</v>
      </c>
      <c r="D329" s="81" t="s">
        <v>128</v>
      </c>
      <c r="E329" s="22" t="s">
        <v>124</v>
      </c>
      <c r="F329" s="33" t="s">
        <v>825</v>
      </c>
      <c r="G329" s="33" t="s">
        <v>840</v>
      </c>
      <c r="H329" s="23" t="s">
        <v>686</v>
      </c>
      <c r="I329" s="35">
        <v>42802</v>
      </c>
      <c r="J329" s="35">
        <v>43167</v>
      </c>
      <c r="K329" s="24" t="s">
        <v>1199</v>
      </c>
      <c r="L329" s="140" t="s">
        <v>792</v>
      </c>
      <c r="M329" s="43" t="s">
        <v>793</v>
      </c>
      <c r="N329" s="61">
        <v>43124</v>
      </c>
      <c r="O329" s="77">
        <v>280</v>
      </c>
      <c r="P329" s="76">
        <v>12237</v>
      </c>
      <c r="Q329" s="61">
        <v>43124</v>
      </c>
      <c r="R329" s="61">
        <v>43465</v>
      </c>
      <c r="S329" s="43" t="s">
        <v>1230</v>
      </c>
      <c r="T329" s="22"/>
      <c r="U329" s="25"/>
      <c r="V329" s="25"/>
      <c r="W329" s="33" t="s">
        <v>184</v>
      </c>
      <c r="X329" s="33"/>
      <c r="Y329" s="22"/>
      <c r="Z329" s="22"/>
      <c r="AA329" s="22"/>
      <c r="AB329" s="33"/>
      <c r="AC329" s="22"/>
      <c r="AD329" s="22"/>
      <c r="AE329" s="22"/>
      <c r="AF329" s="22"/>
      <c r="AG329" s="25"/>
      <c r="AH329" s="25"/>
      <c r="AI329" s="25"/>
      <c r="AJ329" s="25"/>
      <c r="AK329" s="25"/>
      <c r="AL329" s="74">
        <f t="shared" si="1"/>
        <v>280</v>
      </c>
      <c r="AM329" s="25"/>
      <c r="AN329" s="25">
        <f>280</f>
        <v>280</v>
      </c>
      <c r="AO329" s="77">
        <f t="shared" si="2"/>
        <v>280</v>
      </c>
      <c r="AP329" s="22"/>
      <c r="AQ329" s="22"/>
      <c r="AR329" s="22"/>
      <c r="AS329" s="22"/>
      <c r="AT329" s="22"/>
      <c r="AU329" s="26"/>
      <c r="AV329" s="26"/>
      <c r="AW329" s="26"/>
      <c r="AX329" s="26"/>
      <c r="AY329" s="26"/>
      <c r="AZ329" s="26"/>
      <c r="BA329" s="26"/>
      <c r="BB329" s="26"/>
      <c r="BC329" s="60"/>
      <c r="BD329" s="26"/>
      <c r="BE329" s="26"/>
      <c r="BF329" s="26"/>
      <c r="BG329" s="26"/>
      <c r="BH329" s="26"/>
      <c r="BI329" s="26"/>
      <c r="BJ329" s="26"/>
      <c r="BK329" s="26"/>
      <c r="BL329" s="26"/>
      <c r="BM329" s="26"/>
    </row>
    <row r="330" spans="1:65" ht="30" x14ac:dyDescent="0.25">
      <c r="A330" s="163">
        <v>95</v>
      </c>
      <c r="B330" s="155" t="s">
        <v>824</v>
      </c>
      <c r="C330" s="22" t="s">
        <v>686</v>
      </c>
      <c r="D330" s="81" t="s">
        <v>128</v>
      </c>
      <c r="E330" s="22" t="s">
        <v>124</v>
      </c>
      <c r="F330" s="33" t="s">
        <v>825</v>
      </c>
      <c r="G330" s="33" t="s">
        <v>840</v>
      </c>
      <c r="H330" s="23" t="s">
        <v>686</v>
      </c>
      <c r="I330" s="35">
        <v>42802</v>
      </c>
      <c r="J330" s="35">
        <v>43167</v>
      </c>
      <c r="K330" s="24" t="s">
        <v>1200</v>
      </c>
      <c r="L330" s="140" t="s">
        <v>622</v>
      </c>
      <c r="M330" s="43" t="s">
        <v>623</v>
      </c>
      <c r="N330" s="61">
        <v>43124</v>
      </c>
      <c r="O330" s="77">
        <v>2400</v>
      </c>
      <c r="P330" s="76">
        <v>12237</v>
      </c>
      <c r="Q330" s="61">
        <v>43124</v>
      </c>
      <c r="R330" s="61">
        <v>43465</v>
      </c>
      <c r="S330" s="43" t="s">
        <v>1230</v>
      </c>
      <c r="T330" s="22"/>
      <c r="U330" s="25"/>
      <c r="V330" s="25"/>
      <c r="W330" s="33" t="s">
        <v>184</v>
      </c>
      <c r="X330" s="33"/>
      <c r="Y330" s="22"/>
      <c r="Z330" s="22"/>
      <c r="AA330" s="22"/>
      <c r="AB330" s="33"/>
      <c r="AC330" s="22"/>
      <c r="AD330" s="22"/>
      <c r="AE330" s="22"/>
      <c r="AF330" s="22"/>
      <c r="AG330" s="25"/>
      <c r="AH330" s="25"/>
      <c r="AI330" s="25"/>
      <c r="AJ330" s="25"/>
      <c r="AK330" s="25"/>
      <c r="AL330" s="74">
        <f t="shared" si="1"/>
        <v>2400</v>
      </c>
      <c r="AM330" s="25"/>
      <c r="AN330" s="25">
        <f>2400</f>
        <v>2400</v>
      </c>
      <c r="AO330" s="77">
        <f t="shared" si="2"/>
        <v>2400</v>
      </c>
      <c r="AP330" s="22"/>
      <c r="AQ330" s="22"/>
      <c r="AR330" s="22"/>
      <c r="AS330" s="22"/>
      <c r="AT330" s="22"/>
      <c r="AU330" s="26"/>
      <c r="AV330" s="26"/>
      <c r="AW330" s="26"/>
      <c r="AX330" s="26"/>
      <c r="AY330" s="26"/>
      <c r="AZ330" s="26"/>
      <c r="BA330" s="26"/>
      <c r="BB330" s="26"/>
      <c r="BC330" s="60"/>
      <c r="BD330" s="26"/>
      <c r="BE330" s="26"/>
      <c r="BF330" s="26"/>
      <c r="BG330" s="26"/>
      <c r="BH330" s="26"/>
      <c r="BI330" s="26"/>
      <c r="BJ330" s="26"/>
      <c r="BK330" s="26"/>
      <c r="BL330" s="26"/>
      <c r="BM330" s="26"/>
    </row>
    <row r="331" spans="1:65" ht="30" x14ac:dyDescent="0.25">
      <c r="A331" s="163">
        <v>96</v>
      </c>
      <c r="B331" s="155" t="s">
        <v>824</v>
      </c>
      <c r="C331" s="22" t="s">
        <v>686</v>
      </c>
      <c r="D331" s="81" t="s">
        <v>128</v>
      </c>
      <c r="E331" s="22" t="s">
        <v>124</v>
      </c>
      <c r="F331" s="33" t="s">
        <v>825</v>
      </c>
      <c r="G331" s="33" t="s">
        <v>840</v>
      </c>
      <c r="H331" s="23" t="s">
        <v>686</v>
      </c>
      <c r="I331" s="35">
        <v>42802</v>
      </c>
      <c r="J331" s="35">
        <v>43167</v>
      </c>
      <c r="K331" s="24" t="s">
        <v>1201</v>
      </c>
      <c r="L331" s="140" t="s">
        <v>830</v>
      </c>
      <c r="M331" s="43" t="s">
        <v>831</v>
      </c>
      <c r="N331" s="61">
        <v>43124</v>
      </c>
      <c r="O331" s="77">
        <v>5910.46</v>
      </c>
      <c r="P331" s="76">
        <v>12237</v>
      </c>
      <c r="Q331" s="61">
        <v>43124</v>
      </c>
      <c r="R331" s="61">
        <v>43465</v>
      </c>
      <c r="S331" s="43" t="s">
        <v>1230</v>
      </c>
      <c r="T331" s="22"/>
      <c r="U331" s="25"/>
      <c r="V331" s="25"/>
      <c r="W331" s="33" t="s">
        <v>184</v>
      </c>
      <c r="X331" s="33"/>
      <c r="Y331" s="22"/>
      <c r="Z331" s="22"/>
      <c r="AA331" s="22"/>
      <c r="AB331" s="33"/>
      <c r="AC331" s="22"/>
      <c r="AD331" s="22"/>
      <c r="AE331" s="22"/>
      <c r="AF331" s="22"/>
      <c r="AG331" s="25"/>
      <c r="AH331" s="25"/>
      <c r="AI331" s="25"/>
      <c r="AJ331" s="25"/>
      <c r="AK331" s="25"/>
      <c r="AL331" s="74">
        <f t="shared" si="1"/>
        <v>5910.46</v>
      </c>
      <c r="AM331" s="25"/>
      <c r="AN331" s="25">
        <f>5910.46</f>
        <v>5910.46</v>
      </c>
      <c r="AO331" s="77">
        <f t="shared" si="2"/>
        <v>5910.46</v>
      </c>
      <c r="AP331" s="22"/>
      <c r="AQ331" s="22"/>
      <c r="AR331" s="22"/>
      <c r="AS331" s="22"/>
      <c r="AT331" s="22"/>
      <c r="AU331" s="26"/>
      <c r="AV331" s="26"/>
      <c r="AW331" s="26"/>
      <c r="AX331" s="26"/>
      <c r="AY331" s="26"/>
      <c r="AZ331" s="26"/>
      <c r="BA331" s="26"/>
      <c r="BB331" s="26"/>
      <c r="BC331" s="60"/>
      <c r="BD331" s="26"/>
      <c r="BE331" s="26"/>
      <c r="BF331" s="26"/>
      <c r="BG331" s="26"/>
      <c r="BH331" s="26"/>
      <c r="BI331" s="26"/>
      <c r="BJ331" s="26"/>
      <c r="BK331" s="26"/>
      <c r="BL331" s="26"/>
      <c r="BM331" s="26"/>
    </row>
    <row r="332" spans="1:65" ht="30" x14ac:dyDescent="0.25">
      <c r="A332" s="163">
        <v>97</v>
      </c>
      <c r="B332" s="155" t="s">
        <v>824</v>
      </c>
      <c r="C332" s="22" t="s">
        <v>686</v>
      </c>
      <c r="D332" s="81" t="s">
        <v>128</v>
      </c>
      <c r="E332" s="22" t="s">
        <v>124</v>
      </c>
      <c r="F332" s="33" t="s">
        <v>825</v>
      </c>
      <c r="G332" s="33" t="s">
        <v>840</v>
      </c>
      <c r="H332" s="23" t="s">
        <v>686</v>
      </c>
      <c r="I332" s="35">
        <v>42802</v>
      </c>
      <c r="J332" s="35">
        <v>43167</v>
      </c>
      <c r="K332" s="24" t="s">
        <v>1202</v>
      </c>
      <c r="L332" s="140" t="s">
        <v>576</v>
      </c>
      <c r="M332" s="43" t="s">
        <v>592</v>
      </c>
      <c r="N332" s="61">
        <v>43124</v>
      </c>
      <c r="O332" s="77">
        <v>5692.52</v>
      </c>
      <c r="P332" s="76">
        <v>12237</v>
      </c>
      <c r="Q332" s="61">
        <v>43124</v>
      </c>
      <c r="R332" s="61">
        <v>43465</v>
      </c>
      <c r="S332" s="43" t="s">
        <v>1230</v>
      </c>
      <c r="T332" s="22"/>
      <c r="U332" s="25"/>
      <c r="V332" s="25"/>
      <c r="W332" s="33" t="s">
        <v>184</v>
      </c>
      <c r="X332" s="33"/>
      <c r="Y332" s="22"/>
      <c r="Z332" s="22"/>
      <c r="AA332" s="22"/>
      <c r="AB332" s="33"/>
      <c r="AC332" s="22"/>
      <c r="AD332" s="22"/>
      <c r="AE332" s="22"/>
      <c r="AF332" s="22"/>
      <c r="AG332" s="25"/>
      <c r="AH332" s="25"/>
      <c r="AI332" s="25"/>
      <c r="AJ332" s="25"/>
      <c r="AK332" s="25"/>
      <c r="AL332" s="74">
        <f>O332-AH332+AG332</f>
        <v>5692.52</v>
      </c>
      <c r="AM332" s="25"/>
      <c r="AN332" s="25">
        <f>5692.52</f>
        <v>5692.52</v>
      </c>
      <c r="AO332" s="77">
        <f t="shared" si="2"/>
        <v>5692.52</v>
      </c>
      <c r="AP332" s="22"/>
      <c r="AQ332" s="22"/>
      <c r="AR332" s="22"/>
      <c r="AS332" s="22"/>
      <c r="AT332" s="22"/>
      <c r="AU332" s="26"/>
      <c r="AV332" s="26"/>
      <c r="AW332" s="26"/>
      <c r="AX332" s="26"/>
      <c r="AY332" s="26"/>
      <c r="AZ332" s="26"/>
      <c r="BA332" s="26"/>
      <c r="BB332" s="26"/>
      <c r="BC332" s="60"/>
      <c r="BD332" s="26"/>
      <c r="BE332" s="26"/>
      <c r="BF332" s="26"/>
      <c r="BG332" s="26"/>
      <c r="BH332" s="26"/>
      <c r="BI332" s="26"/>
      <c r="BJ332" s="26"/>
      <c r="BK332" s="26"/>
      <c r="BL332" s="26"/>
      <c r="BM332" s="26"/>
    </row>
    <row r="333" spans="1:65" ht="30" x14ac:dyDescent="0.25">
      <c r="A333" s="163">
        <v>98</v>
      </c>
      <c r="B333" s="155" t="s">
        <v>824</v>
      </c>
      <c r="C333" s="22" t="s">
        <v>686</v>
      </c>
      <c r="D333" s="81" t="s">
        <v>128</v>
      </c>
      <c r="E333" s="22" t="s">
        <v>124</v>
      </c>
      <c r="F333" s="33" t="s">
        <v>825</v>
      </c>
      <c r="G333" s="33" t="s">
        <v>840</v>
      </c>
      <c r="H333" s="23" t="s">
        <v>686</v>
      </c>
      <c r="I333" s="35">
        <v>42802</v>
      </c>
      <c r="J333" s="35">
        <v>43167</v>
      </c>
      <c r="K333" s="24" t="s">
        <v>1203</v>
      </c>
      <c r="L333" s="140" t="s">
        <v>477</v>
      </c>
      <c r="M333" s="43" t="s">
        <v>478</v>
      </c>
      <c r="N333" s="61">
        <v>43124</v>
      </c>
      <c r="O333" s="77">
        <v>1274.5</v>
      </c>
      <c r="P333" s="76">
        <v>12237</v>
      </c>
      <c r="Q333" s="61">
        <v>43124</v>
      </c>
      <c r="R333" s="61">
        <v>43465</v>
      </c>
      <c r="S333" s="43" t="s">
        <v>1230</v>
      </c>
      <c r="T333" s="22"/>
      <c r="U333" s="25"/>
      <c r="V333" s="25"/>
      <c r="W333" s="33" t="s">
        <v>184</v>
      </c>
      <c r="X333" s="33"/>
      <c r="Y333" s="22"/>
      <c r="Z333" s="22"/>
      <c r="AA333" s="22"/>
      <c r="AB333" s="33"/>
      <c r="AC333" s="22"/>
      <c r="AD333" s="22"/>
      <c r="AE333" s="22"/>
      <c r="AF333" s="22"/>
      <c r="AG333" s="25"/>
      <c r="AH333" s="25"/>
      <c r="AI333" s="25"/>
      <c r="AJ333" s="25"/>
      <c r="AK333" s="25"/>
      <c r="AL333" s="74">
        <f t="shared" si="1"/>
        <v>1274.5</v>
      </c>
      <c r="AM333" s="25"/>
      <c r="AN333" s="25">
        <f>0</f>
        <v>0</v>
      </c>
      <c r="AO333" s="77">
        <f t="shared" si="2"/>
        <v>0</v>
      </c>
      <c r="AP333" s="22"/>
      <c r="AQ333" s="22"/>
      <c r="AR333" s="22"/>
      <c r="AS333" s="22"/>
      <c r="AT333" s="22"/>
      <c r="AU333" s="26"/>
      <c r="AV333" s="26"/>
      <c r="AW333" s="26"/>
      <c r="AX333" s="26"/>
      <c r="AY333" s="26"/>
      <c r="AZ333" s="26"/>
      <c r="BA333" s="26"/>
      <c r="BB333" s="26"/>
      <c r="BC333" s="60"/>
      <c r="BD333" s="26"/>
      <c r="BE333" s="26"/>
      <c r="BF333" s="26"/>
      <c r="BG333" s="26"/>
      <c r="BH333" s="26"/>
      <c r="BI333" s="26"/>
      <c r="BJ333" s="26"/>
      <c r="BK333" s="26"/>
      <c r="BL333" s="26"/>
      <c r="BM333" s="26"/>
    </row>
    <row r="334" spans="1:65" ht="30" x14ac:dyDescent="0.25">
      <c r="A334" s="163">
        <v>99</v>
      </c>
      <c r="B334" s="155" t="s">
        <v>824</v>
      </c>
      <c r="C334" s="22" t="s">
        <v>686</v>
      </c>
      <c r="D334" s="81" t="s">
        <v>128</v>
      </c>
      <c r="E334" s="22" t="s">
        <v>124</v>
      </c>
      <c r="F334" s="33" t="s">
        <v>825</v>
      </c>
      <c r="G334" s="33" t="s">
        <v>840</v>
      </c>
      <c r="H334" s="23" t="s">
        <v>686</v>
      </c>
      <c r="I334" s="35">
        <v>42802</v>
      </c>
      <c r="J334" s="35">
        <v>43167</v>
      </c>
      <c r="K334" s="24" t="s">
        <v>1204</v>
      </c>
      <c r="L334" s="140" t="s">
        <v>846</v>
      </c>
      <c r="M334" s="43" t="s">
        <v>835</v>
      </c>
      <c r="N334" s="61">
        <v>43124</v>
      </c>
      <c r="O334" s="77">
        <v>5647.1</v>
      </c>
      <c r="P334" s="76">
        <v>12237</v>
      </c>
      <c r="Q334" s="61">
        <v>43124</v>
      </c>
      <c r="R334" s="61">
        <v>43465</v>
      </c>
      <c r="S334" s="43" t="s">
        <v>1230</v>
      </c>
      <c r="T334" s="22"/>
      <c r="U334" s="25"/>
      <c r="V334" s="25"/>
      <c r="W334" s="33" t="s">
        <v>184</v>
      </c>
      <c r="X334" s="33"/>
      <c r="Y334" s="22"/>
      <c r="Z334" s="22"/>
      <c r="AA334" s="22"/>
      <c r="AB334" s="33"/>
      <c r="AC334" s="22"/>
      <c r="AD334" s="22"/>
      <c r="AE334" s="22"/>
      <c r="AF334" s="22"/>
      <c r="AG334" s="25"/>
      <c r="AH334" s="25"/>
      <c r="AI334" s="25"/>
      <c r="AJ334" s="25"/>
      <c r="AK334" s="25"/>
      <c r="AL334" s="74">
        <f t="shared" si="1"/>
        <v>5647.1</v>
      </c>
      <c r="AM334" s="25"/>
      <c r="AN334" s="25">
        <f>5647.1</f>
        <v>5647.1</v>
      </c>
      <c r="AO334" s="77">
        <f t="shared" si="2"/>
        <v>5647.1</v>
      </c>
      <c r="AP334" s="22"/>
      <c r="AQ334" s="22"/>
      <c r="AR334" s="22"/>
      <c r="AS334" s="22"/>
      <c r="AT334" s="22"/>
      <c r="AU334" s="26"/>
      <c r="AV334" s="26"/>
      <c r="AW334" s="26"/>
      <c r="AX334" s="26"/>
      <c r="AY334" s="26"/>
      <c r="AZ334" s="26"/>
      <c r="BA334" s="26"/>
      <c r="BB334" s="26"/>
      <c r="BC334" s="60"/>
      <c r="BD334" s="26"/>
      <c r="BE334" s="26"/>
      <c r="BF334" s="26"/>
      <c r="BG334" s="26"/>
      <c r="BH334" s="26"/>
      <c r="BI334" s="26"/>
      <c r="BJ334" s="26"/>
      <c r="BK334" s="26"/>
      <c r="BL334" s="26"/>
      <c r="BM334" s="26"/>
    </row>
    <row r="335" spans="1:65" ht="30" x14ac:dyDescent="0.25">
      <c r="A335" s="163">
        <v>100</v>
      </c>
      <c r="B335" s="155" t="s">
        <v>824</v>
      </c>
      <c r="C335" s="22" t="s">
        <v>686</v>
      </c>
      <c r="D335" s="81" t="s">
        <v>128</v>
      </c>
      <c r="E335" s="22" t="s">
        <v>124</v>
      </c>
      <c r="F335" s="33" t="s">
        <v>825</v>
      </c>
      <c r="G335" s="33" t="s">
        <v>840</v>
      </c>
      <c r="H335" s="23" t="s">
        <v>686</v>
      </c>
      <c r="I335" s="35">
        <v>42802</v>
      </c>
      <c r="J335" s="35">
        <v>43167</v>
      </c>
      <c r="K335" s="24" t="s">
        <v>1205</v>
      </c>
      <c r="L335" s="140" t="s">
        <v>799</v>
      </c>
      <c r="M335" s="43" t="s">
        <v>575</v>
      </c>
      <c r="N335" s="61">
        <v>43124</v>
      </c>
      <c r="O335" s="77">
        <v>6381.68</v>
      </c>
      <c r="P335" s="76">
        <v>12239</v>
      </c>
      <c r="Q335" s="61">
        <v>43124</v>
      </c>
      <c r="R335" s="61">
        <v>43465</v>
      </c>
      <c r="S335" s="43" t="s">
        <v>1230</v>
      </c>
      <c r="T335" s="22"/>
      <c r="U335" s="25"/>
      <c r="V335" s="25"/>
      <c r="W335" s="33" t="s">
        <v>184</v>
      </c>
      <c r="X335" s="33"/>
      <c r="Y335" s="22"/>
      <c r="Z335" s="22"/>
      <c r="AA335" s="22"/>
      <c r="AB335" s="33"/>
      <c r="AC335" s="22"/>
      <c r="AD335" s="22"/>
      <c r="AE335" s="22"/>
      <c r="AF335" s="22"/>
      <c r="AG335" s="25"/>
      <c r="AH335" s="25"/>
      <c r="AI335" s="25"/>
      <c r="AJ335" s="25"/>
      <c r="AK335" s="25"/>
      <c r="AL335" s="74">
        <f t="shared" si="1"/>
        <v>6381.68</v>
      </c>
      <c r="AM335" s="25"/>
      <c r="AN335" s="25">
        <f>6381.68</f>
        <v>6381.68</v>
      </c>
      <c r="AO335" s="77">
        <f t="shared" si="2"/>
        <v>6381.68</v>
      </c>
      <c r="AP335" s="22"/>
      <c r="AQ335" s="22"/>
      <c r="AR335" s="22"/>
      <c r="AS335" s="22"/>
      <c r="AT335" s="22"/>
      <c r="AU335" s="26"/>
      <c r="AV335" s="26"/>
      <c r="AW335" s="26"/>
      <c r="AX335" s="26"/>
      <c r="AY335" s="26"/>
      <c r="AZ335" s="26"/>
      <c r="BA335" s="26"/>
      <c r="BB335" s="26"/>
      <c r="BC335" s="60"/>
      <c r="BD335" s="26"/>
      <c r="BE335" s="26"/>
      <c r="BF335" s="26"/>
      <c r="BG335" s="26"/>
      <c r="BH335" s="26"/>
      <c r="BI335" s="26"/>
      <c r="BJ335" s="26"/>
      <c r="BK335" s="26"/>
      <c r="BL335" s="26"/>
      <c r="BM335" s="26"/>
    </row>
    <row r="336" spans="1:65" ht="30" x14ac:dyDescent="0.25">
      <c r="A336" s="163">
        <v>101</v>
      </c>
      <c r="B336" s="155" t="s">
        <v>824</v>
      </c>
      <c r="C336" s="22" t="s">
        <v>686</v>
      </c>
      <c r="D336" s="81" t="s">
        <v>128</v>
      </c>
      <c r="E336" s="22" t="s">
        <v>124</v>
      </c>
      <c r="F336" s="33" t="s">
        <v>825</v>
      </c>
      <c r="G336" s="33" t="s">
        <v>840</v>
      </c>
      <c r="H336" s="23" t="s">
        <v>686</v>
      </c>
      <c r="I336" s="35">
        <v>42802</v>
      </c>
      <c r="J336" s="35">
        <v>43167</v>
      </c>
      <c r="K336" s="24" t="s">
        <v>1206</v>
      </c>
      <c r="L336" s="140" t="s">
        <v>836</v>
      </c>
      <c r="M336" s="43" t="s">
        <v>837</v>
      </c>
      <c r="N336" s="61">
        <v>43124</v>
      </c>
      <c r="O336" s="77">
        <v>1863.1</v>
      </c>
      <c r="P336" s="76">
        <v>12237</v>
      </c>
      <c r="Q336" s="61">
        <v>43124</v>
      </c>
      <c r="R336" s="61">
        <v>43465</v>
      </c>
      <c r="S336" s="43" t="s">
        <v>1230</v>
      </c>
      <c r="T336" s="22"/>
      <c r="U336" s="25"/>
      <c r="V336" s="25"/>
      <c r="W336" s="33" t="s">
        <v>184</v>
      </c>
      <c r="X336" s="33"/>
      <c r="Y336" s="22"/>
      <c r="Z336" s="22"/>
      <c r="AA336" s="22"/>
      <c r="AB336" s="33"/>
      <c r="AC336" s="22"/>
      <c r="AD336" s="22"/>
      <c r="AE336" s="22"/>
      <c r="AF336" s="22"/>
      <c r="AG336" s="25"/>
      <c r="AH336" s="25"/>
      <c r="AI336" s="25"/>
      <c r="AJ336" s="25"/>
      <c r="AK336" s="25"/>
      <c r="AL336" s="74">
        <f t="shared" si="1"/>
        <v>1863.1</v>
      </c>
      <c r="AM336" s="25"/>
      <c r="AN336" s="25">
        <f>0</f>
        <v>0</v>
      </c>
      <c r="AO336" s="77">
        <f t="shared" si="2"/>
        <v>0</v>
      </c>
      <c r="AP336" s="22"/>
      <c r="AQ336" s="22"/>
      <c r="AR336" s="22"/>
      <c r="AS336" s="22"/>
      <c r="AT336" s="22"/>
      <c r="AU336" s="26"/>
      <c r="AV336" s="26"/>
      <c r="AW336" s="26"/>
      <c r="AX336" s="26"/>
      <c r="AY336" s="26"/>
      <c r="AZ336" s="26"/>
      <c r="BA336" s="26"/>
      <c r="BB336" s="26"/>
      <c r="BC336" s="60"/>
      <c r="BD336" s="26"/>
      <c r="BE336" s="26"/>
      <c r="BF336" s="26"/>
      <c r="BG336" s="26"/>
      <c r="BH336" s="26"/>
      <c r="BI336" s="26"/>
      <c r="BJ336" s="26"/>
      <c r="BK336" s="26"/>
      <c r="BL336" s="26"/>
      <c r="BM336" s="26"/>
    </row>
    <row r="337" spans="1:65" x14ac:dyDescent="0.25">
      <c r="A337" s="160">
        <v>102</v>
      </c>
      <c r="B337" s="154" t="s">
        <v>1216</v>
      </c>
      <c r="C337" s="19" t="s">
        <v>694</v>
      </c>
      <c r="D337" s="80" t="s">
        <v>225</v>
      </c>
      <c r="E337" s="19" t="s">
        <v>124</v>
      </c>
      <c r="F337" s="32" t="s">
        <v>1217</v>
      </c>
      <c r="G337" s="32" t="s">
        <v>1278</v>
      </c>
      <c r="H337" s="20"/>
      <c r="I337" s="20"/>
      <c r="J337" s="20"/>
      <c r="K337" s="45" t="s">
        <v>1207</v>
      </c>
      <c r="L337" s="143" t="s">
        <v>1218</v>
      </c>
      <c r="M337" s="27" t="s">
        <v>1219</v>
      </c>
      <c r="N337" s="31">
        <v>43124</v>
      </c>
      <c r="O337" s="78">
        <v>335862.16</v>
      </c>
      <c r="P337" s="30">
        <v>12229</v>
      </c>
      <c r="Q337" s="31">
        <v>43124</v>
      </c>
      <c r="R337" s="31">
        <v>43303</v>
      </c>
      <c r="S337" s="27" t="s">
        <v>1220</v>
      </c>
      <c r="T337" s="32"/>
      <c r="U337" s="148"/>
      <c r="V337" s="148"/>
      <c r="W337" s="32" t="s">
        <v>227</v>
      </c>
      <c r="X337" s="33"/>
      <c r="Y337" s="22"/>
      <c r="Z337" s="22"/>
      <c r="AA337" s="22"/>
      <c r="AB337" s="33"/>
      <c r="AC337" s="22"/>
      <c r="AD337" s="22"/>
      <c r="AE337" s="22"/>
      <c r="AF337" s="22"/>
      <c r="AG337" s="25"/>
      <c r="AH337" s="25"/>
      <c r="AI337" s="25"/>
      <c r="AJ337" s="25"/>
      <c r="AK337" s="25"/>
      <c r="AL337" s="38">
        <f>O337-AH337+AG337-AH338+AG338-AH340+AG340</f>
        <v>352288.41</v>
      </c>
      <c r="AM337" s="38"/>
      <c r="AN337" s="38">
        <f>116794.26+77151.55</f>
        <v>193945.81</v>
      </c>
      <c r="AO337" s="38">
        <f t="shared" si="2"/>
        <v>193945.81</v>
      </c>
      <c r="AP337" s="22"/>
      <c r="AQ337" s="22"/>
      <c r="AR337" s="22"/>
      <c r="AS337" s="22"/>
      <c r="AT337" s="22"/>
      <c r="AU337" s="26"/>
      <c r="AV337" s="26"/>
      <c r="AW337" s="26"/>
      <c r="AX337" s="26"/>
      <c r="AY337" s="26"/>
      <c r="AZ337" s="26"/>
      <c r="BA337" s="26"/>
      <c r="BB337" s="14" t="s">
        <v>295</v>
      </c>
      <c r="BC337" s="27" t="s">
        <v>1020</v>
      </c>
      <c r="BD337" s="63">
        <v>43139</v>
      </c>
      <c r="BE337" s="35">
        <v>43289</v>
      </c>
      <c r="BF337" s="63"/>
      <c r="BG337" s="26"/>
      <c r="BH337" s="26"/>
      <c r="BI337" s="14" t="s">
        <v>756</v>
      </c>
      <c r="BJ337" s="14" t="s">
        <v>757</v>
      </c>
      <c r="BK337" s="26"/>
      <c r="BL337" s="26"/>
      <c r="BM337" s="26"/>
    </row>
    <row r="338" spans="1:65" ht="150" x14ac:dyDescent="0.25">
      <c r="A338" s="160"/>
      <c r="B338" s="154"/>
      <c r="C338" s="19"/>
      <c r="D338" s="80"/>
      <c r="E338" s="19"/>
      <c r="F338" s="32"/>
      <c r="G338" s="32"/>
      <c r="H338" s="20"/>
      <c r="I338" s="20"/>
      <c r="J338" s="20"/>
      <c r="K338" s="45"/>
      <c r="L338" s="143"/>
      <c r="M338" s="27"/>
      <c r="N338" s="27"/>
      <c r="O338" s="78"/>
      <c r="P338" s="27"/>
      <c r="Q338" s="27"/>
      <c r="R338" s="27"/>
      <c r="S338" s="27"/>
      <c r="T338" s="32"/>
      <c r="U338" s="148"/>
      <c r="V338" s="148"/>
      <c r="W338" s="32"/>
      <c r="X338" s="33" t="s">
        <v>365</v>
      </c>
      <c r="Y338" s="22" t="s">
        <v>136</v>
      </c>
      <c r="Z338" s="35">
        <v>43256</v>
      </c>
      <c r="AA338" s="34">
        <v>12320</v>
      </c>
      <c r="AB338" s="33" t="s">
        <v>1594</v>
      </c>
      <c r="AC338" s="22"/>
      <c r="AD338" s="22"/>
      <c r="AE338" s="22"/>
      <c r="AF338" s="22"/>
      <c r="AG338" s="25">
        <v>4953.51</v>
      </c>
      <c r="AH338" s="25">
        <v>2028.92</v>
      </c>
      <c r="AI338" s="25"/>
      <c r="AJ338" s="25"/>
      <c r="AK338" s="25"/>
      <c r="AL338" s="38"/>
      <c r="AM338" s="38"/>
      <c r="AN338" s="38"/>
      <c r="AO338" s="38"/>
      <c r="AP338" s="37"/>
      <c r="AQ338" s="22"/>
      <c r="AR338" s="22"/>
      <c r="AS338" s="22"/>
      <c r="AT338" s="22"/>
      <c r="AU338" s="26"/>
      <c r="AV338" s="26"/>
      <c r="AW338" s="26"/>
      <c r="AX338" s="26"/>
      <c r="AY338" s="26"/>
      <c r="AZ338" s="26"/>
      <c r="BA338" s="26"/>
      <c r="BB338" s="14"/>
      <c r="BC338" s="27"/>
      <c r="BD338" s="63"/>
      <c r="BE338" s="35"/>
      <c r="BF338" s="63"/>
      <c r="BG338" s="26"/>
      <c r="BH338" s="26"/>
      <c r="BI338" s="14"/>
      <c r="BJ338" s="14"/>
      <c r="BK338" s="26"/>
      <c r="BL338" s="26"/>
      <c r="BM338" s="26"/>
    </row>
    <row r="339" spans="1:65" ht="90" x14ac:dyDescent="0.25">
      <c r="A339" s="160"/>
      <c r="B339" s="154"/>
      <c r="C339" s="19"/>
      <c r="D339" s="80"/>
      <c r="E339" s="19"/>
      <c r="F339" s="32"/>
      <c r="G339" s="32"/>
      <c r="H339" s="19"/>
      <c r="I339" s="19"/>
      <c r="J339" s="19"/>
      <c r="K339" s="19"/>
      <c r="L339" s="143"/>
      <c r="M339" s="27"/>
      <c r="N339" s="27"/>
      <c r="O339" s="78"/>
      <c r="P339" s="27"/>
      <c r="Q339" s="27"/>
      <c r="R339" s="27"/>
      <c r="S339" s="27"/>
      <c r="T339" s="32"/>
      <c r="U339" s="148"/>
      <c r="V339" s="148"/>
      <c r="W339" s="32"/>
      <c r="X339" s="33" t="s">
        <v>861</v>
      </c>
      <c r="Y339" s="22" t="s">
        <v>140</v>
      </c>
      <c r="Z339" s="35">
        <v>43287</v>
      </c>
      <c r="AA339" s="34">
        <v>12355</v>
      </c>
      <c r="AB339" s="33" t="s">
        <v>1689</v>
      </c>
      <c r="AC339" s="35">
        <v>43303</v>
      </c>
      <c r="AD339" s="35">
        <v>43483</v>
      </c>
      <c r="AE339" s="22"/>
      <c r="AF339" s="22"/>
      <c r="AG339" s="25"/>
      <c r="AH339" s="25"/>
      <c r="AI339" s="25"/>
      <c r="AJ339" s="25"/>
      <c r="AK339" s="25"/>
      <c r="AL339" s="38"/>
      <c r="AM339" s="38"/>
      <c r="AN339" s="38"/>
      <c r="AO339" s="38"/>
      <c r="AP339" s="22"/>
      <c r="AQ339" s="22"/>
      <c r="AR339" s="22"/>
      <c r="AS339" s="22"/>
      <c r="AT339" s="22"/>
      <c r="AU339" s="26"/>
      <c r="AV339" s="26"/>
      <c r="AW339" s="26"/>
      <c r="AX339" s="26"/>
      <c r="AY339" s="26"/>
      <c r="AZ339" s="26"/>
      <c r="BA339" s="26"/>
      <c r="BB339" s="14"/>
      <c r="BC339" s="27"/>
      <c r="BD339" s="35">
        <v>43289</v>
      </c>
      <c r="BE339" s="35">
        <v>43439</v>
      </c>
      <c r="BF339" s="63"/>
      <c r="BG339" s="26"/>
      <c r="BH339" s="26"/>
      <c r="BI339" s="14"/>
      <c r="BJ339" s="14"/>
      <c r="BK339" s="26"/>
      <c r="BL339" s="26"/>
      <c r="BM339" s="26"/>
    </row>
    <row r="340" spans="1:65" ht="135" x14ac:dyDescent="0.25">
      <c r="A340" s="160"/>
      <c r="B340" s="154"/>
      <c r="C340" s="19"/>
      <c r="D340" s="27"/>
      <c r="E340" s="19"/>
      <c r="F340" s="32"/>
      <c r="G340" s="32"/>
      <c r="H340" s="19"/>
      <c r="I340" s="19"/>
      <c r="J340" s="19"/>
      <c r="K340" s="19"/>
      <c r="L340" s="143"/>
      <c r="M340" s="27"/>
      <c r="N340" s="27"/>
      <c r="O340" s="78"/>
      <c r="P340" s="27"/>
      <c r="Q340" s="27"/>
      <c r="R340" s="27"/>
      <c r="S340" s="27"/>
      <c r="T340" s="32"/>
      <c r="U340" s="148"/>
      <c r="V340" s="148"/>
      <c r="W340" s="32"/>
      <c r="X340" s="33" t="s">
        <v>365</v>
      </c>
      <c r="Y340" s="22" t="s">
        <v>185</v>
      </c>
      <c r="Z340" s="35">
        <v>43389</v>
      </c>
      <c r="AA340" s="34">
        <v>12420</v>
      </c>
      <c r="AB340" s="33" t="s">
        <v>1890</v>
      </c>
      <c r="AC340" s="35"/>
      <c r="AD340" s="35"/>
      <c r="AE340" s="22"/>
      <c r="AF340" s="22"/>
      <c r="AG340" s="25">
        <v>13501.66</v>
      </c>
      <c r="AH340" s="25"/>
      <c r="AI340" s="25"/>
      <c r="AJ340" s="25"/>
      <c r="AK340" s="25"/>
      <c r="AL340" s="38"/>
      <c r="AM340" s="38"/>
      <c r="AN340" s="38"/>
      <c r="AO340" s="38"/>
      <c r="AP340" s="22"/>
      <c r="AQ340" s="22"/>
      <c r="AR340" s="22"/>
      <c r="AS340" s="22"/>
      <c r="AT340" s="22"/>
      <c r="AU340" s="26"/>
      <c r="AV340" s="26"/>
      <c r="AW340" s="26"/>
      <c r="AX340" s="26"/>
      <c r="AY340" s="26"/>
      <c r="AZ340" s="26"/>
      <c r="BA340" s="26"/>
      <c r="BB340" s="14"/>
      <c r="BC340" s="27"/>
      <c r="BD340" s="35"/>
      <c r="BE340" s="35"/>
      <c r="BF340" s="63"/>
      <c r="BG340" s="26"/>
      <c r="BH340" s="26"/>
      <c r="BI340" s="14"/>
      <c r="BJ340" s="14"/>
      <c r="BK340" s="26"/>
      <c r="BL340" s="26"/>
      <c r="BM340" s="26"/>
    </row>
    <row r="341" spans="1:65" ht="45" x14ac:dyDescent="0.25">
      <c r="A341" s="163">
        <v>103</v>
      </c>
      <c r="B341" s="155" t="s">
        <v>994</v>
      </c>
      <c r="C341" s="22" t="s">
        <v>761</v>
      </c>
      <c r="D341" s="81" t="s">
        <v>128</v>
      </c>
      <c r="E341" s="22" t="s">
        <v>124</v>
      </c>
      <c r="F341" s="33" t="s">
        <v>995</v>
      </c>
      <c r="G341" s="33" t="s">
        <v>1006</v>
      </c>
      <c r="H341" s="23" t="s">
        <v>703</v>
      </c>
      <c r="I341" s="35">
        <v>42921</v>
      </c>
      <c r="J341" s="35">
        <v>43286</v>
      </c>
      <c r="K341" s="24" t="s">
        <v>1208</v>
      </c>
      <c r="L341" s="140" t="s">
        <v>996</v>
      </c>
      <c r="M341" s="43" t="s">
        <v>997</v>
      </c>
      <c r="N341" s="61">
        <v>43125</v>
      </c>
      <c r="O341" s="77">
        <v>5700</v>
      </c>
      <c r="P341" s="76">
        <v>12230</v>
      </c>
      <c r="Q341" s="61">
        <v>43125</v>
      </c>
      <c r="R341" s="61">
        <v>43465</v>
      </c>
      <c r="S341" s="43" t="s">
        <v>1196</v>
      </c>
      <c r="T341" s="22"/>
      <c r="U341" s="25"/>
      <c r="V341" s="25"/>
      <c r="W341" s="33" t="s">
        <v>787</v>
      </c>
      <c r="X341" s="33"/>
      <c r="Y341" s="22"/>
      <c r="Z341" s="22"/>
      <c r="AA341" s="22"/>
      <c r="AB341" s="33"/>
      <c r="AC341" s="22"/>
      <c r="AD341" s="22"/>
      <c r="AE341" s="22"/>
      <c r="AF341" s="22"/>
      <c r="AG341" s="25"/>
      <c r="AH341" s="25"/>
      <c r="AI341" s="25"/>
      <c r="AJ341" s="25"/>
      <c r="AK341" s="25"/>
      <c r="AL341" s="74">
        <f>O341-AH341+AG341</f>
        <v>5700</v>
      </c>
      <c r="AM341" s="25"/>
      <c r="AN341" s="25">
        <f>5700</f>
        <v>5700</v>
      </c>
      <c r="AO341" s="77">
        <f t="shared" si="2"/>
        <v>5700</v>
      </c>
      <c r="AP341" s="22"/>
      <c r="AQ341" s="22"/>
      <c r="AR341" s="22"/>
      <c r="AS341" s="22"/>
      <c r="AT341" s="22"/>
      <c r="AU341" s="26"/>
      <c r="AV341" s="26"/>
      <c r="AW341" s="26"/>
      <c r="AX341" s="26"/>
      <c r="AY341" s="26"/>
      <c r="AZ341" s="26"/>
      <c r="BA341" s="26"/>
      <c r="BB341" s="26"/>
      <c r="BC341" s="60"/>
      <c r="BD341" s="26"/>
      <c r="BE341" s="26"/>
      <c r="BF341" s="26"/>
      <c r="BG341" s="26"/>
      <c r="BH341" s="26"/>
      <c r="BI341" s="26"/>
      <c r="BJ341" s="26"/>
      <c r="BK341" s="26"/>
      <c r="BL341" s="26"/>
      <c r="BM341" s="26"/>
    </row>
    <row r="342" spans="1:65" ht="45" x14ac:dyDescent="0.25">
      <c r="A342" s="163">
        <v>104</v>
      </c>
      <c r="B342" s="155" t="s">
        <v>1141</v>
      </c>
      <c r="C342" s="22" t="s">
        <v>782</v>
      </c>
      <c r="D342" s="81" t="s">
        <v>128</v>
      </c>
      <c r="E342" s="22" t="s">
        <v>124</v>
      </c>
      <c r="F342" s="33" t="s">
        <v>1142</v>
      </c>
      <c r="G342" s="33" t="s">
        <v>1143</v>
      </c>
      <c r="H342" s="23" t="s">
        <v>773</v>
      </c>
      <c r="I342" s="35">
        <v>43031</v>
      </c>
      <c r="J342" s="35">
        <v>43396</v>
      </c>
      <c r="K342" s="24" t="s">
        <v>1209</v>
      </c>
      <c r="L342" s="140" t="s">
        <v>360</v>
      </c>
      <c r="M342" s="43" t="s">
        <v>229</v>
      </c>
      <c r="N342" s="61">
        <v>43125</v>
      </c>
      <c r="O342" s="77">
        <v>762636.52</v>
      </c>
      <c r="P342" s="76">
        <v>12229</v>
      </c>
      <c r="Q342" s="61">
        <v>43125</v>
      </c>
      <c r="R342" s="61">
        <v>43465</v>
      </c>
      <c r="S342" s="43" t="s">
        <v>1196</v>
      </c>
      <c r="T342" s="22"/>
      <c r="U342" s="25"/>
      <c r="V342" s="25"/>
      <c r="W342" s="33" t="s">
        <v>787</v>
      </c>
      <c r="X342" s="33"/>
      <c r="Y342" s="22"/>
      <c r="Z342" s="22"/>
      <c r="AA342" s="22"/>
      <c r="AB342" s="33"/>
      <c r="AC342" s="22"/>
      <c r="AD342" s="22"/>
      <c r="AE342" s="22"/>
      <c r="AF342" s="22"/>
      <c r="AG342" s="25"/>
      <c r="AH342" s="25"/>
      <c r="AI342" s="25"/>
      <c r="AJ342" s="25"/>
      <c r="AK342" s="25"/>
      <c r="AL342" s="74">
        <f t="shared" si="1"/>
        <v>762636.52</v>
      </c>
      <c r="AM342" s="25"/>
      <c r="AN342" s="25">
        <f>239427.66+250259.84+272949.02</f>
        <v>762636.52</v>
      </c>
      <c r="AO342" s="77">
        <f t="shared" si="2"/>
        <v>762636.52</v>
      </c>
      <c r="AP342" s="22"/>
      <c r="AQ342" s="22"/>
      <c r="AR342" s="22"/>
      <c r="AS342" s="22"/>
      <c r="AT342" s="22"/>
      <c r="AU342" s="26"/>
      <c r="AV342" s="26"/>
      <c r="AW342" s="26"/>
      <c r="AX342" s="26"/>
      <c r="AY342" s="26"/>
      <c r="AZ342" s="26"/>
      <c r="BA342" s="26"/>
      <c r="BB342" s="26"/>
      <c r="BC342" s="60"/>
      <c r="BD342" s="26"/>
      <c r="BE342" s="26"/>
      <c r="BF342" s="26"/>
      <c r="BG342" s="26"/>
      <c r="BH342" s="26"/>
      <c r="BI342" s="26"/>
      <c r="BJ342" s="26"/>
      <c r="BK342" s="26"/>
      <c r="BL342" s="26"/>
      <c r="BM342" s="26"/>
    </row>
    <row r="343" spans="1:65" ht="45" x14ac:dyDescent="0.25">
      <c r="A343" s="163">
        <v>105</v>
      </c>
      <c r="B343" s="155" t="s">
        <v>965</v>
      </c>
      <c r="C343" s="22" t="s">
        <v>709</v>
      </c>
      <c r="D343" s="81" t="s">
        <v>128</v>
      </c>
      <c r="E343" s="22" t="s">
        <v>124</v>
      </c>
      <c r="F343" s="33" t="s">
        <v>966</v>
      </c>
      <c r="G343" s="33" t="s">
        <v>972</v>
      </c>
      <c r="H343" s="23" t="s">
        <v>700</v>
      </c>
      <c r="I343" s="35">
        <v>42898</v>
      </c>
      <c r="J343" s="35">
        <v>43263</v>
      </c>
      <c r="K343" s="24" t="s">
        <v>1210</v>
      </c>
      <c r="L343" s="140" t="s">
        <v>360</v>
      </c>
      <c r="M343" s="43" t="s">
        <v>229</v>
      </c>
      <c r="N343" s="61">
        <v>43125</v>
      </c>
      <c r="O343" s="77">
        <v>153000</v>
      </c>
      <c r="P343" s="76">
        <v>12229</v>
      </c>
      <c r="Q343" s="61">
        <v>43125</v>
      </c>
      <c r="R343" s="61">
        <v>43465</v>
      </c>
      <c r="S343" s="43" t="s">
        <v>1196</v>
      </c>
      <c r="T343" s="22"/>
      <c r="U343" s="25"/>
      <c r="V343" s="25"/>
      <c r="W343" s="33" t="s">
        <v>787</v>
      </c>
      <c r="X343" s="33"/>
      <c r="Y343" s="22"/>
      <c r="Z343" s="22"/>
      <c r="AA343" s="22"/>
      <c r="AB343" s="33"/>
      <c r="AC343" s="22"/>
      <c r="AD343" s="22"/>
      <c r="AE343" s="22"/>
      <c r="AF343" s="22"/>
      <c r="AG343" s="25"/>
      <c r="AH343" s="25"/>
      <c r="AI343" s="25"/>
      <c r="AJ343" s="25"/>
      <c r="AK343" s="25"/>
      <c r="AL343" s="74">
        <f t="shared" si="1"/>
        <v>153000</v>
      </c>
      <c r="AM343" s="25"/>
      <c r="AN343" s="25">
        <f>76500+76500</f>
        <v>153000</v>
      </c>
      <c r="AO343" s="77">
        <f t="shared" si="2"/>
        <v>153000</v>
      </c>
      <c r="AP343" s="22"/>
      <c r="AQ343" s="22"/>
      <c r="AR343" s="22"/>
      <c r="AS343" s="22"/>
      <c r="AT343" s="22"/>
      <c r="AU343" s="26"/>
      <c r="AV343" s="26"/>
      <c r="AW343" s="26"/>
      <c r="AX343" s="26"/>
      <c r="AY343" s="26"/>
      <c r="AZ343" s="26"/>
      <c r="BA343" s="26"/>
      <c r="BB343" s="26"/>
      <c r="BC343" s="60"/>
      <c r="BD343" s="26"/>
      <c r="BE343" s="26"/>
      <c r="BF343" s="26"/>
      <c r="BG343" s="26"/>
      <c r="BH343" s="26"/>
      <c r="BI343" s="26"/>
      <c r="BJ343" s="26"/>
      <c r="BK343" s="26"/>
      <c r="BL343" s="26"/>
      <c r="BM343" s="26"/>
    </row>
    <row r="344" spans="1:65" ht="60" x14ac:dyDescent="0.25">
      <c r="A344" s="163">
        <v>106</v>
      </c>
      <c r="B344" s="155" t="s">
        <v>1221</v>
      </c>
      <c r="C344" s="22" t="s">
        <v>778</v>
      </c>
      <c r="D344" s="81" t="s">
        <v>128</v>
      </c>
      <c r="E344" s="22" t="s">
        <v>124</v>
      </c>
      <c r="F344" s="33" t="s">
        <v>1222</v>
      </c>
      <c r="G344" s="33" t="s">
        <v>1226</v>
      </c>
      <c r="H344" s="23" t="s">
        <v>778</v>
      </c>
      <c r="I344" s="35">
        <v>43047</v>
      </c>
      <c r="J344" s="35">
        <v>43412</v>
      </c>
      <c r="K344" s="24" t="s">
        <v>1211</v>
      </c>
      <c r="L344" s="140" t="s">
        <v>360</v>
      </c>
      <c r="M344" s="43" t="s">
        <v>229</v>
      </c>
      <c r="N344" s="61">
        <v>43125</v>
      </c>
      <c r="O344" s="77">
        <v>107923.08</v>
      </c>
      <c r="P344" s="76">
        <v>12229</v>
      </c>
      <c r="Q344" s="61">
        <v>43125</v>
      </c>
      <c r="R344" s="61">
        <v>43465</v>
      </c>
      <c r="S344" s="43" t="s">
        <v>1196</v>
      </c>
      <c r="T344" s="22"/>
      <c r="U344" s="25"/>
      <c r="V344" s="25"/>
      <c r="W344" s="33" t="s">
        <v>787</v>
      </c>
      <c r="X344" s="33"/>
      <c r="Y344" s="22"/>
      <c r="Z344" s="22"/>
      <c r="AA344" s="22"/>
      <c r="AB344" s="33"/>
      <c r="AC344" s="22"/>
      <c r="AD344" s="22"/>
      <c r="AE344" s="22"/>
      <c r="AF344" s="22"/>
      <c r="AG344" s="25"/>
      <c r="AH344" s="25"/>
      <c r="AI344" s="25"/>
      <c r="AJ344" s="25"/>
      <c r="AK344" s="25"/>
      <c r="AL344" s="74">
        <f t="shared" si="1"/>
        <v>107923.08</v>
      </c>
      <c r="AM344" s="25"/>
      <c r="AN344" s="25">
        <f>85823.08+22100</f>
        <v>107923.08</v>
      </c>
      <c r="AO344" s="77">
        <f t="shared" si="2"/>
        <v>107923.08</v>
      </c>
      <c r="AP344" s="22"/>
      <c r="AQ344" s="22"/>
      <c r="AR344" s="22"/>
      <c r="AS344" s="22"/>
      <c r="AT344" s="22"/>
      <c r="AU344" s="26"/>
      <c r="AV344" s="26"/>
      <c r="AW344" s="26"/>
      <c r="AX344" s="26"/>
      <c r="AY344" s="26"/>
      <c r="AZ344" s="26"/>
      <c r="BA344" s="26"/>
      <c r="BB344" s="26"/>
      <c r="BC344" s="60"/>
      <c r="BD344" s="26"/>
      <c r="BE344" s="26"/>
      <c r="BF344" s="26"/>
      <c r="BG344" s="26"/>
      <c r="BH344" s="26"/>
      <c r="BI344" s="26"/>
      <c r="BJ344" s="26"/>
      <c r="BK344" s="26"/>
      <c r="BL344" s="26"/>
      <c r="BM344" s="26"/>
    </row>
    <row r="345" spans="1:65" ht="45" x14ac:dyDescent="0.25">
      <c r="A345" s="163">
        <v>107</v>
      </c>
      <c r="B345" s="155" t="s">
        <v>1052</v>
      </c>
      <c r="C345" s="22" t="s">
        <v>766</v>
      </c>
      <c r="D345" s="81" t="s">
        <v>128</v>
      </c>
      <c r="E345" s="22" t="s">
        <v>124</v>
      </c>
      <c r="F345" s="33" t="s">
        <v>1053</v>
      </c>
      <c r="G345" s="33" t="s">
        <v>1064</v>
      </c>
      <c r="H345" s="23" t="s">
        <v>709</v>
      </c>
      <c r="I345" s="35">
        <v>42984</v>
      </c>
      <c r="J345" s="35">
        <v>43349</v>
      </c>
      <c r="K345" s="24" t="s">
        <v>1212</v>
      </c>
      <c r="L345" s="140" t="s">
        <v>238</v>
      </c>
      <c r="M345" s="43" t="s">
        <v>239</v>
      </c>
      <c r="N345" s="61">
        <v>43125</v>
      </c>
      <c r="O345" s="77">
        <v>25000</v>
      </c>
      <c r="P345" s="76">
        <v>12230</v>
      </c>
      <c r="Q345" s="61">
        <v>43125</v>
      </c>
      <c r="R345" s="61">
        <v>43465</v>
      </c>
      <c r="S345" s="43" t="s">
        <v>1196</v>
      </c>
      <c r="T345" s="22"/>
      <c r="U345" s="25"/>
      <c r="V345" s="25"/>
      <c r="W345" s="33" t="s">
        <v>787</v>
      </c>
      <c r="X345" s="33"/>
      <c r="Y345" s="22"/>
      <c r="Z345" s="22"/>
      <c r="AA345" s="22"/>
      <c r="AB345" s="33"/>
      <c r="AC345" s="22"/>
      <c r="AD345" s="22"/>
      <c r="AE345" s="22"/>
      <c r="AF345" s="22"/>
      <c r="AG345" s="25"/>
      <c r="AH345" s="25"/>
      <c r="AI345" s="25"/>
      <c r="AJ345" s="25"/>
      <c r="AK345" s="25"/>
      <c r="AL345" s="74">
        <f t="shared" si="1"/>
        <v>25000</v>
      </c>
      <c r="AM345" s="25"/>
      <c r="AN345" s="25">
        <f>25000</f>
        <v>25000</v>
      </c>
      <c r="AO345" s="77">
        <f t="shared" si="2"/>
        <v>25000</v>
      </c>
      <c r="AP345" s="22"/>
      <c r="AQ345" s="22"/>
      <c r="AR345" s="22"/>
      <c r="AS345" s="22"/>
      <c r="AT345" s="22"/>
      <c r="AU345" s="26"/>
      <c r="AV345" s="26"/>
      <c r="AW345" s="26"/>
      <c r="AX345" s="26"/>
      <c r="AY345" s="26"/>
      <c r="AZ345" s="26"/>
      <c r="BA345" s="26"/>
      <c r="BB345" s="26"/>
      <c r="BC345" s="60"/>
      <c r="BD345" s="26"/>
      <c r="BE345" s="26"/>
      <c r="BF345" s="26"/>
      <c r="BG345" s="26"/>
      <c r="BH345" s="26"/>
      <c r="BI345" s="26"/>
      <c r="BJ345" s="26"/>
      <c r="BK345" s="26"/>
      <c r="BL345" s="26"/>
      <c r="BM345" s="26"/>
    </row>
    <row r="346" spans="1:65" ht="45" x14ac:dyDescent="0.25">
      <c r="A346" s="163">
        <v>108</v>
      </c>
      <c r="B346" s="155" t="s">
        <v>1223</v>
      </c>
      <c r="C346" s="22" t="s">
        <v>770</v>
      </c>
      <c r="D346" s="81" t="s">
        <v>128</v>
      </c>
      <c r="E346" s="22" t="s">
        <v>124</v>
      </c>
      <c r="F346" s="33" t="s">
        <v>1224</v>
      </c>
      <c r="G346" s="33" t="s">
        <v>1225</v>
      </c>
      <c r="H346" s="23" t="s">
        <v>710</v>
      </c>
      <c r="I346" s="35">
        <v>42990</v>
      </c>
      <c r="J346" s="35">
        <v>43355</v>
      </c>
      <c r="K346" s="24" t="s">
        <v>1213</v>
      </c>
      <c r="L346" s="140" t="s">
        <v>360</v>
      </c>
      <c r="M346" s="43" t="s">
        <v>229</v>
      </c>
      <c r="N346" s="61">
        <v>43125</v>
      </c>
      <c r="O346" s="77">
        <v>31876.560000000001</v>
      </c>
      <c r="P346" s="76">
        <v>12230</v>
      </c>
      <c r="Q346" s="61">
        <v>43125</v>
      </c>
      <c r="R346" s="61">
        <v>43465</v>
      </c>
      <c r="S346" s="43" t="s">
        <v>1196</v>
      </c>
      <c r="T346" s="22"/>
      <c r="U346" s="25"/>
      <c r="V346" s="25"/>
      <c r="W346" s="33" t="s">
        <v>787</v>
      </c>
      <c r="X346" s="33"/>
      <c r="Y346" s="22"/>
      <c r="Z346" s="22"/>
      <c r="AA346" s="22"/>
      <c r="AB346" s="33"/>
      <c r="AC346" s="22"/>
      <c r="AD346" s="22"/>
      <c r="AE346" s="22"/>
      <c r="AF346" s="22"/>
      <c r="AG346" s="25"/>
      <c r="AH346" s="25"/>
      <c r="AI346" s="25"/>
      <c r="AJ346" s="25"/>
      <c r="AK346" s="25"/>
      <c r="AL346" s="74">
        <f t="shared" si="1"/>
        <v>31876.560000000001</v>
      </c>
      <c r="AM346" s="25"/>
      <c r="AN346" s="25">
        <f>798.96+30384</f>
        <v>31182.959999999999</v>
      </c>
      <c r="AO346" s="77">
        <f t="shared" si="2"/>
        <v>31182.959999999999</v>
      </c>
      <c r="AP346" s="37"/>
      <c r="AQ346" s="22"/>
      <c r="AR346" s="22"/>
      <c r="AS346" s="22"/>
      <c r="AT346" s="22"/>
      <c r="AU346" s="26"/>
      <c r="AV346" s="26"/>
      <c r="AW346" s="26"/>
      <c r="AX346" s="26"/>
      <c r="AY346" s="26"/>
      <c r="AZ346" s="26"/>
      <c r="BA346" s="26"/>
      <c r="BB346" s="26"/>
      <c r="BC346" s="60"/>
      <c r="BD346" s="26"/>
      <c r="BE346" s="26"/>
      <c r="BF346" s="26"/>
      <c r="BG346" s="26"/>
      <c r="BH346" s="26"/>
      <c r="BI346" s="26"/>
      <c r="BJ346" s="26"/>
      <c r="BK346" s="26"/>
      <c r="BL346" s="26"/>
      <c r="BM346" s="26"/>
    </row>
    <row r="347" spans="1:65" ht="45" x14ac:dyDescent="0.25">
      <c r="A347" s="163">
        <v>109</v>
      </c>
      <c r="B347" s="155" t="s">
        <v>1223</v>
      </c>
      <c r="C347" s="22" t="s">
        <v>770</v>
      </c>
      <c r="D347" s="81" t="s">
        <v>128</v>
      </c>
      <c r="E347" s="22" t="s">
        <v>124</v>
      </c>
      <c r="F347" s="33" t="s">
        <v>1224</v>
      </c>
      <c r="G347" s="33" t="s">
        <v>1225</v>
      </c>
      <c r="H347" s="23" t="s">
        <v>710</v>
      </c>
      <c r="I347" s="35">
        <v>42990</v>
      </c>
      <c r="J347" s="35">
        <v>43355</v>
      </c>
      <c r="K347" s="24" t="s">
        <v>1214</v>
      </c>
      <c r="L347" s="140" t="s">
        <v>238</v>
      </c>
      <c r="M347" s="43" t="s">
        <v>239</v>
      </c>
      <c r="N347" s="61">
        <v>43125</v>
      </c>
      <c r="O347" s="77">
        <v>5366</v>
      </c>
      <c r="P347" s="76">
        <v>12230</v>
      </c>
      <c r="Q347" s="61">
        <v>43125</v>
      </c>
      <c r="R347" s="61">
        <v>43465</v>
      </c>
      <c r="S347" s="43" t="s">
        <v>1196</v>
      </c>
      <c r="T347" s="22"/>
      <c r="U347" s="25"/>
      <c r="V347" s="25"/>
      <c r="W347" s="33" t="s">
        <v>787</v>
      </c>
      <c r="X347" s="33"/>
      <c r="Y347" s="22"/>
      <c r="Z347" s="22"/>
      <c r="AA347" s="22"/>
      <c r="AB347" s="33"/>
      <c r="AC347" s="22"/>
      <c r="AD347" s="22"/>
      <c r="AE347" s="22"/>
      <c r="AF347" s="22"/>
      <c r="AG347" s="25"/>
      <c r="AH347" s="25"/>
      <c r="AI347" s="25"/>
      <c r="AJ347" s="25"/>
      <c r="AK347" s="25"/>
      <c r="AL347" s="74">
        <f t="shared" si="1"/>
        <v>5366</v>
      </c>
      <c r="AM347" s="25"/>
      <c r="AN347" s="25">
        <f>3719+1647</f>
        <v>5366</v>
      </c>
      <c r="AO347" s="77">
        <f t="shared" si="2"/>
        <v>5366</v>
      </c>
      <c r="AP347" s="22"/>
      <c r="AQ347" s="22"/>
      <c r="AR347" s="22"/>
      <c r="AS347" s="22"/>
      <c r="AT347" s="22"/>
      <c r="AU347" s="26"/>
      <c r="AV347" s="26"/>
      <c r="AW347" s="26"/>
      <c r="AX347" s="26"/>
      <c r="AY347" s="26"/>
      <c r="AZ347" s="26"/>
      <c r="BA347" s="26"/>
      <c r="BB347" s="26"/>
      <c r="BC347" s="60"/>
      <c r="BD347" s="26"/>
      <c r="BE347" s="26"/>
      <c r="BF347" s="26"/>
      <c r="BG347" s="26"/>
      <c r="BH347" s="26"/>
      <c r="BI347" s="26"/>
      <c r="BJ347" s="26"/>
      <c r="BK347" s="26"/>
      <c r="BL347" s="26"/>
      <c r="BM347" s="26"/>
    </row>
    <row r="348" spans="1:65" ht="45" x14ac:dyDescent="0.25">
      <c r="A348" s="163">
        <v>110</v>
      </c>
      <c r="B348" s="155" t="s">
        <v>994</v>
      </c>
      <c r="C348" s="22" t="s">
        <v>761</v>
      </c>
      <c r="D348" s="81" t="s">
        <v>128</v>
      </c>
      <c r="E348" s="22" t="s">
        <v>124</v>
      </c>
      <c r="F348" s="33" t="s">
        <v>995</v>
      </c>
      <c r="G348" s="33" t="s">
        <v>1006</v>
      </c>
      <c r="H348" s="23" t="s">
        <v>703</v>
      </c>
      <c r="I348" s="35">
        <v>42921</v>
      </c>
      <c r="J348" s="35">
        <v>43286</v>
      </c>
      <c r="K348" s="24" t="s">
        <v>1231</v>
      </c>
      <c r="L348" s="140" t="s">
        <v>1232</v>
      </c>
      <c r="M348" s="43" t="s">
        <v>1233</v>
      </c>
      <c r="N348" s="61">
        <v>43130</v>
      </c>
      <c r="O348" s="77">
        <v>59800</v>
      </c>
      <c r="P348" s="76">
        <v>12235</v>
      </c>
      <c r="Q348" s="61">
        <v>43130</v>
      </c>
      <c r="R348" s="61">
        <v>43465</v>
      </c>
      <c r="S348" s="43" t="s">
        <v>1196</v>
      </c>
      <c r="T348" s="22"/>
      <c r="U348" s="25"/>
      <c r="V348" s="25"/>
      <c r="W348" s="33" t="s">
        <v>787</v>
      </c>
      <c r="X348" s="33"/>
      <c r="Y348" s="22"/>
      <c r="Z348" s="22"/>
      <c r="AA348" s="22"/>
      <c r="AB348" s="33"/>
      <c r="AC348" s="22"/>
      <c r="AD348" s="22"/>
      <c r="AE348" s="22"/>
      <c r="AF348" s="22"/>
      <c r="AG348" s="25"/>
      <c r="AH348" s="25"/>
      <c r="AI348" s="25"/>
      <c r="AJ348" s="25"/>
      <c r="AK348" s="25"/>
      <c r="AL348" s="74">
        <f>O348-AH348+AG348</f>
        <v>59800</v>
      </c>
      <c r="AM348" s="25"/>
      <c r="AN348" s="25">
        <f>59800</f>
        <v>59800</v>
      </c>
      <c r="AO348" s="77">
        <f t="shared" si="2"/>
        <v>59800</v>
      </c>
      <c r="AP348" s="22"/>
      <c r="AQ348" s="22"/>
      <c r="AR348" s="22"/>
      <c r="AS348" s="22"/>
      <c r="AT348" s="22"/>
      <c r="AU348" s="26"/>
      <c r="AV348" s="26"/>
      <c r="AW348" s="26"/>
      <c r="AX348" s="26"/>
      <c r="AY348" s="26"/>
      <c r="AZ348" s="26"/>
      <c r="BA348" s="26"/>
      <c r="BB348" s="26"/>
      <c r="BC348" s="60"/>
      <c r="BD348" s="26"/>
      <c r="BE348" s="26"/>
      <c r="BF348" s="26"/>
      <c r="BG348" s="26"/>
      <c r="BH348" s="26"/>
      <c r="BI348" s="26"/>
      <c r="BJ348" s="26"/>
      <c r="BK348" s="26"/>
      <c r="BL348" s="26"/>
      <c r="BM348" s="26"/>
    </row>
    <row r="349" spans="1:65" ht="45" x14ac:dyDescent="0.25">
      <c r="A349" s="163">
        <v>111</v>
      </c>
      <c r="B349" s="155" t="s">
        <v>994</v>
      </c>
      <c r="C349" s="22" t="s">
        <v>761</v>
      </c>
      <c r="D349" s="81" t="s">
        <v>128</v>
      </c>
      <c r="E349" s="22" t="s">
        <v>124</v>
      </c>
      <c r="F349" s="33" t="s">
        <v>995</v>
      </c>
      <c r="G349" s="33" t="s">
        <v>1006</v>
      </c>
      <c r="H349" s="23" t="s">
        <v>703</v>
      </c>
      <c r="I349" s="35">
        <v>42921</v>
      </c>
      <c r="J349" s="35">
        <v>43286</v>
      </c>
      <c r="K349" s="24" t="s">
        <v>1234</v>
      </c>
      <c r="L349" s="140" t="s">
        <v>996</v>
      </c>
      <c r="M349" s="43" t="s">
        <v>997</v>
      </c>
      <c r="N349" s="61">
        <v>43137</v>
      </c>
      <c r="O349" s="77">
        <v>5635</v>
      </c>
      <c r="P349" s="76">
        <v>12237</v>
      </c>
      <c r="Q349" s="61">
        <v>43137</v>
      </c>
      <c r="R349" s="61">
        <v>43465</v>
      </c>
      <c r="S349" s="43" t="s">
        <v>1196</v>
      </c>
      <c r="T349" s="22"/>
      <c r="U349" s="25"/>
      <c r="V349" s="25"/>
      <c r="W349" s="33" t="s">
        <v>787</v>
      </c>
      <c r="X349" s="33"/>
      <c r="Y349" s="22"/>
      <c r="Z349" s="22"/>
      <c r="AA349" s="22"/>
      <c r="AB349" s="33"/>
      <c r="AC349" s="22"/>
      <c r="AD349" s="22"/>
      <c r="AE349" s="22"/>
      <c r="AF349" s="22"/>
      <c r="AG349" s="25"/>
      <c r="AH349" s="25"/>
      <c r="AI349" s="25"/>
      <c r="AJ349" s="25"/>
      <c r="AK349" s="25"/>
      <c r="AL349" s="74">
        <f t="shared" si="1"/>
        <v>5635</v>
      </c>
      <c r="AM349" s="25"/>
      <c r="AN349" s="25">
        <f>5635</f>
        <v>5635</v>
      </c>
      <c r="AO349" s="77">
        <f t="shared" si="2"/>
        <v>5635</v>
      </c>
      <c r="AP349" s="22"/>
      <c r="AQ349" s="22"/>
      <c r="AR349" s="22"/>
      <c r="AS349" s="22"/>
      <c r="AT349" s="22"/>
      <c r="AU349" s="26"/>
      <c r="AV349" s="26"/>
      <c r="AW349" s="26"/>
      <c r="AX349" s="26"/>
      <c r="AY349" s="26"/>
      <c r="AZ349" s="26"/>
      <c r="BA349" s="26"/>
      <c r="BB349" s="26"/>
      <c r="BC349" s="60"/>
      <c r="BD349" s="26"/>
      <c r="BE349" s="26"/>
      <c r="BF349" s="26"/>
      <c r="BG349" s="26"/>
      <c r="BH349" s="26"/>
      <c r="BI349" s="26"/>
      <c r="BJ349" s="26"/>
      <c r="BK349" s="26"/>
      <c r="BL349" s="26"/>
      <c r="BM349" s="26"/>
    </row>
    <row r="350" spans="1:65" ht="45" x14ac:dyDescent="0.25">
      <c r="A350" s="163">
        <v>112</v>
      </c>
      <c r="B350" s="155" t="s">
        <v>864</v>
      </c>
      <c r="C350" s="22" t="s">
        <v>693</v>
      </c>
      <c r="D350" s="81" t="s">
        <v>128</v>
      </c>
      <c r="E350" s="22" t="s">
        <v>124</v>
      </c>
      <c r="F350" s="33" t="s">
        <v>867</v>
      </c>
      <c r="G350" s="33" t="s">
        <v>842</v>
      </c>
      <c r="H350" s="23" t="s">
        <v>688</v>
      </c>
      <c r="I350" s="35">
        <v>42807</v>
      </c>
      <c r="J350" s="35">
        <v>43172</v>
      </c>
      <c r="K350" s="24" t="s">
        <v>1235</v>
      </c>
      <c r="L350" s="140" t="s">
        <v>865</v>
      </c>
      <c r="M350" s="43" t="s">
        <v>866</v>
      </c>
      <c r="N350" s="61">
        <v>43137</v>
      </c>
      <c r="O350" s="77">
        <v>11235</v>
      </c>
      <c r="P350" s="76">
        <v>12241</v>
      </c>
      <c r="Q350" s="61">
        <v>43137</v>
      </c>
      <c r="R350" s="61">
        <v>43465</v>
      </c>
      <c r="S350" s="43" t="s">
        <v>1196</v>
      </c>
      <c r="T350" s="22"/>
      <c r="U350" s="25"/>
      <c r="V350" s="25"/>
      <c r="W350" s="33" t="s">
        <v>184</v>
      </c>
      <c r="X350" s="33"/>
      <c r="Y350" s="22"/>
      <c r="Z350" s="22"/>
      <c r="AA350" s="22"/>
      <c r="AB350" s="33"/>
      <c r="AC350" s="22"/>
      <c r="AD350" s="22"/>
      <c r="AE350" s="22"/>
      <c r="AF350" s="22"/>
      <c r="AG350" s="25"/>
      <c r="AH350" s="25"/>
      <c r="AI350" s="25"/>
      <c r="AJ350" s="25"/>
      <c r="AK350" s="25"/>
      <c r="AL350" s="74">
        <f t="shared" si="1"/>
        <v>11235</v>
      </c>
      <c r="AM350" s="25"/>
      <c r="AN350" s="25">
        <f>0</f>
        <v>0</v>
      </c>
      <c r="AO350" s="77">
        <f t="shared" si="2"/>
        <v>0</v>
      </c>
      <c r="AP350" s="22"/>
      <c r="AQ350" s="22"/>
      <c r="AR350" s="22"/>
      <c r="AS350" s="22"/>
      <c r="AT350" s="22"/>
      <c r="AU350" s="26"/>
      <c r="AV350" s="26"/>
      <c r="AW350" s="26"/>
      <c r="AX350" s="26"/>
      <c r="AY350" s="26"/>
      <c r="AZ350" s="26"/>
      <c r="BA350" s="26"/>
      <c r="BB350" s="26"/>
      <c r="BC350" s="60"/>
      <c r="BD350" s="26"/>
      <c r="BE350" s="26"/>
      <c r="BF350" s="26"/>
      <c r="BG350" s="26"/>
      <c r="BH350" s="26"/>
      <c r="BI350" s="26"/>
      <c r="BJ350" s="26"/>
      <c r="BK350" s="26"/>
      <c r="BL350" s="26"/>
      <c r="BM350" s="26"/>
    </row>
    <row r="351" spans="1:65" ht="45" x14ac:dyDescent="0.25">
      <c r="A351" s="163">
        <v>113</v>
      </c>
      <c r="B351" s="155" t="s">
        <v>1236</v>
      </c>
      <c r="C351" s="22" t="s">
        <v>794</v>
      </c>
      <c r="D351" s="81" t="s">
        <v>128</v>
      </c>
      <c r="E351" s="22" t="s">
        <v>124</v>
      </c>
      <c r="F351" s="33" t="s">
        <v>1238</v>
      </c>
      <c r="G351" s="33" t="s">
        <v>1242</v>
      </c>
      <c r="H351" s="23" t="s">
        <v>785</v>
      </c>
      <c r="I351" s="35">
        <v>43077</v>
      </c>
      <c r="J351" s="35">
        <v>43442</v>
      </c>
      <c r="K351" s="24" t="s">
        <v>1237</v>
      </c>
      <c r="L351" s="140" t="s">
        <v>970</v>
      </c>
      <c r="M351" s="43" t="s">
        <v>971</v>
      </c>
      <c r="N351" s="61">
        <v>43137</v>
      </c>
      <c r="O351" s="77">
        <v>6028</v>
      </c>
      <c r="P351" s="76">
        <v>12243</v>
      </c>
      <c r="Q351" s="61">
        <v>43137</v>
      </c>
      <c r="R351" s="61">
        <v>43465</v>
      </c>
      <c r="S351" s="43" t="s">
        <v>243</v>
      </c>
      <c r="T351" s="22"/>
      <c r="U351" s="25"/>
      <c r="V351" s="25"/>
      <c r="W351" s="33" t="s">
        <v>787</v>
      </c>
      <c r="X351" s="33"/>
      <c r="Y351" s="22"/>
      <c r="Z351" s="22"/>
      <c r="AA351" s="22"/>
      <c r="AB351" s="33"/>
      <c r="AC351" s="22"/>
      <c r="AD351" s="22"/>
      <c r="AE351" s="22"/>
      <c r="AF351" s="22"/>
      <c r="AG351" s="25"/>
      <c r="AH351" s="25"/>
      <c r="AI351" s="25"/>
      <c r="AJ351" s="25"/>
      <c r="AK351" s="25"/>
      <c r="AL351" s="74">
        <f t="shared" si="1"/>
        <v>6028</v>
      </c>
      <c r="AM351" s="25"/>
      <c r="AN351" s="25">
        <f>6028</f>
        <v>6028</v>
      </c>
      <c r="AO351" s="77">
        <f t="shared" si="2"/>
        <v>6028</v>
      </c>
      <c r="AP351" s="22"/>
      <c r="AQ351" s="22"/>
      <c r="AR351" s="22"/>
      <c r="AS351" s="22"/>
      <c r="AT351" s="22"/>
      <c r="AU351" s="26"/>
      <c r="AV351" s="26"/>
      <c r="AW351" s="26"/>
      <c r="AX351" s="26"/>
      <c r="AY351" s="26"/>
      <c r="AZ351" s="26"/>
      <c r="BA351" s="26"/>
      <c r="BB351" s="26"/>
      <c r="BC351" s="60"/>
      <c r="BD351" s="26"/>
      <c r="BE351" s="26"/>
      <c r="BF351" s="26"/>
      <c r="BG351" s="26"/>
      <c r="BH351" s="26"/>
      <c r="BI351" s="26"/>
      <c r="BJ351" s="26"/>
      <c r="BK351" s="26"/>
      <c r="BL351" s="26"/>
      <c r="BM351" s="26"/>
    </row>
    <row r="352" spans="1:65" ht="45" x14ac:dyDescent="0.25">
      <c r="A352" s="163">
        <v>114</v>
      </c>
      <c r="B352" s="155" t="s">
        <v>1236</v>
      </c>
      <c r="C352" s="22" t="s">
        <v>794</v>
      </c>
      <c r="D352" s="81" t="s">
        <v>128</v>
      </c>
      <c r="E352" s="22" t="s">
        <v>124</v>
      </c>
      <c r="F352" s="33" t="s">
        <v>1238</v>
      </c>
      <c r="G352" s="33" t="s">
        <v>1242</v>
      </c>
      <c r="H352" s="23" t="s">
        <v>785</v>
      </c>
      <c r="I352" s="35">
        <v>43077</v>
      </c>
      <c r="J352" s="35">
        <v>43442</v>
      </c>
      <c r="K352" s="24" t="s">
        <v>1239</v>
      </c>
      <c r="L352" s="140" t="s">
        <v>1240</v>
      </c>
      <c r="M352" s="43" t="s">
        <v>1241</v>
      </c>
      <c r="N352" s="61">
        <v>43137</v>
      </c>
      <c r="O352" s="77">
        <v>6264</v>
      </c>
      <c r="P352" s="76">
        <v>12243</v>
      </c>
      <c r="Q352" s="61">
        <v>43137</v>
      </c>
      <c r="R352" s="61">
        <v>43465</v>
      </c>
      <c r="S352" s="43" t="s">
        <v>243</v>
      </c>
      <c r="T352" s="22"/>
      <c r="U352" s="25"/>
      <c r="V352" s="25"/>
      <c r="W352" s="33" t="s">
        <v>787</v>
      </c>
      <c r="X352" s="33"/>
      <c r="Y352" s="22"/>
      <c r="Z352" s="22"/>
      <c r="AA352" s="22"/>
      <c r="AB352" s="33"/>
      <c r="AC352" s="22"/>
      <c r="AD352" s="22"/>
      <c r="AE352" s="22"/>
      <c r="AF352" s="22"/>
      <c r="AG352" s="25"/>
      <c r="AH352" s="25"/>
      <c r="AI352" s="25"/>
      <c r="AJ352" s="25"/>
      <c r="AK352" s="25"/>
      <c r="AL352" s="74">
        <f t="shared" si="1"/>
        <v>6264</v>
      </c>
      <c r="AM352" s="25"/>
      <c r="AN352" s="25">
        <f>6264</f>
        <v>6264</v>
      </c>
      <c r="AO352" s="77">
        <f t="shared" si="2"/>
        <v>6264</v>
      </c>
      <c r="AP352" s="22"/>
      <c r="AQ352" s="22"/>
      <c r="AR352" s="22"/>
      <c r="AS352" s="22"/>
      <c r="AT352" s="22"/>
      <c r="AU352" s="26"/>
      <c r="AV352" s="26"/>
      <c r="AW352" s="26"/>
      <c r="AX352" s="26"/>
      <c r="AY352" s="26"/>
      <c r="AZ352" s="26"/>
      <c r="BA352" s="26"/>
      <c r="BB352" s="26"/>
      <c r="BC352" s="60"/>
      <c r="BD352" s="26"/>
      <c r="BE352" s="26"/>
      <c r="BF352" s="26"/>
      <c r="BG352" s="26"/>
      <c r="BH352" s="26"/>
      <c r="BI352" s="26"/>
      <c r="BJ352" s="26"/>
      <c r="BK352" s="26"/>
      <c r="BL352" s="26"/>
      <c r="BM352" s="26"/>
    </row>
    <row r="353" spans="1:65" ht="30" x14ac:dyDescent="0.25">
      <c r="A353" s="163">
        <v>115</v>
      </c>
      <c r="B353" s="155" t="s">
        <v>801</v>
      </c>
      <c r="C353" s="22" t="s">
        <v>681</v>
      </c>
      <c r="D353" s="81" t="s">
        <v>128</v>
      </c>
      <c r="E353" s="22" t="s">
        <v>124</v>
      </c>
      <c r="F353" s="33" t="s">
        <v>803</v>
      </c>
      <c r="G353" s="33" t="s">
        <v>806</v>
      </c>
      <c r="H353" s="23" t="s">
        <v>684</v>
      </c>
      <c r="I353" s="35">
        <v>42775</v>
      </c>
      <c r="J353" s="35">
        <v>43140</v>
      </c>
      <c r="K353" s="24" t="s">
        <v>1243</v>
      </c>
      <c r="L353" s="140" t="s">
        <v>802</v>
      </c>
      <c r="M353" s="43" t="s">
        <v>800</v>
      </c>
      <c r="N353" s="61">
        <v>43137</v>
      </c>
      <c r="O353" s="77">
        <v>10332</v>
      </c>
      <c r="P353" s="76">
        <v>12244</v>
      </c>
      <c r="Q353" s="61">
        <v>43137</v>
      </c>
      <c r="R353" s="61">
        <v>43465</v>
      </c>
      <c r="S353" s="43" t="s">
        <v>1244</v>
      </c>
      <c r="T353" s="22"/>
      <c r="U353" s="25"/>
      <c r="V353" s="25"/>
      <c r="W353" s="33" t="s">
        <v>184</v>
      </c>
      <c r="X353" s="33"/>
      <c r="Y353" s="22"/>
      <c r="Z353" s="22"/>
      <c r="AA353" s="22"/>
      <c r="AB353" s="33"/>
      <c r="AC353" s="22"/>
      <c r="AD353" s="22"/>
      <c r="AE353" s="22"/>
      <c r="AF353" s="22"/>
      <c r="AG353" s="25"/>
      <c r="AH353" s="25"/>
      <c r="AI353" s="25"/>
      <c r="AJ353" s="25"/>
      <c r="AK353" s="25"/>
      <c r="AL353" s="74">
        <f t="shared" si="1"/>
        <v>10332</v>
      </c>
      <c r="AM353" s="25"/>
      <c r="AN353" s="25">
        <f>3249.59+4702.75+2379.66</f>
        <v>10332</v>
      </c>
      <c r="AO353" s="77">
        <f t="shared" si="2"/>
        <v>10332</v>
      </c>
      <c r="AP353" s="22"/>
      <c r="AQ353" s="22"/>
      <c r="AR353" s="22"/>
      <c r="AS353" s="22"/>
      <c r="AT353" s="22"/>
      <c r="AU353" s="26"/>
      <c r="AV353" s="26"/>
      <c r="AW353" s="26"/>
      <c r="AX353" s="26"/>
      <c r="AY353" s="26"/>
      <c r="AZ353" s="26"/>
      <c r="BA353" s="26"/>
      <c r="BB353" s="26"/>
      <c r="BC353" s="60"/>
      <c r="BD353" s="26"/>
      <c r="BE353" s="26"/>
      <c r="BF353" s="26"/>
      <c r="BG353" s="26"/>
      <c r="BH353" s="26"/>
      <c r="BI353" s="26"/>
      <c r="BJ353" s="26"/>
      <c r="BK353" s="26"/>
      <c r="BL353" s="26"/>
      <c r="BM353" s="26"/>
    </row>
    <row r="354" spans="1:65" ht="75" x14ac:dyDescent="0.25">
      <c r="A354" s="160">
        <v>116</v>
      </c>
      <c r="B354" s="154" t="s">
        <v>917</v>
      </c>
      <c r="C354" s="19" t="s">
        <v>682</v>
      </c>
      <c r="D354" s="80" t="s">
        <v>128</v>
      </c>
      <c r="E354" s="19" t="s">
        <v>124</v>
      </c>
      <c r="F354" s="32" t="s">
        <v>918</v>
      </c>
      <c r="G354" s="32" t="s">
        <v>925</v>
      </c>
      <c r="H354" s="20" t="s">
        <v>685</v>
      </c>
      <c r="I354" s="29">
        <v>42787</v>
      </c>
      <c r="J354" s="29">
        <v>43152</v>
      </c>
      <c r="K354" s="45" t="s">
        <v>1245</v>
      </c>
      <c r="L354" s="143" t="s">
        <v>799</v>
      </c>
      <c r="M354" s="27" t="s">
        <v>575</v>
      </c>
      <c r="N354" s="31">
        <v>43140</v>
      </c>
      <c r="O354" s="78">
        <v>59800</v>
      </c>
      <c r="P354" s="30">
        <v>12245</v>
      </c>
      <c r="Q354" s="31">
        <v>43140</v>
      </c>
      <c r="R354" s="31">
        <v>43465</v>
      </c>
      <c r="S354" s="27" t="s">
        <v>198</v>
      </c>
      <c r="T354" s="19"/>
      <c r="U354" s="38"/>
      <c r="V354" s="38"/>
      <c r="W354" s="32" t="s">
        <v>228</v>
      </c>
      <c r="X354" s="33" t="s">
        <v>365</v>
      </c>
      <c r="Y354" s="22" t="s">
        <v>136</v>
      </c>
      <c r="Z354" s="35">
        <v>43389</v>
      </c>
      <c r="AA354" s="34">
        <v>12413</v>
      </c>
      <c r="AB354" s="33" t="s">
        <v>1869</v>
      </c>
      <c r="AC354" s="22"/>
      <c r="AD354" s="22"/>
      <c r="AE354" s="22"/>
      <c r="AF354" s="22"/>
      <c r="AG354" s="25">
        <v>11960</v>
      </c>
      <c r="AH354" s="25"/>
      <c r="AI354" s="25"/>
      <c r="AJ354" s="25"/>
      <c r="AK354" s="25"/>
      <c r="AL354" s="75">
        <f>O354-AH354+AG354</f>
        <v>71760</v>
      </c>
      <c r="AM354" s="38"/>
      <c r="AN354" s="38">
        <f>13800+13800</f>
        <v>27600</v>
      </c>
      <c r="AO354" s="38">
        <f t="shared" si="2"/>
        <v>27600</v>
      </c>
      <c r="AP354" s="37"/>
      <c r="AQ354" s="22"/>
      <c r="AR354" s="22"/>
      <c r="AS354" s="22"/>
      <c r="AT354" s="22"/>
      <c r="AU354" s="26"/>
      <c r="AV354" s="26"/>
      <c r="AW354" s="26"/>
      <c r="AX354" s="26"/>
      <c r="AY354" s="26"/>
      <c r="AZ354" s="26"/>
      <c r="BA354" s="26"/>
      <c r="BB354" s="26"/>
      <c r="BC354" s="60"/>
      <c r="BD354" s="26"/>
      <c r="BE354" s="26"/>
      <c r="BF354" s="26"/>
      <c r="BG354" s="26"/>
      <c r="BH354" s="26"/>
      <c r="BI354" s="26"/>
      <c r="BJ354" s="26"/>
      <c r="BK354" s="26"/>
      <c r="BL354" s="26"/>
      <c r="BM354" s="26"/>
    </row>
    <row r="355" spans="1:65" ht="90" x14ac:dyDescent="0.25">
      <c r="A355" s="160"/>
      <c r="B355" s="154"/>
      <c r="C355" s="19"/>
      <c r="D355" s="27"/>
      <c r="E355" s="19"/>
      <c r="F355" s="32"/>
      <c r="G355" s="32"/>
      <c r="H355" s="20"/>
      <c r="I355" s="29"/>
      <c r="J355" s="29"/>
      <c r="K355" s="45"/>
      <c r="L355" s="143"/>
      <c r="M355" s="27"/>
      <c r="N355" s="27"/>
      <c r="O355" s="78"/>
      <c r="P355" s="27"/>
      <c r="Q355" s="27"/>
      <c r="R355" s="27"/>
      <c r="S355" s="27"/>
      <c r="T355" s="19"/>
      <c r="U355" s="38"/>
      <c r="V355" s="38"/>
      <c r="W355" s="32"/>
      <c r="X355" s="33" t="s">
        <v>1872</v>
      </c>
      <c r="Y355" s="22" t="s">
        <v>1872</v>
      </c>
      <c r="Z355" s="35">
        <v>43397</v>
      </c>
      <c r="AA355" s="34">
        <v>12416</v>
      </c>
      <c r="AB355" s="33" t="s">
        <v>1873</v>
      </c>
      <c r="AC355" s="22"/>
      <c r="AD355" s="22"/>
      <c r="AE355" s="22"/>
      <c r="AF355" s="22"/>
      <c r="AG355" s="25"/>
      <c r="AH355" s="25"/>
      <c r="AI355" s="25"/>
      <c r="AJ355" s="25"/>
      <c r="AK355" s="25"/>
      <c r="AL355" s="75"/>
      <c r="AM355" s="38"/>
      <c r="AN355" s="38"/>
      <c r="AO355" s="38"/>
      <c r="AP355" s="37"/>
      <c r="AQ355" s="22"/>
      <c r="AR355" s="22"/>
      <c r="AS355" s="22"/>
      <c r="AT355" s="22"/>
      <c r="AU355" s="26"/>
      <c r="AV355" s="26"/>
      <c r="AW355" s="26"/>
      <c r="AX355" s="26"/>
      <c r="AY355" s="26"/>
      <c r="AZ355" s="26"/>
      <c r="BA355" s="26"/>
      <c r="BB355" s="26"/>
      <c r="BC355" s="60"/>
      <c r="BD355" s="26"/>
      <c r="BE355" s="26"/>
      <c r="BF355" s="26"/>
      <c r="BG355" s="26"/>
      <c r="BH355" s="26"/>
      <c r="BI355" s="26"/>
      <c r="BJ355" s="26"/>
      <c r="BK355" s="26"/>
      <c r="BL355" s="26"/>
      <c r="BM355" s="26"/>
    </row>
    <row r="356" spans="1:65" ht="90" x14ac:dyDescent="0.25">
      <c r="A356" s="163">
        <v>117</v>
      </c>
      <c r="B356" s="155" t="s">
        <v>1248</v>
      </c>
      <c r="C356" s="22" t="s">
        <v>798</v>
      </c>
      <c r="D356" s="81" t="s">
        <v>128</v>
      </c>
      <c r="E356" s="22" t="s">
        <v>124</v>
      </c>
      <c r="F356" s="33" t="s">
        <v>221</v>
      </c>
      <c r="G356" s="33" t="s">
        <v>1254</v>
      </c>
      <c r="H356" s="23" t="s">
        <v>1169</v>
      </c>
      <c r="I356" s="35">
        <v>43123</v>
      </c>
      <c r="J356" s="35">
        <v>43488</v>
      </c>
      <c r="K356" s="24" t="s">
        <v>1247</v>
      </c>
      <c r="L356" s="140" t="s">
        <v>238</v>
      </c>
      <c r="M356" s="43" t="s">
        <v>239</v>
      </c>
      <c r="N356" s="61">
        <v>43140</v>
      </c>
      <c r="O356" s="77">
        <v>11500</v>
      </c>
      <c r="P356" s="76">
        <v>12245</v>
      </c>
      <c r="Q356" s="61">
        <v>43140</v>
      </c>
      <c r="R356" s="61">
        <v>43465</v>
      </c>
      <c r="S356" s="43" t="s">
        <v>507</v>
      </c>
      <c r="T356" s="22"/>
      <c r="U356" s="25"/>
      <c r="V356" s="25"/>
      <c r="W356" s="33" t="s">
        <v>292</v>
      </c>
      <c r="X356" s="33" t="s">
        <v>365</v>
      </c>
      <c r="Y356" s="22" t="s">
        <v>136</v>
      </c>
      <c r="Z356" s="35">
        <v>43262</v>
      </c>
      <c r="AA356" s="34">
        <v>12338</v>
      </c>
      <c r="AB356" s="33" t="s">
        <v>1686</v>
      </c>
      <c r="AC356" s="22"/>
      <c r="AD356" s="22"/>
      <c r="AE356" s="22"/>
      <c r="AF356" s="22"/>
      <c r="AG356" s="25">
        <v>2875</v>
      </c>
      <c r="AH356" s="25"/>
      <c r="AI356" s="25"/>
      <c r="AJ356" s="25"/>
      <c r="AK356" s="25"/>
      <c r="AL356" s="74">
        <f>O356-AH356+AG356</f>
        <v>14375</v>
      </c>
      <c r="AM356" s="25"/>
      <c r="AN356" s="25">
        <f>11500+2875</f>
        <v>14375</v>
      </c>
      <c r="AO356" s="77">
        <f t="shared" si="2"/>
        <v>14375</v>
      </c>
      <c r="AP356" s="22"/>
      <c r="AQ356" s="22"/>
      <c r="AR356" s="22"/>
      <c r="AS356" s="22"/>
      <c r="AT356" s="22"/>
      <c r="AU356" s="26"/>
      <c r="AV356" s="26"/>
      <c r="AW356" s="26"/>
      <c r="AX356" s="26"/>
      <c r="AY356" s="26"/>
      <c r="AZ356" s="26"/>
      <c r="BA356" s="26"/>
      <c r="BB356" s="26"/>
      <c r="BC356" s="60"/>
      <c r="BD356" s="26"/>
      <c r="BE356" s="26"/>
      <c r="BF356" s="26"/>
      <c r="BG356" s="26"/>
      <c r="BH356" s="26"/>
      <c r="BI356" s="26"/>
      <c r="BJ356" s="26"/>
      <c r="BK356" s="26"/>
      <c r="BL356" s="26"/>
      <c r="BM356" s="26"/>
    </row>
    <row r="357" spans="1:65" ht="90" x14ac:dyDescent="0.25">
      <c r="A357" s="163">
        <v>118</v>
      </c>
      <c r="B357" s="155" t="s">
        <v>1248</v>
      </c>
      <c r="C357" s="22" t="s">
        <v>798</v>
      </c>
      <c r="D357" s="81" t="s">
        <v>128</v>
      </c>
      <c r="E357" s="22" t="s">
        <v>124</v>
      </c>
      <c r="F357" s="33" t="s">
        <v>221</v>
      </c>
      <c r="G357" s="33" t="s">
        <v>1254</v>
      </c>
      <c r="H357" s="23" t="s">
        <v>1169</v>
      </c>
      <c r="I357" s="35">
        <v>43123</v>
      </c>
      <c r="J357" s="35">
        <v>43488</v>
      </c>
      <c r="K357" s="24" t="s">
        <v>1249</v>
      </c>
      <c r="L357" s="140" t="s">
        <v>375</v>
      </c>
      <c r="M357" s="43" t="s">
        <v>299</v>
      </c>
      <c r="N357" s="61">
        <v>43140</v>
      </c>
      <c r="O357" s="77">
        <v>20895</v>
      </c>
      <c r="P357" s="76">
        <v>12245</v>
      </c>
      <c r="Q357" s="61">
        <v>43140</v>
      </c>
      <c r="R357" s="61">
        <v>43465</v>
      </c>
      <c r="S357" s="43" t="s">
        <v>507</v>
      </c>
      <c r="T357" s="22"/>
      <c r="U357" s="25"/>
      <c r="V357" s="25"/>
      <c r="W357" s="33" t="s">
        <v>292</v>
      </c>
      <c r="X357" s="33" t="s">
        <v>365</v>
      </c>
      <c r="Y357" s="22" t="s">
        <v>136</v>
      </c>
      <c r="Z357" s="35">
        <v>43262</v>
      </c>
      <c r="AA357" s="34">
        <v>12338</v>
      </c>
      <c r="AB357" s="33" t="s">
        <v>1687</v>
      </c>
      <c r="AC357" s="22"/>
      <c r="AD357" s="22"/>
      <c r="AE357" s="22"/>
      <c r="AF357" s="22"/>
      <c r="AG357" s="25">
        <v>5223.75</v>
      </c>
      <c r="AH357" s="25"/>
      <c r="AI357" s="25"/>
      <c r="AJ357" s="25"/>
      <c r="AK357" s="25"/>
      <c r="AL357" s="74">
        <f t="shared" si="1"/>
        <v>26118.75</v>
      </c>
      <c r="AM357" s="25"/>
      <c r="AN357" s="25">
        <f>20895+5153.75</f>
        <v>26048.75</v>
      </c>
      <c r="AO357" s="77">
        <f t="shared" si="2"/>
        <v>26048.75</v>
      </c>
      <c r="AP357" s="37"/>
      <c r="AQ357" s="22"/>
      <c r="AR357" s="22"/>
      <c r="AS357" s="22"/>
      <c r="AT357" s="22"/>
      <c r="AU357" s="26"/>
      <c r="AV357" s="26"/>
      <c r="AW357" s="26"/>
      <c r="AX357" s="26"/>
      <c r="AY357" s="26"/>
      <c r="AZ357" s="26"/>
      <c r="BA357" s="26"/>
      <c r="BB357" s="26"/>
      <c r="BC357" s="60"/>
      <c r="BD357" s="26"/>
      <c r="BE357" s="26"/>
      <c r="BF357" s="26"/>
      <c r="BG357" s="26"/>
      <c r="BH357" s="26"/>
      <c r="BI357" s="26"/>
      <c r="BJ357" s="26"/>
      <c r="BK357" s="26"/>
      <c r="BL357" s="26"/>
      <c r="BM357" s="26"/>
    </row>
    <row r="358" spans="1:65" ht="90" x14ac:dyDescent="0.25">
      <c r="A358" s="163">
        <v>119</v>
      </c>
      <c r="B358" s="155" t="s">
        <v>1248</v>
      </c>
      <c r="C358" s="22" t="s">
        <v>798</v>
      </c>
      <c r="D358" s="81" t="s">
        <v>128</v>
      </c>
      <c r="E358" s="22" t="s">
        <v>124</v>
      </c>
      <c r="F358" s="33" t="s">
        <v>221</v>
      </c>
      <c r="G358" s="33" t="s">
        <v>1254</v>
      </c>
      <c r="H358" s="23" t="s">
        <v>1169</v>
      </c>
      <c r="I358" s="35">
        <v>43123</v>
      </c>
      <c r="J358" s="35">
        <v>43488</v>
      </c>
      <c r="K358" s="83" t="s">
        <v>1250</v>
      </c>
      <c r="L358" s="140" t="s">
        <v>1078</v>
      </c>
      <c r="M358" s="43" t="s">
        <v>1079</v>
      </c>
      <c r="N358" s="61">
        <v>43140</v>
      </c>
      <c r="O358" s="77">
        <v>19750</v>
      </c>
      <c r="P358" s="76">
        <v>12245</v>
      </c>
      <c r="Q358" s="61">
        <v>43140</v>
      </c>
      <c r="R358" s="61">
        <v>43465</v>
      </c>
      <c r="S358" s="43" t="s">
        <v>507</v>
      </c>
      <c r="T358" s="22"/>
      <c r="U358" s="25"/>
      <c r="V358" s="25"/>
      <c r="W358" s="33" t="s">
        <v>292</v>
      </c>
      <c r="X358" s="33" t="s">
        <v>365</v>
      </c>
      <c r="Y358" s="35" t="s">
        <v>136</v>
      </c>
      <c r="Z358" s="35">
        <v>43231</v>
      </c>
      <c r="AA358" s="34">
        <v>12373</v>
      </c>
      <c r="AB358" s="33" t="s">
        <v>1677</v>
      </c>
      <c r="AC358" s="22"/>
      <c r="AD358" s="22"/>
      <c r="AE358" s="22"/>
      <c r="AF358" s="22"/>
      <c r="AG358" s="25">
        <v>4937.5</v>
      </c>
      <c r="AH358" s="25"/>
      <c r="AI358" s="25"/>
      <c r="AJ358" s="25"/>
      <c r="AK358" s="25"/>
      <c r="AL358" s="74">
        <f>O358-AH358+AG358</f>
        <v>24687.5</v>
      </c>
      <c r="AM358" s="25"/>
      <c r="AN358" s="25">
        <f>17750+4898</f>
        <v>22648</v>
      </c>
      <c r="AO358" s="77">
        <f t="shared" si="2"/>
        <v>22648</v>
      </c>
      <c r="AP358" s="37"/>
      <c r="AQ358" s="22"/>
      <c r="AR358" s="22"/>
      <c r="AS358" s="22"/>
      <c r="AT358" s="22"/>
      <c r="AU358" s="26"/>
      <c r="AV358" s="26"/>
      <c r="AW358" s="26"/>
      <c r="AX358" s="26"/>
      <c r="AY358" s="26"/>
      <c r="AZ358" s="26"/>
      <c r="BA358" s="26"/>
      <c r="BB358" s="26"/>
      <c r="BC358" s="60"/>
      <c r="BD358" s="26"/>
      <c r="BE358" s="26"/>
      <c r="BF358" s="26"/>
      <c r="BG358" s="26"/>
      <c r="BH358" s="26"/>
      <c r="BI358" s="26"/>
      <c r="BJ358" s="26"/>
      <c r="BK358" s="26"/>
      <c r="BL358" s="26"/>
      <c r="BM358" s="26"/>
    </row>
    <row r="359" spans="1:65" ht="90" x14ac:dyDescent="0.25">
      <c r="A359" s="163">
        <v>120</v>
      </c>
      <c r="B359" s="155" t="s">
        <v>1134</v>
      </c>
      <c r="C359" s="22" t="s">
        <v>684</v>
      </c>
      <c r="D359" s="81" t="s">
        <v>1009</v>
      </c>
      <c r="E359" s="22" t="s">
        <v>124</v>
      </c>
      <c r="F359" s="33" t="s">
        <v>1010</v>
      </c>
      <c r="G359" s="33" t="s">
        <v>1253</v>
      </c>
      <c r="H359" s="23" t="s">
        <v>781</v>
      </c>
      <c r="I359" s="35">
        <v>43052</v>
      </c>
      <c r="J359" s="35">
        <v>43417</v>
      </c>
      <c r="K359" s="24" t="s">
        <v>1251</v>
      </c>
      <c r="L359" s="140" t="s">
        <v>1135</v>
      </c>
      <c r="M359" s="43" t="s">
        <v>1136</v>
      </c>
      <c r="N359" s="61">
        <v>43146</v>
      </c>
      <c r="O359" s="77">
        <v>76064.899999999994</v>
      </c>
      <c r="P359" s="76">
        <v>12249</v>
      </c>
      <c r="Q359" s="61">
        <v>43146</v>
      </c>
      <c r="R359" s="61">
        <v>43465</v>
      </c>
      <c r="S359" s="43" t="s">
        <v>1139</v>
      </c>
      <c r="T359" s="22"/>
      <c r="U359" s="25"/>
      <c r="V359" s="25"/>
      <c r="W359" s="33" t="s">
        <v>771</v>
      </c>
      <c r="X359" s="33"/>
      <c r="Y359" s="22"/>
      <c r="Z359" s="22"/>
      <c r="AA359" s="22"/>
      <c r="AB359" s="33"/>
      <c r="AC359" s="22"/>
      <c r="AD359" s="22"/>
      <c r="AE359" s="22"/>
      <c r="AF359" s="22"/>
      <c r="AG359" s="25"/>
      <c r="AH359" s="25"/>
      <c r="AI359" s="25"/>
      <c r="AJ359" s="25"/>
      <c r="AK359" s="25"/>
      <c r="AL359" s="74">
        <f t="shared" si="1"/>
        <v>76064.899999999994</v>
      </c>
      <c r="AM359" s="25"/>
      <c r="AN359" s="25">
        <f>76064.9</f>
        <v>76064.899999999994</v>
      </c>
      <c r="AO359" s="77">
        <f t="shared" si="2"/>
        <v>76064.899999999994</v>
      </c>
      <c r="AP359" s="22"/>
      <c r="AQ359" s="22"/>
      <c r="AR359" s="22"/>
      <c r="AS359" s="22"/>
      <c r="AT359" s="22"/>
      <c r="AU359" s="26"/>
      <c r="AV359" s="26"/>
      <c r="AW359" s="26"/>
      <c r="AX359" s="26"/>
      <c r="AY359" s="26"/>
      <c r="AZ359" s="26"/>
      <c r="BA359" s="26"/>
      <c r="BB359" s="26"/>
      <c r="BC359" s="60"/>
      <c r="BD359" s="26"/>
      <c r="BE359" s="26"/>
      <c r="BF359" s="26"/>
      <c r="BG359" s="26"/>
      <c r="BH359" s="26"/>
      <c r="BI359" s="26"/>
      <c r="BJ359" s="26"/>
      <c r="BK359" s="26"/>
      <c r="BL359" s="26"/>
      <c r="BM359" s="26"/>
    </row>
    <row r="360" spans="1:65" ht="90" x14ac:dyDescent="0.25">
      <c r="A360" s="163">
        <v>121</v>
      </c>
      <c r="B360" s="155" t="s">
        <v>1134</v>
      </c>
      <c r="C360" s="22" t="s">
        <v>684</v>
      </c>
      <c r="D360" s="81" t="s">
        <v>1009</v>
      </c>
      <c r="E360" s="22" t="s">
        <v>124</v>
      </c>
      <c r="F360" s="33" t="s">
        <v>1010</v>
      </c>
      <c r="G360" s="33" t="s">
        <v>1253</v>
      </c>
      <c r="H360" s="23" t="s">
        <v>782</v>
      </c>
      <c r="I360" s="35">
        <v>43052</v>
      </c>
      <c r="J360" s="35">
        <v>43417</v>
      </c>
      <c r="K360" s="24" t="s">
        <v>1252</v>
      </c>
      <c r="L360" s="140" t="s">
        <v>1137</v>
      </c>
      <c r="M360" s="43" t="s">
        <v>1138</v>
      </c>
      <c r="N360" s="61">
        <v>43146</v>
      </c>
      <c r="O360" s="77">
        <v>5000</v>
      </c>
      <c r="P360" s="76">
        <v>12249</v>
      </c>
      <c r="Q360" s="61">
        <v>43146</v>
      </c>
      <c r="R360" s="61">
        <v>43465</v>
      </c>
      <c r="S360" s="43" t="s">
        <v>1139</v>
      </c>
      <c r="T360" s="22"/>
      <c r="U360" s="25"/>
      <c r="V360" s="25"/>
      <c r="W360" s="33" t="s">
        <v>771</v>
      </c>
      <c r="X360" s="33"/>
      <c r="Y360" s="22"/>
      <c r="Z360" s="22"/>
      <c r="AA360" s="22"/>
      <c r="AB360" s="33"/>
      <c r="AC360" s="22"/>
      <c r="AD360" s="22"/>
      <c r="AE360" s="22"/>
      <c r="AF360" s="22"/>
      <c r="AG360" s="25"/>
      <c r="AH360" s="25"/>
      <c r="AI360" s="25"/>
      <c r="AJ360" s="25"/>
      <c r="AK360" s="25"/>
      <c r="AL360" s="74">
        <f t="shared" ref="AL360:AL384" si="3">O360-AH360+AG360</f>
        <v>5000</v>
      </c>
      <c r="AM360" s="25"/>
      <c r="AN360" s="25">
        <f>5000</f>
        <v>5000</v>
      </c>
      <c r="AO360" s="77">
        <f t="shared" ref="AO360:AO426" si="4">AM360+AN360</f>
        <v>5000</v>
      </c>
      <c r="AP360" s="22"/>
      <c r="AQ360" s="22"/>
      <c r="AR360" s="22"/>
      <c r="AS360" s="22"/>
      <c r="AT360" s="22"/>
      <c r="AU360" s="26"/>
      <c r="AV360" s="26"/>
      <c r="AW360" s="26"/>
      <c r="AX360" s="26"/>
      <c r="AY360" s="26"/>
      <c r="AZ360" s="26"/>
      <c r="BA360" s="26"/>
      <c r="BB360" s="26"/>
      <c r="BC360" s="60"/>
      <c r="BD360" s="26"/>
      <c r="BE360" s="26"/>
      <c r="BF360" s="26"/>
      <c r="BG360" s="26"/>
      <c r="BH360" s="26"/>
      <c r="BI360" s="26"/>
      <c r="BJ360" s="26"/>
      <c r="BK360" s="26"/>
      <c r="BL360" s="26"/>
      <c r="BM360" s="26"/>
    </row>
    <row r="361" spans="1:65" ht="45" x14ac:dyDescent="0.25">
      <c r="A361" s="163">
        <v>122</v>
      </c>
      <c r="B361" s="155" t="s">
        <v>1236</v>
      </c>
      <c r="C361" s="22" t="s">
        <v>794</v>
      </c>
      <c r="D361" s="81" t="s">
        <v>128</v>
      </c>
      <c r="E361" s="22" t="s">
        <v>124</v>
      </c>
      <c r="F361" s="33" t="s">
        <v>1238</v>
      </c>
      <c r="G361" s="33" t="s">
        <v>1266</v>
      </c>
      <c r="H361" s="23" t="s">
        <v>785</v>
      </c>
      <c r="I361" s="35">
        <v>43077</v>
      </c>
      <c r="J361" s="35">
        <v>43442</v>
      </c>
      <c r="K361" s="24" t="s">
        <v>1264</v>
      </c>
      <c r="L361" s="140" t="s">
        <v>970</v>
      </c>
      <c r="M361" s="43" t="s">
        <v>971</v>
      </c>
      <c r="N361" s="61">
        <v>43147</v>
      </c>
      <c r="O361" s="77">
        <v>13602.8</v>
      </c>
      <c r="P361" s="76">
        <v>12245</v>
      </c>
      <c r="Q361" s="61">
        <v>43147</v>
      </c>
      <c r="R361" s="61">
        <v>43465</v>
      </c>
      <c r="S361" s="43" t="s">
        <v>243</v>
      </c>
      <c r="T361" s="22"/>
      <c r="U361" s="25"/>
      <c r="V361" s="25"/>
      <c r="W361" s="33" t="s">
        <v>787</v>
      </c>
      <c r="X361" s="33"/>
      <c r="Y361" s="22"/>
      <c r="Z361" s="22"/>
      <c r="AA361" s="22"/>
      <c r="AB361" s="33"/>
      <c r="AC361" s="22"/>
      <c r="AD361" s="22"/>
      <c r="AE361" s="22"/>
      <c r="AF361" s="22"/>
      <c r="AG361" s="25"/>
      <c r="AH361" s="25"/>
      <c r="AI361" s="25"/>
      <c r="AJ361" s="25"/>
      <c r="AK361" s="25"/>
      <c r="AL361" s="74">
        <f t="shared" si="3"/>
        <v>13602.8</v>
      </c>
      <c r="AM361" s="25"/>
      <c r="AN361" s="25">
        <f>13602.8</f>
        <v>13602.8</v>
      </c>
      <c r="AO361" s="77">
        <f t="shared" si="4"/>
        <v>13602.8</v>
      </c>
      <c r="AP361" s="22"/>
      <c r="AQ361" s="22"/>
      <c r="AR361" s="22"/>
      <c r="AS361" s="22"/>
      <c r="AT361" s="22"/>
      <c r="AU361" s="26"/>
      <c r="AV361" s="26"/>
      <c r="AW361" s="26"/>
      <c r="AX361" s="26"/>
      <c r="AY361" s="26"/>
      <c r="AZ361" s="26"/>
      <c r="BA361" s="26"/>
      <c r="BB361" s="26"/>
      <c r="BC361" s="60"/>
      <c r="BD361" s="26"/>
      <c r="BE361" s="26"/>
      <c r="BF361" s="26"/>
      <c r="BG361" s="26"/>
      <c r="BH361" s="26"/>
      <c r="BI361" s="26"/>
      <c r="BJ361" s="26"/>
      <c r="BK361" s="26"/>
      <c r="BL361" s="26"/>
      <c r="BM361" s="26"/>
    </row>
    <row r="362" spans="1:65" ht="45" x14ac:dyDescent="0.25">
      <c r="A362" s="163">
        <v>123</v>
      </c>
      <c r="B362" s="155" t="s">
        <v>1236</v>
      </c>
      <c r="C362" s="22" t="s">
        <v>794</v>
      </c>
      <c r="D362" s="81" t="s">
        <v>128</v>
      </c>
      <c r="E362" s="22" t="s">
        <v>124</v>
      </c>
      <c r="F362" s="33" t="s">
        <v>1238</v>
      </c>
      <c r="G362" s="33" t="s">
        <v>1266</v>
      </c>
      <c r="H362" s="23" t="s">
        <v>785</v>
      </c>
      <c r="I362" s="35">
        <v>43077</v>
      </c>
      <c r="J362" s="35">
        <v>43442</v>
      </c>
      <c r="K362" s="24" t="s">
        <v>1265</v>
      </c>
      <c r="L362" s="140" t="s">
        <v>1240</v>
      </c>
      <c r="M362" s="43" t="s">
        <v>1241</v>
      </c>
      <c r="N362" s="61">
        <v>43147</v>
      </c>
      <c r="O362" s="77">
        <v>47837.18</v>
      </c>
      <c r="P362" s="76">
        <v>12245</v>
      </c>
      <c r="Q362" s="61">
        <v>43147</v>
      </c>
      <c r="R362" s="61">
        <v>43465</v>
      </c>
      <c r="S362" s="43" t="s">
        <v>243</v>
      </c>
      <c r="T362" s="22"/>
      <c r="U362" s="25"/>
      <c r="V362" s="25"/>
      <c r="W362" s="33" t="s">
        <v>787</v>
      </c>
      <c r="X362" s="33"/>
      <c r="Y362" s="22"/>
      <c r="Z362" s="22"/>
      <c r="AA362" s="22"/>
      <c r="AB362" s="33"/>
      <c r="AC362" s="22"/>
      <c r="AD362" s="22"/>
      <c r="AE362" s="22"/>
      <c r="AF362" s="22"/>
      <c r="AG362" s="25"/>
      <c r="AH362" s="25"/>
      <c r="AI362" s="25"/>
      <c r="AJ362" s="25"/>
      <c r="AK362" s="25"/>
      <c r="AL362" s="74">
        <f t="shared" si="3"/>
        <v>47837.18</v>
      </c>
      <c r="AM362" s="25"/>
      <c r="AN362" s="25">
        <f>47837.18</f>
        <v>47837.18</v>
      </c>
      <c r="AO362" s="77">
        <f t="shared" si="4"/>
        <v>47837.18</v>
      </c>
      <c r="AP362" s="22"/>
      <c r="AQ362" s="22"/>
      <c r="AR362" s="22"/>
      <c r="AS362" s="22"/>
      <c r="AT362" s="22"/>
      <c r="AU362" s="26"/>
      <c r="AV362" s="26"/>
      <c r="AW362" s="26"/>
      <c r="AX362" s="26"/>
      <c r="AY362" s="26"/>
      <c r="AZ362" s="26"/>
      <c r="BA362" s="26"/>
      <c r="BB362" s="26"/>
      <c r="BC362" s="60"/>
      <c r="BD362" s="26"/>
      <c r="BE362" s="26"/>
      <c r="BF362" s="26"/>
      <c r="BG362" s="26"/>
      <c r="BH362" s="26"/>
      <c r="BI362" s="26"/>
      <c r="BJ362" s="26"/>
      <c r="BK362" s="26"/>
      <c r="BL362" s="26"/>
      <c r="BM362" s="26"/>
    </row>
    <row r="363" spans="1:65" ht="60" x14ac:dyDescent="0.25">
      <c r="A363" s="163">
        <v>124</v>
      </c>
      <c r="B363" s="155" t="s">
        <v>1267</v>
      </c>
      <c r="C363" s="22" t="s">
        <v>790</v>
      </c>
      <c r="D363" s="81" t="s">
        <v>128</v>
      </c>
      <c r="E363" s="22" t="s">
        <v>124</v>
      </c>
      <c r="F363" s="33" t="s">
        <v>1268</v>
      </c>
      <c r="G363" s="33" t="s">
        <v>1277</v>
      </c>
      <c r="H363" s="23" t="s">
        <v>784</v>
      </c>
      <c r="I363" s="35">
        <v>43062</v>
      </c>
      <c r="J363" s="35">
        <v>43427</v>
      </c>
      <c r="K363" s="24" t="s">
        <v>1269</v>
      </c>
      <c r="L363" s="140" t="s">
        <v>613</v>
      </c>
      <c r="M363" s="43" t="s">
        <v>400</v>
      </c>
      <c r="N363" s="61">
        <v>43150</v>
      </c>
      <c r="O363" s="77">
        <v>3582</v>
      </c>
      <c r="P363" s="76">
        <v>12245</v>
      </c>
      <c r="Q363" s="61">
        <v>43150</v>
      </c>
      <c r="R363" s="61">
        <v>43331</v>
      </c>
      <c r="S363" s="43" t="s">
        <v>1193</v>
      </c>
      <c r="T363" s="22"/>
      <c r="U363" s="25"/>
      <c r="V363" s="25"/>
      <c r="W363" s="33" t="s">
        <v>135</v>
      </c>
      <c r="X363" s="33" t="s">
        <v>1261</v>
      </c>
      <c r="Y363" s="22" t="s">
        <v>136</v>
      </c>
      <c r="Z363" s="35">
        <v>43312</v>
      </c>
      <c r="AA363" s="34">
        <v>12363</v>
      </c>
      <c r="AB363" s="33" t="s">
        <v>1717</v>
      </c>
      <c r="AC363" s="35">
        <v>43331</v>
      </c>
      <c r="AD363" s="35">
        <v>43465</v>
      </c>
      <c r="AE363" s="22"/>
      <c r="AF363" s="22"/>
      <c r="AG363" s="25">
        <v>2606.9</v>
      </c>
      <c r="AH363" s="25"/>
      <c r="AI363" s="25"/>
      <c r="AJ363" s="25"/>
      <c r="AK363" s="25"/>
      <c r="AL363" s="74">
        <f>O363-AH363+AG363</f>
        <v>6188.9</v>
      </c>
      <c r="AM363" s="25"/>
      <c r="AN363" s="25">
        <f>597+597+597+597+597+597</f>
        <v>3582</v>
      </c>
      <c r="AO363" s="77">
        <f t="shared" si="4"/>
        <v>3582</v>
      </c>
      <c r="AP363" s="37"/>
      <c r="AQ363" s="22"/>
      <c r="AR363" s="22"/>
      <c r="AS363" s="22"/>
      <c r="AT363" s="22"/>
      <c r="AU363" s="26"/>
      <c r="AV363" s="26"/>
      <c r="AW363" s="26"/>
      <c r="AX363" s="26"/>
      <c r="AY363" s="26"/>
      <c r="AZ363" s="26"/>
      <c r="BA363" s="26"/>
      <c r="BB363" s="26"/>
      <c r="BC363" s="60"/>
      <c r="BD363" s="26"/>
      <c r="BE363" s="26"/>
      <c r="BF363" s="26"/>
      <c r="BG363" s="26"/>
      <c r="BH363" s="26"/>
      <c r="BI363" s="26"/>
      <c r="BJ363" s="26"/>
      <c r="BK363" s="26"/>
      <c r="BL363" s="26"/>
      <c r="BM363" s="26"/>
    </row>
    <row r="364" spans="1:65" ht="30" x14ac:dyDescent="0.25">
      <c r="A364" s="163">
        <v>125</v>
      </c>
      <c r="B364" s="155" t="s">
        <v>1129</v>
      </c>
      <c r="C364" s="22" t="s">
        <v>773</v>
      </c>
      <c r="D364" s="81" t="s">
        <v>128</v>
      </c>
      <c r="E364" s="22" t="s">
        <v>124</v>
      </c>
      <c r="F364" s="33" t="s">
        <v>1038</v>
      </c>
      <c r="G364" s="33" t="s">
        <v>1131</v>
      </c>
      <c r="H364" s="23" t="s">
        <v>777</v>
      </c>
      <c r="I364" s="35">
        <v>43038</v>
      </c>
      <c r="J364" s="35">
        <v>43403</v>
      </c>
      <c r="K364" s="24" t="s">
        <v>1270</v>
      </c>
      <c r="L364" s="140" t="s">
        <v>238</v>
      </c>
      <c r="M364" s="43" t="s">
        <v>239</v>
      </c>
      <c r="N364" s="61">
        <v>43154</v>
      </c>
      <c r="O364" s="77">
        <v>74600</v>
      </c>
      <c r="P364" s="76">
        <v>12250</v>
      </c>
      <c r="Q364" s="61">
        <v>43154</v>
      </c>
      <c r="R364" s="61">
        <v>43465</v>
      </c>
      <c r="S364" s="43" t="s">
        <v>1196</v>
      </c>
      <c r="T364" s="22"/>
      <c r="U364" s="25"/>
      <c r="V364" s="25"/>
      <c r="W364" s="33" t="s">
        <v>184</v>
      </c>
      <c r="X364" s="33"/>
      <c r="Y364" s="22"/>
      <c r="Z364" s="22"/>
      <c r="AA364" s="22"/>
      <c r="AB364" s="33"/>
      <c r="AC364" s="22"/>
      <c r="AD364" s="22"/>
      <c r="AE364" s="22"/>
      <c r="AF364" s="22"/>
      <c r="AG364" s="25"/>
      <c r="AH364" s="25"/>
      <c r="AI364" s="25"/>
      <c r="AJ364" s="25"/>
      <c r="AK364" s="25"/>
      <c r="AL364" s="74">
        <f t="shared" si="3"/>
        <v>74600</v>
      </c>
      <c r="AM364" s="25"/>
      <c r="AN364" s="25">
        <f>68972+5628</f>
        <v>74600</v>
      </c>
      <c r="AO364" s="77">
        <f t="shared" si="4"/>
        <v>74600</v>
      </c>
      <c r="AP364" s="22"/>
      <c r="AQ364" s="22"/>
      <c r="AR364" s="22"/>
      <c r="AS364" s="22"/>
      <c r="AT364" s="22"/>
      <c r="AU364" s="26"/>
      <c r="AV364" s="26"/>
      <c r="AW364" s="26"/>
      <c r="AX364" s="26"/>
      <c r="AY364" s="26"/>
      <c r="AZ364" s="26"/>
      <c r="BA364" s="26"/>
      <c r="BB364" s="26"/>
      <c r="BC364" s="60"/>
      <c r="BD364" s="26"/>
      <c r="BE364" s="26"/>
      <c r="BF364" s="26"/>
      <c r="BG364" s="26"/>
      <c r="BH364" s="26"/>
      <c r="BI364" s="26"/>
      <c r="BJ364" s="26"/>
      <c r="BK364" s="26"/>
      <c r="BL364" s="26"/>
      <c r="BM364" s="26"/>
    </row>
    <row r="365" spans="1:65" ht="90" x14ac:dyDescent="0.25">
      <c r="A365" s="163">
        <v>126</v>
      </c>
      <c r="B365" s="155" t="s">
        <v>1281</v>
      </c>
      <c r="C365" s="22" t="s">
        <v>791</v>
      </c>
      <c r="D365" s="81" t="s">
        <v>128</v>
      </c>
      <c r="E365" s="22" t="s">
        <v>124</v>
      </c>
      <c r="F365" s="33" t="s">
        <v>1282</v>
      </c>
      <c r="G365" s="33" t="s">
        <v>1347</v>
      </c>
      <c r="H365" s="23" t="s">
        <v>1168</v>
      </c>
      <c r="I365" s="35">
        <v>43117</v>
      </c>
      <c r="J365" s="35">
        <v>43482</v>
      </c>
      <c r="K365" s="24" t="s">
        <v>1280</v>
      </c>
      <c r="L365" s="140" t="s">
        <v>1283</v>
      </c>
      <c r="M365" s="43" t="s">
        <v>1284</v>
      </c>
      <c r="N365" s="61">
        <v>43157</v>
      </c>
      <c r="O365" s="77">
        <v>41778.400000000001</v>
      </c>
      <c r="P365" s="76">
        <v>12254</v>
      </c>
      <c r="Q365" s="61">
        <v>43157</v>
      </c>
      <c r="R365" s="61">
        <v>43338</v>
      </c>
      <c r="S365" s="43" t="s">
        <v>1196</v>
      </c>
      <c r="T365" s="22"/>
      <c r="U365" s="25"/>
      <c r="V365" s="25"/>
      <c r="W365" s="33" t="s">
        <v>1191</v>
      </c>
      <c r="X365" s="33" t="s">
        <v>1261</v>
      </c>
      <c r="Y365" s="22" t="s">
        <v>136</v>
      </c>
      <c r="Z365" s="35">
        <v>43326</v>
      </c>
      <c r="AA365" s="34">
        <v>12374</v>
      </c>
      <c r="AB365" s="33" t="s">
        <v>1748</v>
      </c>
      <c r="AC365" s="35">
        <v>43338</v>
      </c>
      <c r="AD365" s="35">
        <v>43465</v>
      </c>
      <c r="AE365" s="22"/>
      <c r="AF365" s="22"/>
      <c r="AG365" s="25">
        <v>41778.400000000001</v>
      </c>
      <c r="AH365" s="25"/>
      <c r="AI365" s="25"/>
      <c r="AJ365" s="25"/>
      <c r="AK365" s="25"/>
      <c r="AL365" s="74">
        <f t="shared" si="3"/>
        <v>83556.800000000003</v>
      </c>
      <c r="AM365" s="25"/>
      <c r="AN365" s="25">
        <f>1029.96+971.48+2493.68+266.6+711.24+229.24</f>
        <v>5702.2</v>
      </c>
      <c r="AO365" s="77">
        <f t="shared" si="4"/>
        <v>5702.2</v>
      </c>
      <c r="AP365" s="37"/>
      <c r="AQ365" s="22"/>
      <c r="AR365" s="22"/>
      <c r="AS365" s="22"/>
      <c r="AT365" s="22"/>
      <c r="AU365" s="26"/>
      <c r="AV365" s="26"/>
      <c r="AW365" s="26"/>
      <c r="AX365" s="26"/>
      <c r="AY365" s="26"/>
      <c r="AZ365" s="26"/>
      <c r="BA365" s="26"/>
      <c r="BB365" s="26"/>
      <c r="BC365" s="60"/>
      <c r="BD365" s="26"/>
      <c r="BE365" s="26"/>
      <c r="BF365" s="26"/>
      <c r="BG365" s="26"/>
      <c r="BH365" s="26"/>
      <c r="BI365" s="26"/>
      <c r="BJ365" s="26"/>
      <c r="BK365" s="26"/>
      <c r="BL365" s="26"/>
      <c r="BM365" s="26"/>
    </row>
    <row r="366" spans="1:65" x14ac:dyDescent="0.25">
      <c r="A366" s="160">
        <v>127</v>
      </c>
      <c r="B366" s="154" t="s">
        <v>1286</v>
      </c>
      <c r="C366" s="19" t="s">
        <v>691</v>
      </c>
      <c r="D366" s="80" t="s">
        <v>225</v>
      </c>
      <c r="E366" s="19" t="s">
        <v>124</v>
      </c>
      <c r="F366" s="32" t="s">
        <v>1289</v>
      </c>
      <c r="G366" s="32" t="s">
        <v>1349</v>
      </c>
      <c r="H366" s="20"/>
      <c r="I366" s="29"/>
      <c r="J366" s="29"/>
      <c r="K366" s="45" t="s">
        <v>1285</v>
      </c>
      <c r="L366" s="143" t="s">
        <v>1287</v>
      </c>
      <c r="M366" s="27" t="s">
        <v>1288</v>
      </c>
      <c r="N366" s="31">
        <v>43158</v>
      </c>
      <c r="O366" s="78">
        <v>111821.16</v>
      </c>
      <c r="P366" s="30">
        <v>12250</v>
      </c>
      <c r="Q366" s="31">
        <v>43158</v>
      </c>
      <c r="R366" s="31">
        <v>43338</v>
      </c>
      <c r="S366" s="27" t="s">
        <v>1196</v>
      </c>
      <c r="T366" s="19"/>
      <c r="U366" s="38"/>
      <c r="V366" s="38"/>
      <c r="W366" s="32" t="s">
        <v>227</v>
      </c>
      <c r="X366" s="33"/>
      <c r="Y366" s="22"/>
      <c r="Z366" s="35"/>
      <c r="AA366" s="34"/>
      <c r="AB366" s="33"/>
      <c r="AC366" s="22"/>
      <c r="AD366" s="22"/>
      <c r="AE366" s="22"/>
      <c r="AF366" s="22"/>
      <c r="AG366" s="25"/>
      <c r="AH366" s="25"/>
      <c r="AI366" s="25"/>
      <c r="AJ366" s="25"/>
      <c r="AK366" s="25"/>
      <c r="AL366" s="38">
        <f>O366-AH366+AG366-AH368+AG368</f>
        <v>115947.36</v>
      </c>
      <c r="AM366" s="38"/>
      <c r="AN366" s="38">
        <f>18383.76+19270.94</f>
        <v>37654.699999999997</v>
      </c>
      <c r="AO366" s="38">
        <f t="shared" si="4"/>
        <v>37654.699999999997</v>
      </c>
      <c r="AP366" s="37"/>
      <c r="AQ366" s="22"/>
      <c r="AR366" s="22"/>
      <c r="AS366" s="22"/>
      <c r="AT366" s="22"/>
      <c r="AU366" s="26"/>
      <c r="AV366" s="26"/>
      <c r="AW366" s="26"/>
      <c r="AX366" s="26"/>
      <c r="AY366" s="26"/>
      <c r="AZ366" s="26"/>
      <c r="BA366" s="26"/>
      <c r="BB366" s="14" t="s">
        <v>1125</v>
      </c>
      <c r="BC366" s="27" t="s">
        <v>1020</v>
      </c>
      <c r="BD366" s="63">
        <v>43193</v>
      </c>
      <c r="BE366" s="35">
        <v>43343</v>
      </c>
      <c r="BF366" s="63"/>
      <c r="BG366" s="26"/>
      <c r="BH366" s="26"/>
      <c r="BI366" s="14" t="s">
        <v>756</v>
      </c>
      <c r="BJ366" s="14" t="s">
        <v>757</v>
      </c>
      <c r="BK366" s="26"/>
      <c r="BL366" s="26"/>
      <c r="BM366" s="26"/>
    </row>
    <row r="367" spans="1:65" ht="105" x14ac:dyDescent="0.25">
      <c r="A367" s="160"/>
      <c r="B367" s="154"/>
      <c r="C367" s="19"/>
      <c r="D367" s="27"/>
      <c r="E367" s="19"/>
      <c r="F367" s="32"/>
      <c r="G367" s="32"/>
      <c r="H367" s="20"/>
      <c r="I367" s="29"/>
      <c r="J367" s="29"/>
      <c r="K367" s="45"/>
      <c r="L367" s="143"/>
      <c r="M367" s="27"/>
      <c r="N367" s="31"/>
      <c r="O367" s="78"/>
      <c r="P367" s="30"/>
      <c r="Q367" s="31"/>
      <c r="R367" s="31"/>
      <c r="S367" s="27"/>
      <c r="T367" s="19"/>
      <c r="U367" s="38"/>
      <c r="V367" s="38"/>
      <c r="W367" s="32"/>
      <c r="X367" s="33" t="s">
        <v>861</v>
      </c>
      <c r="Y367" s="22" t="s">
        <v>136</v>
      </c>
      <c r="Z367" s="35">
        <v>43336</v>
      </c>
      <c r="AA367" s="34">
        <v>12417</v>
      </c>
      <c r="AB367" s="33" t="s">
        <v>1888</v>
      </c>
      <c r="AC367" s="35">
        <v>43338</v>
      </c>
      <c r="AD367" s="35">
        <v>43518</v>
      </c>
      <c r="AE367" s="22"/>
      <c r="AF367" s="22"/>
      <c r="AG367" s="25"/>
      <c r="AH367" s="25"/>
      <c r="AI367" s="25"/>
      <c r="AJ367" s="25"/>
      <c r="AK367" s="25"/>
      <c r="AL367" s="38"/>
      <c r="AM367" s="38"/>
      <c r="AN367" s="38"/>
      <c r="AO367" s="38"/>
      <c r="AP367" s="37"/>
      <c r="AQ367" s="22"/>
      <c r="AR367" s="22"/>
      <c r="AS367" s="22"/>
      <c r="AT367" s="22"/>
      <c r="AU367" s="26"/>
      <c r="AV367" s="26"/>
      <c r="AW367" s="26"/>
      <c r="AX367" s="26"/>
      <c r="AY367" s="26"/>
      <c r="AZ367" s="26"/>
      <c r="BA367" s="26"/>
      <c r="BB367" s="14"/>
      <c r="BC367" s="27"/>
      <c r="BD367" s="35">
        <v>43343</v>
      </c>
      <c r="BE367" s="35">
        <v>43493</v>
      </c>
      <c r="BF367" s="63"/>
      <c r="BG367" s="26"/>
      <c r="BH367" s="26"/>
      <c r="BI367" s="14"/>
      <c r="BJ367" s="14"/>
      <c r="BK367" s="26"/>
      <c r="BL367" s="26"/>
      <c r="BM367" s="26"/>
    </row>
    <row r="368" spans="1:65" ht="135" x14ac:dyDescent="0.25">
      <c r="A368" s="160"/>
      <c r="B368" s="154"/>
      <c r="C368" s="19"/>
      <c r="D368" s="27"/>
      <c r="E368" s="19"/>
      <c r="F368" s="32"/>
      <c r="G368" s="32"/>
      <c r="H368" s="19"/>
      <c r="I368" s="19"/>
      <c r="J368" s="19"/>
      <c r="K368" s="19"/>
      <c r="L368" s="143"/>
      <c r="M368" s="27"/>
      <c r="N368" s="27"/>
      <c r="O368" s="78"/>
      <c r="P368" s="27"/>
      <c r="Q368" s="27"/>
      <c r="R368" s="27"/>
      <c r="S368" s="27"/>
      <c r="T368" s="19"/>
      <c r="U368" s="38"/>
      <c r="V368" s="38"/>
      <c r="W368" s="32"/>
      <c r="X368" s="33" t="s">
        <v>365</v>
      </c>
      <c r="Y368" s="22" t="s">
        <v>140</v>
      </c>
      <c r="Z368" s="35">
        <v>43389</v>
      </c>
      <c r="AA368" s="34">
        <v>12417</v>
      </c>
      <c r="AB368" s="33" t="s">
        <v>1889</v>
      </c>
      <c r="AC368" s="35"/>
      <c r="AD368" s="35"/>
      <c r="AE368" s="22"/>
      <c r="AF368" s="22"/>
      <c r="AG368" s="25">
        <v>4126.2</v>
      </c>
      <c r="AH368" s="25"/>
      <c r="AI368" s="25"/>
      <c r="AJ368" s="25"/>
      <c r="AK368" s="25"/>
      <c r="AL368" s="38"/>
      <c r="AM368" s="38"/>
      <c r="AN368" s="38"/>
      <c r="AO368" s="38"/>
      <c r="AP368" s="37"/>
      <c r="AQ368" s="22"/>
      <c r="AR368" s="22"/>
      <c r="AS368" s="22"/>
      <c r="AT368" s="22"/>
      <c r="AU368" s="26"/>
      <c r="AV368" s="26"/>
      <c r="AW368" s="26"/>
      <c r="AX368" s="26"/>
      <c r="AY368" s="26"/>
      <c r="AZ368" s="26"/>
      <c r="BA368" s="26"/>
      <c r="BB368" s="14"/>
      <c r="BC368" s="27"/>
      <c r="BD368" s="35"/>
      <c r="BE368" s="35"/>
      <c r="BF368" s="63"/>
      <c r="BG368" s="26"/>
      <c r="BH368" s="26"/>
      <c r="BI368" s="14"/>
      <c r="BJ368" s="14"/>
      <c r="BK368" s="26"/>
      <c r="BL368" s="26"/>
      <c r="BM368" s="26"/>
    </row>
    <row r="369" spans="1:65" ht="90" x14ac:dyDescent="0.25">
      <c r="A369" s="163">
        <v>128</v>
      </c>
      <c r="B369" s="155" t="s">
        <v>1295</v>
      </c>
      <c r="C369" s="22" t="s">
        <v>1176</v>
      </c>
      <c r="D369" s="81" t="s">
        <v>128</v>
      </c>
      <c r="E369" s="22" t="s">
        <v>124</v>
      </c>
      <c r="F369" s="33" t="s">
        <v>1296</v>
      </c>
      <c r="G369" s="33" t="s">
        <v>1348</v>
      </c>
      <c r="H369" s="23" t="s">
        <v>1172</v>
      </c>
      <c r="I369" s="35">
        <v>43133</v>
      </c>
      <c r="J369" s="35">
        <v>43498</v>
      </c>
      <c r="K369" s="24" t="s">
        <v>1294</v>
      </c>
      <c r="L369" s="140" t="s">
        <v>1297</v>
      </c>
      <c r="M369" s="43" t="s">
        <v>1298</v>
      </c>
      <c r="N369" s="61">
        <v>43159</v>
      </c>
      <c r="O369" s="77">
        <v>107581</v>
      </c>
      <c r="P369" s="76">
        <v>12259</v>
      </c>
      <c r="Q369" s="61">
        <v>43159</v>
      </c>
      <c r="R369" s="61">
        <v>43340</v>
      </c>
      <c r="S369" s="43" t="s">
        <v>198</v>
      </c>
      <c r="T369" s="22"/>
      <c r="U369" s="25"/>
      <c r="V369" s="25"/>
      <c r="W369" s="33" t="s">
        <v>1191</v>
      </c>
      <c r="X369" s="33" t="s">
        <v>1261</v>
      </c>
      <c r="Y369" s="22" t="s">
        <v>136</v>
      </c>
      <c r="Z369" s="35">
        <v>43326</v>
      </c>
      <c r="AA369" s="34">
        <v>12374</v>
      </c>
      <c r="AB369" s="33" t="s">
        <v>1749</v>
      </c>
      <c r="AC369" s="35">
        <v>43340</v>
      </c>
      <c r="AD369" s="35">
        <v>43465</v>
      </c>
      <c r="AE369" s="22"/>
      <c r="AF369" s="22"/>
      <c r="AG369" s="25">
        <v>107581</v>
      </c>
      <c r="AH369" s="25"/>
      <c r="AI369" s="25"/>
      <c r="AJ369" s="25"/>
      <c r="AK369" s="25"/>
      <c r="AL369" s="74">
        <f>O369-AH369+AG369</f>
        <v>215162</v>
      </c>
      <c r="AM369" s="25"/>
      <c r="AN369" s="25">
        <f>1267.9+1342.9+1320.6+733.3+1393.8</f>
        <v>6058.5</v>
      </c>
      <c r="AO369" s="77">
        <f t="shared" si="4"/>
        <v>6058.5</v>
      </c>
      <c r="AP369" s="37"/>
      <c r="AQ369" s="22"/>
      <c r="AR369" s="22"/>
      <c r="AS369" s="22"/>
      <c r="AT369" s="22"/>
      <c r="AU369" s="26"/>
      <c r="AV369" s="26"/>
      <c r="AW369" s="26"/>
      <c r="AX369" s="26"/>
      <c r="AY369" s="26"/>
      <c r="AZ369" s="26"/>
      <c r="BA369" s="26"/>
      <c r="BB369" s="26"/>
      <c r="BC369" s="60"/>
      <c r="BD369" s="26"/>
      <c r="BE369" s="26"/>
      <c r="BF369" s="26"/>
      <c r="BG369" s="26"/>
      <c r="BH369" s="26"/>
      <c r="BI369" s="26"/>
      <c r="BJ369" s="26"/>
      <c r="BK369" s="26"/>
      <c r="BL369" s="26"/>
      <c r="BM369" s="26"/>
    </row>
    <row r="370" spans="1:65" ht="90" x14ac:dyDescent="0.25">
      <c r="A370" s="163">
        <v>129</v>
      </c>
      <c r="B370" s="155" t="s">
        <v>1188</v>
      </c>
      <c r="C370" s="22" t="s">
        <v>789</v>
      </c>
      <c r="D370" s="81" t="s">
        <v>128</v>
      </c>
      <c r="E370" s="22" t="s">
        <v>124</v>
      </c>
      <c r="F370" s="33" t="s">
        <v>1189</v>
      </c>
      <c r="G370" s="33" t="s">
        <v>1215</v>
      </c>
      <c r="H370" s="23" t="s">
        <v>786</v>
      </c>
      <c r="I370" s="35">
        <v>43082</v>
      </c>
      <c r="J370" s="35">
        <v>43447</v>
      </c>
      <c r="K370" s="24" t="s">
        <v>1351</v>
      </c>
      <c r="L370" s="140" t="s">
        <v>1190</v>
      </c>
      <c r="M370" s="43" t="s">
        <v>1352</v>
      </c>
      <c r="N370" s="61">
        <v>43159</v>
      </c>
      <c r="O370" s="77">
        <v>11622.44</v>
      </c>
      <c r="P370" s="76">
        <v>12261</v>
      </c>
      <c r="Q370" s="61">
        <v>43159</v>
      </c>
      <c r="R370" s="61">
        <v>43279</v>
      </c>
      <c r="S370" s="43" t="s">
        <v>1196</v>
      </c>
      <c r="T370" s="22"/>
      <c r="U370" s="25"/>
      <c r="V370" s="25"/>
      <c r="W370" s="33" t="s">
        <v>1191</v>
      </c>
      <c r="X370" s="33" t="s">
        <v>1261</v>
      </c>
      <c r="Y370" s="22" t="s">
        <v>136</v>
      </c>
      <c r="Z370" s="35">
        <v>43272</v>
      </c>
      <c r="AA370" s="34">
        <v>12336</v>
      </c>
      <c r="AB370" s="33" t="s">
        <v>1679</v>
      </c>
      <c r="AC370" s="35">
        <v>43279</v>
      </c>
      <c r="AD370" s="35">
        <v>43465</v>
      </c>
      <c r="AE370" s="22"/>
      <c r="AF370" s="22"/>
      <c r="AG370" s="25">
        <v>17433.66</v>
      </c>
      <c r="AH370" s="25"/>
      <c r="AI370" s="25"/>
      <c r="AJ370" s="25"/>
      <c r="AK370" s="25"/>
      <c r="AL370" s="74">
        <f t="shared" si="3"/>
        <v>29056.1</v>
      </c>
      <c r="AM370" s="25"/>
      <c r="AN370" s="25">
        <f>2905.61+2905.61+2905.61+2905.61+2905.61+2905.61+2905.61</f>
        <v>20339.27</v>
      </c>
      <c r="AO370" s="77">
        <f t="shared" si="4"/>
        <v>20339.27</v>
      </c>
      <c r="AP370" s="37"/>
      <c r="AQ370" s="22"/>
      <c r="AR370" s="22"/>
      <c r="AS370" s="22"/>
      <c r="AT370" s="22"/>
      <c r="AU370" s="26"/>
      <c r="AV370" s="26"/>
      <c r="AW370" s="26"/>
      <c r="AX370" s="26"/>
      <c r="AY370" s="26"/>
      <c r="AZ370" s="26"/>
      <c r="BA370" s="26"/>
      <c r="BB370" s="26"/>
      <c r="BC370" s="60"/>
      <c r="BD370" s="26"/>
      <c r="BE370" s="26"/>
      <c r="BF370" s="26"/>
      <c r="BG370" s="26"/>
      <c r="BH370" s="26"/>
      <c r="BI370" s="26"/>
      <c r="BJ370" s="26"/>
      <c r="BK370" s="26"/>
      <c r="BL370" s="26"/>
      <c r="BM370" s="26"/>
    </row>
    <row r="371" spans="1:65" ht="60" x14ac:dyDescent="0.25">
      <c r="A371" s="163">
        <v>130</v>
      </c>
      <c r="B371" s="155" t="s">
        <v>1299</v>
      </c>
      <c r="C371" s="22" t="s">
        <v>1175</v>
      </c>
      <c r="D371" s="81" t="s">
        <v>240</v>
      </c>
      <c r="E371" s="22" t="s">
        <v>124</v>
      </c>
      <c r="F371" s="33" t="s">
        <v>1301</v>
      </c>
      <c r="G371" s="33"/>
      <c r="H371" s="23"/>
      <c r="I371" s="35"/>
      <c r="J371" s="35"/>
      <c r="K371" s="24" t="s">
        <v>1302</v>
      </c>
      <c r="L371" s="140" t="s">
        <v>1300</v>
      </c>
      <c r="M371" s="43" t="s">
        <v>835</v>
      </c>
      <c r="N371" s="61">
        <v>43164</v>
      </c>
      <c r="O371" s="77">
        <v>60900</v>
      </c>
      <c r="P371" s="76">
        <v>12256</v>
      </c>
      <c r="Q371" s="61">
        <v>43164</v>
      </c>
      <c r="R371" s="61">
        <v>43225</v>
      </c>
      <c r="S371" s="43" t="s">
        <v>142</v>
      </c>
      <c r="T371" s="22"/>
      <c r="U371" s="25"/>
      <c r="V371" s="25"/>
      <c r="W371" s="33" t="s">
        <v>292</v>
      </c>
      <c r="X371" s="33"/>
      <c r="Y371" s="22"/>
      <c r="Z371" s="22"/>
      <c r="AA371" s="22"/>
      <c r="AB371" s="33"/>
      <c r="AC371" s="22"/>
      <c r="AD371" s="22"/>
      <c r="AE371" s="22"/>
      <c r="AF371" s="22"/>
      <c r="AG371" s="25"/>
      <c r="AH371" s="25"/>
      <c r="AI371" s="25"/>
      <c r="AJ371" s="25"/>
      <c r="AK371" s="25"/>
      <c r="AL371" s="74">
        <f t="shared" si="3"/>
        <v>60900</v>
      </c>
      <c r="AM371" s="25"/>
      <c r="AN371" s="25">
        <f>0</f>
        <v>0</v>
      </c>
      <c r="AO371" s="77">
        <f t="shared" si="4"/>
        <v>0</v>
      </c>
      <c r="AP371" s="22"/>
      <c r="AQ371" s="22"/>
      <c r="AR371" s="22"/>
      <c r="AS371" s="22"/>
      <c r="AT371" s="22"/>
      <c r="AU371" s="26"/>
      <c r="AV371" s="26" t="s">
        <v>121</v>
      </c>
      <c r="AW371" s="22" t="s">
        <v>1329</v>
      </c>
      <c r="AX371" s="64">
        <v>12250</v>
      </c>
      <c r="AY371" s="63">
        <v>43160</v>
      </c>
      <c r="AZ371" s="64">
        <v>12253</v>
      </c>
      <c r="BA371" s="63">
        <v>43164</v>
      </c>
      <c r="BB371" s="26"/>
      <c r="BC371" s="60"/>
      <c r="BD371" s="26"/>
      <c r="BE371" s="26"/>
      <c r="BF371" s="26"/>
      <c r="BG371" s="26"/>
      <c r="BH371" s="26"/>
      <c r="BI371" s="26"/>
      <c r="BJ371" s="26"/>
      <c r="BK371" s="26"/>
      <c r="BL371" s="26"/>
      <c r="BM371" s="26"/>
    </row>
    <row r="372" spans="1:65" ht="75" x14ac:dyDescent="0.25">
      <c r="A372" s="163">
        <v>131</v>
      </c>
      <c r="B372" s="155" t="s">
        <v>946</v>
      </c>
      <c r="C372" s="22" t="s">
        <v>702</v>
      </c>
      <c r="D372" s="81" t="s">
        <v>128</v>
      </c>
      <c r="E372" s="22" t="s">
        <v>124</v>
      </c>
      <c r="F372" s="33" t="s">
        <v>947</v>
      </c>
      <c r="G372" s="33" t="s">
        <v>950</v>
      </c>
      <c r="H372" s="23" t="s">
        <v>696</v>
      </c>
      <c r="I372" s="35">
        <v>42885</v>
      </c>
      <c r="J372" s="35">
        <v>43250</v>
      </c>
      <c r="K372" s="24" t="s">
        <v>1303</v>
      </c>
      <c r="L372" s="140" t="s">
        <v>475</v>
      </c>
      <c r="M372" s="43" t="s">
        <v>476</v>
      </c>
      <c r="N372" s="61">
        <v>43164</v>
      </c>
      <c r="O372" s="77">
        <v>10080</v>
      </c>
      <c r="P372" s="76">
        <v>12259</v>
      </c>
      <c r="Q372" s="61">
        <v>43164</v>
      </c>
      <c r="R372" s="61">
        <v>43465</v>
      </c>
      <c r="S372" s="43" t="s">
        <v>1304</v>
      </c>
      <c r="T372" s="22"/>
      <c r="U372" s="25"/>
      <c r="V372" s="25"/>
      <c r="W372" s="33" t="s">
        <v>787</v>
      </c>
      <c r="X372" s="33"/>
      <c r="Y372" s="22"/>
      <c r="Z372" s="22"/>
      <c r="AA372" s="22"/>
      <c r="AB372" s="33"/>
      <c r="AC372" s="22"/>
      <c r="AD372" s="22"/>
      <c r="AE372" s="22"/>
      <c r="AF372" s="22"/>
      <c r="AG372" s="25"/>
      <c r="AH372" s="25"/>
      <c r="AI372" s="25"/>
      <c r="AJ372" s="25"/>
      <c r="AK372" s="25"/>
      <c r="AL372" s="74">
        <f t="shared" si="3"/>
        <v>10080</v>
      </c>
      <c r="AM372" s="25"/>
      <c r="AN372" s="25">
        <f>10080</f>
        <v>10080</v>
      </c>
      <c r="AO372" s="77">
        <f t="shared" si="4"/>
        <v>10080</v>
      </c>
      <c r="AP372" s="22"/>
      <c r="AQ372" s="22"/>
      <c r="AR372" s="22"/>
      <c r="AS372" s="22"/>
      <c r="AT372" s="22"/>
      <c r="AU372" s="26"/>
      <c r="AV372" s="26"/>
      <c r="AW372" s="26"/>
      <c r="AX372" s="26"/>
      <c r="AY372" s="26"/>
      <c r="AZ372" s="26"/>
      <c r="BA372" s="26"/>
      <c r="BB372" s="26"/>
      <c r="BC372" s="60"/>
      <c r="BD372" s="26"/>
      <c r="BE372" s="26"/>
      <c r="BF372" s="26"/>
      <c r="BG372" s="26"/>
      <c r="BH372" s="26"/>
      <c r="BI372" s="26"/>
      <c r="BJ372" s="26"/>
      <c r="BK372" s="26"/>
      <c r="BL372" s="26"/>
      <c r="BM372" s="26"/>
    </row>
    <row r="373" spans="1:65" ht="45" x14ac:dyDescent="0.25">
      <c r="A373" s="163">
        <v>132</v>
      </c>
      <c r="B373" s="155" t="s">
        <v>1223</v>
      </c>
      <c r="C373" s="22" t="s">
        <v>770</v>
      </c>
      <c r="D373" s="81" t="s">
        <v>128</v>
      </c>
      <c r="E373" s="22" t="s">
        <v>124</v>
      </c>
      <c r="F373" s="33" t="s">
        <v>1224</v>
      </c>
      <c r="G373" s="33" t="s">
        <v>1225</v>
      </c>
      <c r="H373" s="23" t="s">
        <v>710</v>
      </c>
      <c r="I373" s="35">
        <v>42990</v>
      </c>
      <c r="J373" s="35">
        <v>43355</v>
      </c>
      <c r="K373" s="24" t="s">
        <v>1305</v>
      </c>
      <c r="L373" s="140" t="s">
        <v>360</v>
      </c>
      <c r="M373" s="43" t="s">
        <v>229</v>
      </c>
      <c r="N373" s="61">
        <v>43164</v>
      </c>
      <c r="O373" s="77">
        <v>63968.24</v>
      </c>
      <c r="P373" s="76">
        <v>12260</v>
      </c>
      <c r="Q373" s="61">
        <v>43164</v>
      </c>
      <c r="R373" s="61">
        <v>43465</v>
      </c>
      <c r="S373" s="43" t="s">
        <v>1306</v>
      </c>
      <c r="T373" s="22"/>
      <c r="U373" s="25"/>
      <c r="V373" s="25"/>
      <c r="W373" s="33" t="s">
        <v>787</v>
      </c>
      <c r="X373" s="33"/>
      <c r="Y373" s="22"/>
      <c r="Z373" s="22"/>
      <c r="AA373" s="22"/>
      <c r="AB373" s="33"/>
      <c r="AC373" s="22"/>
      <c r="AD373" s="22"/>
      <c r="AE373" s="22"/>
      <c r="AF373" s="22"/>
      <c r="AG373" s="25"/>
      <c r="AH373" s="25"/>
      <c r="AI373" s="25"/>
      <c r="AJ373" s="25"/>
      <c r="AK373" s="25"/>
      <c r="AL373" s="74">
        <f t="shared" si="3"/>
        <v>63968.24</v>
      </c>
      <c r="AM373" s="25"/>
      <c r="AN373" s="25">
        <f>63968.24</f>
        <v>63968.24</v>
      </c>
      <c r="AO373" s="77">
        <f t="shared" si="4"/>
        <v>63968.24</v>
      </c>
      <c r="AP373" s="22"/>
      <c r="AQ373" s="22"/>
      <c r="AR373" s="22"/>
      <c r="AS373" s="22"/>
      <c r="AT373" s="22"/>
      <c r="AU373" s="26"/>
      <c r="AV373" s="26"/>
      <c r="AW373" s="26"/>
      <c r="AX373" s="26"/>
      <c r="AY373" s="26"/>
      <c r="AZ373" s="26"/>
      <c r="BA373" s="26"/>
      <c r="BB373" s="26"/>
      <c r="BC373" s="60"/>
      <c r="BD373" s="26"/>
      <c r="BE373" s="26"/>
      <c r="BF373" s="26"/>
      <c r="BG373" s="26"/>
      <c r="BH373" s="26"/>
      <c r="BI373" s="26"/>
      <c r="BJ373" s="26"/>
      <c r="BK373" s="26"/>
      <c r="BL373" s="26"/>
      <c r="BM373" s="26"/>
    </row>
    <row r="374" spans="1:65" ht="90" x14ac:dyDescent="0.25">
      <c r="A374" s="163">
        <v>133</v>
      </c>
      <c r="B374" s="155" t="s">
        <v>1308</v>
      </c>
      <c r="C374" s="22" t="s">
        <v>1181</v>
      </c>
      <c r="D374" s="81" t="s">
        <v>128</v>
      </c>
      <c r="E374" s="22" t="s">
        <v>124</v>
      </c>
      <c r="F374" s="33" t="s">
        <v>1309</v>
      </c>
      <c r="G374" s="33" t="s">
        <v>1350</v>
      </c>
      <c r="H374" s="23" t="s">
        <v>1174</v>
      </c>
      <c r="I374" s="35">
        <v>43154</v>
      </c>
      <c r="J374" s="35">
        <v>43519</v>
      </c>
      <c r="K374" s="24" t="s">
        <v>1307</v>
      </c>
      <c r="L374" s="140" t="s">
        <v>1001</v>
      </c>
      <c r="M374" s="43" t="s">
        <v>1002</v>
      </c>
      <c r="N374" s="61">
        <v>43166</v>
      </c>
      <c r="O374" s="77">
        <v>17427.5</v>
      </c>
      <c r="P374" s="76">
        <v>12259</v>
      </c>
      <c r="Q374" s="61">
        <v>43166</v>
      </c>
      <c r="R374" s="61">
        <v>43465</v>
      </c>
      <c r="S374" s="43" t="s">
        <v>1193</v>
      </c>
      <c r="T374" s="22"/>
      <c r="U374" s="25"/>
      <c r="V374" s="25"/>
      <c r="W374" s="33" t="s">
        <v>1191</v>
      </c>
      <c r="X374" s="33"/>
      <c r="Y374" s="22"/>
      <c r="Z374" s="22"/>
      <c r="AA374" s="22"/>
      <c r="AB374" s="33"/>
      <c r="AC374" s="22"/>
      <c r="AD374" s="22"/>
      <c r="AE374" s="22"/>
      <c r="AF374" s="22"/>
      <c r="AG374" s="25"/>
      <c r="AH374" s="25"/>
      <c r="AI374" s="25"/>
      <c r="AJ374" s="25"/>
      <c r="AK374" s="25"/>
      <c r="AL374" s="74">
        <f>O374-AH374+AG374</f>
        <v>17427.5</v>
      </c>
      <c r="AM374" s="25"/>
      <c r="AN374" s="25">
        <f>1150.86+6539.58+1732.86</f>
        <v>9423.2999999999993</v>
      </c>
      <c r="AO374" s="77">
        <f t="shared" si="4"/>
        <v>9423.2999999999993</v>
      </c>
      <c r="AP374" s="37"/>
      <c r="AQ374" s="22"/>
      <c r="AR374" s="22"/>
      <c r="AS374" s="22"/>
      <c r="AT374" s="22"/>
      <c r="AU374" s="26"/>
      <c r="AV374" s="26"/>
      <c r="AW374" s="26"/>
      <c r="AX374" s="26"/>
      <c r="AY374" s="26"/>
      <c r="AZ374" s="26"/>
      <c r="BA374" s="26"/>
      <c r="BB374" s="26"/>
      <c r="BC374" s="60"/>
      <c r="BD374" s="26"/>
      <c r="BE374" s="26"/>
      <c r="BF374" s="26"/>
      <c r="BG374" s="26"/>
      <c r="BH374" s="26"/>
      <c r="BI374" s="26"/>
      <c r="BJ374" s="26"/>
      <c r="BK374" s="26"/>
      <c r="BL374" s="26"/>
      <c r="BM374" s="26"/>
    </row>
    <row r="375" spans="1:65" ht="30" x14ac:dyDescent="0.25">
      <c r="A375" s="163">
        <v>134</v>
      </c>
      <c r="B375" s="155" t="s">
        <v>824</v>
      </c>
      <c r="C375" s="22" t="s">
        <v>686</v>
      </c>
      <c r="D375" s="81" t="s">
        <v>128</v>
      </c>
      <c r="E375" s="22" t="s">
        <v>124</v>
      </c>
      <c r="F375" s="33" t="s">
        <v>825</v>
      </c>
      <c r="G375" s="33" t="s">
        <v>840</v>
      </c>
      <c r="H375" s="23" t="s">
        <v>686</v>
      </c>
      <c r="I375" s="35">
        <v>42802</v>
      </c>
      <c r="J375" s="35">
        <v>43167</v>
      </c>
      <c r="K375" s="24" t="s">
        <v>1310</v>
      </c>
      <c r="L375" s="140" t="s">
        <v>792</v>
      </c>
      <c r="M375" s="43" t="s">
        <v>793</v>
      </c>
      <c r="N375" s="61">
        <v>43166</v>
      </c>
      <c r="O375" s="77">
        <v>8410</v>
      </c>
      <c r="P375" s="76">
        <v>12261</v>
      </c>
      <c r="Q375" s="61">
        <v>43166</v>
      </c>
      <c r="R375" s="61">
        <v>43465</v>
      </c>
      <c r="S375" s="43" t="s">
        <v>1311</v>
      </c>
      <c r="T375" s="22"/>
      <c r="U375" s="25"/>
      <c r="V375" s="25"/>
      <c r="W375" s="33" t="s">
        <v>184</v>
      </c>
      <c r="X375" s="33"/>
      <c r="Y375" s="22"/>
      <c r="Z375" s="22"/>
      <c r="AA375" s="22"/>
      <c r="AB375" s="33"/>
      <c r="AC375" s="22"/>
      <c r="AD375" s="22"/>
      <c r="AE375" s="22"/>
      <c r="AF375" s="22"/>
      <c r="AG375" s="25"/>
      <c r="AH375" s="25"/>
      <c r="AI375" s="25"/>
      <c r="AJ375" s="25"/>
      <c r="AK375" s="25"/>
      <c r="AL375" s="74">
        <f t="shared" si="3"/>
        <v>8410</v>
      </c>
      <c r="AM375" s="25"/>
      <c r="AN375" s="25">
        <f>210</f>
        <v>210</v>
      </c>
      <c r="AO375" s="77">
        <f t="shared" si="4"/>
        <v>210</v>
      </c>
      <c r="AP375" s="37"/>
      <c r="AQ375" s="22"/>
      <c r="AR375" s="22"/>
      <c r="AS375" s="22"/>
      <c r="AT375" s="22"/>
      <c r="AU375" s="26"/>
      <c r="AV375" s="26"/>
      <c r="AW375" s="26"/>
      <c r="AX375" s="26"/>
      <c r="AY375" s="26"/>
      <c r="AZ375" s="26"/>
      <c r="BA375" s="26"/>
      <c r="BB375" s="26"/>
      <c r="BC375" s="60"/>
      <c r="BD375" s="26"/>
      <c r="BE375" s="26"/>
      <c r="BF375" s="26"/>
      <c r="BG375" s="26"/>
      <c r="BH375" s="26"/>
      <c r="BI375" s="26"/>
      <c r="BJ375" s="26"/>
      <c r="BK375" s="26"/>
      <c r="BL375" s="26"/>
      <c r="BM375" s="26"/>
    </row>
    <row r="376" spans="1:65" ht="30" x14ac:dyDescent="0.25">
      <c r="A376" s="163">
        <v>135</v>
      </c>
      <c r="B376" s="155" t="s">
        <v>824</v>
      </c>
      <c r="C376" s="22" t="s">
        <v>686</v>
      </c>
      <c r="D376" s="81" t="s">
        <v>128</v>
      </c>
      <c r="E376" s="22" t="s">
        <v>124</v>
      </c>
      <c r="F376" s="33" t="s">
        <v>825</v>
      </c>
      <c r="G376" s="33" t="s">
        <v>840</v>
      </c>
      <c r="H376" s="23" t="s">
        <v>686</v>
      </c>
      <c r="I376" s="35">
        <v>42802</v>
      </c>
      <c r="J376" s="35">
        <v>43167</v>
      </c>
      <c r="K376" s="24" t="s">
        <v>1312</v>
      </c>
      <c r="L376" s="140" t="s">
        <v>846</v>
      </c>
      <c r="M376" s="43" t="s">
        <v>835</v>
      </c>
      <c r="N376" s="61">
        <v>43166</v>
      </c>
      <c r="O376" s="77">
        <v>13335.9</v>
      </c>
      <c r="P376" s="76">
        <v>12261</v>
      </c>
      <c r="Q376" s="61">
        <v>43166</v>
      </c>
      <c r="R376" s="61">
        <v>43465</v>
      </c>
      <c r="S376" s="43" t="s">
        <v>1311</v>
      </c>
      <c r="T376" s="22"/>
      <c r="U376" s="25"/>
      <c r="V376" s="25"/>
      <c r="W376" s="33" t="s">
        <v>184</v>
      </c>
      <c r="X376" s="33"/>
      <c r="Y376" s="22"/>
      <c r="Z376" s="22"/>
      <c r="AA376" s="22"/>
      <c r="AB376" s="33"/>
      <c r="AC376" s="22"/>
      <c r="AD376" s="22"/>
      <c r="AE376" s="22"/>
      <c r="AF376" s="22"/>
      <c r="AG376" s="25"/>
      <c r="AH376" s="25"/>
      <c r="AI376" s="25"/>
      <c r="AJ376" s="25"/>
      <c r="AK376" s="25"/>
      <c r="AL376" s="74">
        <f t="shared" si="3"/>
        <v>13335.9</v>
      </c>
      <c r="AM376" s="25"/>
      <c r="AN376" s="25">
        <f>0</f>
        <v>0</v>
      </c>
      <c r="AO376" s="77">
        <f t="shared" si="4"/>
        <v>0</v>
      </c>
      <c r="AP376" s="22"/>
      <c r="AQ376" s="22"/>
      <c r="AR376" s="22"/>
      <c r="AS376" s="22"/>
      <c r="AT376" s="22"/>
      <c r="AU376" s="26"/>
      <c r="AV376" s="26"/>
      <c r="AW376" s="26"/>
      <c r="AX376" s="26"/>
      <c r="AY376" s="26"/>
      <c r="AZ376" s="26"/>
      <c r="BA376" s="26"/>
      <c r="BB376" s="26"/>
      <c r="BC376" s="60"/>
      <c r="BD376" s="26"/>
      <c r="BE376" s="26"/>
      <c r="BF376" s="26"/>
      <c r="BG376" s="26"/>
      <c r="BH376" s="26"/>
      <c r="BI376" s="26"/>
      <c r="BJ376" s="26"/>
      <c r="BK376" s="26"/>
      <c r="BL376" s="26"/>
      <c r="BM376" s="26"/>
    </row>
    <row r="377" spans="1:65" ht="30" x14ac:dyDescent="0.25">
      <c r="A377" s="163">
        <v>136</v>
      </c>
      <c r="B377" s="155" t="s">
        <v>824</v>
      </c>
      <c r="C377" s="22" t="s">
        <v>686</v>
      </c>
      <c r="D377" s="81" t="s">
        <v>128</v>
      </c>
      <c r="E377" s="22" t="s">
        <v>124</v>
      </c>
      <c r="F377" s="33" t="s">
        <v>825</v>
      </c>
      <c r="G377" s="33" t="s">
        <v>840</v>
      </c>
      <c r="H377" s="23" t="s">
        <v>686</v>
      </c>
      <c r="I377" s="35">
        <v>42802</v>
      </c>
      <c r="J377" s="35">
        <v>43167</v>
      </c>
      <c r="K377" s="24" t="s">
        <v>1313</v>
      </c>
      <c r="L377" s="140" t="s">
        <v>576</v>
      </c>
      <c r="M377" s="43" t="s">
        <v>592</v>
      </c>
      <c r="N377" s="61">
        <v>43166</v>
      </c>
      <c r="O377" s="77">
        <v>11693.98</v>
      </c>
      <c r="P377" s="76">
        <v>12261</v>
      </c>
      <c r="Q377" s="61">
        <v>43166</v>
      </c>
      <c r="R377" s="61">
        <v>43465</v>
      </c>
      <c r="S377" s="43" t="s">
        <v>1311</v>
      </c>
      <c r="T377" s="22"/>
      <c r="U377" s="25"/>
      <c r="V377" s="25"/>
      <c r="W377" s="33" t="s">
        <v>184</v>
      </c>
      <c r="X377" s="33"/>
      <c r="Y377" s="22"/>
      <c r="Z377" s="22"/>
      <c r="AA377" s="22"/>
      <c r="AB377" s="33"/>
      <c r="AC377" s="22"/>
      <c r="AD377" s="22"/>
      <c r="AE377" s="22"/>
      <c r="AF377" s="22"/>
      <c r="AG377" s="25"/>
      <c r="AH377" s="25"/>
      <c r="AI377" s="25"/>
      <c r="AJ377" s="25"/>
      <c r="AK377" s="25"/>
      <c r="AL377" s="74">
        <f t="shared" si="3"/>
        <v>11693.98</v>
      </c>
      <c r="AM377" s="25"/>
      <c r="AN377" s="25">
        <f>2714.88</f>
        <v>2714.88</v>
      </c>
      <c r="AO377" s="77">
        <f t="shared" si="4"/>
        <v>2714.88</v>
      </c>
      <c r="AP377" s="37"/>
      <c r="AQ377" s="22"/>
      <c r="AR377" s="22"/>
      <c r="AS377" s="22"/>
      <c r="AT377" s="22"/>
      <c r="AU377" s="26"/>
      <c r="AV377" s="26"/>
      <c r="AW377" s="26"/>
      <c r="AX377" s="26"/>
      <c r="AY377" s="26"/>
      <c r="AZ377" s="26"/>
      <c r="BA377" s="26"/>
      <c r="BB377" s="26"/>
      <c r="BC377" s="60"/>
      <c r="BD377" s="26"/>
      <c r="BE377" s="26"/>
      <c r="BF377" s="26"/>
      <c r="BG377" s="26"/>
      <c r="BH377" s="26"/>
      <c r="BI377" s="26"/>
      <c r="BJ377" s="26"/>
      <c r="BK377" s="26"/>
      <c r="BL377" s="26"/>
      <c r="BM377" s="26"/>
    </row>
    <row r="378" spans="1:65" ht="30" x14ac:dyDescent="0.25">
      <c r="A378" s="163">
        <v>137</v>
      </c>
      <c r="B378" s="155" t="s">
        <v>824</v>
      </c>
      <c r="C378" s="22" t="s">
        <v>686</v>
      </c>
      <c r="D378" s="81" t="s">
        <v>128</v>
      </c>
      <c r="E378" s="22" t="s">
        <v>124</v>
      </c>
      <c r="F378" s="33" t="s">
        <v>825</v>
      </c>
      <c r="G378" s="33" t="s">
        <v>840</v>
      </c>
      <c r="H378" s="23" t="s">
        <v>686</v>
      </c>
      <c r="I378" s="35">
        <v>42802</v>
      </c>
      <c r="J378" s="35">
        <v>43167</v>
      </c>
      <c r="K378" s="24" t="s">
        <v>1314</v>
      </c>
      <c r="L378" s="140" t="s">
        <v>799</v>
      </c>
      <c r="M378" s="43" t="s">
        <v>575</v>
      </c>
      <c r="N378" s="61">
        <v>43166</v>
      </c>
      <c r="O378" s="77">
        <v>27643.52</v>
      </c>
      <c r="P378" s="76">
        <v>12263</v>
      </c>
      <c r="Q378" s="61">
        <v>43166</v>
      </c>
      <c r="R378" s="61">
        <v>43465</v>
      </c>
      <c r="S378" s="43" t="s">
        <v>1311</v>
      </c>
      <c r="T378" s="22"/>
      <c r="U378" s="25"/>
      <c r="V378" s="25"/>
      <c r="W378" s="33" t="s">
        <v>184</v>
      </c>
      <c r="X378" s="33"/>
      <c r="Y378" s="22"/>
      <c r="Z378" s="22"/>
      <c r="AA378" s="22"/>
      <c r="AB378" s="33"/>
      <c r="AC378" s="22"/>
      <c r="AD378" s="22"/>
      <c r="AE378" s="22"/>
      <c r="AF378" s="22"/>
      <c r="AG378" s="25"/>
      <c r="AH378" s="25"/>
      <c r="AI378" s="25"/>
      <c r="AJ378" s="25"/>
      <c r="AK378" s="25"/>
      <c r="AL378" s="74">
        <f t="shared" si="3"/>
        <v>27643.52</v>
      </c>
      <c r="AM378" s="25"/>
      <c r="AN378" s="25">
        <f>3063.7</f>
        <v>3063.7</v>
      </c>
      <c r="AO378" s="77">
        <f t="shared" si="4"/>
        <v>3063.7</v>
      </c>
      <c r="AP378" s="37"/>
      <c r="AQ378" s="22"/>
      <c r="AR378" s="22"/>
      <c r="AS378" s="22"/>
      <c r="AT378" s="22"/>
      <c r="AU378" s="26"/>
      <c r="AV378" s="26"/>
      <c r="AW378" s="26"/>
      <c r="AX378" s="26"/>
      <c r="AY378" s="26"/>
      <c r="AZ378" s="26"/>
      <c r="BA378" s="26"/>
      <c r="BB378" s="26"/>
      <c r="BC378" s="60"/>
      <c r="BD378" s="26"/>
      <c r="BE378" s="26"/>
      <c r="BF378" s="26"/>
      <c r="BG378" s="26"/>
      <c r="BH378" s="26"/>
      <c r="BI378" s="26"/>
      <c r="BJ378" s="26"/>
      <c r="BK378" s="26"/>
      <c r="BL378" s="26"/>
      <c r="BM378" s="26"/>
    </row>
    <row r="379" spans="1:65" ht="30" x14ac:dyDescent="0.25">
      <c r="A379" s="163">
        <v>138</v>
      </c>
      <c r="B379" s="155" t="s">
        <v>824</v>
      </c>
      <c r="C379" s="22" t="s">
        <v>686</v>
      </c>
      <c r="D379" s="81" t="s">
        <v>128</v>
      </c>
      <c r="E379" s="22" t="s">
        <v>124</v>
      </c>
      <c r="F379" s="33" t="s">
        <v>825</v>
      </c>
      <c r="G379" s="33" t="s">
        <v>840</v>
      </c>
      <c r="H379" s="23" t="s">
        <v>686</v>
      </c>
      <c r="I379" s="35">
        <v>42802</v>
      </c>
      <c r="J379" s="35">
        <v>43167</v>
      </c>
      <c r="K379" s="24" t="s">
        <v>1315</v>
      </c>
      <c r="L379" s="140" t="s">
        <v>828</v>
      </c>
      <c r="M379" s="43" t="s">
        <v>829</v>
      </c>
      <c r="N379" s="61">
        <v>43166</v>
      </c>
      <c r="O379" s="77">
        <v>59126</v>
      </c>
      <c r="P379" s="76">
        <v>12261</v>
      </c>
      <c r="Q379" s="61">
        <v>43166</v>
      </c>
      <c r="R379" s="61">
        <v>43465</v>
      </c>
      <c r="S379" s="43" t="s">
        <v>1311</v>
      </c>
      <c r="T379" s="22"/>
      <c r="U379" s="25"/>
      <c r="V379" s="25"/>
      <c r="W379" s="33" t="s">
        <v>184</v>
      </c>
      <c r="X379" s="33"/>
      <c r="Y379" s="22"/>
      <c r="Z379" s="22"/>
      <c r="AA379" s="22"/>
      <c r="AB379" s="33"/>
      <c r="AC379" s="22"/>
      <c r="AD379" s="22"/>
      <c r="AE379" s="22"/>
      <c r="AF379" s="22"/>
      <c r="AG379" s="25"/>
      <c r="AH379" s="25"/>
      <c r="AI379" s="25"/>
      <c r="AJ379" s="25"/>
      <c r="AK379" s="25"/>
      <c r="AL379" s="74">
        <f t="shared" si="3"/>
        <v>59126</v>
      </c>
      <c r="AM379" s="25"/>
      <c r="AN379" s="25">
        <f>9761</f>
        <v>9761</v>
      </c>
      <c r="AO379" s="77">
        <f t="shared" si="4"/>
        <v>9761</v>
      </c>
      <c r="AP379" s="37"/>
      <c r="AQ379" s="22"/>
      <c r="AR379" s="22"/>
      <c r="AS379" s="22"/>
      <c r="AT379" s="22"/>
      <c r="AU379" s="26"/>
      <c r="AV379" s="26"/>
      <c r="AW379" s="26"/>
      <c r="AX379" s="26"/>
      <c r="AY379" s="26"/>
      <c r="AZ379" s="26"/>
      <c r="BA379" s="26"/>
      <c r="BB379" s="26"/>
      <c r="BC379" s="60"/>
      <c r="BD379" s="26"/>
      <c r="BE379" s="26"/>
      <c r="BF379" s="26"/>
      <c r="BG379" s="26"/>
      <c r="BH379" s="26"/>
      <c r="BI379" s="26"/>
      <c r="BJ379" s="26"/>
      <c r="BK379" s="26"/>
      <c r="BL379" s="26"/>
      <c r="BM379" s="26"/>
    </row>
    <row r="380" spans="1:65" ht="30" x14ac:dyDescent="0.25">
      <c r="A380" s="163">
        <v>139</v>
      </c>
      <c r="B380" s="155" t="s">
        <v>824</v>
      </c>
      <c r="C380" s="22" t="s">
        <v>686</v>
      </c>
      <c r="D380" s="81" t="s">
        <v>128</v>
      </c>
      <c r="E380" s="22" t="s">
        <v>124</v>
      </c>
      <c r="F380" s="33" t="s">
        <v>825</v>
      </c>
      <c r="G380" s="33" t="s">
        <v>840</v>
      </c>
      <c r="H380" s="23" t="s">
        <v>686</v>
      </c>
      <c r="I380" s="35">
        <v>42802</v>
      </c>
      <c r="J380" s="35">
        <v>43167</v>
      </c>
      <c r="K380" s="24" t="s">
        <v>1316</v>
      </c>
      <c r="L380" s="140" t="s">
        <v>826</v>
      </c>
      <c r="M380" s="43" t="s">
        <v>827</v>
      </c>
      <c r="N380" s="61">
        <v>43166</v>
      </c>
      <c r="O380" s="77">
        <v>6311</v>
      </c>
      <c r="P380" s="76">
        <v>12261</v>
      </c>
      <c r="Q380" s="61">
        <v>43166</v>
      </c>
      <c r="R380" s="61">
        <v>43465</v>
      </c>
      <c r="S380" s="43" t="s">
        <v>1311</v>
      </c>
      <c r="T380" s="22"/>
      <c r="U380" s="25"/>
      <c r="V380" s="25"/>
      <c r="W380" s="33" t="s">
        <v>184</v>
      </c>
      <c r="X380" s="33"/>
      <c r="Y380" s="22"/>
      <c r="Z380" s="22"/>
      <c r="AA380" s="22"/>
      <c r="AB380" s="33"/>
      <c r="AC380" s="22"/>
      <c r="AD380" s="22"/>
      <c r="AE380" s="22"/>
      <c r="AF380" s="22"/>
      <c r="AG380" s="25"/>
      <c r="AH380" s="25"/>
      <c r="AI380" s="25"/>
      <c r="AJ380" s="25"/>
      <c r="AK380" s="25"/>
      <c r="AL380" s="74">
        <f t="shared" si="3"/>
        <v>6311</v>
      </c>
      <c r="AM380" s="25"/>
      <c r="AN380" s="25">
        <f>1265.32</f>
        <v>1265.32</v>
      </c>
      <c r="AO380" s="77">
        <f t="shared" si="4"/>
        <v>1265.32</v>
      </c>
      <c r="AP380" s="37"/>
      <c r="AQ380" s="22"/>
      <c r="AR380" s="22"/>
      <c r="AS380" s="22"/>
      <c r="AT380" s="22"/>
      <c r="AU380" s="26"/>
      <c r="AV380" s="26"/>
      <c r="AW380" s="26"/>
      <c r="AX380" s="26"/>
      <c r="AY380" s="26"/>
      <c r="AZ380" s="26"/>
      <c r="BA380" s="26"/>
      <c r="BB380" s="26"/>
      <c r="BC380" s="60"/>
      <c r="BD380" s="26"/>
      <c r="BE380" s="26"/>
      <c r="BF380" s="26"/>
      <c r="BG380" s="26"/>
      <c r="BH380" s="26"/>
      <c r="BI380" s="26"/>
      <c r="BJ380" s="26"/>
      <c r="BK380" s="26"/>
      <c r="BL380" s="26"/>
      <c r="BM380" s="26"/>
    </row>
    <row r="381" spans="1:65" ht="30" x14ac:dyDescent="0.25">
      <c r="A381" s="163">
        <v>140</v>
      </c>
      <c r="B381" s="155" t="s">
        <v>824</v>
      </c>
      <c r="C381" s="22" t="s">
        <v>686</v>
      </c>
      <c r="D381" s="81" t="s">
        <v>128</v>
      </c>
      <c r="E381" s="22" t="s">
        <v>124</v>
      </c>
      <c r="F381" s="33" t="s">
        <v>825</v>
      </c>
      <c r="G381" s="33" t="s">
        <v>840</v>
      </c>
      <c r="H381" s="23" t="s">
        <v>686</v>
      </c>
      <c r="I381" s="35">
        <v>42802</v>
      </c>
      <c r="J381" s="35">
        <v>43167</v>
      </c>
      <c r="K381" s="24" t="s">
        <v>1317</v>
      </c>
      <c r="L381" s="140" t="s">
        <v>477</v>
      </c>
      <c r="M381" s="43" t="s">
        <v>478</v>
      </c>
      <c r="N381" s="61">
        <v>43166</v>
      </c>
      <c r="O381" s="77">
        <v>5075.5</v>
      </c>
      <c r="P381" s="76">
        <v>12264</v>
      </c>
      <c r="Q381" s="61">
        <v>43166</v>
      </c>
      <c r="R381" s="61">
        <v>43465</v>
      </c>
      <c r="S381" s="43" t="s">
        <v>1311</v>
      </c>
      <c r="T381" s="22"/>
      <c r="U381" s="25"/>
      <c r="V381" s="25"/>
      <c r="W381" s="33" t="s">
        <v>184</v>
      </c>
      <c r="X381" s="33"/>
      <c r="Y381" s="22"/>
      <c r="Z381" s="22"/>
      <c r="AA381" s="22"/>
      <c r="AB381" s="33"/>
      <c r="AC381" s="22"/>
      <c r="AD381" s="22"/>
      <c r="AE381" s="22"/>
      <c r="AF381" s="22"/>
      <c r="AG381" s="25"/>
      <c r="AH381" s="25"/>
      <c r="AI381" s="25"/>
      <c r="AJ381" s="25"/>
      <c r="AK381" s="25"/>
      <c r="AL381" s="74">
        <f>O381-AH381+AG381</f>
        <v>5075.5</v>
      </c>
      <c r="AM381" s="25"/>
      <c r="AN381" s="25">
        <f>0</f>
        <v>0</v>
      </c>
      <c r="AO381" s="77">
        <f t="shared" si="4"/>
        <v>0</v>
      </c>
      <c r="AP381" s="22"/>
      <c r="AQ381" s="22"/>
      <c r="AR381" s="22"/>
      <c r="AS381" s="22"/>
      <c r="AT381" s="22"/>
      <c r="AU381" s="26"/>
      <c r="AV381" s="26"/>
      <c r="AW381" s="26"/>
      <c r="AX381" s="26"/>
      <c r="AY381" s="26"/>
      <c r="AZ381" s="26"/>
      <c r="BA381" s="26"/>
      <c r="BB381" s="26"/>
      <c r="BC381" s="60"/>
      <c r="BD381" s="26"/>
      <c r="BE381" s="26"/>
      <c r="BF381" s="26"/>
      <c r="BG381" s="26"/>
      <c r="BH381" s="26"/>
      <c r="BI381" s="26"/>
      <c r="BJ381" s="26"/>
      <c r="BK381" s="26"/>
      <c r="BL381" s="26"/>
      <c r="BM381" s="26"/>
    </row>
    <row r="382" spans="1:65" ht="30" x14ac:dyDescent="0.25">
      <c r="A382" s="163">
        <v>141</v>
      </c>
      <c r="B382" s="155" t="s">
        <v>824</v>
      </c>
      <c r="C382" s="22" t="s">
        <v>686</v>
      </c>
      <c r="D382" s="81" t="s">
        <v>128</v>
      </c>
      <c r="E382" s="22" t="s">
        <v>124</v>
      </c>
      <c r="F382" s="33" t="s">
        <v>825</v>
      </c>
      <c r="G382" s="33" t="s">
        <v>840</v>
      </c>
      <c r="H382" s="23" t="s">
        <v>686</v>
      </c>
      <c r="I382" s="35">
        <v>42802</v>
      </c>
      <c r="J382" s="35">
        <v>43167</v>
      </c>
      <c r="K382" s="24" t="s">
        <v>1318</v>
      </c>
      <c r="L382" s="140" t="s">
        <v>830</v>
      </c>
      <c r="M382" s="43" t="s">
        <v>831</v>
      </c>
      <c r="N382" s="61">
        <v>43166</v>
      </c>
      <c r="O382" s="77">
        <v>60277.14</v>
      </c>
      <c r="P382" s="76">
        <v>12261</v>
      </c>
      <c r="Q382" s="61">
        <v>43166</v>
      </c>
      <c r="R382" s="61">
        <v>43465</v>
      </c>
      <c r="S382" s="43" t="s">
        <v>1311</v>
      </c>
      <c r="T382" s="22"/>
      <c r="U382" s="25"/>
      <c r="V382" s="25"/>
      <c r="W382" s="33" t="s">
        <v>184</v>
      </c>
      <c r="X382" s="33"/>
      <c r="Y382" s="22"/>
      <c r="Z382" s="22"/>
      <c r="AA382" s="22"/>
      <c r="AB382" s="33"/>
      <c r="AC382" s="22"/>
      <c r="AD382" s="22"/>
      <c r="AE382" s="22"/>
      <c r="AF382" s="22"/>
      <c r="AG382" s="25"/>
      <c r="AH382" s="25"/>
      <c r="AI382" s="25"/>
      <c r="AJ382" s="25"/>
      <c r="AK382" s="25"/>
      <c r="AL382" s="74">
        <f t="shared" si="3"/>
        <v>60277.14</v>
      </c>
      <c r="AM382" s="25"/>
      <c r="AN382" s="25">
        <f>2009.15</f>
        <v>2009.15</v>
      </c>
      <c r="AO382" s="77">
        <f t="shared" si="4"/>
        <v>2009.15</v>
      </c>
      <c r="AP382" s="37"/>
      <c r="AQ382" s="22"/>
      <c r="AR382" s="22"/>
      <c r="AS382" s="22"/>
      <c r="AT382" s="22"/>
      <c r="AU382" s="26"/>
      <c r="AV382" s="26"/>
      <c r="AW382" s="26"/>
      <c r="AX382" s="26"/>
      <c r="AY382" s="26"/>
      <c r="AZ382" s="26"/>
      <c r="BA382" s="26"/>
      <c r="BB382" s="26"/>
      <c r="BC382" s="60"/>
      <c r="BD382" s="26"/>
      <c r="BE382" s="26"/>
      <c r="BF382" s="26"/>
      <c r="BG382" s="26"/>
      <c r="BH382" s="26"/>
      <c r="BI382" s="26"/>
      <c r="BJ382" s="26"/>
      <c r="BK382" s="26"/>
      <c r="BL382" s="26"/>
      <c r="BM382" s="26"/>
    </row>
    <row r="383" spans="1:65" ht="30" x14ac:dyDescent="0.25">
      <c r="A383" s="163">
        <v>142</v>
      </c>
      <c r="B383" s="155" t="s">
        <v>824</v>
      </c>
      <c r="C383" s="22" t="s">
        <v>686</v>
      </c>
      <c r="D383" s="81" t="s">
        <v>128</v>
      </c>
      <c r="E383" s="22" t="s">
        <v>124</v>
      </c>
      <c r="F383" s="33" t="s">
        <v>825</v>
      </c>
      <c r="G383" s="33" t="s">
        <v>840</v>
      </c>
      <c r="H383" s="23" t="s">
        <v>686</v>
      </c>
      <c r="I383" s="35">
        <v>42802</v>
      </c>
      <c r="J383" s="35">
        <v>43167</v>
      </c>
      <c r="K383" s="24" t="s">
        <v>1319</v>
      </c>
      <c r="L383" s="140" t="s">
        <v>836</v>
      </c>
      <c r="M383" s="43" t="s">
        <v>837</v>
      </c>
      <c r="N383" s="61">
        <v>43166</v>
      </c>
      <c r="O383" s="77">
        <v>9320.4</v>
      </c>
      <c r="P383" s="76">
        <v>12264</v>
      </c>
      <c r="Q383" s="61">
        <v>43166</v>
      </c>
      <c r="R383" s="61">
        <v>43465</v>
      </c>
      <c r="S383" s="43" t="s">
        <v>1311</v>
      </c>
      <c r="T383" s="22"/>
      <c r="U383" s="25"/>
      <c r="V383" s="25"/>
      <c r="W383" s="33" t="s">
        <v>184</v>
      </c>
      <c r="X383" s="33"/>
      <c r="Y383" s="22"/>
      <c r="Z383" s="22"/>
      <c r="AA383" s="22"/>
      <c r="AB383" s="33"/>
      <c r="AC383" s="22"/>
      <c r="AD383" s="22"/>
      <c r="AE383" s="22"/>
      <c r="AF383" s="22"/>
      <c r="AG383" s="25"/>
      <c r="AH383" s="25"/>
      <c r="AI383" s="25"/>
      <c r="AJ383" s="25"/>
      <c r="AK383" s="25"/>
      <c r="AL383" s="74">
        <f t="shared" si="3"/>
        <v>9320.4</v>
      </c>
      <c r="AM383" s="25"/>
      <c r="AN383" s="25">
        <f>0</f>
        <v>0</v>
      </c>
      <c r="AO383" s="77">
        <f t="shared" si="4"/>
        <v>0</v>
      </c>
      <c r="AP383" s="22"/>
      <c r="AQ383" s="22"/>
      <c r="AR383" s="22"/>
      <c r="AS383" s="22"/>
      <c r="AT383" s="22"/>
      <c r="AU383" s="26"/>
      <c r="AV383" s="26"/>
      <c r="AW383" s="26"/>
      <c r="AX383" s="26"/>
      <c r="AY383" s="26"/>
      <c r="AZ383" s="26"/>
      <c r="BA383" s="26"/>
      <c r="BB383" s="26"/>
      <c r="BC383" s="60"/>
      <c r="BD383" s="26"/>
      <c r="BE383" s="26"/>
      <c r="BF383" s="26"/>
      <c r="BG383" s="26"/>
      <c r="BH383" s="26"/>
      <c r="BI383" s="26"/>
      <c r="BJ383" s="26"/>
      <c r="BK383" s="26"/>
      <c r="BL383" s="26"/>
      <c r="BM383" s="26"/>
    </row>
    <row r="384" spans="1:65" ht="90" x14ac:dyDescent="0.25">
      <c r="A384" s="163">
        <v>143</v>
      </c>
      <c r="B384" s="155" t="s">
        <v>1110</v>
      </c>
      <c r="C384" s="22" t="s">
        <v>758</v>
      </c>
      <c r="D384" s="81" t="s">
        <v>128</v>
      </c>
      <c r="E384" s="22" t="s">
        <v>124</v>
      </c>
      <c r="F384" s="33" t="s">
        <v>1113</v>
      </c>
      <c r="G384" s="33" t="s">
        <v>1121</v>
      </c>
      <c r="H384" s="23" t="s">
        <v>711</v>
      </c>
      <c r="I384" s="35">
        <v>43011</v>
      </c>
      <c r="J384" s="35">
        <v>43376</v>
      </c>
      <c r="K384" s="24" t="s">
        <v>1320</v>
      </c>
      <c r="L384" s="140" t="s">
        <v>1111</v>
      </c>
      <c r="M384" s="43" t="s">
        <v>1112</v>
      </c>
      <c r="N384" s="61">
        <v>43167</v>
      </c>
      <c r="O384" s="77">
        <v>66497.460000000006</v>
      </c>
      <c r="P384" s="76">
        <v>12263</v>
      </c>
      <c r="Q384" s="61">
        <v>43167</v>
      </c>
      <c r="R384" s="61">
        <v>43465</v>
      </c>
      <c r="S384" s="43" t="s">
        <v>1311</v>
      </c>
      <c r="T384" s="22"/>
      <c r="U384" s="25"/>
      <c r="V384" s="25"/>
      <c r="W384" s="33" t="s">
        <v>1114</v>
      </c>
      <c r="X384" s="33"/>
      <c r="Y384" s="22"/>
      <c r="Z384" s="22"/>
      <c r="AA384" s="22"/>
      <c r="AB384" s="33"/>
      <c r="AC384" s="22"/>
      <c r="AD384" s="22"/>
      <c r="AE384" s="22"/>
      <c r="AF384" s="22"/>
      <c r="AG384" s="25"/>
      <c r="AH384" s="25"/>
      <c r="AI384" s="25"/>
      <c r="AJ384" s="25"/>
      <c r="AK384" s="25"/>
      <c r="AL384" s="74">
        <f t="shared" si="3"/>
        <v>66497.460000000006</v>
      </c>
      <c r="AM384" s="25"/>
      <c r="AN384" s="25">
        <f>34990.1+12001.94+19505.42</f>
        <v>66497.459999999992</v>
      </c>
      <c r="AO384" s="77">
        <f t="shared" si="4"/>
        <v>66497.459999999992</v>
      </c>
      <c r="AP384" s="22"/>
      <c r="AQ384" s="22"/>
      <c r="AR384" s="22"/>
      <c r="AS384" s="22"/>
      <c r="AT384" s="22"/>
      <c r="AU384" s="26"/>
      <c r="AV384" s="26"/>
      <c r="AW384" s="26"/>
      <c r="AX384" s="26"/>
      <c r="AY384" s="26"/>
      <c r="AZ384" s="26"/>
      <c r="BA384" s="26"/>
      <c r="BB384" s="26"/>
      <c r="BC384" s="60"/>
      <c r="BD384" s="26"/>
      <c r="BE384" s="26"/>
      <c r="BF384" s="26"/>
      <c r="BG384" s="26"/>
      <c r="BH384" s="26"/>
      <c r="BI384" s="26"/>
      <c r="BJ384" s="26"/>
      <c r="BK384" s="26"/>
      <c r="BL384" s="26"/>
      <c r="BM384" s="26"/>
    </row>
    <row r="385" spans="1:65" ht="90" x14ac:dyDescent="0.25">
      <c r="A385" s="163">
        <v>144</v>
      </c>
      <c r="B385" s="155" t="s">
        <v>1110</v>
      </c>
      <c r="C385" s="22" t="s">
        <v>758</v>
      </c>
      <c r="D385" s="81" t="s">
        <v>128</v>
      </c>
      <c r="E385" s="22" t="s">
        <v>124</v>
      </c>
      <c r="F385" s="33" t="s">
        <v>1113</v>
      </c>
      <c r="G385" s="33" t="s">
        <v>1121</v>
      </c>
      <c r="H385" s="23" t="s">
        <v>711</v>
      </c>
      <c r="I385" s="35">
        <v>43011</v>
      </c>
      <c r="J385" s="35">
        <v>43376</v>
      </c>
      <c r="K385" s="24" t="s">
        <v>1321</v>
      </c>
      <c r="L385" s="140" t="s">
        <v>1115</v>
      </c>
      <c r="M385" s="43" t="s">
        <v>1116</v>
      </c>
      <c r="N385" s="61">
        <v>43167</v>
      </c>
      <c r="O385" s="77">
        <v>4519.66</v>
      </c>
      <c r="P385" s="76">
        <v>12263</v>
      </c>
      <c r="Q385" s="61">
        <v>43167</v>
      </c>
      <c r="R385" s="61">
        <v>43465</v>
      </c>
      <c r="S385" s="43" t="s">
        <v>1311</v>
      </c>
      <c r="T385" s="22"/>
      <c r="U385" s="25"/>
      <c r="V385" s="25"/>
      <c r="W385" s="33" t="s">
        <v>1114</v>
      </c>
      <c r="X385" s="33"/>
      <c r="Y385" s="22"/>
      <c r="Z385" s="22"/>
      <c r="AA385" s="22"/>
      <c r="AB385" s="33"/>
      <c r="AC385" s="22"/>
      <c r="AD385" s="22"/>
      <c r="AE385" s="22"/>
      <c r="AF385" s="22"/>
      <c r="AG385" s="25"/>
      <c r="AH385" s="25"/>
      <c r="AI385" s="25"/>
      <c r="AJ385" s="25"/>
      <c r="AK385" s="25"/>
      <c r="AL385" s="74">
        <f t="shared" ref="AL385:AL393" si="5">O385-AH385+AG385</f>
        <v>4519.66</v>
      </c>
      <c r="AM385" s="25"/>
      <c r="AN385" s="25">
        <f>4519.66</f>
        <v>4519.66</v>
      </c>
      <c r="AO385" s="77">
        <f t="shared" si="4"/>
        <v>4519.66</v>
      </c>
      <c r="AP385" s="22"/>
      <c r="AQ385" s="22"/>
      <c r="AR385" s="22"/>
      <c r="AS385" s="22"/>
      <c r="AT385" s="22"/>
      <c r="AU385" s="26"/>
      <c r="AV385" s="26"/>
      <c r="AW385" s="26"/>
      <c r="AX385" s="26"/>
      <c r="AY385" s="26"/>
      <c r="AZ385" s="26"/>
      <c r="BA385" s="26"/>
      <c r="BB385" s="26"/>
      <c r="BC385" s="60"/>
      <c r="BD385" s="26"/>
      <c r="BE385" s="26"/>
      <c r="BF385" s="26"/>
      <c r="BG385" s="26"/>
      <c r="BH385" s="26"/>
      <c r="BI385" s="26"/>
      <c r="BJ385" s="26"/>
      <c r="BK385" s="26"/>
      <c r="BL385" s="26"/>
      <c r="BM385" s="26"/>
    </row>
    <row r="386" spans="1:65" ht="90" x14ac:dyDescent="0.25">
      <c r="A386" s="163">
        <v>145</v>
      </c>
      <c r="B386" s="155" t="s">
        <v>1110</v>
      </c>
      <c r="C386" s="22" t="s">
        <v>758</v>
      </c>
      <c r="D386" s="81" t="s">
        <v>128</v>
      </c>
      <c r="E386" s="22" t="s">
        <v>124</v>
      </c>
      <c r="F386" s="33" t="s">
        <v>1113</v>
      </c>
      <c r="G386" s="33" t="s">
        <v>1121</v>
      </c>
      <c r="H386" s="23" t="s">
        <v>711</v>
      </c>
      <c r="I386" s="35">
        <v>43011</v>
      </c>
      <c r="J386" s="35">
        <v>43376</v>
      </c>
      <c r="K386" s="24" t="s">
        <v>1322</v>
      </c>
      <c r="L386" s="140" t="s">
        <v>1117</v>
      </c>
      <c r="M386" s="43" t="s">
        <v>1118</v>
      </c>
      <c r="N386" s="61">
        <v>43167</v>
      </c>
      <c r="O386" s="77">
        <v>22990.44</v>
      </c>
      <c r="P386" s="76">
        <v>12263</v>
      </c>
      <c r="Q386" s="61">
        <v>43167</v>
      </c>
      <c r="R386" s="61">
        <v>43465</v>
      </c>
      <c r="S386" s="43" t="s">
        <v>1311</v>
      </c>
      <c r="T386" s="22"/>
      <c r="U386" s="25"/>
      <c r="V386" s="25"/>
      <c r="W386" s="33" t="s">
        <v>1114</v>
      </c>
      <c r="X386" s="33"/>
      <c r="Y386" s="22"/>
      <c r="Z386" s="22"/>
      <c r="AA386" s="22"/>
      <c r="AB386" s="33"/>
      <c r="AC386" s="22"/>
      <c r="AD386" s="22"/>
      <c r="AE386" s="22"/>
      <c r="AF386" s="22"/>
      <c r="AG386" s="25"/>
      <c r="AH386" s="25"/>
      <c r="AI386" s="25"/>
      <c r="AJ386" s="25"/>
      <c r="AK386" s="25"/>
      <c r="AL386" s="74">
        <f t="shared" si="5"/>
        <v>22990.44</v>
      </c>
      <c r="AM386" s="25"/>
      <c r="AN386" s="25">
        <f>0</f>
        <v>0</v>
      </c>
      <c r="AO386" s="77">
        <f t="shared" si="4"/>
        <v>0</v>
      </c>
      <c r="AP386" s="22"/>
      <c r="AQ386" s="22"/>
      <c r="AR386" s="22"/>
      <c r="AS386" s="22"/>
      <c r="AT386" s="22"/>
      <c r="AU386" s="26"/>
      <c r="AV386" s="26"/>
      <c r="AW386" s="26"/>
      <c r="AX386" s="26"/>
      <c r="AY386" s="26"/>
      <c r="AZ386" s="26"/>
      <c r="BA386" s="26"/>
      <c r="BB386" s="26"/>
      <c r="BC386" s="60"/>
      <c r="BD386" s="26"/>
      <c r="BE386" s="26"/>
      <c r="BF386" s="26"/>
      <c r="BG386" s="26"/>
      <c r="BH386" s="26"/>
      <c r="BI386" s="26"/>
      <c r="BJ386" s="26"/>
      <c r="BK386" s="26"/>
      <c r="BL386" s="26"/>
      <c r="BM386" s="26"/>
    </row>
    <row r="387" spans="1:65" ht="90" x14ac:dyDescent="0.25">
      <c r="A387" s="163">
        <v>146</v>
      </c>
      <c r="B387" s="155" t="s">
        <v>1110</v>
      </c>
      <c r="C387" s="22" t="s">
        <v>758</v>
      </c>
      <c r="D387" s="81" t="s">
        <v>128</v>
      </c>
      <c r="E387" s="22" t="s">
        <v>124</v>
      </c>
      <c r="F387" s="33" t="s">
        <v>1113</v>
      </c>
      <c r="G387" s="33" t="s">
        <v>1121</v>
      </c>
      <c r="H387" s="23" t="s">
        <v>711</v>
      </c>
      <c r="I387" s="35">
        <v>43011</v>
      </c>
      <c r="J387" s="35">
        <v>43376</v>
      </c>
      <c r="K387" s="24" t="s">
        <v>1323</v>
      </c>
      <c r="L387" s="140" t="s">
        <v>1119</v>
      </c>
      <c r="M387" s="43" t="s">
        <v>1120</v>
      </c>
      <c r="N387" s="61">
        <v>43167</v>
      </c>
      <c r="O387" s="77">
        <v>8833.82</v>
      </c>
      <c r="P387" s="76">
        <v>12263</v>
      </c>
      <c r="Q387" s="61">
        <v>43167</v>
      </c>
      <c r="R387" s="61">
        <v>43465</v>
      </c>
      <c r="S387" s="43" t="s">
        <v>1311</v>
      </c>
      <c r="T387" s="22"/>
      <c r="U387" s="25"/>
      <c r="V387" s="25"/>
      <c r="W387" s="33" t="s">
        <v>1114</v>
      </c>
      <c r="X387" s="33"/>
      <c r="Y387" s="22"/>
      <c r="Z387" s="22"/>
      <c r="AA387" s="22"/>
      <c r="AB387" s="33"/>
      <c r="AC387" s="22"/>
      <c r="AD387" s="22"/>
      <c r="AE387" s="22"/>
      <c r="AF387" s="22"/>
      <c r="AG387" s="25"/>
      <c r="AH387" s="25"/>
      <c r="AI387" s="25"/>
      <c r="AJ387" s="25"/>
      <c r="AK387" s="25"/>
      <c r="AL387" s="74">
        <f t="shared" si="5"/>
        <v>8833.82</v>
      </c>
      <c r="AM387" s="25"/>
      <c r="AN387" s="25">
        <f>0</f>
        <v>0</v>
      </c>
      <c r="AO387" s="77">
        <f t="shared" si="4"/>
        <v>0</v>
      </c>
      <c r="AP387" s="22"/>
      <c r="AQ387" s="22"/>
      <c r="AR387" s="22"/>
      <c r="AS387" s="22"/>
      <c r="AT387" s="22"/>
      <c r="AU387" s="26"/>
      <c r="AV387" s="26"/>
      <c r="AW387" s="26"/>
      <c r="AX387" s="26"/>
      <c r="AY387" s="26"/>
      <c r="AZ387" s="26"/>
      <c r="BA387" s="26"/>
      <c r="BB387" s="26"/>
      <c r="BC387" s="60"/>
      <c r="BD387" s="26"/>
      <c r="BE387" s="26"/>
      <c r="BF387" s="26"/>
      <c r="BG387" s="26"/>
      <c r="BH387" s="26"/>
      <c r="BI387" s="26"/>
      <c r="BJ387" s="26"/>
      <c r="BK387" s="26"/>
      <c r="BL387" s="26"/>
      <c r="BM387" s="26"/>
    </row>
    <row r="388" spans="1:65" ht="75" x14ac:dyDescent="0.25">
      <c r="A388" s="163">
        <v>147</v>
      </c>
      <c r="B388" s="155" t="s">
        <v>1333</v>
      </c>
      <c r="C388" s="22" t="s">
        <v>1168</v>
      </c>
      <c r="D388" s="81" t="s">
        <v>1332</v>
      </c>
      <c r="E388" s="22"/>
      <c r="F388" s="33" t="s">
        <v>908</v>
      </c>
      <c r="G388" s="33"/>
      <c r="H388" s="23"/>
      <c r="I388" s="35"/>
      <c r="J388" s="35"/>
      <c r="K388" s="24" t="s">
        <v>1331</v>
      </c>
      <c r="L388" s="140" t="s">
        <v>912</v>
      </c>
      <c r="M388" s="43" t="s">
        <v>913</v>
      </c>
      <c r="N388" s="61">
        <v>43167</v>
      </c>
      <c r="O388" s="77">
        <v>1236.42</v>
      </c>
      <c r="P388" s="76">
        <v>12261</v>
      </c>
      <c r="Q388" s="61">
        <v>43167</v>
      </c>
      <c r="R388" s="61">
        <v>43465</v>
      </c>
      <c r="S388" s="43" t="s">
        <v>142</v>
      </c>
      <c r="T388" s="22"/>
      <c r="U388" s="25"/>
      <c r="V388" s="25"/>
      <c r="W388" s="33" t="s">
        <v>214</v>
      </c>
      <c r="X388" s="33"/>
      <c r="Y388" s="22"/>
      <c r="Z388" s="22"/>
      <c r="AA388" s="22"/>
      <c r="AB388" s="33"/>
      <c r="AC388" s="22"/>
      <c r="AD388" s="22"/>
      <c r="AE388" s="22"/>
      <c r="AF388" s="22"/>
      <c r="AG388" s="25"/>
      <c r="AH388" s="25"/>
      <c r="AI388" s="25"/>
      <c r="AJ388" s="25"/>
      <c r="AK388" s="25"/>
      <c r="AL388" s="74">
        <f t="shared" si="5"/>
        <v>1236.42</v>
      </c>
      <c r="AM388" s="25"/>
      <c r="AN388" s="25">
        <f>1236.42</f>
        <v>1236.42</v>
      </c>
      <c r="AO388" s="77">
        <f t="shared" si="4"/>
        <v>1236.42</v>
      </c>
      <c r="AP388" s="22"/>
      <c r="AQ388" s="22"/>
      <c r="AR388" s="22"/>
      <c r="AS388" s="22"/>
      <c r="AT388" s="22"/>
      <c r="AU388" s="26"/>
      <c r="AV388" s="26" t="s">
        <v>136</v>
      </c>
      <c r="AW388" s="22" t="s">
        <v>924</v>
      </c>
      <c r="AX388" s="64">
        <v>12253</v>
      </c>
      <c r="AY388" s="63">
        <v>43164</v>
      </c>
      <c r="AZ388" s="64">
        <v>12256</v>
      </c>
      <c r="BA388" s="63">
        <v>43167</v>
      </c>
      <c r="BB388" s="26"/>
      <c r="BC388" s="60"/>
      <c r="BD388" s="26"/>
      <c r="BE388" s="26"/>
      <c r="BF388" s="26"/>
      <c r="BG388" s="26"/>
      <c r="BH388" s="26"/>
      <c r="BI388" s="26"/>
      <c r="BJ388" s="26"/>
      <c r="BK388" s="26"/>
      <c r="BL388" s="26"/>
      <c r="BM388" s="26"/>
    </row>
    <row r="389" spans="1:65" ht="75" x14ac:dyDescent="0.25">
      <c r="A389" s="163">
        <v>148</v>
      </c>
      <c r="B389" s="155" t="s">
        <v>1333</v>
      </c>
      <c r="C389" s="22" t="s">
        <v>1168</v>
      </c>
      <c r="D389" s="81" t="s">
        <v>1332</v>
      </c>
      <c r="E389" s="22"/>
      <c r="F389" s="33" t="s">
        <v>908</v>
      </c>
      <c r="G389" s="33"/>
      <c r="H389" s="23"/>
      <c r="I389" s="35"/>
      <c r="J389" s="35"/>
      <c r="K389" s="24" t="s">
        <v>1335</v>
      </c>
      <c r="L389" s="140" t="s">
        <v>906</v>
      </c>
      <c r="M389" s="43" t="s">
        <v>907</v>
      </c>
      <c r="N389" s="61">
        <v>43167</v>
      </c>
      <c r="O389" s="77">
        <v>2241.75</v>
      </c>
      <c r="P389" s="76">
        <v>12261</v>
      </c>
      <c r="Q389" s="61">
        <v>43167</v>
      </c>
      <c r="R389" s="61">
        <v>43465</v>
      </c>
      <c r="S389" s="43" t="s">
        <v>142</v>
      </c>
      <c r="T389" s="22"/>
      <c r="U389" s="25"/>
      <c r="V389" s="25"/>
      <c r="W389" s="33" t="s">
        <v>214</v>
      </c>
      <c r="X389" s="33"/>
      <c r="Y389" s="22"/>
      <c r="Z389" s="22"/>
      <c r="AA389" s="22"/>
      <c r="AB389" s="33"/>
      <c r="AC389" s="22"/>
      <c r="AD389" s="22"/>
      <c r="AE389" s="22"/>
      <c r="AF389" s="22"/>
      <c r="AG389" s="25"/>
      <c r="AH389" s="25"/>
      <c r="AI389" s="25"/>
      <c r="AJ389" s="25"/>
      <c r="AK389" s="25"/>
      <c r="AL389" s="74">
        <f t="shared" si="5"/>
        <v>2241.75</v>
      </c>
      <c r="AM389" s="25"/>
      <c r="AN389" s="25">
        <f>2241.75</f>
        <v>2241.75</v>
      </c>
      <c r="AO389" s="77">
        <f t="shared" si="4"/>
        <v>2241.75</v>
      </c>
      <c r="AP389" s="22"/>
      <c r="AQ389" s="22"/>
      <c r="AR389" s="22"/>
      <c r="AS389" s="22"/>
      <c r="AT389" s="22"/>
      <c r="AU389" s="26"/>
      <c r="AV389" s="26" t="s">
        <v>136</v>
      </c>
      <c r="AW389" s="22" t="s">
        <v>924</v>
      </c>
      <c r="AX389" s="64">
        <v>12253</v>
      </c>
      <c r="AY389" s="63">
        <v>43164</v>
      </c>
      <c r="AZ389" s="64">
        <v>12256</v>
      </c>
      <c r="BA389" s="63">
        <v>43167</v>
      </c>
      <c r="BB389" s="26"/>
      <c r="BC389" s="60"/>
      <c r="BD389" s="26"/>
      <c r="BE389" s="26"/>
      <c r="BF389" s="26"/>
      <c r="BG389" s="26"/>
      <c r="BH389" s="26"/>
      <c r="BI389" s="26"/>
      <c r="BJ389" s="26"/>
      <c r="BK389" s="26"/>
      <c r="BL389" s="26"/>
      <c r="BM389" s="26"/>
    </row>
    <row r="390" spans="1:65" ht="75" x14ac:dyDescent="0.25">
      <c r="A390" s="163">
        <v>149</v>
      </c>
      <c r="B390" s="155" t="s">
        <v>1333</v>
      </c>
      <c r="C390" s="22" t="s">
        <v>1168</v>
      </c>
      <c r="D390" s="81" t="s">
        <v>1332</v>
      </c>
      <c r="E390" s="22"/>
      <c r="F390" s="33" t="s">
        <v>908</v>
      </c>
      <c r="G390" s="33"/>
      <c r="H390" s="23"/>
      <c r="I390" s="35"/>
      <c r="J390" s="35"/>
      <c r="K390" s="24" t="s">
        <v>1336</v>
      </c>
      <c r="L390" s="140" t="s">
        <v>1042</v>
      </c>
      <c r="M390" s="43" t="s">
        <v>914</v>
      </c>
      <c r="N390" s="61">
        <v>43167</v>
      </c>
      <c r="O390" s="77">
        <v>2241.75</v>
      </c>
      <c r="P390" s="76">
        <v>12261</v>
      </c>
      <c r="Q390" s="61">
        <v>43167</v>
      </c>
      <c r="R390" s="61">
        <v>43465</v>
      </c>
      <c r="S390" s="43" t="s">
        <v>142</v>
      </c>
      <c r="T390" s="22"/>
      <c r="U390" s="25"/>
      <c r="V390" s="25"/>
      <c r="W390" s="33" t="s">
        <v>214</v>
      </c>
      <c r="X390" s="33"/>
      <c r="Y390" s="22"/>
      <c r="Z390" s="22"/>
      <c r="AA390" s="22"/>
      <c r="AB390" s="33"/>
      <c r="AC390" s="22"/>
      <c r="AD390" s="22"/>
      <c r="AE390" s="22"/>
      <c r="AF390" s="22"/>
      <c r="AG390" s="25"/>
      <c r="AH390" s="25"/>
      <c r="AI390" s="25"/>
      <c r="AJ390" s="25"/>
      <c r="AK390" s="25"/>
      <c r="AL390" s="74">
        <f t="shared" si="5"/>
        <v>2241.75</v>
      </c>
      <c r="AM390" s="25"/>
      <c r="AN390" s="25">
        <f>2241.75</f>
        <v>2241.75</v>
      </c>
      <c r="AO390" s="77">
        <f t="shared" si="4"/>
        <v>2241.75</v>
      </c>
      <c r="AP390" s="22"/>
      <c r="AQ390" s="22"/>
      <c r="AR390" s="22"/>
      <c r="AS390" s="22"/>
      <c r="AT390" s="22"/>
      <c r="AU390" s="26"/>
      <c r="AV390" s="26" t="s">
        <v>136</v>
      </c>
      <c r="AW390" s="22" t="s">
        <v>924</v>
      </c>
      <c r="AX390" s="64">
        <v>12253</v>
      </c>
      <c r="AY390" s="63">
        <v>43164</v>
      </c>
      <c r="AZ390" s="64">
        <v>12256</v>
      </c>
      <c r="BA390" s="63">
        <v>43167</v>
      </c>
      <c r="BB390" s="26"/>
      <c r="BC390" s="60"/>
      <c r="BD390" s="26"/>
      <c r="BE390" s="26"/>
      <c r="BF390" s="26"/>
      <c r="BG390" s="26"/>
      <c r="BH390" s="26"/>
      <c r="BI390" s="26"/>
      <c r="BJ390" s="26"/>
      <c r="BK390" s="26"/>
      <c r="BL390" s="26"/>
      <c r="BM390" s="26"/>
    </row>
    <row r="391" spans="1:65" ht="75" x14ac:dyDescent="0.25">
      <c r="A391" s="163">
        <v>150</v>
      </c>
      <c r="B391" s="155" t="s">
        <v>1333</v>
      </c>
      <c r="C391" s="22" t="s">
        <v>1168</v>
      </c>
      <c r="D391" s="81" t="s">
        <v>1332</v>
      </c>
      <c r="E391" s="22"/>
      <c r="F391" s="33" t="s">
        <v>908</v>
      </c>
      <c r="G391" s="33"/>
      <c r="H391" s="23"/>
      <c r="I391" s="35"/>
      <c r="J391" s="35"/>
      <c r="K391" s="24" t="s">
        <v>1337</v>
      </c>
      <c r="L391" s="140" t="s">
        <v>915</v>
      </c>
      <c r="M391" s="43" t="s">
        <v>916</v>
      </c>
      <c r="N391" s="61">
        <v>43167</v>
      </c>
      <c r="O391" s="77">
        <v>2241.75</v>
      </c>
      <c r="P391" s="76">
        <v>12261</v>
      </c>
      <c r="Q391" s="61">
        <v>43167</v>
      </c>
      <c r="R391" s="61">
        <v>43465</v>
      </c>
      <c r="S391" s="43" t="s">
        <v>142</v>
      </c>
      <c r="T391" s="22"/>
      <c r="U391" s="25"/>
      <c r="V391" s="25"/>
      <c r="W391" s="33" t="s">
        <v>214</v>
      </c>
      <c r="X391" s="33"/>
      <c r="Y391" s="22"/>
      <c r="Z391" s="22"/>
      <c r="AA391" s="22"/>
      <c r="AB391" s="33"/>
      <c r="AC391" s="22"/>
      <c r="AD391" s="22"/>
      <c r="AE391" s="22"/>
      <c r="AF391" s="22"/>
      <c r="AG391" s="25"/>
      <c r="AH391" s="25"/>
      <c r="AI391" s="25"/>
      <c r="AJ391" s="25"/>
      <c r="AK391" s="25"/>
      <c r="AL391" s="74">
        <f t="shared" si="5"/>
        <v>2241.75</v>
      </c>
      <c r="AM391" s="25"/>
      <c r="AN391" s="25">
        <f>2241.75</f>
        <v>2241.75</v>
      </c>
      <c r="AO391" s="77">
        <f t="shared" si="4"/>
        <v>2241.75</v>
      </c>
      <c r="AP391" s="22"/>
      <c r="AQ391" s="22"/>
      <c r="AR391" s="22"/>
      <c r="AS391" s="22"/>
      <c r="AT391" s="22"/>
      <c r="AU391" s="26"/>
      <c r="AV391" s="26" t="s">
        <v>136</v>
      </c>
      <c r="AW391" s="22" t="s">
        <v>924</v>
      </c>
      <c r="AX391" s="64">
        <v>12253</v>
      </c>
      <c r="AY391" s="63">
        <v>43164</v>
      </c>
      <c r="AZ391" s="64">
        <v>12256</v>
      </c>
      <c r="BA391" s="63">
        <v>43167</v>
      </c>
      <c r="BB391" s="26"/>
      <c r="BC391" s="60"/>
      <c r="BD391" s="26"/>
      <c r="BE391" s="26"/>
      <c r="BF391" s="26"/>
      <c r="BG391" s="26"/>
      <c r="BH391" s="26"/>
      <c r="BI391" s="26"/>
      <c r="BJ391" s="26"/>
      <c r="BK391" s="26"/>
      <c r="BL391" s="26"/>
      <c r="BM391" s="26"/>
    </row>
    <row r="392" spans="1:65" ht="75" x14ac:dyDescent="0.25">
      <c r="A392" s="163">
        <v>151</v>
      </c>
      <c r="B392" s="155" t="s">
        <v>1333</v>
      </c>
      <c r="C392" s="22" t="s">
        <v>1168</v>
      </c>
      <c r="D392" s="81" t="s">
        <v>1332</v>
      </c>
      <c r="E392" s="22"/>
      <c r="F392" s="33" t="s">
        <v>908</v>
      </c>
      <c r="G392" s="33"/>
      <c r="H392" s="23"/>
      <c r="I392" s="35"/>
      <c r="J392" s="35"/>
      <c r="K392" s="24" t="s">
        <v>1338</v>
      </c>
      <c r="L392" s="140" t="s">
        <v>1043</v>
      </c>
      <c r="M392" s="43" t="s">
        <v>1044</v>
      </c>
      <c r="N392" s="61">
        <v>43167</v>
      </c>
      <c r="O392" s="77">
        <v>1005.33</v>
      </c>
      <c r="P392" s="76">
        <v>12261</v>
      </c>
      <c r="Q392" s="61">
        <v>43167</v>
      </c>
      <c r="R392" s="61">
        <v>43465</v>
      </c>
      <c r="S392" s="43" t="s">
        <v>142</v>
      </c>
      <c r="T392" s="22"/>
      <c r="U392" s="25"/>
      <c r="V392" s="25"/>
      <c r="W392" s="33" t="s">
        <v>214</v>
      </c>
      <c r="X392" s="33"/>
      <c r="Y392" s="22"/>
      <c r="Z392" s="22"/>
      <c r="AA392" s="22"/>
      <c r="AB392" s="33"/>
      <c r="AC392" s="22"/>
      <c r="AD392" s="22"/>
      <c r="AE392" s="22"/>
      <c r="AF392" s="22"/>
      <c r="AG392" s="25"/>
      <c r="AH392" s="25"/>
      <c r="AI392" s="25"/>
      <c r="AJ392" s="25"/>
      <c r="AK392" s="25"/>
      <c r="AL392" s="74">
        <f t="shared" si="5"/>
        <v>1005.33</v>
      </c>
      <c r="AM392" s="25"/>
      <c r="AN392" s="25">
        <f>1005.33</f>
        <v>1005.33</v>
      </c>
      <c r="AO392" s="77">
        <f t="shared" si="4"/>
        <v>1005.33</v>
      </c>
      <c r="AP392" s="22"/>
      <c r="AQ392" s="22"/>
      <c r="AR392" s="22"/>
      <c r="AS392" s="22"/>
      <c r="AT392" s="22"/>
      <c r="AU392" s="26"/>
      <c r="AV392" s="26" t="s">
        <v>136</v>
      </c>
      <c r="AW392" s="22" t="s">
        <v>924</v>
      </c>
      <c r="AX392" s="64">
        <v>12253</v>
      </c>
      <c r="AY392" s="63">
        <v>43164</v>
      </c>
      <c r="AZ392" s="64">
        <v>12256</v>
      </c>
      <c r="BA392" s="63">
        <v>43167</v>
      </c>
      <c r="BB392" s="26"/>
      <c r="BC392" s="60"/>
      <c r="BD392" s="26"/>
      <c r="BE392" s="26"/>
      <c r="BF392" s="26"/>
      <c r="BG392" s="26"/>
      <c r="BH392" s="26"/>
      <c r="BI392" s="26"/>
      <c r="BJ392" s="26"/>
      <c r="BK392" s="26"/>
      <c r="BL392" s="26"/>
      <c r="BM392" s="26"/>
    </row>
    <row r="393" spans="1:65" ht="75" x14ac:dyDescent="0.25">
      <c r="A393" s="163">
        <v>152</v>
      </c>
      <c r="B393" s="155" t="s">
        <v>1333</v>
      </c>
      <c r="C393" s="22" t="s">
        <v>1168</v>
      </c>
      <c r="D393" s="81" t="s">
        <v>1332</v>
      </c>
      <c r="E393" s="22"/>
      <c r="F393" s="33" t="s">
        <v>908</v>
      </c>
      <c r="G393" s="33"/>
      <c r="H393" s="23"/>
      <c r="I393" s="35"/>
      <c r="J393" s="35"/>
      <c r="K393" s="24" t="s">
        <v>1339</v>
      </c>
      <c r="L393" s="140" t="s">
        <v>911</v>
      </c>
      <c r="M393" s="43" t="s">
        <v>1071</v>
      </c>
      <c r="N393" s="61">
        <v>43167</v>
      </c>
      <c r="O393" s="77">
        <v>1236.42</v>
      </c>
      <c r="P393" s="76">
        <v>12261</v>
      </c>
      <c r="Q393" s="61">
        <v>43167</v>
      </c>
      <c r="R393" s="61">
        <v>43465</v>
      </c>
      <c r="S393" s="43" t="s">
        <v>142</v>
      </c>
      <c r="T393" s="22"/>
      <c r="U393" s="25"/>
      <c r="V393" s="25"/>
      <c r="W393" s="33" t="s">
        <v>214</v>
      </c>
      <c r="X393" s="33"/>
      <c r="Y393" s="22"/>
      <c r="Z393" s="22"/>
      <c r="AA393" s="22"/>
      <c r="AB393" s="33"/>
      <c r="AC393" s="22"/>
      <c r="AD393" s="22"/>
      <c r="AE393" s="22"/>
      <c r="AF393" s="22"/>
      <c r="AG393" s="25"/>
      <c r="AH393" s="25"/>
      <c r="AI393" s="25"/>
      <c r="AJ393" s="25"/>
      <c r="AK393" s="25"/>
      <c r="AL393" s="74">
        <f t="shared" si="5"/>
        <v>1236.42</v>
      </c>
      <c r="AM393" s="25"/>
      <c r="AN393" s="25">
        <f>1236.42</f>
        <v>1236.42</v>
      </c>
      <c r="AO393" s="77">
        <f t="shared" si="4"/>
        <v>1236.42</v>
      </c>
      <c r="AP393" s="22"/>
      <c r="AQ393" s="22"/>
      <c r="AR393" s="22"/>
      <c r="AS393" s="22"/>
      <c r="AT393" s="22"/>
      <c r="AU393" s="26"/>
      <c r="AV393" s="26" t="s">
        <v>136</v>
      </c>
      <c r="AW393" s="22" t="s">
        <v>924</v>
      </c>
      <c r="AX393" s="64">
        <v>12253</v>
      </c>
      <c r="AY393" s="63">
        <v>43164</v>
      </c>
      <c r="AZ393" s="64">
        <v>12256</v>
      </c>
      <c r="BA393" s="63">
        <v>43167</v>
      </c>
      <c r="BB393" s="26"/>
      <c r="BC393" s="60"/>
      <c r="BD393" s="26"/>
      <c r="BE393" s="26"/>
      <c r="BF393" s="26"/>
      <c r="BG393" s="26"/>
      <c r="BH393" s="26"/>
      <c r="BI393" s="26"/>
      <c r="BJ393" s="26"/>
      <c r="BK393" s="26"/>
      <c r="BL393" s="26"/>
      <c r="BM393" s="26"/>
    </row>
    <row r="394" spans="1:65" ht="75" x14ac:dyDescent="0.25">
      <c r="A394" s="163">
        <v>153</v>
      </c>
      <c r="B394" s="155" t="s">
        <v>1333</v>
      </c>
      <c r="C394" s="22" t="s">
        <v>1168</v>
      </c>
      <c r="D394" s="81" t="s">
        <v>1332</v>
      </c>
      <c r="E394" s="22"/>
      <c r="F394" s="33" t="s">
        <v>908</v>
      </c>
      <c r="G394" s="33"/>
      <c r="H394" s="23"/>
      <c r="I394" s="35"/>
      <c r="J394" s="35"/>
      <c r="K394" s="24" t="s">
        <v>1340</v>
      </c>
      <c r="L394" s="140" t="s">
        <v>909</v>
      </c>
      <c r="M394" s="43" t="s">
        <v>910</v>
      </c>
      <c r="N394" s="61">
        <v>43167</v>
      </c>
      <c r="O394" s="77">
        <v>1236.42</v>
      </c>
      <c r="P394" s="76">
        <v>12262</v>
      </c>
      <c r="Q394" s="61">
        <v>43167</v>
      </c>
      <c r="R394" s="61">
        <v>43465</v>
      </c>
      <c r="S394" s="43" t="s">
        <v>142</v>
      </c>
      <c r="T394" s="22"/>
      <c r="U394" s="25"/>
      <c r="V394" s="25"/>
      <c r="W394" s="33" t="s">
        <v>214</v>
      </c>
      <c r="X394" s="33"/>
      <c r="Y394" s="22"/>
      <c r="Z394" s="22"/>
      <c r="AA394" s="22"/>
      <c r="AB394" s="33"/>
      <c r="AC394" s="22"/>
      <c r="AD394" s="22"/>
      <c r="AE394" s="22"/>
      <c r="AF394" s="22"/>
      <c r="AG394" s="25"/>
      <c r="AH394" s="25"/>
      <c r="AI394" s="25"/>
      <c r="AJ394" s="25"/>
      <c r="AK394" s="25"/>
      <c r="AL394" s="74">
        <f t="shared" ref="AL394:AL458" si="6">O394-AH394+AG394</f>
        <v>1236.42</v>
      </c>
      <c r="AM394" s="25"/>
      <c r="AN394" s="25">
        <f>1236.42</f>
        <v>1236.42</v>
      </c>
      <c r="AO394" s="77">
        <f t="shared" si="4"/>
        <v>1236.42</v>
      </c>
      <c r="AP394" s="22"/>
      <c r="AQ394" s="22"/>
      <c r="AR394" s="22"/>
      <c r="AS394" s="22"/>
      <c r="AT394" s="22"/>
      <c r="AU394" s="26"/>
      <c r="AV394" s="26" t="s">
        <v>136</v>
      </c>
      <c r="AW394" s="22" t="s">
        <v>924</v>
      </c>
      <c r="AX394" s="64">
        <v>12253</v>
      </c>
      <c r="AY394" s="63">
        <v>43164</v>
      </c>
      <c r="AZ394" s="64">
        <v>12256</v>
      </c>
      <c r="BA394" s="63">
        <v>43167</v>
      </c>
      <c r="BB394" s="26"/>
      <c r="BC394" s="60"/>
      <c r="BD394" s="26"/>
      <c r="BE394" s="26"/>
      <c r="BF394" s="26"/>
      <c r="BG394" s="26"/>
      <c r="BH394" s="26"/>
      <c r="BI394" s="26"/>
      <c r="BJ394" s="26"/>
      <c r="BK394" s="26"/>
      <c r="BL394" s="26"/>
      <c r="BM394" s="26"/>
    </row>
    <row r="395" spans="1:65" ht="75" x14ac:dyDescent="0.25">
      <c r="A395" s="163">
        <v>154</v>
      </c>
      <c r="B395" s="155" t="s">
        <v>1333</v>
      </c>
      <c r="C395" s="22" t="s">
        <v>1168</v>
      </c>
      <c r="D395" s="81" t="s">
        <v>1332</v>
      </c>
      <c r="E395" s="22"/>
      <c r="F395" s="33" t="s">
        <v>908</v>
      </c>
      <c r="G395" s="33"/>
      <c r="H395" s="23"/>
      <c r="I395" s="35"/>
      <c r="J395" s="35"/>
      <c r="K395" s="24" t="s">
        <v>1341</v>
      </c>
      <c r="L395" s="140" t="s">
        <v>1059</v>
      </c>
      <c r="M395" s="43" t="s">
        <v>1060</v>
      </c>
      <c r="N395" s="61">
        <v>43167</v>
      </c>
      <c r="O395" s="77">
        <v>1005.33</v>
      </c>
      <c r="P395" s="76">
        <v>12261</v>
      </c>
      <c r="Q395" s="61">
        <v>43167</v>
      </c>
      <c r="R395" s="61">
        <v>43465</v>
      </c>
      <c r="S395" s="43" t="s">
        <v>142</v>
      </c>
      <c r="T395" s="22"/>
      <c r="U395" s="25"/>
      <c r="V395" s="25"/>
      <c r="W395" s="33" t="s">
        <v>214</v>
      </c>
      <c r="X395" s="33"/>
      <c r="Y395" s="22"/>
      <c r="Z395" s="22"/>
      <c r="AA395" s="22"/>
      <c r="AB395" s="33"/>
      <c r="AC395" s="22"/>
      <c r="AD395" s="22"/>
      <c r="AE395" s="22"/>
      <c r="AF395" s="22"/>
      <c r="AG395" s="25"/>
      <c r="AH395" s="25"/>
      <c r="AI395" s="25"/>
      <c r="AJ395" s="25"/>
      <c r="AK395" s="25"/>
      <c r="AL395" s="74">
        <f t="shared" si="6"/>
        <v>1005.33</v>
      </c>
      <c r="AM395" s="25"/>
      <c r="AN395" s="25">
        <v>1005.33</v>
      </c>
      <c r="AO395" s="77">
        <f t="shared" si="4"/>
        <v>1005.33</v>
      </c>
      <c r="AP395" s="22"/>
      <c r="AQ395" s="22"/>
      <c r="AR395" s="22"/>
      <c r="AS395" s="22"/>
      <c r="AT395" s="22"/>
      <c r="AU395" s="26"/>
      <c r="AV395" s="26" t="s">
        <v>136</v>
      </c>
      <c r="AW395" s="22" t="s">
        <v>924</v>
      </c>
      <c r="AX395" s="64">
        <v>12253</v>
      </c>
      <c r="AY395" s="63">
        <v>43164</v>
      </c>
      <c r="AZ395" s="64">
        <v>12256</v>
      </c>
      <c r="BA395" s="63">
        <v>43167</v>
      </c>
      <c r="BB395" s="26"/>
      <c r="BC395" s="60"/>
      <c r="BD395" s="26"/>
      <c r="BE395" s="26"/>
      <c r="BF395" s="26"/>
      <c r="BG395" s="26"/>
      <c r="BH395" s="26"/>
      <c r="BI395" s="26"/>
      <c r="BJ395" s="26"/>
      <c r="BK395" s="26"/>
      <c r="BL395" s="26"/>
      <c r="BM395" s="26"/>
    </row>
    <row r="396" spans="1:65" ht="75" x14ac:dyDescent="0.25">
      <c r="A396" s="163">
        <v>155</v>
      </c>
      <c r="B396" s="155" t="s">
        <v>1333</v>
      </c>
      <c r="C396" s="22" t="s">
        <v>1168</v>
      </c>
      <c r="D396" s="81" t="s">
        <v>1332</v>
      </c>
      <c r="E396" s="22"/>
      <c r="F396" s="33" t="s">
        <v>908</v>
      </c>
      <c r="G396" s="33"/>
      <c r="H396" s="23"/>
      <c r="I396" s="35"/>
      <c r="J396" s="35"/>
      <c r="K396" s="24" t="s">
        <v>1342</v>
      </c>
      <c r="L396" s="140" t="s">
        <v>904</v>
      </c>
      <c r="M396" s="43" t="s">
        <v>905</v>
      </c>
      <c r="N396" s="61">
        <v>43167</v>
      </c>
      <c r="O396" s="77">
        <v>1005.33</v>
      </c>
      <c r="P396" s="76">
        <v>12261</v>
      </c>
      <c r="Q396" s="61">
        <v>43167</v>
      </c>
      <c r="R396" s="61">
        <v>43465</v>
      </c>
      <c r="S396" s="43" t="s">
        <v>142</v>
      </c>
      <c r="T396" s="22"/>
      <c r="U396" s="25"/>
      <c r="V396" s="25"/>
      <c r="W396" s="33" t="s">
        <v>214</v>
      </c>
      <c r="X396" s="33"/>
      <c r="Y396" s="22"/>
      <c r="Z396" s="22"/>
      <c r="AA396" s="22"/>
      <c r="AB396" s="33"/>
      <c r="AC396" s="22"/>
      <c r="AD396" s="22"/>
      <c r="AE396" s="22"/>
      <c r="AF396" s="22"/>
      <c r="AG396" s="25"/>
      <c r="AH396" s="25"/>
      <c r="AI396" s="25"/>
      <c r="AJ396" s="25"/>
      <c r="AK396" s="25"/>
      <c r="AL396" s="74">
        <f t="shared" si="6"/>
        <v>1005.33</v>
      </c>
      <c r="AM396" s="25"/>
      <c r="AN396" s="25">
        <v>1005.33</v>
      </c>
      <c r="AO396" s="77">
        <f t="shared" si="4"/>
        <v>1005.33</v>
      </c>
      <c r="AP396" s="22"/>
      <c r="AQ396" s="22"/>
      <c r="AR396" s="22"/>
      <c r="AS396" s="22"/>
      <c r="AT396" s="22"/>
      <c r="AU396" s="26"/>
      <c r="AV396" s="26" t="s">
        <v>136</v>
      </c>
      <c r="AW396" s="22" t="s">
        <v>924</v>
      </c>
      <c r="AX396" s="64">
        <v>12253</v>
      </c>
      <c r="AY396" s="63">
        <v>43164</v>
      </c>
      <c r="AZ396" s="64">
        <v>12256</v>
      </c>
      <c r="BA396" s="63">
        <v>43167</v>
      </c>
      <c r="BB396" s="26"/>
      <c r="BC396" s="60"/>
      <c r="BD396" s="26"/>
      <c r="BE396" s="26"/>
      <c r="BF396" s="26"/>
      <c r="BG396" s="26"/>
      <c r="BH396" s="26"/>
      <c r="BI396" s="26"/>
      <c r="BJ396" s="26"/>
      <c r="BK396" s="26"/>
      <c r="BL396" s="26"/>
      <c r="BM396" s="26"/>
    </row>
    <row r="397" spans="1:65" ht="75" x14ac:dyDescent="0.25">
      <c r="A397" s="163">
        <v>156</v>
      </c>
      <c r="B397" s="155" t="s">
        <v>1333</v>
      </c>
      <c r="C397" s="22" t="s">
        <v>1168</v>
      </c>
      <c r="D397" s="81" t="s">
        <v>1332</v>
      </c>
      <c r="E397" s="22"/>
      <c r="F397" s="33" t="s">
        <v>908</v>
      </c>
      <c r="G397" s="33"/>
      <c r="H397" s="23"/>
      <c r="I397" s="35"/>
      <c r="J397" s="35"/>
      <c r="K397" s="24" t="s">
        <v>1343</v>
      </c>
      <c r="L397" s="140" t="s">
        <v>1041</v>
      </c>
      <c r="M397" s="43" t="s">
        <v>1072</v>
      </c>
      <c r="N397" s="61">
        <v>43167</v>
      </c>
      <c r="O397" s="77">
        <v>1236.42</v>
      </c>
      <c r="P397" s="76">
        <v>12261</v>
      </c>
      <c r="Q397" s="61">
        <v>43167</v>
      </c>
      <c r="R397" s="61">
        <v>43465</v>
      </c>
      <c r="S397" s="43" t="s">
        <v>142</v>
      </c>
      <c r="T397" s="22"/>
      <c r="U397" s="25"/>
      <c r="V397" s="25"/>
      <c r="W397" s="33" t="s">
        <v>214</v>
      </c>
      <c r="X397" s="33"/>
      <c r="Y397" s="22"/>
      <c r="Z397" s="22"/>
      <c r="AA397" s="22"/>
      <c r="AB397" s="33"/>
      <c r="AC397" s="22"/>
      <c r="AD397" s="22"/>
      <c r="AE397" s="22"/>
      <c r="AF397" s="22"/>
      <c r="AG397" s="25"/>
      <c r="AH397" s="25"/>
      <c r="AI397" s="25"/>
      <c r="AJ397" s="25"/>
      <c r="AK397" s="25"/>
      <c r="AL397" s="74">
        <f t="shared" si="6"/>
        <v>1236.42</v>
      </c>
      <c r="AM397" s="25"/>
      <c r="AN397" s="25">
        <f>1236.42</f>
        <v>1236.42</v>
      </c>
      <c r="AO397" s="77">
        <f t="shared" si="4"/>
        <v>1236.42</v>
      </c>
      <c r="AP397" s="22"/>
      <c r="AQ397" s="22"/>
      <c r="AR397" s="22"/>
      <c r="AS397" s="22"/>
      <c r="AT397" s="22"/>
      <c r="AU397" s="26"/>
      <c r="AV397" s="26" t="s">
        <v>136</v>
      </c>
      <c r="AW397" s="22" t="s">
        <v>924</v>
      </c>
      <c r="AX397" s="64">
        <v>12253</v>
      </c>
      <c r="AY397" s="63">
        <v>43164</v>
      </c>
      <c r="AZ397" s="64">
        <v>12256</v>
      </c>
      <c r="BA397" s="63">
        <v>43167</v>
      </c>
      <c r="BB397" s="26"/>
      <c r="BC397" s="60"/>
      <c r="BD397" s="26"/>
      <c r="BE397" s="26"/>
      <c r="BF397" s="26"/>
      <c r="BG397" s="26"/>
      <c r="BH397" s="26"/>
      <c r="BI397" s="26"/>
      <c r="BJ397" s="26"/>
      <c r="BK397" s="26"/>
      <c r="BL397" s="26"/>
      <c r="BM397" s="26"/>
    </row>
    <row r="398" spans="1:65" ht="75" x14ac:dyDescent="0.25">
      <c r="A398" s="163">
        <v>157</v>
      </c>
      <c r="B398" s="155" t="s">
        <v>1333</v>
      </c>
      <c r="C398" s="22" t="s">
        <v>1168</v>
      </c>
      <c r="D398" s="81" t="s">
        <v>1332</v>
      </c>
      <c r="E398" s="22"/>
      <c r="F398" s="33" t="s">
        <v>908</v>
      </c>
      <c r="G398" s="33"/>
      <c r="H398" s="23"/>
      <c r="I398" s="35"/>
      <c r="J398" s="35"/>
      <c r="K398" s="24" t="s">
        <v>1344</v>
      </c>
      <c r="L398" s="140" t="s">
        <v>1061</v>
      </c>
      <c r="M398" s="43" t="s">
        <v>1062</v>
      </c>
      <c r="N398" s="61">
        <v>43167</v>
      </c>
      <c r="O398" s="77">
        <v>1005.33</v>
      </c>
      <c r="P398" s="76">
        <v>12261</v>
      </c>
      <c r="Q398" s="61">
        <v>43167</v>
      </c>
      <c r="R398" s="61">
        <v>43465</v>
      </c>
      <c r="S398" s="43" t="s">
        <v>142</v>
      </c>
      <c r="T398" s="22"/>
      <c r="U398" s="25"/>
      <c r="V398" s="25"/>
      <c r="W398" s="33" t="s">
        <v>214</v>
      </c>
      <c r="X398" s="33"/>
      <c r="Y398" s="22"/>
      <c r="Z398" s="22"/>
      <c r="AA398" s="22"/>
      <c r="AB398" s="33"/>
      <c r="AC398" s="22"/>
      <c r="AD398" s="22"/>
      <c r="AE398" s="22"/>
      <c r="AF398" s="22"/>
      <c r="AG398" s="25"/>
      <c r="AH398" s="25"/>
      <c r="AI398" s="25"/>
      <c r="AJ398" s="25"/>
      <c r="AK398" s="25"/>
      <c r="AL398" s="74">
        <f t="shared" si="6"/>
        <v>1005.33</v>
      </c>
      <c r="AM398" s="25"/>
      <c r="AN398" s="25">
        <f>1005.33</f>
        <v>1005.33</v>
      </c>
      <c r="AO398" s="77">
        <f t="shared" si="4"/>
        <v>1005.33</v>
      </c>
      <c r="AP398" s="22"/>
      <c r="AQ398" s="22"/>
      <c r="AR398" s="22"/>
      <c r="AS398" s="22"/>
      <c r="AT398" s="22"/>
      <c r="AU398" s="26"/>
      <c r="AV398" s="26" t="s">
        <v>136</v>
      </c>
      <c r="AW398" s="22" t="s">
        <v>924</v>
      </c>
      <c r="AX398" s="64">
        <v>12253</v>
      </c>
      <c r="AY398" s="63">
        <v>43164</v>
      </c>
      <c r="AZ398" s="64">
        <v>12256</v>
      </c>
      <c r="BA398" s="63">
        <v>43167</v>
      </c>
      <c r="BB398" s="26"/>
      <c r="BC398" s="60"/>
      <c r="BD398" s="26"/>
      <c r="BE398" s="26"/>
      <c r="BF398" s="26"/>
      <c r="BG398" s="26"/>
      <c r="BH398" s="26"/>
      <c r="BI398" s="26"/>
      <c r="BJ398" s="26"/>
      <c r="BK398" s="26"/>
      <c r="BL398" s="26"/>
      <c r="BM398" s="26"/>
    </row>
    <row r="399" spans="1:65" ht="75" x14ac:dyDescent="0.25">
      <c r="A399" s="163">
        <v>158</v>
      </c>
      <c r="B399" s="155" t="s">
        <v>1333</v>
      </c>
      <c r="C399" s="22" t="s">
        <v>1168</v>
      </c>
      <c r="D399" s="81" t="s">
        <v>1332</v>
      </c>
      <c r="E399" s="22"/>
      <c r="F399" s="33" t="s">
        <v>908</v>
      </c>
      <c r="G399" s="33"/>
      <c r="H399" s="23"/>
      <c r="I399" s="35"/>
      <c r="J399" s="35"/>
      <c r="K399" s="24" t="s">
        <v>1345</v>
      </c>
      <c r="L399" s="140" t="s">
        <v>1045</v>
      </c>
      <c r="M399" s="43" t="s">
        <v>1046</v>
      </c>
      <c r="N399" s="61">
        <v>43167</v>
      </c>
      <c r="O399" s="77">
        <v>1005.33</v>
      </c>
      <c r="P399" s="76">
        <v>12261</v>
      </c>
      <c r="Q399" s="61">
        <v>43167</v>
      </c>
      <c r="R399" s="61">
        <v>43465</v>
      </c>
      <c r="S399" s="43" t="s">
        <v>142</v>
      </c>
      <c r="T399" s="22"/>
      <c r="U399" s="25"/>
      <c r="V399" s="25"/>
      <c r="W399" s="33" t="s">
        <v>214</v>
      </c>
      <c r="X399" s="33"/>
      <c r="Y399" s="22"/>
      <c r="Z399" s="22"/>
      <c r="AA399" s="22"/>
      <c r="AB399" s="33"/>
      <c r="AC399" s="22"/>
      <c r="AD399" s="22"/>
      <c r="AE399" s="22"/>
      <c r="AF399" s="22"/>
      <c r="AG399" s="25"/>
      <c r="AH399" s="25"/>
      <c r="AI399" s="25"/>
      <c r="AJ399" s="25"/>
      <c r="AK399" s="25"/>
      <c r="AL399" s="74">
        <f t="shared" si="6"/>
        <v>1005.33</v>
      </c>
      <c r="AM399" s="25"/>
      <c r="AN399" s="25">
        <v>1005.33</v>
      </c>
      <c r="AO399" s="77">
        <f t="shared" si="4"/>
        <v>1005.33</v>
      </c>
      <c r="AP399" s="22"/>
      <c r="AQ399" s="22"/>
      <c r="AR399" s="22"/>
      <c r="AS399" s="22"/>
      <c r="AT399" s="22"/>
      <c r="AU399" s="26"/>
      <c r="AV399" s="26" t="s">
        <v>136</v>
      </c>
      <c r="AW399" s="22" t="s">
        <v>924</v>
      </c>
      <c r="AX399" s="64">
        <v>12253</v>
      </c>
      <c r="AY399" s="63">
        <v>43164</v>
      </c>
      <c r="AZ399" s="64">
        <v>12256</v>
      </c>
      <c r="BA399" s="63">
        <v>43167</v>
      </c>
      <c r="BB399" s="26"/>
      <c r="BC399" s="60"/>
      <c r="BD399" s="26"/>
      <c r="BE399" s="26"/>
      <c r="BF399" s="26"/>
      <c r="BG399" s="26"/>
      <c r="BH399" s="26"/>
      <c r="BI399" s="26"/>
      <c r="BJ399" s="26"/>
      <c r="BK399" s="26"/>
      <c r="BL399" s="26"/>
      <c r="BM399" s="26"/>
    </row>
    <row r="400" spans="1:65" ht="45" x14ac:dyDescent="0.25">
      <c r="A400" s="163">
        <v>159</v>
      </c>
      <c r="B400" s="155" t="s">
        <v>994</v>
      </c>
      <c r="C400" s="22" t="s">
        <v>761</v>
      </c>
      <c r="D400" s="81" t="s">
        <v>128</v>
      </c>
      <c r="E400" s="22" t="s">
        <v>124</v>
      </c>
      <c r="F400" s="33" t="s">
        <v>1355</v>
      </c>
      <c r="G400" s="33" t="s">
        <v>1006</v>
      </c>
      <c r="H400" s="23" t="s">
        <v>703</v>
      </c>
      <c r="I400" s="35">
        <v>42921</v>
      </c>
      <c r="J400" s="35">
        <v>43286</v>
      </c>
      <c r="K400" s="24" t="s">
        <v>1354</v>
      </c>
      <c r="L400" s="140" t="s">
        <v>996</v>
      </c>
      <c r="M400" s="43" t="s">
        <v>997</v>
      </c>
      <c r="N400" s="61">
        <v>43167</v>
      </c>
      <c r="O400" s="77">
        <v>1125</v>
      </c>
      <c r="P400" s="76">
        <v>12269</v>
      </c>
      <c r="Q400" s="61">
        <v>43167</v>
      </c>
      <c r="R400" s="61">
        <v>43465</v>
      </c>
      <c r="S400" s="43" t="s">
        <v>1356</v>
      </c>
      <c r="T400" s="22"/>
      <c r="U400" s="25"/>
      <c r="V400" s="25"/>
      <c r="W400" s="33" t="s">
        <v>787</v>
      </c>
      <c r="X400" s="33"/>
      <c r="Y400" s="22"/>
      <c r="Z400" s="22"/>
      <c r="AA400" s="22"/>
      <c r="AB400" s="33"/>
      <c r="AC400" s="22"/>
      <c r="AD400" s="22"/>
      <c r="AE400" s="22"/>
      <c r="AF400" s="22"/>
      <c r="AG400" s="25"/>
      <c r="AH400" s="25"/>
      <c r="AI400" s="25"/>
      <c r="AJ400" s="25"/>
      <c r="AK400" s="25"/>
      <c r="AL400" s="74">
        <f t="shared" si="6"/>
        <v>1125</v>
      </c>
      <c r="AM400" s="25"/>
      <c r="AN400" s="25">
        <v>1125</v>
      </c>
      <c r="AO400" s="77">
        <f t="shared" si="4"/>
        <v>1125</v>
      </c>
      <c r="AP400" s="22"/>
      <c r="AQ400" s="22"/>
      <c r="AR400" s="22"/>
      <c r="AS400" s="22"/>
      <c r="AT400" s="22"/>
      <c r="AU400" s="26"/>
      <c r="AV400" s="26"/>
      <c r="AW400" s="26"/>
      <c r="AX400" s="26"/>
      <c r="AY400" s="26"/>
      <c r="AZ400" s="26"/>
      <c r="BA400" s="26"/>
      <c r="BB400" s="26"/>
      <c r="BC400" s="60"/>
      <c r="BD400" s="26"/>
      <c r="BE400" s="26"/>
      <c r="BF400" s="26"/>
      <c r="BG400" s="26"/>
      <c r="BH400" s="26"/>
      <c r="BI400" s="26"/>
      <c r="BJ400" s="26"/>
      <c r="BK400" s="26"/>
      <c r="BL400" s="26"/>
      <c r="BM400" s="26"/>
    </row>
    <row r="401" spans="1:65" ht="45" x14ac:dyDescent="0.25">
      <c r="A401" s="163">
        <v>160</v>
      </c>
      <c r="B401" s="155" t="s">
        <v>942</v>
      </c>
      <c r="C401" s="22" t="s">
        <v>705</v>
      </c>
      <c r="D401" s="81" t="s">
        <v>128</v>
      </c>
      <c r="E401" s="22" t="s">
        <v>124</v>
      </c>
      <c r="F401" s="33" t="s">
        <v>943</v>
      </c>
      <c r="G401" s="33" t="s">
        <v>948</v>
      </c>
      <c r="H401" s="23" t="s">
        <v>697</v>
      </c>
      <c r="I401" s="35">
        <v>42885</v>
      </c>
      <c r="J401" s="35">
        <v>43250</v>
      </c>
      <c r="K401" s="24" t="s">
        <v>1346</v>
      </c>
      <c r="L401" s="140" t="s">
        <v>944</v>
      </c>
      <c r="M401" s="43" t="s">
        <v>945</v>
      </c>
      <c r="N401" s="61">
        <v>43167</v>
      </c>
      <c r="O401" s="77">
        <v>85585</v>
      </c>
      <c r="P401" s="76">
        <v>12259</v>
      </c>
      <c r="Q401" s="61">
        <v>43167</v>
      </c>
      <c r="R401" s="61">
        <v>43465</v>
      </c>
      <c r="S401" s="43" t="s">
        <v>369</v>
      </c>
      <c r="T401" s="22"/>
      <c r="U401" s="25"/>
      <c r="V401" s="25"/>
      <c r="W401" s="33" t="s">
        <v>787</v>
      </c>
      <c r="X401" s="33"/>
      <c r="Y401" s="22"/>
      <c r="Z401" s="22"/>
      <c r="AA401" s="22"/>
      <c r="AB401" s="33"/>
      <c r="AC401" s="22"/>
      <c r="AD401" s="22"/>
      <c r="AE401" s="22"/>
      <c r="AF401" s="22"/>
      <c r="AG401" s="25"/>
      <c r="AH401" s="25"/>
      <c r="AI401" s="25"/>
      <c r="AJ401" s="25"/>
      <c r="AK401" s="25"/>
      <c r="AL401" s="74">
        <f t="shared" si="6"/>
        <v>85585</v>
      </c>
      <c r="AM401" s="25"/>
      <c r="AN401" s="25">
        <f>44970+40404</f>
        <v>85374</v>
      </c>
      <c r="AO401" s="77">
        <f t="shared" si="4"/>
        <v>85374</v>
      </c>
      <c r="AP401" s="37"/>
      <c r="AQ401" s="22"/>
      <c r="AR401" s="22"/>
      <c r="AS401" s="22"/>
      <c r="AT401" s="22"/>
      <c r="AU401" s="26"/>
      <c r="AV401" s="26"/>
      <c r="AW401" s="26"/>
      <c r="AX401" s="26"/>
      <c r="AY401" s="26"/>
      <c r="AZ401" s="26"/>
      <c r="BA401" s="26"/>
      <c r="BB401" s="26"/>
      <c r="BC401" s="60"/>
      <c r="BD401" s="26"/>
      <c r="BE401" s="26"/>
      <c r="BF401" s="26"/>
      <c r="BG401" s="26"/>
      <c r="BH401" s="26"/>
      <c r="BI401" s="26"/>
      <c r="BJ401" s="26"/>
      <c r="BK401" s="26"/>
      <c r="BL401" s="26"/>
      <c r="BM401" s="26"/>
    </row>
    <row r="402" spans="1:65" ht="45" x14ac:dyDescent="0.25">
      <c r="A402" s="163">
        <v>161</v>
      </c>
      <c r="B402" s="155" t="s">
        <v>1236</v>
      </c>
      <c r="C402" s="22" t="s">
        <v>794</v>
      </c>
      <c r="D402" s="81" t="s">
        <v>128</v>
      </c>
      <c r="E402" s="22" t="s">
        <v>124</v>
      </c>
      <c r="F402" s="33" t="s">
        <v>1238</v>
      </c>
      <c r="G402" s="33" t="s">
        <v>1242</v>
      </c>
      <c r="H402" s="23" t="s">
        <v>785</v>
      </c>
      <c r="I402" s="35">
        <v>43077</v>
      </c>
      <c r="J402" s="35">
        <v>43442</v>
      </c>
      <c r="K402" s="24" t="s">
        <v>1357</v>
      </c>
      <c r="L402" s="140" t="s">
        <v>1240</v>
      </c>
      <c r="M402" s="43" t="s">
        <v>1241</v>
      </c>
      <c r="N402" s="61">
        <v>43167</v>
      </c>
      <c r="O402" s="77">
        <v>6225</v>
      </c>
      <c r="P402" s="76">
        <v>12278</v>
      </c>
      <c r="Q402" s="61">
        <v>43167</v>
      </c>
      <c r="R402" s="61">
        <v>43465</v>
      </c>
      <c r="S402" s="43" t="s">
        <v>1383</v>
      </c>
      <c r="T402" s="22"/>
      <c r="U402" s="25"/>
      <c r="V402" s="25"/>
      <c r="W402" s="33" t="s">
        <v>787</v>
      </c>
      <c r="X402" s="33"/>
      <c r="Y402" s="22"/>
      <c r="Z402" s="22"/>
      <c r="AA402" s="22"/>
      <c r="AB402" s="33"/>
      <c r="AC402" s="22"/>
      <c r="AD402" s="22"/>
      <c r="AE402" s="22"/>
      <c r="AF402" s="22"/>
      <c r="AG402" s="25"/>
      <c r="AH402" s="25"/>
      <c r="AI402" s="25"/>
      <c r="AJ402" s="25"/>
      <c r="AK402" s="25"/>
      <c r="AL402" s="74">
        <f t="shared" si="6"/>
        <v>6225</v>
      </c>
      <c r="AM402" s="25"/>
      <c r="AN402" s="25">
        <v>6225</v>
      </c>
      <c r="AO402" s="77">
        <f t="shared" si="4"/>
        <v>6225</v>
      </c>
      <c r="AP402" s="22"/>
      <c r="AQ402" s="22"/>
      <c r="AR402" s="22"/>
      <c r="AS402" s="22"/>
      <c r="AT402" s="22"/>
      <c r="AU402" s="26"/>
      <c r="AV402" s="26"/>
      <c r="AW402" s="26"/>
      <c r="AX402" s="26"/>
      <c r="AY402" s="26"/>
      <c r="AZ402" s="26"/>
      <c r="BA402" s="26"/>
      <c r="BB402" s="26"/>
      <c r="BC402" s="60"/>
      <c r="BD402" s="26"/>
      <c r="BE402" s="26"/>
      <c r="BF402" s="26"/>
      <c r="BG402" s="26"/>
      <c r="BH402" s="26"/>
      <c r="BI402" s="26"/>
      <c r="BJ402" s="26"/>
      <c r="BK402" s="26"/>
      <c r="BL402" s="26"/>
      <c r="BM402" s="26"/>
    </row>
    <row r="403" spans="1:65" ht="60" x14ac:dyDescent="0.25">
      <c r="A403" s="163">
        <v>162</v>
      </c>
      <c r="B403" s="155" t="s">
        <v>994</v>
      </c>
      <c r="C403" s="22" t="s">
        <v>761</v>
      </c>
      <c r="D403" s="81" t="s">
        <v>128</v>
      </c>
      <c r="E403" s="22" t="s">
        <v>124</v>
      </c>
      <c r="F403" s="33" t="s">
        <v>995</v>
      </c>
      <c r="G403" s="33" t="s">
        <v>1006</v>
      </c>
      <c r="H403" s="23" t="s">
        <v>703</v>
      </c>
      <c r="I403" s="35">
        <v>42921</v>
      </c>
      <c r="J403" s="35">
        <v>43286</v>
      </c>
      <c r="K403" s="24" t="s">
        <v>1358</v>
      </c>
      <c r="L403" s="140" t="s">
        <v>1001</v>
      </c>
      <c r="M403" s="43" t="s">
        <v>1002</v>
      </c>
      <c r="N403" s="61">
        <v>43167</v>
      </c>
      <c r="O403" s="77">
        <v>4650.25</v>
      </c>
      <c r="P403" s="76">
        <v>12270</v>
      </c>
      <c r="Q403" s="61">
        <v>43167</v>
      </c>
      <c r="R403" s="61">
        <v>43465</v>
      </c>
      <c r="S403" s="43" t="s">
        <v>1359</v>
      </c>
      <c r="T403" s="22"/>
      <c r="U403" s="25"/>
      <c r="V403" s="25"/>
      <c r="W403" s="33" t="s">
        <v>787</v>
      </c>
      <c r="X403" s="33"/>
      <c r="Y403" s="22"/>
      <c r="Z403" s="22"/>
      <c r="AA403" s="22"/>
      <c r="AB403" s="33"/>
      <c r="AC403" s="22"/>
      <c r="AD403" s="22"/>
      <c r="AE403" s="22"/>
      <c r="AF403" s="22"/>
      <c r="AG403" s="25"/>
      <c r="AH403" s="25"/>
      <c r="AI403" s="25"/>
      <c r="AJ403" s="25"/>
      <c r="AK403" s="25"/>
      <c r="AL403" s="74">
        <f t="shared" si="6"/>
        <v>4650.25</v>
      </c>
      <c r="AM403" s="25"/>
      <c r="AN403" s="25">
        <f>4650.25</f>
        <v>4650.25</v>
      </c>
      <c r="AO403" s="77">
        <f t="shared" si="4"/>
        <v>4650.25</v>
      </c>
      <c r="AP403" s="22"/>
      <c r="AQ403" s="22"/>
      <c r="AR403" s="22"/>
      <c r="AS403" s="22"/>
      <c r="AT403" s="22"/>
      <c r="AU403" s="26"/>
      <c r="AV403" s="26"/>
      <c r="AW403" s="26"/>
      <c r="AX403" s="26"/>
      <c r="AY403" s="26"/>
      <c r="AZ403" s="26"/>
      <c r="BA403" s="26"/>
      <c r="BB403" s="26"/>
      <c r="BC403" s="60"/>
      <c r="BD403" s="26"/>
      <c r="BE403" s="26"/>
      <c r="BF403" s="26"/>
      <c r="BG403" s="26"/>
      <c r="BH403" s="26"/>
      <c r="BI403" s="26"/>
      <c r="BJ403" s="26"/>
      <c r="BK403" s="26"/>
      <c r="BL403" s="26"/>
      <c r="BM403" s="26"/>
    </row>
    <row r="404" spans="1:65" ht="60" x14ac:dyDescent="0.25">
      <c r="A404" s="163">
        <v>163</v>
      </c>
      <c r="B404" s="155" t="s">
        <v>1361</v>
      </c>
      <c r="C404" s="22" t="s">
        <v>1206</v>
      </c>
      <c r="D404" s="81" t="s">
        <v>128</v>
      </c>
      <c r="E404" s="22" t="s">
        <v>124</v>
      </c>
      <c r="F404" s="33" t="s">
        <v>1364</v>
      </c>
      <c r="G404" s="33" t="s">
        <v>1402</v>
      </c>
      <c r="H404" s="23" t="s">
        <v>1179</v>
      </c>
      <c r="I404" s="35">
        <v>43179</v>
      </c>
      <c r="J404" s="35">
        <v>43544</v>
      </c>
      <c r="K404" s="24" t="s">
        <v>1360</v>
      </c>
      <c r="L404" s="140" t="s">
        <v>1362</v>
      </c>
      <c r="M404" s="43" t="s">
        <v>1363</v>
      </c>
      <c r="N404" s="61">
        <v>43179</v>
      </c>
      <c r="O404" s="77">
        <v>89000</v>
      </c>
      <c r="P404" s="76">
        <v>12270</v>
      </c>
      <c r="Q404" s="61">
        <v>43179</v>
      </c>
      <c r="R404" s="61">
        <v>43465</v>
      </c>
      <c r="S404" s="43" t="s">
        <v>1365</v>
      </c>
      <c r="T404" s="22"/>
      <c r="U404" s="25"/>
      <c r="V404" s="25"/>
      <c r="W404" s="33" t="s">
        <v>135</v>
      </c>
      <c r="X404" s="33"/>
      <c r="Y404" s="22"/>
      <c r="Z404" s="22"/>
      <c r="AA404" s="22"/>
      <c r="AB404" s="33"/>
      <c r="AC404" s="22"/>
      <c r="AD404" s="22"/>
      <c r="AE404" s="22"/>
      <c r="AF404" s="22"/>
      <c r="AG404" s="25"/>
      <c r="AH404" s="25"/>
      <c r="AI404" s="25"/>
      <c r="AJ404" s="25"/>
      <c r="AK404" s="25"/>
      <c r="AL404" s="74">
        <f t="shared" si="6"/>
        <v>89000</v>
      </c>
      <c r="AM404" s="25"/>
      <c r="AN404" s="25">
        <v>89000</v>
      </c>
      <c r="AO404" s="77">
        <f t="shared" si="4"/>
        <v>89000</v>
      </c>
      <c r="AP404" s="22"/>
      <c r="AQ404" s="22"/>
      <c r="AR404" s="22"/>
      <c r="AS404" s="22"/>
      <c r="AT404" s="22"/>
      <c r="AU404" s="26"/>
      <c r="AV404" s="26"/>
      <c r="AW404" s="26"/>
      <c r="AX404" s="26"/>
      <c r="AY404" s="26"/>
      <c r="AZ404" s="26"/>
      <c r="BA404" s="26"/>
      <c r="BB404" s="26"/>
      <c r="BC404" s="60"/>
      <c r="BD404" s="26"/>
      <c r="BE404" s="26"/>
      <c r="BF404" s="26"/>
      <c r="BG404" s="26"/>
      <c r="BH404" s="26"/>
      <c r="BI404" s="26"/>
      <c r="BJ404" s="26"/>
      <c r="BK404" s="26"/>
      <c r="BL404" s="26"/>
      <c r="BM404" s="26"/>
    </row>
    <row r="405" spans="1:65" ht="120" x14ac:dyDescent="0.25">
      <c r="A405" s="160">
        <v>164</v>
      </c>
      <c r="B405" s="154" t="s">
        <v>1073</v>
      </c>
      <c r="C405" s="19" t="s">
        <v>772</v>
      </c>
      <c r="D405" s="80" t="s">
        <v>128</v>
      </c>
      <c r="E405" s="19" t="s">
        <v>124</v>
      </c>
      <c r="F405" s="32" t="s">
        <v>221</v>
      </c>
      <c r="G405" s="32" t="s">
        <v>1093</v>
      </c>
      <c r="H405" s="20" t="s">
        <v>765</v>
      </c>
      <c r="I405" s="29">
        <v>43014</v>
      </c>
      <c r="J405" s="29">
        <v>43379</v>
      </c>
      <c r="K405" s="45" t="s">
        <v>1366</v>
      </c>
      <c r="L405" s="143" t="s">
        <v>375</v>
      </c>
      <c r="M405" s="27" t="s">
        <v>299</v>
      </c>
      <c r="N405" s="31">
        <v>43179</v>
      </c>
      <c r="O405" s="78">
        <v>455588</v>
      </c>
      <c r="P405" s="30">
        <v>12268</v>
      </c>
      <c r="Q405" s="31">
        <v>43179</v>
      </c>
      <c r="R405" s="31">
        <v>43465</v>
      </c>
      <c r="S405" s="27" t="s">
        <v>1074</v>
      </c>
      <c r="T405" s="32"/>
      <c r="U405" s="148"/>
      <c r="V405" s="148"/>
      <c r="W405" s="32" t="s">
        <v>292</v>
      </c>
      <c r="X405" s="33" t="s">
        <v>365</v>
      </c>
      <c r="Y405" s="22" t="s">
        <v>136</v>
      </c>
      <c r="Z405" s="35">
        <v>43231</v>
      </c>
      <c r="AA405" s="34">
        <v>12311</v>
      </c>
      <c r="AB405" s="33" t="s">
        <v>1540</v>
      </c>
      <c r="AC405" s="22"/>
      <c r="AD405" s="22"/>
      <c r="AE405" s="22"/>
      <c r="AF405" s="22"/>
      <c r="AG405" s="25">
        <v>79199.5</v>
      </c>
      <c r="AH405" s="25"/>
      <c r="AI405" s="25"/>
      <c r="AJ405" s="25"/>
      <c r="AK405" s="25"/>
      <c r="AL405" s="38">
        <f>O405-AH405+AG405-AH406+AG406</f>
        <v>557862.5</v>
      </c>
      <c r="AM405" s="38"/>
      <c r="AN405" s="38">
        <f>323835.62+50027.64+19344.04+74840.5+39770.5+49805</f>
        <v>557623.30000000005</v>
      </c>
      <c r="AO405" s="38">
        <f t="shared" si="4"/>
        <v>557623.30000000005</v>
      </c>
      <c r="AP405" s="22"/>
      <c r="AQ405" s="22"/>
      <c r="AR405" s="22"/>
      <c r="AS405" s="22"/>
      <c r="AT405" s="22"/>
      <c r="AU405" s="26"/>
      <c r="AV405" s="26"/>
      <c r="AW405" s="26"/>
      <c r="AX405" s="26"/>
      <c r="AY405" s="26"/>
      <c r="AZ405" s="26"/>
      <c r="BA405" s="26"/>
      <c r="BB405" s="26"/>
      <c r="BC405" s="60"/>
      <c r="BD405" s="26"/>
      <c r="BE405" s="26"/>
      <c r="BF405" s="26"/>
      <c r="BG405" s="26"/>
      <c r="BH405" s="26"/>
      <c r="BI405" s="26"/>
      <c r="BJ405" s="26"/>
      <c r="BK405" s="26"/>
      <c r="BL405" s="26"/>
      <c r="BM405" s="26"/>
    </row>
    <row r="406" spans="1:65" ht="75" x14ac:dyDescent="0.25">
      <c r="A406" s="160"/>
      <c r="B406" s="154"/>
      <c r="C406" s="19"/>
      <c r="D406" s="80"/>
      <c r="E406" s="19"/>
      <c r="F406" s="32"/>
      <c r="G406" s="32"/>
      <c r="H406" s="20"/>
      <c r="I406" s="29"/>
      <c r="J406" s="29"/>
      <c r="K406" s="45"/>
      <c r="L406" s="143"/>
      <c r="M406" s="27"/>
      <c r="N406" s="27"/>
      <c r="O406" s="78"/>
      <c r="P406" s="27"/>
      <c r="Q406" s="27"/>
      <c r="R406" s="27"/>
      <c r="S406" s="27"/>
      <c r="T406" s="32"/>
      <c r="U406" s="148"/>
      <c r="V406" s="148"/>
      <c r="W406" s="32"/>
      <c r="X406" s="33" t="s">
        <v>365</v>
      </c>
      <c r="Y406" s="22" t="s">
        <v>140</v>
      </c>
      <c r="Z406" s="35">
        <v>43305</v>
      </c>
      <c r="AA406" s="34">
        <v>12362</v>
      </c>
      <c r="AB406" s="33" t="s">
        <v>1742</v>
      </c>
      <c r="AC406" s="22"/>
      <c r="AD406" s="22"/>
      <c r="AE406" s="22"/>
      <c r="AF406" s="22"/>
      <c r="AG406" s="25">
        <v>23075</v>
      </c>
      <c r="AH406" s="25"/>
      <c r="AI406" s="25"/>
      <c r="AJ406" s="25"/>
      <c r="AK406" s="25"/>
      <c r="AL406" s="38"/>
      <c r="AM406" s="38"/>
      <c r="AN406" s="38"/>
      <c r="AO406" s="38"/>
      <c r="AP406" s="37"/>
      <c r="AQ406" s="22"/>
      <c r="AR406" s="22"/>
      <c r="AS406" s="22"/>
      <c r="AT406" s="22"/>
      <c r="AU406" s="26"/>
      <c r="AV406" s="26"/>
      <c r="AW406" s="26"/>
      <c r="AX406" s="26"/>
      <c r="AY406" s="26"/>
      <c r="AZ406" s="26"/>
      <c r="BA406" s="26"/>
      <c r="BB406" s="26"/>
      <c r="BC406" s="60"/>
      <c r="BD406" s="26"/>
      <c r="BE406" s="26"/>
      <c r="BF406" s="26"/>
      <c r="BG406" s="26"/>
      <c r="BH406" s="26"/>
      <c r="BI406" s="26"/>
      <c r="BJ406" s="26"/>
      <c r="BK406" s="26"/>
      <c r="BL406" s="26"/>
      <c r="BM406" s="26"/>
    </row>
    <row r="407" spans="1:65" ht="90" x14ac:dyDescent="0.25">
      <c r="A407" s="163">
        <v>165</v>
      </c>
      <c r="B407" s="155" t="s">
        <v>1073</v>
      </c>
      <c r="C407" s="22" t="s">
        <v>772</v>
      </c>
      <c r="D407" s="81" t="s">
        <v>128</v>
      </c>
      <c r="E407" s="22" t="s">
        <v>124</v>
      </c>
      <c r="F407" s="33" t="s">
        <v>221</v>
      </c>
      <c r="G407" s="33" t="s">
        <v>1093</v>
      </c>
      <c r="H407" s="23" t="s">
        <v>765</v>
      </c>
      <c r="I407" s="35">
        <v>43014</v>
      </c>
      <c r="J407" s="35">
        <v>43379</v>
      </c>
      <c r="K407" s="24" t="s">
        <v>1367</v>
      </c>
      <c r="L407" s="140" t="s">
        <v>1082</v>
      </c>
      <c r="M407" s="43" t="s">
        <v>1083</v>
      </c>
      <c r="N407" s="61">
        <v>43179</v>
      </c>
      <c r="O407" s="77">
        <v>31760</v>
      </c>
      <c r="P407" s="76">
        <v>12268</v>
      </c>
      <c r="Q407" s="61">
        <v>43179</v>
      </c>
      <c r="R407" s="61">
        <v>43465</v>
      </c>
      <c r="S407" s="43" t="s">
        <v>1074</v>
      </c>
      <c r="T407" s="22"/>
      <c r="U407" s="25"/>
      <c r="V407" s="25"/>
      <c r="W407" s="33" t="s">
        <v>292</v>
      </c>
      <c r="X407" s="33" t="s">
        <v>365</v>
      </c>
      <c r="Y407" s="22" t="s">
        <v>136</v>
      </c>
      <c r="Z407" s="35">
        <v>43231</v>
      </c>
      <c r="AA407" s="34">
        <v>12311</v>
      </c>
      <c r="AB407" s="33" t="s">
        <v>1541</v>
      </c>
      <c r="AC407" s="22"/>
      <c r="AD407" s="22"/>
      <c r="AE407" s="22"/>
      <c r="AF407" s="22"/>
      <c r="AG407" s="25">
        <v>7940</v>
      </c>
      <c r="AH407" s="25"/>
      <c r="AI407" s="25"/>
      <c r="AJ407" s="25"/>
      <c r="AK407" s="25"/>
      <c r="AL407" s="74">
        <f t="shared" si="6"/>
        <v>39700</v>
      </c>
      <c r="AM407" s="25"/>
      <c r="AN407" s="25">
        <f>31760</f>
        <v>31760</v>
      </c>
      <c r="AO407" s="77">
        <f t="shared" si="4"/>
        <v>31760</v>
      </c>
      <c r="AP407" s="37"/>
      <c r="AQ407" s="22"/>
      <c r="AR407" s="22"/>
      <c r="AS407" s="22"/>
      <c r="AT407" s="22"/>
      <c r="AU407" s="26"/>
      <c r="AV407" s="26"/>
      <c r="AW407" s="26"/>
      <c r="AX407" s="26"/>
      <c r="AY407" s="26"/>
      <c r="AZ407" s="26"/>
      <c r="BA407" s="26"/>
      <c r="BB407" s="26"/>
      <c r="BC407" s="60"/>
      <c r="BD407" s="26"/>
      <c r="BE407" s="26"/>
      <c r="BF407" s="26"/>
      <c r="BG407" s="26"/>
      <c r="BH407" s="26"/>
      <c r="BI407" s="26"/>
      <c r="BJ407" s="26"/>
      <c r="BK407" s="26"/>
      <c r="BL407" s="26"/>
      <c r="BM407" s="26"/>
    </row>
    <row r="408" spans="1:65" ht="105" x14ac:dyDescent="0.25">
      <c r="A408" s="163">
        <v>166</v>
      </c>
      <c r="B408" s="155" t="s">
        <v>1073</v>
      </c>
      <c r="C408" s="22" t="s">
        <v>772</v>
      </c>
      <c r="D408" s="81" t="s">
        <v>128</v>
      </c>
      <c r="E408" s="22" t="s">
        <v>124</v>
      </c>
      <c r="F408" s="33" t="s">
        <v>221</v>
      </c>
      <c r="G408" s="33" t="s">
        <v>1093</v>
      </c>
      <c r="H408" s="23" t="s">
        <v>765</v>
      </c>
      <c r="I408" s="35">
        <v>43014</v>
      </c>
      <c r="J408" s="35">
        <v>43379</v>
      </c>
      <c r="K408" s="24" t="s">
        <v>1368</v>
      </c>
      <c r="L408" s="140" t="s">
        <v>377</v>
      </c>
      <c r="M408" s="43" t="s">
        <v>378</v>
      </c>
      <c r="N408" s="61">
        <v>43179</v>
      </c>
      <c r="O408" s="77">
        <v>110350</v>
      </c>
      <c r="P408" s="76">
        <v>12269</v>
      </c>
      <c r="Q408" s="61">
        <v>43179</v>
      </c>
      <c r="R408" s="61">
        <v>43465</v>
      </c>
      <c r="S408" s="43" t="s">
        <v>1074</v>
      </c>
      <c r="T408" s="22"/>
      <c r="U408" s="25"/>
      <c r="V408" s="25"/>
      <c r="W408" s="33" t="s">
        <v>292</v>
      </c>
      <c r="X408" s="33" t="s">
        <v>365</v>
      </c>
      <c r="Y408" s="22" t="s">
        <v>136</v>
      </c>
      <c r="Z408" s="35">
        <v>43231</v>
      </c>
      <c r="AA408" s="34">
        <v>12311</v>
      </c>
      <c r="AB408" s="33" t="s">
        <v>1542</v>
      </c>
      <c r="AC408" s="22"/>
      <c r="AD408" s="22"/>
      <c r="AE408" s="22"/>
      <c r="AF408" s="22"/>
      <c r="AG408" s="25">
        <v>13837.5</v>
      </c>
      <c r="AH408" s="25"/>
      <c r="AI408" s="25"/>
      <c r="AJ408" s="25"/>
      <c r="AK408" s="25"/>
      <c r="AL408" s="74">
        <f t="shared" si="6"/>
        <v>124187.5</v>
      </c>
      <c r="AM408" s="25"/>
      <c r="AN408" s="25">
        <f>70250+20000+30872.5+3000</f>
        <v>124122.5</v>
      </c>
      <c r="AO408" s="77">
        <f t="shared" si="4"/>
        <v>124122.5</v>
      </c>
      <c r="AP408" s="37"/>
      <c r="AQ408" s="22"/>
      <c r="AR408" s="22"/>
      <c r="AS408" s="22"/>
      <c r="AT408" s="22"/>
      <c r="AU408" s="26"/>
      <c r="AV408" s="26"/>
      <c r="AW408" s="26"/>
      <c r="AX408" s="26"/>
      <c r="AY408" s="26"/>
      <c r="AZ408" s="26"/>
      <c r="BA408" s="26"/>
      <c r="BB408" s="26"/>
      <c r="BC408" s="60"/>
      <c r="BD408" s="26"/>
      <c r="BE408" s="26"/>
      <c r="BF408" s="26"/>
      <c r="BG408" s="26"/>
      <c r="BH408" s="26"/>
      <c r="BI408" s="26"/>
      <c r="BJ408" s="26"/>
      <c r="BK408" s="26"/>
      <c r="BL408" s="26"/>
      <c r="BM408" s="26"/>
    </row>
    <row r="409" spans="1:65" ht="90" x14ac:dyDescent="0.25">
      <c r="A409" s="163">
        <v>167</v>
      </c>
      <c r="B409" s="155" t="s">
        <v>1073</v>
      </c>
      <c r="C409" s="22" t="s">
        <v>772</v>
      </c>
      <c r="D409" s="81" t="s">
        <v>128</v>
      </c>
      <c r="E409" s="22" t="s">
        <v>124</v>
      </c>
      <c r="F409" s="33" t="s">
        <v>221</v>
      </c>
      <c r="G409" s="33" t="s">
        <v>1093</v>
      </c>
      <c r="H409" s="23" t="s">
        <v>765</v>
      </c>
      <c r="I409" s="35">
        <v>43014</v>
      </c>
      <c r="J409" s="35">
        <v>43379</v>
      </c>
      <c r="K409" s="24" t="s">
        <v>1369</v>
      </c>
      <c r="L409" s="140" t="s">
        <v>1077</v>
      </c>
      <c r="M409" s="43" t="s">
        <v>712</v>
      </c>
      <c r="N409" s="61">
        <v>43179</v>
      </c>
      <c r="O409" s="77">
        <v>63000</v>
      </c>
      <c r="P409" s="76">
        <v>12268</v>
      </c>
      <c r="Q409" s="61">
        <v>43179</v>
      </c>
      <c r="R409" s="61">
        <v>43465</v>
      </c>
      <c r="S409" s="43" t="s">
        <v>1074</v>
      </c>
      <c r="T409" s="22"/>
      <c r="U409" s="25"/>
      <c r="V409" s="25"/>
      <c r="W409" s="33" t="s">
        <v>292</v>
      </c>
      <c r="X409" s="33" t="s">
        <v>365</v>
      </c>
      <c r="Y409" s="22" t="s">
        <v>136</v>
      </c>
      <c r="Z409" s="35">
        <v>43231</v>
      </c>
      <c r="AA409" s="34">
        <v>12311</v>
      </c>
      <c r="AB409" s="33" t="s">
        <v>1543</v>
      </c>
      <c r="AC409" s="22"/>
      <c r="AD409" s="22"/>
      <c r="AE409" s="22"/>
      <c r="AF409" s="22"/>
      <c r="AG409" s="25">
        <v>15750</v>
      </c>
      <c r="AH409" s="25"/>
      <c r="AI409" s="25"/>
      <c r="AJ409" s="25"/>
      <c r="AK409" s="25"/>
      <c r="AL409" s="74">
        <f t="shared" si="6"/>
        <v>78750</v>
      </c>
      <c r="AM409" s="25"/>
      <c r="AN409" s="25">
        <f>63000+15750</f>
        <v>78750</v>
      </c>
      <c r="AO409" s="77">
        <f t="shared" si="4"/>
        <v>78750</v>
      </c>
      <c r="AP409" s="22"/>
      <c r="AQ409" s="22"/>
      <c r="AR409" s="22"/>
      <c r="AS409" s="22"/>
      <c r="AT409" s="22"/>
      <c r="AU409" s="26"/>
      <c r="AV409" s="26"/>
      <c r="AW409" s="26"/>
      <c r="AX409" s="26"/>
      <c r="AY409" s="26"/>
      <c r="AZ409" s="26"/>
      <c r="BA409" s="26"/>
      <c r="BB409" s="26"/>
      <c r="BC409" s="60"/>
      <c r="BD409" s="26"/>
      <c r="BE409" s="26"/>
      <c r="BF409" s="26"/>
      <c r="BG409" s="26"/>
      <c r="BH409" s="26"/>
      <c r="BI409" s="26"/>
      <c r="BJ409" s="26"/>
      <c r="BK409" s="26"/>
      <c r="BL409" s="26"/>
      <c r="BM409" s="26"/>
    </row>
    <row r="410" spans="1:65" ht="75" x14ac:dyDescent="0.25">
      <c r="A410" s="163">
        <v>168</v>
      </c>
      <c r="B410" s="155" t="s">
        <v>1073</v>
      </c>
      <c r="C410" s="22" t="s">
        <v>772</v>
      </c>
      <c r="D410" s="81" t="s">
        <v>128</v>
      </c>
      <c r="E410" s="22" t="s">
        <v>124</v>
      </c>
      <c r="F410" s="33" t="s">
        <v>221</v>
      </c>
      <c r="G410" s="33" t="s">
        <v>1093</v>
      </c>
      <c r="H410" s="23" t="s">
        <v>765</v>
      </c>
      <c r="I410" s="35">
        <v>43014</v>
      </c>
      <c r="J410" s="35">
        <v>43379</v>
      </c>
      <c r="K410" s="24" t="s">
        <v>1370</v>
      </c>
      <c r="L410" s="140" t="s">
        <v>379</v>
      </c>
      <c r="M410" s="43" t="s">
        <v>222</v>
      </c>
      <c r="N410" s="61">
        <v>43179</v>
      </c>
      <c r="O410" s="77">
        <v>70983</v>
      </c>
      <c r="P410" s="76">
        <v>12268</v>
      </c>
      <c r="Q410" s="61">
        <v>43179</v>
      </c>
      <c r="R410" s="61">
        <v>43465</v>
      </c>
      <c r="S410" s="43" t="s">
        <v>1074</v>
      </c>
      <c r="T410" s="22"/>
      <c r="U410" s="25"/>
      <c r="V410" s="25"/>
      <c r="W410" s="33" t="s">
        <v>292</v>
      </c>
      <c r="X410" s="33" t="s">
        <v>365</v>
      </c>
      <c r="Y410" s="22" t="s">
        <v>136</v>
      </c>
      <c r="Z410" s="35">
        <v>43305</v>
      </c>
      <c r="AA410" s="34">
        <v>12363</v>
      </c>
      <c r="AB410" s="33" t="s">
        <v>1718</v>
      </c>
      <c r="AC410" s="22"/>
      <c r="AD410" s="22"/>
      <c r="AE410" s="22"/>
      <c r="AF410" s="22"/>
      <c r="AG410" s="25">
        <v>1850</v>
      </c>
      <c r="AH410" s="25"/>
      <c r="AI410" s="25"/>
      <c r="AJ410" s="25"/>
      <c r="AK410" s="25"/>
      <c r="AL410" s="74">
        <f t="shared" si="6"/>
        <v>72833</v>
      </c>
      <c r="AM410" s="25"/>
      <c r="AN410" s="25">
        <f>52500+18483</f>
        <v>70983</v>
      </c>
      <c r="AO410" s="77">
        <f t="shared" si="4"/>
        <v>70983</v>
      </c>
      <c r="AP410" s="37"/>
      <c r="AQ410" s="22"/>
      <c r="AR410" s="22"/>
      <c r="AS410" s="22"/>
      <c r="AT410" s="22"/>
      <c r="AU410" s="26"/>
      <c r="AV410" s="26"/>
      <c r="AW410" s="26"/>
      <c r="AX410" s="26"/>
      <c r="AY410" s="26"/>
      <c r="AZ410" s="26"/>
      <c r="BA410" s="26"/>
      <c r="BB410" s="26"/>
      <c r="BC410" s="60"/>
      <c r="BD410" s="26"/>
      <c r="BE410" s="26"/>
      <c r="BF410" s="26"/>
      <c r="BG410" s="26"/>
      <c r="BH410" s="26"/>
      <c r="BI410" s="26"/>
      <c r="BJ410" s="26"/>
      <c r="BK410" s="26"/>
      <c r="BL410" s="26"/>
      <c r="BM410" s="26"/>
    </row>
    <row r="411" spans="1:65" ht="90" x14ac:dyDescent="0.25">
      <c r="A411" s="163">
        <v>169</v>
      </c>
      <c r="B411" s="155" t="s">
        <v>1073</v>
      </c>
      <c r="C411" s="22" t="s">
        <v>772</v>
      </c>
      <c r="D411" s="81" t="s">
        <v>128</v>
      </c>
      <c r="E411" s="22" t="s">
        <v>124</v>
      </c>
      <c r="F411" s="33" t="s">
        <v>221</v>
      </c>
      <c r="G411" s="33" t="s">
        <v>1093</v>
      </c>
      <c r="H411" s="23" t="s">
        <v>765</v>
      </c>
      <c r="I411" s="35">
        <v>43014</v>
      </c>
      <c r="J411" s="35">
        <v>43379</v>
      </c>
      <c r="K411" s="24" t="s">
        <v>1371</v>
      </c>
      <c r="L411" s="140" t="s">
        <v>656</v>
      </c>
      <c r="M411" s="43" t="s">
        <v>601</v>
      </c>
      <c r="N411" s="61">
        <v>43179</v>
      </c>
      <c r="O411" s="77">
        <v>93331</v>
      </c>
      <c r="P411" s="76">
        <v>12268</v>
      </c>
      <c r="Q411" s="61">
        <v>43179</v>
      </c>
      <c r="R411" s="61">
        <v>43465</v>
      </c>
      <c r="S411" s="43" t="s">
        <v>1074</v>
      </c>
      <c r="T411" s="22"/>
      <c r="U411" s="25"/>
      <c r="V411" s="25"/>
      <c r="W411" s="33" t="s">
        <v>292</v>
      </c>
      <c r="X411" s="33" t="s">
        <v>365</v>
      </c>
      <c r="Y411" s="22" t="s">
        <v>136</v>
      </c>
      <c r="Z411" s="35">
        <v>43231</v>
      </c>
      <c r="AA411" s="34">
        <v>12311</v>
      </c>
      <c r="AB411" s="33" t="s">
        <v>1544</v>
      </c>
      <c r="AC411" s="22"/>
      <c r="AD411" s="22"/>
      <c r="AE411" s="22"/>
      <c r="AF411" s="22"/>
      <c r="AG411" s="25">
        <v>5637</v>
      </c>
      <c r="AH411" s="25"/>
      <c r="AI411" s="25"/>
      <c r="AJ411" s="25"/>
      <c r="AK411" s="25"/>
      <c r="AL411" s="74">
        <f t="shared" si="6"/>
        <v>98968</v>
      </c>
      <c r="AM411" s="25"/>
      <c r="AN411" s="25">
        <f>35992+5627.2</f>
        <v>41619.199999999997</v>
      </c>
      <c r="AO411" s="77">
        <f t="shared" si="4"/>
        <v>41619.199999999997</v>
      </c>
      <c r="AP411" s="37"/>
      <c r="AQ411" s="22"/>
      <c r="AR411" s="22"/>
      <c r="AS411" s="22"/>
      <c r="AT411" s="22"/>
      <c r="AU411" s="26"/>
      <c r="AV411" s="26"/>
      <c r="AW411" s="26"/>
      <c r="AX411" s="26"/>
      <c r="AY411" s="26"/>
      <c r="AZ411" s="26"/>
      <c r="BA411" s="26"/>
      <c r="BB411" s="26"/>
      <c r="BC411" s="60"/>
      <c r="BD411" s="26"/>
      <c r="BE411" s="26"/>
      <c r="BF411" s="26"/>
      <c r="BG411" s="26"/>
      <c r="BH411" s="26"/>
      <c r="BI411" s="26"/>
      <c r="BJ411" s="26"/>
      <c r="BK411" s="26"/>
      <c r="BL411" s="26"/>
      <c r="BM411" s="26"/>
    </row>
    <row r="412" spans="1:65" ht="90" x14ac:dyDescent="0.25">
      <c r="A412" s="163">
        <v>170</v>
      </c>
      <c r="B412" s="155" t="s">
        <v>1073</v>
      </c>
      <c r="C412" s="22" t="s">
        <v>772</v>
      </c>
      <c r="D412" s="81" t="s">
        <v>128</v>
      </c>
      <c r="E412" s="22" t="s">
        <v>124</v>
      </c>
      <c r="F412" s="33" t="s">
        <v>221</v>
      </c>
      <c r="G412" s="33" t="s">
        <v>1093</v>
      </c>
      <c r="H412" s="23" t="s">
        <v>765</v>
      </c>
      <c r="I412" s="35">
        <v>43014</v>
      </c>
      <c r="J412" s="35">
        <v>43379</v>
      </c>
      <c r="K412" s="24" t="s">
        <v>1372</v>
      </c>
      <c r="L412" s="140" t="s">
        <v>779</v>
      </c>
      <c r="M412" s="43" t="s">
        <v>780</v>
      </c>
      <c r="N412" s="61">
        <v>43179</v>
      </c>
      <c r="O412" s="77">
        <v>25647.08</v>
      </c>
      <c r="P412" s="76">
        <v>12268</v>
      </c>
      <c r="Q412" s="61">
        <v>43179</v>
      </c>
      <c r="R412" s="61">
        <v>43465</v>
      </c>
      <c r="S412" s="43" t="s">
        <v>1074</v>
      </c>
      <c r="T412" s="22"/>
      <c r="U412" s="25"/>
      <c r="V412" s="25"/>
      <c r="W412" s="33" t="s">
        <v>292</v>
      </c>
      <c r="X412" s="33" t="s">
        <v>365</v>
      </c>
      <c r="Y412" s="22" t="s">
        <v>136</v>
      </c>
      <c r="Z412" s="35">
        <v>43231</v>
      </c>
      <c r="AA412" s="34">
        <v>12311</v>
      </c>
      <c r="AB412" s="33" t="s">
        <v>1545</v>
      </c>
      <c r="AC412" s="22"/>
      <c r="AD412" s="22"/>
      <c r="AE412" s="22"/>
      <c r="AF412" s="22"/>
      <c r="AG412" s="25">
        <v>6200</v>
      </c>
      <c r="AH412" s="25"/>
      <c r="AI412" s="25"/>
      <c r="AJ412" s="25"/>
      <c r="AK412" s="25"/>
      <c r="AL412" s="74">
        <f t="shared" si="6"/>
        <v>31847.08</v>
      </c>
      <c r="AM412" s="25"/>
      <c r="AN412" s="25">
        <f>7595.88+6200+18051.2</f>
        <v>31847.08</v>
      </c>
      <c r="AO412" s="77">
        <f t="shared" si="4"/>
        <v>31847.08</v>
      </c>
      <c r="AP412" s="22"/>
      <c r="AQ412" s="22"/>
      <c r="AR412" s="22"/>
      <c r="AS412" s="22"/>
      <c r="AT412" s="22"/>
      <c r="AU412" s="26"/>
      <c r="AV412" s="26"/>
      <c r="AW412" s="26"/>
      <c r="AX412" s="26"/>
      <c r="AY412" s="26"/>
      <c r="AZ412" s="26"/>
      <c r="BA412" s="26"/>
      <c r="BB412" s="26"/>
      <c r="BC412" s="60"/>
      <c r="BD412" s="26"/>
      <c r="BE412" s="26"/>
      <c r="BF412" s="26"/>
      <c r="BG412" s="26"/>
      <c r="BH412" s="26"/>
      <c r="BI412" s="26"/>
      <c r="BJ412" s="26"/>
      <c r="BK412" s="26"/>
      <c r="BL412" s="26"/>
      <c r="BM412" s="26"/>
    </row>
    <row r="413" spans="1:65" ht="105" x14ac:dyDescent="0.25">
      <c r="A413" s="163">
        <v>171</v>
      </c>
      <c r="B413" s="155" t="s">
        <v>1073</v>
      </c>
      <c r="C413" s="22" t="s">
        <v>772</v>
      </c>
      <c r="D413" s="81" t="s">
        <v>128</v>
      </c>
      <c r="E413" s="22" t="s">
        <v>124</v>
      </c>
      <c r="F413" s="33" t="s">
        <v>221</v>
      </c>
      <c r="G413" s="33" t="s">
        <v>1093</v>
      </c>
      <c r="H413" s="23" t="s">
        <v>1399</v>
      </c>
      <c r="I413" s="35" t="s">
        <v>1878</v>
      </c>
      <c r="J413" s="35" t="s">
        <v>1877</v>
      </c>
      <c r="K413" s="24" t="s">
        <v>1373</v>
      </c>
      <c r="L413" s="140" t="s">
        <v>1078</v>
      </c>
      <c r="M413" s="43" t="s">
        <v>1079</v>
      </c>
      <c r="N413" s="61">
        <v>43179</v>
      </c>
      <c r="O413" s="77">
        <v>157410</v>
      </c>
      <c r="P413" s="76">
        <v>12268</v>
      </c>
      <c r="Q413" s="61">
        <v>43179</v>
      </c>
      <c r="R413" s="61">
        <v>43465</v>
      </c>
      <c r="S413" s="43" t="s">
        <v>1074</v>
      </c>
      <c r="T413" s="22"/>
      <c r="U413" s="25"/>
      <c r="V413" s="25"/>
      <c r="W413" s="33" t="s">
        <v>292</v>
      </c>
      <c r="X413" s="33" t="s">
        <v>365</v>
      </c>
      <c r="Y413" s="22" t="s">
        <v>136</v>
      </c>
      <c r="Z413" s="35">
        <v>43231</v>
      </c>
      <c r="AA413" s="34">
        <v>12311</v>
      </c>
      <c r="AB413" s="33" t="s">
        <v>1546</v>
      </c>
      <c r="AC413" s="22"/>
      <c r="AD413" s="22"/>
      <c r="AE413" s="22"/>
      <c r="AF413" s="22"/>
      <c r="AG413" s="25">
        <v>25827.5</v>
      </c>
      <c r="AH413" s="25"/>
      <c r="AI413" s="25"/>
      <c r="AJ413" s="25"/>
      <c r="AK413" s="25"/>
      <c r="AL413" s="74">
        <f t="shared" si="6"/>
        <v>183237.5</v>
      </c>
      <c r="AM413" s="25"/>
      <c r="AN413" s="25">
        <f>118536.98+42002.11+22207.5</f>
        <v>182746.59</v>
      </c>
      <c r="AO413" s="77">
        <f t="shared" si="4"/>
        <v>182746.59</v>
      </c>
      <c r="AP413" s="37"/>
      <c r="AQ413" s="22"/>
      <c r="AR413" s="22"/>
      <c r="AS413" s="22"/>
      <c r="AT413" s="22"/>
      <c r="AU413" s="26"/>
      <c r="AV413" s="26"/>
      <c r="AW413" s="26"/>
      <c r="AX413" s="26"/>
      <c r="AY413" s="26"/>
      <c r="AZ413" s="26"/>
      <c r="BA413" s="26"/>
      <c r="BB413" s="26"/>
      <c r="BC413" s="60"/>
      <c r="BD413" s="26"/>
      <c r="BE413" s="26"/>
      <c r="BF413" s="26"/>
      <c r="BG413" s="26"/>
      <c r="BH413" s="26"/>
      <c r="BI413" s="26"/>
      <c r="BJ413" s="26"/>
      <c r="BK413" s="26"/>
      <c r="BL413" s="26"/>
      <c r="BM413" s="26"/>
    </row>
    <row r="414" spans="1:65" x14ac:dyDescent="0.25">
      <c r="A414" s="163">
        <v>172</v>
      </c>
      <c r="B414" s="155"/>
      <c r="C414" s="22"/>
      <c r="D414" s="81"/>
      <c r="E414" s="22"/>
      <c r="F414" s="33" t="s">
        <v>1496</v>
      </c>
      <c r="G414" s="33"/>
      <c r="H414" s="23"/>
      <c r="I414" s="35"/>
      <c r="J414" s="35"/>
      <c r="K414" s="24" t="s">
        <v>1374</v>
      </c>
      <c r="L414" s="140" t="s">
        <v>1496</v>
      </c>
      <c r="M414" s="43"/>
      <c r="N414" s="61"/>
      <c r="O414" s="77"/>
      <c r="P414" s="43"/>
      <c r="Q414" s="61"/>
      <c r="R414" s="61"/>
      <c r="S414" s="43"/>
      <c r="T414" s="22"/>
      <c r="U414" s="25"/>
      <c r="V414" s="25"/>
      <c r="W414" s="33"/>
      <c r="X414" s="33"/>
      <c r="Y414" s="22"/>
      <c r="Z414" s="22"/>
      <c r="AA414" s="22"/>
      <c r="AB414" s="33"/>
      <c r="AC414" s="22"/>
      <c r="AD414" s="22"/>
      <c r="AE414" s="22"/>
      <c r="AF414" s="22"/>
      <c r="AG414" s="25"/>
      <c r="AH414" s="25"/>
      <c r="AI414" s="25"/>
      <c r="AJ414" s="25"/>
      <c r="AK414" s="25"/>
      <c r="AL414" s="74">
        <f t="shared" si="6"/>
        <v>0</v>
      </c>
      <c r="AM414" s="25"/>
      <c r="AN414" s="25"/>
      <c r="AO414" s="77">
        <f t="shared" si="4"/>
        <v>0</v>
      </c>
      <c r="AP414" s="22"/>
      <c r="AQ414" s="22"/>
      <c r="AR414" s="22"/>
      <c r="AS414" s="22"/>
      <c r="AT414" s="22"/>
      <c r="AU414" s="26"/>
      <c r="AV414" s="26"/>
      <c r="AW414" s="26"/>
      <c r="AX414" s="26"/>
      <c r="AY414" s="26"/>
      <c r="AZ414" s="26"/>
      <c r="BA414" s="26"/>
      <c r="BB414" s="26"/>
      <c r="BC414" s="60"/>
      <c r="BD414" s="26"/>
      <c r="BE414" s="26"/>
      <c r="BF414" s="26"/>
      <c r="BG414" s="26"/>
      <c r="BH414" s="26"/>
      <c r="BI414" s="26"/>
      <c r="BJ414" s="26"/>
      <c r="BK414" s="26"/>
      <c r="BL414" s="26"/>
      <c r="BM414" s="26"/>
    </row>
    <row r="415" spans="1:65" ht="105" x14ac:dyDescent="0.25">
      <c r="A415" s="163">
        <v>173</v>
      </c>
      <c r="B415" s="155" t="s">
        <v>1073</v>
      </c>
      <c r="C415" s="22" t="s">
        <v>772</v>
      </c>
      <c r="D415" s="81" t="s">
        <v>128</v>
      </c>
      <c r="E415" s="22" t="s">
        <v>124</v>
      </c>
      <c r="F415" s="33" t="s">
        <v>221</v>
      </c>
      <c r="G415" s="33" t="s">
        <v>1093</v>
      </c>
      <c r="H415" s="23" t="s">
        <v>767</v>
      </c>
      <c r="I415" s="35">
        <v>43027</v>
      </c>
      <c r="J415" s="35">
        <v>43392</v>
      </c>
      <c r="K415" s="24" t="s">
        <v>1375</v>
      </c>
      <c r="L415" s="140" t="s">
        <v>1096</v>
      </c>
      <c r="M415" s="43" t="s">
        <v>1097</v>
      </c>
      <c r="N415" s="61">
        <v>43179</v>
      </c>
      <c r="O415" s="77">
        <v>132370</v>
      </c>
      <c r="P415" s="76">
        <v>12272</v>
      </c>
      <c r="Q415" s="61">
        <v>43179</v>
      </c>
      <c r="R415" s="61">
        <v>43465</v>
      </c>
      <c r="S415" s="43" t="s">
        <v>1074</v>
      </c>
      <c r="T415" s="22"/>
      <c r="U415" s="25"/>
      <c r="V415" s="25"/>
      <c r="W415" s="33" t="s">
        <v>292</v>
      </c>
      <c r="X415" s="33" t="s">
        <v>365</v>
      </c>
      <c r="Y415" s="22" t="s">
        <v>136</v>
      </c>
      <c r="Z415" s="35">
        <v>43231</v>
      </c>
      <c r="AA415" s="34">
        <v>12311</v>
      </c>
      <c r="AB415" s="33" t="s">
        <v>1547</v>
      </c>
      <c r="AC415" s="22"/>
      <c r="AD415" s="22"/>
      <c r="AE415" s="22"/>
      <c r="AF415" s="22"/>
      <c r="AG415" s="25">
        <v>24237.5</v>
      </c>
      <c r="AH415" s="25"/>
      <c r="AI415" s="25"/>
      <c r="AJ415" s="25"/>
      <c r="AK415" s="25"/>
      <c r="AL415" s="74">
        <f t="shared" si="6"/>
        <v>156607.5</v>
      </c>
      <c r="AM415" s="25"/>
      <c r="AN415" s="25">
        <f>38811.07+13451.63+90608.6+6223.5+7500</f>
        <v>156594.79999999999</v>
      </c>
      <c r="AO415" s="77">
        <f t="shared" si="4"/>
        <v>156594.79999999999</v>
      </c>
      <c r="AP415" s="37"/>
      <c r="AQ415" s="22"/>
      <c r="AR415" s="22"/>
      <c r="AS415" s="22"/>
      <c r="AT415" s="22"/>
      <c r="AU415" s="26"/>
      <c r="AV415" s="26"/>
      <c r="AW415" s="26"/>
      <c r="AX415" s="26"/>
      <c r="AY415" s="26"/>
      <c r="AZ415" s="26"/>
      <c r="BA415" s="26"/>
      <c r="BB415" s="26"/>
      <c r="BC415" s="60"/>
      <c r="BD415" s="26"/>
      <c r="BE415" s="26"/>
      <c r="BF415" s="26"/>
      <c r="BG415" s="26"/>
      <c r="BH415" s="26"/>
      <c r="BI415" s="26"/>
      <c r="BJ415" s="26"/>
      <c r="BK415" s="26"/>
      <c r="BL415" s="26"/>
      <c r="BM415" s="26"/>
    </row>
    <row r="416" spans="1:65" ht="75" x14ac:dyDescent="0.25">
      <c r="A416" s="163">
        <v>174</v>
      </c>
      <c r="B416" s="155" t="s">
        <v>1073</v>
      </c>
      <c r="C416" s="22" t="s">
        <v>772</v>
      </c>
      <c r="D416" s="81" t="s">
        <v>128</v>
      </c>
      <c r="E416" s="22" t="s">
        <v>124</v>
      </c>
      <c r="F416" s="33" t="s">
        <v>221</v>
      </c>
      <c r="G416" s="33" t="s">
        <v>1093</v>
      </c>
      <c r="H416" s="23" t="s">
        <v>765</v>
      </c>
      <c r="I416" s="35">
        <v>43014</v>
      </c>
      <c r="J416" s="35">
        <v>43379</v>
      </c>
      <c r="K416" s="24" t="s">
        <v>1376</v>
      </c>
      <c r="L416" s="140" t="s">
        <v>1075</v>
      </c>
      <c r="M416" s="43" t="s">
        <v>1076</v>
      </c>
      <c r="N416" s="61">
        <v>43179</v>
      </c>
      <c r="O416" s="77">
        <v>77000</v>
      </c>
      <c r="P416" s="76">
        <v>12268</v>
      </c>
      <c r="Q416" s="61">
        <v>43179</v>
      </c>
      <c r="R416" s="61">
        <v>43465</v>
      </c>
      <c r="S416" s="43" t="s">
        <v>1074</v>
      </c>
      <c r="T416" s="22"/>
      <c r="U416" s="25"/>
      <c r="V416" s="25"/>
      <c r="W416" s="33" t="s">
        <v>292</v>
      </c>
      <c r="X416" s="33" t="s">
        <v>365</v>
      </c>
      <c r="Y416" s="22" t="s">
        <v>136</v>
      </c>
      <c r="Z416" s="35">
        <v>43305</v>
      </c>
      <c r="AA416" s="34">
        <v>12367</v>
      </c>
      <c r="AB416" s="33" t="s">
        <v>1744</v>
      </c>
      <c r="AC416" s="22"/>
      <c r="AD416" s="22"/>
      <c r="AE416" s="22"/>
      <c r="AF416" s="22"/>
      <c r="AG416" s="25">
        <v>19250</v>
      </c>
      <c r="AH416" s="25"/>
      <c r="AI416" s="25"/>
      <c r="AJ416" s="25"/>
      <c r="AK416" s="25"/>
      <c r="AL416" s="74">
        <f t="shared" si="6"/>
        <v>96250</v>
      </c>
      <c r="AM416" s="25"/>
      <c r="AN416" s="25">
        <f>76996.4+19217.6</f>
        <v>96214</v>
      </c>
      <c r="AO416" s="77">
        <f t="shared" si="4"/>
        <v>96214</v>
      </c>
      <c r="AP416" s="37"/>
      <c r="AQ416" s="22"/>
      <c r="AR416" s="22"/>
      <c r="AS416" s="22"/>
      <c r="AT416" s="22"/>
      <c r="AU416" s="26"/>
      <c r="AV416" s="26"/>
      <c r="AW416" s="26"/>
      <c r="AX416" s="26"/>
      <c r="AY416" s="26"/>
      <c r="AZ416" s="26"/>
      <c r="BA416" s="26"/>
      <c r="BB416" s="26"/>
      <c r="BC416" s="60"/>
      <c r="BD416" s="26"/>
      <c r="BE416" s="26"/>
      <c r="BF416" s="26"/>
      <c r="BG416" s="26"/>
      <c r="BH416" s="26"/>
      <c r="BI416" s="26"/>
      <c r="BJ416" s="26"/>
      <c r="BK416" s="26"/>
      <c r="BL416" s="26"/>
      <c r="BM416" s="26"/>
    </row>
    <row r="417" spans="1:65" ht="60" x14ac:dyDescent="0.25">
      <c r="A417" s="163">
        <v>175</v>
      </c>
      <c r="B417" s="155" t="s">
        <v>1378</v>
      </c>
      <c r="C417" s="22" t="s">
        <v>1379</v>
      </c>
      <c r="D417" s="81" t="s">
        <v>128</v>
      </c>
      <c r="E417" s="22" t="s">
        <v>124</v>
      </c>
      <c r="F417" s="33" t="s">
        <v>1380</v>
      </c>
      <c r="G417" s="33" t="s">
        <v>1400</v>
      </c>
      <c r="H417" s="23" t="s">
        <v>783</v>
      </c>
      <c r="I417" s="35">
        <v>43062</v>
      </c>
      <c r="J417" s="35">
        <v>43427</v>
      </c>
      <c r="K417" s="24" t="s">
        <v>1377</v>
      </c>
      <c r="L417" s="140" t="s">
        <v>1381</v>
      </c>
      <c r="M417" s="43" t="s">
        <v>1382</v>
      </c>
      <c r="N417" s="61">
        <v>43179</v>
      </c>
      <c r="O417" s="77">
        <v>36000</v>
      </c>
      <c r="P417" s="76">
        <v>12274</v>
      </c>
      <c r="Q417" s="61">
        <v>43179</v>
      </c>
      <c r="R417" s="61">
        <v>43465</v>
      </c>
      <c r="S417" s="43" t="s">
        <v>1193</v>
      </c>
      <c r="T417" s="22"/>
      <c r="U417" s="25"/>
      <c r="V417" s="25"/>
      <c r="W417" s="33" t="s">
        <v>1384</v>
      </c>
      <c r="X417" s="33"/>
      <c r="Y417" s="22"/>
      <c r="Z417" s="22"/>
      <c r="AA417" s="22"/>
      <c r="AB417" s="33"/>
      <c r="AC417" s="22"/>
      <c r="AD417" s="22"/>
      <c r="AE417" s="22"/>
      <c r="AF417" s="22"/>
      <c r="AG417" s="25"/>
      <c r="AH417" s="25"/>
      <c r="AI417" s="25"/>
      <c r="AJ417" s="25"/>
      <c r="AK417" s="25"/>
      <c r="AL417" s="74">
        <f t="shared" si="6"/>
        <v>36000</v>
      </c>
      <c r="AM417" s="25"/>
      <c r="AN417" s="25">
        <f>13373.24+2556.57+2518.2</f>
        <v>18448.009999999998</v>
      </c>
      <c r="AO417" s="77">
        <f t="shared" si="4"/>
        <v>18448.009999999998</v>
      </c>
      <c r="AP417" s="37"/>
      <c r="AQ417" s="22"/>
      <c r="AR417" s="22"/>
      <c r="AS417" s="22"/>
      <c r="AT417" s="22"/>
      <c r="AU417" s="26"/>
      <c r="AV417" s="26"/>
      <c r="AW417" s="26"/>
      <c r="AX417" s="26"/>
      <c r="AY417" s="26"/>
      <c r="AZ417" s="26"/>
      <c r="BA417" s="26"/>
      <c r="BB417" s="26"/>
      <c r="BC417" s="60"/>
      <c r="BD417" s="26"/>
      <c r="BE417" s="26"/>
      <c r="BF417" s="26"/>
      <c r="BG417" s="26"/>
      <c r="BH417" s="26"/>
      <c r="BI417" s="26"/>
      <c r="BJ417" s="26"/>
      <c r="BK417" s="26"/>
      <c r="BL417" s="26"/>
      <c r="BM417" s="26"/>
    </row>
    <row r="418" spans="1:65" ht="30" x14ac:dyDescent="0.25">
      <c r="A418" s="163">
        <v>176</v>
      </c>
      <c r="B418" s="155" t="s">
        <v>1022</v>
      </c>
      <c r="C418" s="22" t="s">
        <v>759</v>
      </c>
      <c r="D418" s="81" t="s">
        <v>128</v>
      </c>
      <c r="E418" s="22" t="s">
        <v>124</v>
      </c>
      <c r="F418" s="33" t="s">
        <v>1023</v>
      </c>
      <c r="G418" s="33" t="s">
        <v>1035</v>
      </c>
      <c r="H418" s="22" t="s">
        <v>705</v>
      </c>
      <c r="I418" s="35">
        <v>42968</v>
      </c>
      <c r="J418" s="35">
        <v>43333</v>
      </c>
      <c r="K418" s="24" t="s">
        <v>1385</v>
      </c>
      <c r="L418" s="140" t="s">
        <v>1024</v>
      </c>
      <c r="M418" s="43" t="s">
        <v>1025</v>
      </c>
      <c r="N418" s="61">
        <v>43180</v>
      </c>
      <c r="O418" s="77">
        <v>113676.6</v>
      </c>
      <c r="P418" s="76">
        <v>12278</v>
      </c>
      <c r="Q418" s="61">
        <v>43180</v>
      </c>
      <c r="R418" s="61">
        <v>43465</v>
      </c>
      <c r="S418" s="43" t="s">
        <v>198</v>
      </c>
      <c r="T418" s="22"/>
      <c r="U418" s="25"/>
      <c r="V418" s="25"/>
      <c r="W418" s="33" t="s">
        <v>184</v>
      </c>
      <c r="X418" s="33"/>
      <c r="Y418" s="22"/>
      <c r="Z418" s="22"/>
      <c r="AA418" s="22"/>
      <c r="AB418" s="33"/>
      <c r="AC418" s="22"/>
      <c r="AD418" s="22"/>
      <c r="AE418" s="22"/>
      <c r="AF418" s="22"/>
      <c r="AG418" s="25"/>
      <c r="AH418" s="25"/>
      <c r="AI418" s="25"/>
      <c r="AJ418" s="25"/>
      <c r="AK418" s="25"/>
      <c r="AL418" s="74">
        <f t="shared" si="6"/>
        <v>113676.6</v>
      </c>
      <c r="AM418" s="25"/>
      <c r="AN418" s="25">
        <f>113676.6</f>
        <v>113676.6</v>
      </c>
      <c r="AO418" s="77">
        <f t="shared" si="4"/>
        <v>113676.6</v>
      </c>
      <c r="AP418" s="22"/>
      <c r="AQ418" s="22"/>
      <c r="AR418" s="22"/>
      <c r="AS418" s="22"/>
      <c r="AT418" s="22"/>
      <c r="AU418" s="26"/>
      <c r="AV418" s="26"/>
      <c r="AW418" s="26"/>
      <c r="AX418" s="26"/>
      <c r="AY418" s="26"/>
      <c r="AZ418" s="26"/>
      <c r="BA418" s="26"/>
      <c r="BB418" s="26"/>
      <c r="BC418" s="60"/>
      <c r="BD418" s="26"/>
      <c r="BE418" s="26"/>
      <c r="BF418" s="26"/>
      <c r="BG418" s="26"/>
      <c r="BH418" s="26"/>
      <c r="BI418" s="26"/>
      <c r="BJ418" s="26"/>
      <c r="BK418" s="26"/>
      <c r="BL418" s="26"/>
      <c r="BM418" s="26"/>
    </row>
    <row r="419" spans="1:65" ht="45" x14ac:dyDescent="0.25">
      <c r="A419" s="163">
        <v>177</v>
      </c>
      <c r="B419" s="155" t="s">
        <v>919</v>
      </c>
      <c r="C419" s="22" t="s">
        <v>700</v>
      </c>
      <c r="D419" s="81" t="s">
        <v>128</v>
      </c>
      <c r="E419" s="22" t="s">
        <v>124</v>
      </c>
      <c r="F419" s="33" t="s">
        <v>921</v>
      </c>
      <c r="G419" s="33" t="s">
        <v>926</v>
      </c>
      <c r="H419" s="23" t="s">
        <v>693</v>
      </c>
      <c r="I419" s="35">
        <v>42860</v>
      </c>
      <c r="J419" s="35">
        <v>43225</v>
      </c>
      <c r="K419" s="24" t="s">
        <v>1386</v>
      </c>
      <c r="L419" s="140" t="s">
        <v>246</v>
      </c>
      <c r="M419" s="43" t="s">
        <v>920</v>
      </c>
      <c r="N419" s="61">
        <v>43180</v>
      </c>
      <c r="O419" s="77">
        <v>20850</v>
      </c>
      <c r="P419" s="76">
        <v>12269</v>
      </c>
      <c r="Q419" s="61">
        <v>43180</v>
      </c>
      <c r="R419" s="61">
        <v>43465</v>
      </c>
      <c r="S419" s="43" t="s">
        <v>198</v>
      </c>
      <c r="T419" s="22"/>
      <c r="U419" s="25"/>
      <c r="V419" s="25"/>
      <c r="W419" s="33" t="s">
        <v>184</v>
      </c>
      <c r="X419" s="33"/>
      <c r="Y419" s="22"/>
      <c r="Z419" s="22"/>
      <c r="AA419" s="22"/>
      <c r="AB419" s="33"/>
      <c r="AC419" s="22"/>
      <c r="AD419" s="22"/>
      <c r="AE419" s="22"/>
      <c r="AF419" s="22"/>
      <c r="AG419" s="25"/>
      <c r="AH419" s="25"/>
      <c r="AI419" s="25"/>
      <c r="AJ419" s="25"/>
      <c r="AK419" s="25"/>
      <c r="AL419" s="74">
        <f t="shared" si="6"/>
        <v>20850</v>
      </c>
      <c r="AM419" s="25"/>
      <c r="AN419" s="25">
        <f>20850</f>
        <v>20850</v>
      </c>
      <c r="AO419" s="77">
        <f t="shared" si="4"/>
        <v>20850</v>
      </c>
      <c r="AP419" s="22"/>
      <c r="AQ419" s="22"/>
      <c r="AR419" s="22"/>
      <c r="AS419" s="22"/>
      <c r="AT419" s="22"/>
      <c r="AU419" s="26"/>
      <c r="AV419" s="26"/>
      <c r="AW419" s="26"/>
      <c r="AX419" s="26"/>
      <c r="AY419" s="26"/>
      <c r="AZ419" s="26"/>
      <c r="BA419" s="26"/>
      <c r="BB419" s="26"/>
      <c r="BC419" s="60"/>
      <c r="BD419" s="26"/>
      <c r="BE419" s="26"/>
      <c r="BF419" s="26"/>
      <c r="BG419" s="26"/>
      <c r="BH419" s="26"/>
      <c r="BI419" s="26"/>
      <c r="BJ419" s="26"/>
      <c r="BK419" s="26"/>
      <c r="BL419" s="26"/>
      <c r="BM419" s="26"/>
    </row>
    <row r="420" spans="1:65" ht="90" x14ac:dyDescent="0.25">
      <c r="A420" s="163">
        <v>178</v>
      </c>
      <c r="B420" s="155" t="s">
        <v>1388</v>
      </c>
      <c r="C420" s="22" t="s">
        <v>1168</v>
      </c>
      <c r="D420" s="81" t="s">
        <v>1389</v>
      </c>
      <c r="E420" s="22" t="s">
        <v>124</v>
      </c>
      <c r="F420" s="33" t="s">
        <v>1390</v>
      </c>
      <c r="G420" s="33" t="s">
        <v>1401</v>
      </c>
      <c r="H420" s="23" t="s">
        <v>1180</v>
      </c>
      <c r="I420" s="35">
        <v>43181</v>
      </c>
      <c r="J420" s="35">
        <v>43546</v>
      </c>
      <c r="K420" s="24" t="s">
        <v>1387</v>
      </c>
      <c r="L420" s="140" t="s">
        <v>1391</v>
      </c>
      <c r="M420" s="43" t="s">
        <v>1392</v>
      </c>
      <c r="N420" s="61">
        <v>43181</v>
      </c>
      <c r="O420" s="77">
        <v>15006.95</v>
      </c>
      <c r="P420" s="76">
        <v>12270</v>
      </c>
      <c r="Q420" s="61">
        <v>43181</v>
      </c>
      <c r="R420" s="61">
        <v>43465</v>
      </c>
      <c r="S420" s="43" t="s">
        <v>1011</v>
      </c>
      <c r="T420" s="22"/>
      <c r="U420" s="25"/>
      <c r="V420" s="25"/>
      <c r="W420" s="33" t="s">
        <v>771</v>
      </c>
      <c r="X420" s="33"/>
      <c r="Y420" s="22"/>
      <c r="Z420" s="22"/>
      <c r="AA420" s="22"/>
      <c r="AB420" s="33"/>
      <c r="AC420" s="22"/>
      <c r="AD420" s="22"/>
      <c r="AE420" s="22"/>
      <c r="AF420" s="22"/>
      <c r="AG420" s="25"/>
      <c r="AH420" s="25"/>
      <c r="AI420" s="25"/>
      <c r="AJ420" s="25"/>
      <c r="AK420" s="25"/>
      <c r="AL420" s="74">
        <f t="shared" si="6"/>
        <v>15006.95</v>
      </c>
      <c r="AM420" s="25"/>
      <c r="AN420" s="25">
        <f>15006.95</f>
        <v>15006.95</v>
      </c>
      <c r="AO420" s="77">
        <f t="shared" si="4"/>
        <v>15006.95</v>
      </c>
      <c r="AP420" s="22"/>
      <c r="AQ420" s="22"/>
      <c r="AR420" s="22"/>
      <c r="AS420" s="22"/>
      <c r="AT420" s="22"/>
      <c r="AU420" s="26"/>
      <c r="AV420" s="26"/>
      <c r="AW420" s="26"/>
      <c r="AX420" s="26"/>
      <c r="AY420" s="26"/>
      <c r="AZ420" s="26"/>
      <c r="BA420" s="26"/>
      <c r="BB420" s="26"/>
      <c r="BC420" s="60"/>
      <c r="BD420" s="26"/>
      <c r="BE420" s="26"/>
      <c r="BF420" s="26"/>
      <c r="BG420" s="26"/>
      <c r="BH420" s="26"/>
      <c r="BI420" s="26"/>
      <c r="BJ420" s="26"/>
      <c r="BK420" s="26"/>
      <c r="BL420" s="26"/>
      <c r="BM420" s="26"/>
    </row>
    <row r="421" spans="1:65" ht="75" x14ac:dyDescent="0.25">
      <c r="A421" s="163">
        <v>179</v>
      </c>
      <c r="B421" s="155" t="s">
        <v>1394</v>
      </c>
      <c r="C421" s="22" t="s">
        <v>1169</v>
      </c>
      <c r="D421" s="81" t="s">
        <v>903</v>
      </c>
      <c r="E421" s="22"/>
      <c r="F421" s="33" t="s">
        <v>908</v>
      </c>
      <c r="G421" s="33"/>
      <c r="H421" s="23"/>
      <c r="I421" s="35"/>
      <c r="J421" s="35"/>
      <c r="K421" s="24" t="s">
        <v>1393</v>
      </c>
      <c r="L421" s="140" t="s">
        <v>912</v>
      </c>
      <c r="M421" s="43" t="s">
        <v>913</v>
      </c>
      <c r="N421" s="61">
        <v>43182</v>
      </c>
      <c r="O421" s="77">
        <v>3601.12</v>
      </c>
      <c r="P421" s="76">
        <v>12274</v>
      </c>
      <c r="Q421" s="61">
        <v>43182</v>
      </c>
      <c r="R421" s="61">
        <v>43465</v>
      </c>
      <c r="S421" s="43" t="s">
        <v>1383</v>
      </c>
      <c r="T421" s="22"/>
      <c r="U421" s="25"/>
      <c r="V421" s="25"/>
      <c r="W421" s="33" t="s">
        <v>214</v>
      </c>
      <c r="X421" s="33"/>
      <c r="Y421" s="22"/>
      <c r="Z421" s="22"/>
      <c r="AA421" s="22"/>
      <c r="AB421" s="33"/>
      <c r="AC421" s="22"/>
      <c r="AD421" s="22"/>
      <c r="AE421" s="22"/>
      <c r="AF421" s="22"/>
      <c r="AG421" s="25"/>
      <c r="AH421" s="25"/>
      <c r="AI421" s="25"/>
      <c r="AJ421" s="25"/>
      <c r="AK421" s="25"/>
      <c r="AL421" s="74">
        <f t="shared" si="6"/>
        <v>3601.12</v>
      </c>
      <c r="AM421" s="25"/>
      <c r="AN421" s="25">
        <v>3601.12</v>
      </c>
      <c r="AO421" s="77">
        <f t="shared" si="4"/>
        <v>3601.12</v>
      </c>
      <c r="AP421" s="22"/>
      <c r="AQ421" s="22"/>
      <c r="AR421" s="22"/>
      <c r="AS421" s="22"/>
      <c r="AT421" s="22"/>
      <c r="AU421" s="26"/>
      <c r="AV421" s="26" t="s">
        <v>136</v>
      </c>
      <c r="AW421" s="22" t="s">
        <v>924</v>
      </c>
      <c r="AX421" s="64">
        <v>12256</v>
      </c>
      <c r="AY421" s="63">
        <v>43167</v>
      </c>
      <c r="AZ421" s="64">
        <v>12261</v>
      </c>
      <c r="BA421" s="63">
        <v>43175</v>
      </c>
      <c r="BB421" s="26"/>
      <c r="BC421" s="60"/>
      <c r="BD421" s="26"/>
      <c r="BE421" s="26"/>
      <c r="BF421" s="26"/>
      <c r="BG421" s="26"/>
      <c r="BH421" s="26"/>
      <c r="BI421" s="26"/>
      <c r="BJ421" s="26"/>
      <c r="BK421" s="26"/>
      <c r="BL421" s="26"/>
      <c r="BM421" s="26"/>
    </row>
    <row r="422" spans="1:65" ht="75" x14ac:dyDescent="0.25">
      <c r="A422" s="163">
        <v>180</v>
      </c>
      <c r="B422" s="155" t="s">
        <v>1394</v>
      </c>
      <c r="C422" s="22" t="s">
        <v>1169</v>
      </c>
      <c r="D422" s="81" t="s">
        <v>903</v>
      </c>
      <c r="E422" s="22"/>
      <c r="F422" s="33" t="s">
        <v>908</v>
      </c>
      <c r="G422" s="33"/>
      <c r="H422" s="23"/>
      <c r="I422" s="35"/>
      <c r="J422" s="35"/>
      <c r="K422" s="24" t="s">
        <v>1395</v>
      </c>
      <c r="L422" s="140" t="s">
        <v>1059</v>
      </c>
      <c r="M422" s="43" t="s">
        <v>1060</v>
      </c>
      <c r="N422" s="61">
        <v>43182</v>
      </c>
      <c r="O422" s="77">
        <v>3601.12</v>
      </c>
      <c r="P422" s="76">
        <v>12274</v>
      </c>
      <c r="Q422" s="61">
        <v>43182</v>
      </c>
      <c r="R422" s="61">
        <v>43465</v>
      </c>
      <c r="S422" s="43" t="s">
        <v>1383</v>
      </c>
      <c r="T422" s="22"/>
      <c r="U422" s="25"/>
      <c r="V422" s="25"/>
      <c r="W422" s="33" t="s">
        <v>214</v>
      </c>
      <c r="X422" s="33"/>
      <c r="Y422" s="22"/>
      <c r="Z422" s="22"/>
      <c r="AA422" s="22"/>
      <c r="AB422" s="33"/>
      <c r="AC422" s="22"/>
      <c r="AD422" s="22"/>
      <c r="AE422" s="22"/>
      <c r="AF422" s="22"/>
      <c r="AG422" s="25"/>
      <c r="AH422" s="25"/>
      <c r="AI422" s="25"/>
      <c r="AJ422" s="25"/>
      <c r="AK422" s="25"/>
      <c r="AL422" s="74">
        <f t="shared" si="6"/>
        <v>3601.12</v>
      </c>
      <c r="AM422" s="25"/>
      <c r="AN422" s="25">
        <f>3601.12</f>
        <v>3601.12</v>
      </c>
      <c r="AO422" s="77">
        <f t="shared" si="4"/>
        <v>3601.12</v>
      </c>
      <c r="AP422" s="22"/>
      <c r="AQ422" s="22"/>
      <c r="AR422" s="22"/>
      <c r="AS422" s="22"/>
      <c r="AT422" s="22"/>
      <c r="AU422" s="26"/>
      <c r="AV422" s="26" t="s">
        <v>136</v>
      </c>
      <c r="AW422" s="22" t="s">
        <v>924</v>
      </c>
      <c r="AX422" s="64">
        <v>12256</v>
      </c>
      <c r="AY422" s="63">
        <v>43167</v>
      </c>
      <c r="AZ422" s="64">
        <v>12261</v>
      </c>
      <c r="BA422" s="63">
        <v>43175</v>
      </c>
      <c r="BB422" s="26"/>
      <c r="BC422" s="60"/>
      <c r="BD422" s="26"/>
      <c r="BE422" s="26"/>
      <c r="BF422" s="26"/>
      <c r="BG422" s="26"/>
      <c r="BH422" s="26"/>
      <c r="BI422" s="26"/>
      <c r="BJ422" s="26"/>
      <c r="BK422" s="26"/>
      <c r="BL422" s="26"/>
      <c r="BM422" s="26"/>
    </row>
    <row r="423" spans="1:65" ht="75" x14ac:dyDescent="0.25">
      <c r="A423" s="163">
        <v>181</v>
      </c>
      <c r="B423" s="155" t="s">
        <v>1394</v>
      </c>
      <c r="C423" s="22" t="s">
        <v>1169</v>
      </c>
      <c r="D423" s="81" t="s">
        <v>903</v>
      </c>
      <c r="E423" s="22"/>
      <c r="F423" s="33" t="s">
        <v>908</v>
      </c>
      <c r="G423" s="33"/>
      <c r="H423" s="23"/>
      <c r="I423" s="35"/>
      <c r="J423" s="35"/>
      <c r="K423" s="24" t="s">
        <v>1396</v>
      </c>
      <c r="L423" s="140" t="s">
        <v>904</v>
      </c>
      <c r="M423" s="43" t="s">
        <v>905</v>
      </c>
      <c r="N423" s="61">
        <v>43182</v>
      </c>
      <c r="O423" s="77">
        <v>3601.12</v>
      </c>
      <c r="P423" s="76">
        <v>12274</v>
      </c>
      <c r="Q423" s="61">
        <v>43182</v>
      </c>
      <c r="R423" s="61">
        <v>43465</v>
      </c>
      <c r="S423" s="43" t="s">
        <v>1383</v>
      </c>
      <c r="T423" s="22"/>
      <c r="U423" s="25"/>
      <c r="V423" s="25"/>
      <c r="W423" s="33" t="s">
        <v>214</v>
      </c>
      <c r="X423" s="33"/>
      <c r="Y423" s="22"/>
      <c r="Z423" s="22"/>
      <c r="AA423" s="22"/>
      <c r="AB423" s="33"/>
      <c r="AC423" s="22"/>
      <c r="AD423" s="22"/>
      <c r="AE423" s="22"/>
      <c r="AF423" s="22"/>
      <c r="AG423" s="25"/>
      <c r="AH423" s="25"/>
      <c r="AI423" s="25"/>
      <c r="AJ423" s="25"/>
      <c r="AK423" s="25"/>
      <c r="AL423" s="74">
        <f t="shared" si="6"/>
        <v>3601.12</v>
      </c>
      <c r="AM423" s="25"/>
      <c r="AN423" s="25">
        <f>3601.12</f>
        <v>3601.12</v>
      </c>
      <c r="AO423" s="77">
        <f t="shared" si="4"/>
        <v>3601.12</v>
      </c>
      <c r="AP423" s="22"/>
      <c r="AQ423" s="22"/>
      <c r="AR423" s="22"/>
      <c r="AS423" s="22"/>
      <c r="AT423" s="22"/>
      <c r="AU423" s="26"/>
      <c r="AV423" s="26" t="s">
        <v>136</v>
      </c>
      <c r="AW423" s="22" t="s">
        <v>924</v>
      </c>
      <c r="AX423" s="64">
        <v>12256</v>
      </c>
      <c r="AY423" s="63">
        <v>43167</v>
      </c>
      <c r="AZ423" s="64">
        <v>12261</v>
      </c>
      <c r="BA423" s="63">
        <v>43175</v>
      </c>
      <c r="BB423" s="26"/>
      <c r="BC423" s="60"/>
      <c r="BD423" s="26"/>
      <c r="BE423" s="26"/>
      <c r="BF423" s="26"/>
      <c r="BG423" s="26"/>
      <c r="BH423" s="26"/>
      <c r="BI423" s="26"/>
      <c r="BJ423" s="26"/>
      <c r="BK423" s="26"/>
      <c r="BL423" s="26"/>
      <c r="BM423" s="26"/>
    </row>
    <row r="424" spans="1:65" ht="75" x14ac:dyDescent="0.25">
      <c r="A424" s="163">
        <v>182</v>
      </c>
      <c r="B424" s="155" t="s">
        <v>1394</v>
      </c>
      <c r="C424" s="22" t="s">
        <v>1169</v>
      </c>
      <c r="D424" s="81" t="s">
        <v>903</v>
      </c>
      <c r="E424" s="22"/>
      <c r="F424" s="33" t="s">
        <v>908</v>
      </c>
      <c r="G424" s="33"/>
      <c r="H424" s="23"/>
      <c r="I424" s="35"/>
      <c r="J424" s="35"/>
      <c r="K424" s="24" t="s">
        <v>1397</v>
      </c>
      <c r="L424" s="140" t="s">
        <v>906</v>
      </c>
      <c r="M424" s="43" t="s">
        <v>907</v>
      </c>
      <c r="N424" s="61">
        <v>43182</v>
      </c>
      <c r="O424" s="77">
        <v>890.13</v>
      </c>
      <c r="P424" s="76">
        <v>12274</v>
      </c>
      <c r="Q424" s="61">
        <v>43182</v>
      </c>
      <c r="R424" s="61">
        <v>43465</v>
      </c>
      <c r="S424" s="43" t="s">
        <v>1383</v>
      </c>
      <c r="T424" s="22"/>
      <c r="U424" s="25"/>
      <c r="V424" s="25"/>
      <c r="W424" s="33" t="s">
        <v>214</v>
      </c>
      <c r="X424" s="33"/>
      <c r="Y424" s="22"/>
      <c r="Z424" s="22"/>
      <c r="AA424" s="22"/>
      <c r="AB424" s="33"/>
      <c r="AC424" s="22"/>
      <c r="AD424" s="22"/>
      <c r="AE424" s="22"/>
      <c r="AF424" s="22"/>
      <c r="AG424" s="25"/>
      <c r="AH424" s="25"/>
      <c r="AI424" s="25"/>
      <c r="AJ424" s="25"/>
      <c r="AK424" s="25"/>
      <c r="AL424" s="74">
        <f t="shared" si="6"/>
        <v>890.13</v>
      </c>
      <c r="AM424" s="25"/>
      <c r="AN424" s="25">
        <f>890.13</f>
        <v>890.13</v>
      </c>
      <c r="AO424" s="77">
        <f t="shared" si="4"/>
        <v>890.13</v>
      </c>
      <c r="AP424" s="22"/>
      <c r="AQ424" s="22"/>
      <c r="AR424" s="22"/>
      <c r="AS424" s="22"/>
      <c r="AT424" s="22"/>
      <c r="AU424" s="26"/>
      <c r="AV424" s="26" t="s">
        <v>136</v>
      </c>
      <c r="AW424" s="22" t="s">
        <v>924</v>
      </c>
      <c r="AX424" s="64">
        <v>12256</v>
      </c>
      <c r="AY424" s="63">
        <v>43167</v>
      </c>
      <c r="AZ424" s="64">
        <v>12261</v>
      </c>
      <c r="BA424" s="63">
        <v>43175</v>
      </c>
      <c r="BB424" s="26"/>
      <c r="BC424" s="60"/>
      <c r="BD424" s="26"/>
      <c r="BE424" s="26"/>
      <c r="BF424" s="26"/>
      <c r="BG424" s="26"/>
      <c r="BH424" s="26"/>
      <c r="BI424" s="26"/>
      <c r="BJ424" s="26"/>
      <c r="BK424" s="26"/>
      <c r="BL424" s="26"/>
      <c r="BM424" s="26"/>
    </row>
    <row r="425" spans="1:65" ht="75" x14ac:dyDescent="0.25">
      <c r="A425" s="163">
        <v>183</v>
      </c>
      <c r="B425" s="155" t="s">
        <v>1394</v>
      </c>
      <c r="C425" s="22" t="s">
        <v>1169</v>
      </c>
      <c r="D425" s="81" t="s">
        <v>903</v>
      </c>
      <c r="E425" s="22"/>
      <c r="F425" s="33" t="s">
        <v>908</v>
      </c>
      <c r="G425" s="33"/>
      <c r="H425" s="23"/>
      <c r="I425" s="35"/>
      <c r="J425" s="35"/>
      <c r="K425" s="24" t="s">
        <v>1398</v>
      </c>
      <c r="L425" s="140" t="s">
        <v>909</v>
      </c>
      <c r="M425" s="43" t="s">
        <v>910</v>
      </c>
      <c r="N425" s="61">
        <v>43182</v>
      </c>
      <c r="O425" s="77">
        <v>890.13</v>
      </c>
      <c r="P425" s="76">
        <v>12274</v>
      </c>
      <c r="Q425" s="61">
        <v>43182</v>
      </c>
      <c r="R425" s="61">
        <v>43465</v>
      </c>
      <c r="S425" s="43" t="s">
        <v>1383</v>
      </c>
      <c r="T425" s="22"/>
      <c r="U425" s="25"/>
      <c r="V425" s="25"/>
      <c r="W425" s="33" t="s">
        <v>214</v>
      </c>
      <c r="X425" s="33"/>
      <c r="Y425" s="22"/>
      <c r="Z425" s="22"/>
      <c r="AA425" s="22"/>
      <c r="AB425" s="33"/>
      <c r="AC425" s="22"/>
      <c r="AD425" s="22"/>
      <c r="AE425" s="22"/>
      <c r="AF425" s="22"/>
      <c r="AG425" s="25"/>
      <c r="AH425" s="25"/>
      <c r="AI425" s="25"/>
      <c r="AJ425" s="25"/>
      <c r="AK425" s="25"/>
      <c r="AL425" s="74">
        <f t="shared" si="6"/>
        <v>890.13</v>
      </c>
      <c r="AM425" s="25"/>
      <c r="AN425" s="25">
        <f>890.13</f>
        <v>890.13</v>
      </c>
      <c r="AO425" s="77">
        <f t="shared" si="4"/>
        <v>890.13</v>
      </c>
      <c r="AP425" s="22"/>
      <c r="AQ425" s="22"/>
      <c r="AR425" s="22"/>
      <c r="AS425" s="22"/>
      <c r="AT425" s="22"/>
      <c r="AU425" s="26"/>
      <c r="AV425" s="26" t="s">
        <v>136</v>
      </c>
      <c r="AW425" s="22" t="s">
        <v>924</v>
      </c>
      <c r="AX425" s="64">
        <v>12256</v>
      </c>
      <c r="AY425" s="63">
        <v>43167</v>
      </c>
      <c r="AZ425" s="64">
        <v>12261</v>
      </c>
      <c r="BA425" s="63">
        <v>43175</v>
      </c>
      <c r="BB425" s="26"/>
      <c r="BC425" s="60"/>
      <c r="BD425" s="26"/>
      <c r="BE425" s="26"/>
      <c r="BF425" s="26"/>
      <c r="BG425" s="26"/>
      <c r="BH425" s="26"/>
      <c r="BI425" s="26"/>
      <c r="BJ425" s="26"/>
      <c r="BK425" s="26"/>
      <c r="BL425" s="26"/>
      <c r="BM425" s="26"/>
    </row>
    <row r="426" spans="1:65" ht="45" x14ac:dyDescent="0.25">
      <c r="A426" s="163">
        <v>184</v>
      </c>
      <c r="B426" s="155" t="s">
        <v>965</v>
      </c>
      <c r="C426" s="22" t="s">
        <v>709</v>
      </c>
      <c r="D426" s="81" t="s">
        <v>128</v>
      </c>
      <c r="E426" s="22" t="s">
        <v>124</v>
      </c>
      <c r="F426" s="33" t="s">
        <v>966</v>
      </c>
      <c r="G426" s="33" t="s">
        <v>972</v>
      </c>
      <c r="H426" s="23" t="s">
        <v>700</v>
      </c>
      <c r="I426" s="35">
        <v>42898</v>
      </c>
      <c r="J426" s="35">
        <v>43263</v>
      </c>
      <c r="K426" s="24" t="s">
        <v>1409</v>
      </c>
      <c r="L426" s="140" t="s">
        <v>360</v>
      </c>
      <c r="M426" s="43" t="s">
        <v>229</v>
      </c>
      <c r="N426" s="61">
        <v>43194</v>
      </c>
      <c r="O426" s="77">
        <v>153000</v>
      </c>
      <c r="P426" s="76">
        <v>12280</v>
      </c>
      <c r="Q426" s="61">
        <v>43194</v>
      </c>
      <c r="R426" s="61">
        <v>43465</v>
      </c>
      <c r="S426" s="43" t="s">
        <v>1193</v>
      </c>
      <c r="T426" s="22"/>
      <c r="U426" s="25"/>
      <c r="V426" s="25"/>
      <c r="W426" s="33" t="s">
        <v>787</v>
      </c>
      <c r="X426" s="33"/>
      <c r="Y426" s="22"/>
      <c r="Z426" s="22"/>
      <c r="AA426" s="22"/>
      <c r="AB426" s="33"/>
      <c r="AC426" s="22"/>
      <c r="AD426" s="22"/>
      <c r="AE426" s="22"/>
      <c r="AF426" s="22"/>
      <c r="AG426" s="25"/>
      <c r="AH426" s="25"/>
      <c r="AI426" s="25"/>
      <c r="AJ426" s="25"/>
      <c r="AK426" s="25"/>
      <c r="AL426" s="74">
        <f t="shared" si="6"/>
        <v>153000</v>
      </c>
      <c r="AM426" s="25"/>
      <c r="AN426" s="25">
        <f>51000+51000+51000</f>
        <v>153000</v>
      </c>
      <c r="AO426" s="77">
        <f t="shared" si="4"/>
        <v>153000</v>
      </c>
      <c r="AP426" s="22"/>
      <c r="AQ426" s="22"/>
      <c r="AR426" s="22"/>
      <c r="AS426" s="22"/>
      <c r="AT426" s="22"/>
      <c r="AU426" s="26"/>
      <c r="AV426" s="26"/>
      <c r="AW426" s="26"/>
      <c r="AX426" s="26"/>
      <c r="AY426" s="26"/>
      <c r="AZ426" s="26"/>
      <c r="BA426" s="26"/>
      <c r="BB426" s="26"/>
      <c r="BC426" s="60"/>
      <c r="BD426" s="26"/>
      <c r="BE426" s="26"/>
      <c r="BF426" s="26"/>
      <c r="BG426" s="26"/>
      <c r="BH426" s="26"/>
      <c r="BI426" s="26"/>
      <c r="BJ426" s="26"/>
      <c r="BK426" s="26"/>
      <c r="BL426" s="26"/>
      <c r="BM426" s="26"/>
    </row>
    <row r="427" spans="1:65" ht="45" x14ac:dyDescent="0.25">
      <c r="A427" s="163">
        <v>185</v>
      </c>
      <c r="B427" s="155" t="s">
        <v>1141</v>
      </c>
      <c r="C427" s="22" t="s">
        <v>782</v>
      </c>
      <c r="D427" s="81" t="s">
        <v>128</v>
      </c>
      <c r="E427" s="22" t="s">
        <v>124</v>
      </c>
      <c r="F427" s="33" t="s">
        <v>1142</v>
      </c>
      <c r="G427" s="33" t="s">
        <v>1143</v>
      </c>
      <c r="H427" s="23" t="s">
        <v>773</v>
      </c>
      <c r="I427" s="35">
        <v>43031</v>
      </c>
      <c r="J427" s="35">
        <v>43396</v>
      </c>
      <c r="K427" s="24" t="s">
        <v>1410</v>
      </c>
      <c r="L427" s="140" t="s">
        <v>360</v>
      </c>
      <c r="M427" s="43" t="s">
        <v>229</v>
      </c>
      <c r="N427" s="61">
        <v>43194</v>
      </c>
      <c r="O427" s="77">
        <v>697706.28</v>
      </c>
      <c r="P427" s="76">
        <v>12280</v>
      </c>
      <c r="Q427" s="61">
        <v>43194</v>
      </c>
      <c r="R427" s="61">
        <v>43465</v>
      </c>
      <c r="S427" s="43" t="s">
        <v>1193</v>
      </c>
      <c r="T427" s="22"/>
      <c r="U427" s="25"/>
      <c r="V427" s="25"/>
      <c r="W427" s="33" t="s">
        <v>787</v>
      </c>
      <c r="X427" s="33"/>
      <c r="Y427" s="22"/>
      <c r="Z427" s="22"/>
      <c r="AA427" s="22"/>
      <c r="AB427" s="33"/>
      <c r="AC427" s="22"/>
      <c r="AD427" s="22"/>
      <c r="AE427" s="22"/>
      <c r="AF427" s="22"/>
      <c r="AG427" s="25"/>
      <c r="AH427" s="25"/>
      <c r="AI427" s="25"/>
      <c r="AJ427" s="25"/>
      <c r="AK427" s="25"/>
      <c r="AL427" s="74">
        <f t="shared" si="6"/>
        <v>697706.28</v>
      </c>
      <c r="AM427" s="25"/>
      <c r="AN427" s="25">
        <f>229151.78+152877.62+315676.88</f>
        <v>697706.28</v>
      </c>
      <c r="AO427" s="77">
        <f t="shared" ref="AO427:AO586" si="7">AM427+AN427</f>
        <v>697706.28</v>
      </c>
      <c r="AP427" s="22"/>
      <c r="AQ427" s="22"/>
      <c r="AR427" s="22"/>
      <c r="AS427" s="22"/>
      <c r="AT427" s="22"/>
      <c r="AU427" s="26"/>
      <c r="AV427" s="26"/>
      <c r="AW427" s="26"/>
      <c r="AX427" s="26"/>
      <c r="AY427" s="26"/>
      <c r="AZ427" s="26"/>
      <c r="BA427" s="26"/>
      <c r="BB427" s="26"/>
      <c r="BC427" s="60"/>
      <c r="BD427" s="26"/>
      <c r="BE427" s="26"/>
      <c r="BF427" s="26"/>
      <c r="BG427" s="26"/>
      <c r="BH427" s="26"/>
      <c r="BI427" s="26"/>
      <c r="BJ427" s="26"/>
      <c r="BK427" s="26"/>
      <c r="BL427" s="26"/>
      <c r="BM427" s="26"/>
    </row>
    <row r="428" spans="1:65" ht="60" x14ac:dyDescent="0.25">
      <c r="A428" s="163">
        <v>186</v>
      </c>
      <c r="B428" s="155" t="s">
        <v>1221</v>
      </c>
      <c r="C428" s="22" t="s">
        <v>778</v>
      </c>
      <c r="D428" s="81" t="s">
        <v>128</v>
      </c>
      <c r="E428" s="22" t="s">
        <v>124</v>
      </c>
      <c r="F428" s="33" t="s">
        <v>1222</v>
      </c>
      <c r="G428" s="33" t="s">
        <v>1226</v>
      </c>
      <c r="H428" s="23" t="s">
        <v>778</v>
      </c>
      <c r="I428" s="35">
        <v>43047</v>
      </c>
      <c r="J428" s="35">
        <v>43412</v>
      </c>
      <c r="K428" s="24" t="s">
        <v>1411</v>
      </c>
      <c r="L428" s="140" t="s">
        <v>360</v>
      </c>
      <c r="M428" s="43" t="s">
        <v>229</v>
      </c>
      <c r="N428" s="61">
        <v>43194</v>
      </c>
      <c r="O428" s="77">
        <v>90308.160000000003</v>
      </c>
      <c r="P428" s="76">
        <v>12280</v>
      </c>
      <c r="Q428" s="61">
        <v>43194</v>
      </c>
      <c r="R428" s="61">
        <v>43465</v>
      </c>
      <c r="S428" s="43" t="s">
        <v>1193</v>
      </c>
      <c r="T428" s="22"/>
      <c r="U428" s="25"/>
      <c r="V428" s="25"/>
      <c r="W428" s="33" t="s">
        <v>787</v>
      </c>
      <c r="X428" s="33"/>
      <c r="Y428" s="22"/>
      <c r="Z428" s="22"/>
      <c r="AA428" s="22"/>
      <c r="AB428" s="33"/>
      <c r="AC428" s="22"/>
      <c r="AD428" s="22"/>
      <c r="AE428" s="22"/>
      <c r="AF428" s="22"/>
      <c r="AG428" s="25"/>
      <c r="AH428" s="25"/>
      <c r="AI428" s="25"/>
      <c r="AJ428" s="25"/>
      <c r="AK428" s="25"/>
      <c r="AL428" s="74">
        <f t="shared" si="6"/>
        <v>90308.160000000003</v>
      </c>
      <c r="AM428" s="25"/>
      <c r="AN428" s="25">
        <f>45589.08+40279+4440</f>
        <v>90308.08</v>
      </c>
      <c r="AO428" s="77">
        <f t="shared" si="7"/>
        <v>90308.08</v>
      </c>
      <c r="AP428" s="22"/>
      <c r="AQ428" s="22"/>
      <c r="AR428" s="22"/>
      <c r="AS428" s="22"/>
      <c r="AT428" s="22"/>
      <c r="AU428" s="26"/>
      <c r="AV428" s="26"/>
      <c r="AW428" s="26"/>
      <c r="AX428" s="26"/>
      <c r="AY428" s="26"/>
      <c r="AZ428" s="26"/>
      <c r="BA428" s="26"/>
      <c r="BB428" s="26"/>
      <c r="BC428" s="60"/>
      <c r="BD428" s="26"/>
      <c r="BE428" s="26"/>
      <c r="BF428" s="26"/>
      <c r="BG428" s="26"/>
      <c r="BH428" s="26"/>
      <c r="BI428" s="26"/>
      <c r="BJ428" s="26"/>
      <c r="BK428" s="26"/>
      <c r="BL428" s="26"/>
      <c r="BM428" s="26"/>
    </row>
    <row r="429" spans="1:65" ht="45" x14ac:dyDescent="0.25">
      <c r="A429" s="163">
        <v>187</v>
      </c>
      <c r="B429" s="155" t="s">
        <v>1052</v>
      </c>
      <c r="C429" s="22" t="s">
        <v>766</v>
      </c>
      <c r="D429" s="81" t="s">
        <v>128</v>
      </c>
      <c r="E429" s="22" t="s">
        <v>124</v>
      </c>
      <c r="F429" s="33" t="s">
        <v>1053</v>
      </c>
      <c r="G429" s="33" t="s">
        <v>1064</v>
      </c>
      <c r="H429" s="23" t="s">
        <v>709</v>
      </c>
      <c r="I429" s="35">
        <v>42984</v>
      </c>
      <c r="J429" s="35">
        <v>43349</v>
      </c>
      <c r="K429" s="24" t="s">
        <v>1412</v>
      </c>
      <c r="L429" s="140" t="s">
        <v>238</v>
      </c>
      <c r="M429" s="43" t="s">
        <v>239</v>
      </c>
      <c r="N429" s="61">
        <v>43194</v>
      </c>
      <c r="O429" s="77">
        <v>60000</v>
      </c>
      <c r="P429" s="76">
        <v>12281</v>
      </c>
      <c r="Q429" s="61">
        <v>43194</v>
      </c>
      <c r="R429" s="61">
        <v>43465</v>
      </c>
      <c r="S429" s="43" t="s">
        <v>1193</v>
      </c>
      <c r="T429" s="22"/>
      <c r="U429" s="25"/>
      <c r="V429" s="25"/>
      <c r="W429" s="33" t="s">
        <v>787</v>
      </c>
      <c r="X429" s="33"/>
      <c r="Y429" s="22"/>
      <c r="Z429" s="22"/>
      <c r="AA429" s="22"/>
      <c r="AB429" s="33"/>
      <c r="AC429" s="22"/>
      <c r="AD429" s="22"/>
      <c r="AE429" s="22"/>
      <c r="AF429" s="22"/>
      <c r="AG429" s="25"/>
      <c r="AH429" s="25"/>
      <c r="AI429" s="25"/>
      <c r="AJ429" s="25"/>
      <c r="AK429" s="25"/>
      <c r="AL429" s="74">
        <f t="shared" si="6"/>
        <v>60000</v>
      </c>
      <c r="AM429" s="25"/>
      <c r="AN429" s="25">
        <f>60000</f>
        <v>60000</v>
      </c>
      <c r="AO429" s="77">
        <f t="shared" si="7"/>
        <v>60000</v>
      </c>
      <c r="AP429" s="22"/>
      <c r="AQ429" s="22"/>
      <c r="AR429" s="22"/>
      <c r="AS429" s="22"/>
      <c r="AT429" s="22"/>
      <c r="AU429" s="26"/>
      <c r="AV429" s="26"/>
      <c r="AW429" s="26"/>
      <c r="AX429" s="26"/>
      <c r="AY429" s="26"/>
      <c r="AZ429" s="26"/>
      <c r="BA429" s="26"/>
      <c r="BB429" s="26"/>
      <c r="BC429" s="60"/>
      <c r="BD429" s="26"/>
      <c r="BE429" s="26"/>
      <c r="BF429" s="26"/>
      <c r="BG429" s="26"/>
      <c r="BH429" s="26"/>
      <c r="BI429" s="26"/>
      <c r="BJ429" s="26"/>
      <c r="BK429" s="26"/>
      <c r="BL429" s="26"/>
      <c r="BM429" s="26"/>
    </row>
    <row r="430" spans="1:65" ht="45" x14ac:dyDescent="0.25">
      <c r="A430" s="163">
        <v>188</v>
      </c>
      <c r="B430" s="155" t="s">
        <v>1223</v>
      </c>
      <c r="C430" s="22" t="s">
        <v>770</v>
      </c>
      <c r="D430" s="81" t="s">
        <v>128</v>
      </c>
      <c r="E430" s="22" t="s">
        <v>124</v>
      </c>
      <c r="F430" s="33" t="s">
        <v>1224</v>
      </c>
      <c r="G430" s="33" t="s">
        <v>1225</v>
      </c>
      <c r="H430" s="23" t="s">
        <v>710</v>
      </c>
      <c r="I430" s="35">
        <v>42990</v>
      </c>
      <c r="J430" s="35">
        <v>43355</v>
      </c>
      <c r="K430" s="24" t="s">
        <v>1413</v>
      </c>
      <c r="L430" s="140" t="s">
        <v>360</v>
      </c>
      <c r="M430" s="43" t="s">
        <v>229</v>
      </c>
      <c r="N430" s="61">
        <v>43194</v>
      </c>
      <c r="O430" s="77">
        <v>45576</v>
      </c>
      <c r="P430" s="76">
        <v>12281</v>
      </c>
      <c r="Q430" s="61">
        <v>43194</v>
      </c>
      <c r="R430" s="61">
        <v>43465</v>
      </c>
      <c r="S430" s="43" t="s">
        <v>1448</v>
      </c>
      <c r="T430" s="22"/>
      <c r="U430" s="25"/>
      <c r="V430" s="25"/>
      <c r="W430" s="33" t="s">
        <v>787</v>
      </c>
      <c r="X430" s="33"/>
      <c r="Y430" s="22"/>
      <c r="Z430" s="22"/>
      <c r="AA430" s="22"/>
      <c r="AB430" s="33"/>
      <c r="AC430" s="22"/>
      <c r="AD430" s="22"/>
      <c r="AE430" s="22"/>
      <c r="AF430" s="22"/>
      <c r="AG430" s="25"/>
      <c r="AH430" s="25"/>
      <c r="AI430" s="25"/>
      <c r="AJ430" s="25"/>
      <c r="AK430" s="25"/>
      <c r="AL430" s="74">
        <f t="shared" si="6"/>
        <v>45576</v>
      </c>
      <c r="AM430" s="25"/>
      <c r="AN430" s="25">
        <f>45576</f>
        <v>45576</v>
      </c>
      <c r="AO430" s="77">
        <f t="shared" si="7"/>
        <v>45576</v>
      </c>
      <c r="AP430" s="22"/>
      <c r="AQ430" s="22"/>
      <c r="AR430" s="22"/>
      <c r="AS430" s="22"/>
      <c r="AT430" s="22"/>
      <c r="AU430" s="26"/>
      <c r="AV430" s="26"/>
      <c r="AW430" s="26"/>
      <c r="AX430" s="26"/>
      <c r="AY430" s="26"/>
      <c r="AZ430" s="26"/>
      <c r="BA430" s="26"/>
      <c r="BB430" s="26"/>
      <c r="BC430" s="60"/>
      <c r="BD430" s="26"/>
      <c r="BE430" s="26"/>
      <c r="BF430" s="26"/>
      <c r="BG430" s="26"/>
      <c r="BH430" s="26"/>
      <c r="BI430" s="26"/>
      <c r="BJ430" s="26"/>
      <c r="BK430" s="26"/>
      <c r="BL430" s="26"/>
      <c r="BM430" s="26"/>
    </row>
    <row r="431" spans="1:65" ht="45" x14ac:dyDescent="0.25">
      <c r="A431" s="163">
        <v>189</v>
      </c>
      <c r="B431" s="155" t="s">
        <v>1223</v>
      </c>
      <c r="C431" s="22" t="s">
        <v>770</v>
      </c>
      <c r="D431" s="81" t="s">
        <v>128</v>
      </c>
      <c r="E431" s="22" t="s">
        <v>124</v>
      </c>
      <c r="F431" s="33" t="s">
        <v>1224</v>
      </c>
      <c r="G431" s="33" t="s">
        <v>1225</v>
      </c>
      <c r="H431" s="23" t="s">
        <v>710</v>
      </c>
      <c r="I431" s="35">
        <v>42990</v>
      </c>
      <c r="J431" s="35">
        <v>43355</v>
      </c>
      <c r="K431" s="24" t="s">
        <v>1414</v>
      </c>
      <c r="L431" s="140" t="s">
        <v>238</v>
      </c>
      <c r="M431" s="43" t="s">
        <v>239</v>
      </c>
      <c r="N431" s="61">
        <v>43194</v>
      </c>
      <c r="O431" s="77">
        <v>6626</v>
      </c>
      <c r="P431" s="76">
        <v>12281</v>
      </c>
      <c r="Q431" s="61">
        <v>43194</v>
      </c>
      <c r="R431" s="61">
        <v>43465</v>
      </c>
      <c r="S431" s="43" t="s">
        <v>1193</v>
      </c>
      <c r="T431" s="22"/>
      <c r="U431" s="25"/>
      <c r="V431" s="25"/>
      <c r="W431" s="33" t="s">
        <v>787</v>
      </c>
      <c r="X431" s="33"/>
      <c r="Y431" s="22"/>
      <c r="Z431" s="22"/>
      <c r="AA431" s="22"/>
      <c r="AB431" s="33"/>
      <c r="AC431" s="22"/>
      <c r="AD431" s="22"/>
      <c r="AE431" s="22"/>
      <c r="AF431" s="22"/>
      <c r="AG431" s="25"/>
      <c r="AH431" s="25"/>
      <c r="AI431" s="25"/>
      <c r="AJ431" s="25"/>
      <c r="AK431" s="25"/>
      <c r="AL431" s="74">
        <f t="shared" si="6"/>
        <v>6626</v>
      </c>
      <c r="AM431" s="25"/>
      <c r="AN431" s="25">
        <f>6626</f>
        <v>6626</v>
      </c>
      <c r="AO431" s="77">
        <f t="shared" si="7"/>
        <v>6626</v>
      </c>
      <c r="AP431" s="22"/>
      <c r="AQ431" s="22"/>
      <c r="AR431" s="22"/>
      <c r="AS431" s="22"/>
      <c r="AT431" s="22"/>
      <c r="AU431" s="26"/>
      <c r="AV431" s="26"/>
      <c r="AW431" s="26"/>
      <c r="AX431" s="26"/>
      <c r="AY431" s="26"/>
      <c r="AZ431" s="26"/>
      <c r="BA431" s="26"/>
      <c r="BB431" s="26"/>
      <c r="BC431" s="60"/>
      <c r="BD431" s="26"/>
      <c r="BE431" s="26"/>
      <c r="BF431" s="26"/>
      <c r="BG431" s="26"/>
      <c r="BH431" s="26"/>
      <c r="BI431" s="26"/>
      <c r="BJ431" s="26"/>
      <c r="BK431" s="26"/>
      <c r="BL431" s="26"/>
      <c r="BM431" s="26"/>
    </row>
    <row r="432" spans="1:65" ht="30" x14ac:dyDescent="0.25">
      <c r="A432" s="163">
        <v>190</v>
      </c>
      <c r="B432" s="155" t="s">
        <v>1417</v>
      </c>
      <c r="C432" s="22" t="s">
        <v>1171</v>
      </c>
      <c r="D432" s="81" t="s">
        <v>128</v>
      </c>
      <c r="E432" s="22" t="s">
        <v>124</v>
      </c>
      <c r="F432" s="33" t="s">
        <v>1038</v>
      </c>
      <c r="G432" s="33" t="s">
        <v>1420</v>
      </c>
      <c r="H432" s="23" t="s">
        <v>1181</v>
      </c>
      <c r="I432" s="35">
        <v>43181</v>
      </c>
      <c r="J432" s="35">
        <v>43546</v>
      </c>
      <c r="K432" s="24" t="s">
        <v>1416</v>
      </c>
      <c r="L432" s="140" t="s">
        <v>360</v>
      </c>
      <c r="M432" s="43" t="s">
        <v>229</v>
      </c>
      <c r="N432" s="61">
        <v>43195</v>
      </c>
      <c r="O432" s="77">
        <v>111853.2</v>
      </c>
      <c r="P432" s="76">
        <v>12280</v>
      </c>
      <c r="Q432" s="61">
        <v>43195</v>
      </c>
      <c r="R432" s="61">
        <v>43465</v>
      </c>
      <c r="S432" s="43" t="s">
        <v>1193</v>
      </c>
      <c r="T432" s="22"/>
      <c r="U432" s="25"/>
      <c r="V432" s="25"/>
      <c r="W432" s="33" t="s">
        <v>1418</v>
      </c>
      <c r="X432" s="33"/>
      <c r="Y432" s="22"/>
      <c r="Z432" s="22"/>
      <c r="AA432" s="22"/>
      <c r="AB432" s="33"/>
      <c r="AC432" s="22"/>
      <c r="AD432" s="22"/>
      <c r="AE432" s="22"/>
      <c r="AF432" s="22"/>
      <c r="AG432" s="25"/>
      <c r="AH432" s="25"/>
      <c r="AI432" s="25"/>
      <c r="AJ432" s="25"/>
      <c r="AK432" s="25"/>
      <c r="AL432" s="74">
        <f t="shared" si="6"/>
        <v>111853.2</v>
      </c>
      <c r="AM432" s="25"/>
      <c r="AN432" s="25">
        <f>69223.2+1134+39996+1500</f>
        <v>111853.2</v>
      </c>
      <c r="AO432" s="77">
        <f t="shared" si="7"/>
        <v>111853.2</v>
      </c>
      <c r="AP432" s="37"/>
      <c r="AQ432" s="22"/>
      <c r="AR432" s="22"/>
      <c r="AS432" s="22"/>
      <c r="AT432" s="22"/>
      <c r="AU432" s="26"/>
      <c r="AV432" s="26"/>
      <c r="AW432" s="26"/>
      <c r="AX432" s="26"/>
      <c r="AY432" s="26"/>
      <c r="AZ432" s="26"/>
      <c r="BA432" s="26"/>
      <c r="BB432" s="26"/>
      <c r="BC432" s="60"/>
      <c r="BD432" s="26"/>
      <c r="BE432" s="26"/>
      <c r="BF432" s="26"/>
      <c r="BG432" s="26"/>
      <c r="BH432" s="26"/>
      <c r="BI432" s="26"/>
      <c r="BJ432" s="26"/>
      <c r="BK432" s="26"/>
      <c r="BL432" s="26"/>
      <c r="BM432" s="26"/>
    </row>
    <row r="433" spans="1:65" ht="30" x14ac:dyDescent="0.25">
      <c r="A433" s="163">
        <v>191</v>
      </c>
      <c r="B433" s="155" t="s">
        <v>1417</v>
      </c>
      <c r="C433" s="22" t="s">
        <v>1171</v>
      </c>
      <c r="D433" s="81" t="s">
        <v>128</v>
      </c>
      <c r="E433" s="22" t="s">
        <v>124</v>
      </c>
      <c r="F433" s="33" t="s">
        <v>1038</v>
      </c>
      <c r="G433" s="33" t="s">
        <v>1420</v>
      </c>
      <c r="H433" s="23" t="s">
        <v>1181</v>
      </c>
      <c r="I433" s="35">
        <v>43181</v>
      </c>
      <c r="J433" s="35">
        <v>43546</v>
      </c>
      <c r="K433" s="24" t="s">
        <v>1419</v>
      </c>
      <c r="L433" s="140" t="s">
        <v>645</v>
      </c>
      <c r="M433" s="43" t="s">
        <v>646</v>
      </c>
      <c r="N433" s="61">
        <v>43195</v>
      </c>
      <c r="O433" s="77">
        <v>30590</v>
      </c>
      <c r="P433" s="76">
        <v>12281</v>
      </c>
      <c r="Q433" s="61">
        <v>43195</v>
      </c>
      <c r="R433" s="61">
        <v>43465</v>
      </c>
      <c r="S433" s="43" t="s">
        <v>1193</v>
      </c>
      <c r="T433" s="22"/>
      <c r="U433" s="25"/>
      <c r="V433" s="25"/>
      <c r="W433" s="33" t="s">
        <v>184</v>
      </c>
      <c r="X433" s="33"/>
      <c r="Y433" s="22"/>
      <c r="Z433" s="22"/>
      <c r="AA433" s="22"/>
      <c r="AB433" s="33"/>
      <c r="AC433" s="22"/>
      <c r="AD433" s="22"/>
      <c r="AE433" s="22"/>
      <c r="AF433" s="22"/>
      <c r="AG433" s="25"/>
      <c r="AH433" s="25"/>
      <c r="AI433" s="25"/>
      <c r="AJ433" s="25"/>
      <c r="AK433" s="25"/>
      <c r="AL433" s="74">
        <f t="shared" si="6"/>
        <v>30590</v>
      </c>
      <c r="AM433" s="25"/>
      <c r="AN433" s="25">
        <f>30590</f>
        <v>30590</v>
      </c>
      <c r="AO433" s="77">
        <f t="shared" si="7"/>
        <v>30590</v>
      </c>
      <c r="AP433" s="22"/>
      <c r="AQ433" s="22"/>
      <c r="AR433" s="22"/>
      <c r="AS433" s="22"/>
      <c r="AT433" s="22"/>
      <c r="AU433" s="26"/>
      <c r="AV433" s="26"/>
      <c r="AW433" s="26"/>
      <c r="AX433" s="26"/>
      <c r="AY433" s="26"/>
      <c r="AZ433" s="26"/>
      <c r="BA433" s="26"/>
      <c r="BB433" s="26"/>
      <c r="BC433" s="60"/>
      <c r="BD433" s="26"/>
      <c r="BE433" s="26"/>
      <c r="BF433" s="26"/>
      <c r="BG433" s="26"/>
      <c r="BH433" s="26"/>
      <c r="BI433" s="26"/>
      <c r="BJ433" s="26"/>
      <c r="BK433" s="26"/>
      <c r="BL433" s="26"/>
      <c r="BM433" s="26"/>
    </row>
    <row r="434" spans="1:65" ht="30" x14ac:dyDescent="0.25">
      <c r="A434" s="163">
        <v>192</v>
      </c>
      <c r="B434" s="155" t="s">
        <v>1417</v>
      </c>
      <c r="C434" s="22" t="s">
        <v>1171</v>
      </c>
      <c r="D434" s="81" t="s">
        <v>128</v>
      </c>
      <c r="E434" s="22" t="s">
        <v>124</v>
      </c>
      <c r="F434" s="33" t="s">
        <v>1038</v>
      </c>
      <c r="G434" s="33" t="s">
        <v>1420</v>
      </c>
      <c r="H434" s="23" t="s">
        <v>1181</v>
      </c>
      <c r="I434" s="35">
        <v>43181</v>
      </c>
      <c r="J434" s="35">
        <v>43546</v>
      </c>
      <c r="K434" s="24" t="s">
        <v>1421</v>
      </c>
      <c r="L434" s="140" t="s">
        <v>238</v>
      </c>
      <c r="M434" s="43" t="s">
        <v>239</v>
      </c>
      <c r="N434" s="61">
        <v>43195</v>
      </c>
      <c r="O434" s="77">
        <v>34685</v>
      </c>
      <c r="P434" s="76">
        <v>12281</v>
      </c>
      <c r="Q434" s="61">
        <v>43195</v>
      </c>
      <c r="R434" s="61">
        <v>43465</v>
      </c>
      <c r="S434" s="43" t="s">
        <v>1193</v>
      </c>
      <c r="T434" s="22"/>
      <c r="U434" s="25"/>
      <c r="V434" s="25"/>
      <c r="W434" s="33" t="s">
        <v>184</v>
      </c>
      <c r="X434" s="33"/>
      <c r="Y434" s="22"/>
      <c r="Z434" s="22"/>
      <c r="AA434" s="22"/>
      <c r="AB434" s="33"/>
      <c r="AC434" s="22"/>
      <c r="AD434" s="22"/>
      <c r="AE434" s="22"/>
      <c r="AF434" s="22"/>
      <c r="AG434" s="25"/>
      <c r="AH434" s="25"/>
      <c r="AI434" s="25"/>
      <c r="AJ434" s="25"/>
      <c r="AK434" s="25"/>
      <c r="AL434" s="74">
        <f t="shared" si="6"/>
        <v>34685</v>
      </c>
      <c r="AM434" s="25"/>
      <c r="AN434" s="25">
        <f>23000+11685</f>
        <v>34685</v>
      </c>
      <c r="AO434" s="77">
        <f t="shared" si="7"/>
        <v>34685</v>
      </c>
      <c r="AP434" s="22"/>
      <c r="AQ434" s="22"/>
      <c r="AR434" s="22"/>
      <c r="AS434" s="22"/>
      <c r="AT434" s="22"/>
      <c r="AU434" s="26"/>
      <c r="AV434" s="26"/>
      <c r="AW434" s="26"/>
      <c r="AX434" s="26"/>
      <c r="AY434" s="26"/>
      <c r="AZ434" s="26"/>
      <c r="BA434" s="26"/>
      <c r="BB434" s="26"/>
      <c r="BC434" s="60"/>
      <c r="BD434" s="26"/>
      <c r="BE434" s="26"/>
      <c r="BF434" s="26"/>
      <c r="BG434" s="26"/>
      <c r="BH434" s="26"/>
      <c r="BI434" s="26"/>
      <c r="BJ434" s="26"/>
      <c r="BK434" s="26"/>
      <c r="BL434" s="26"/>
      <c r="BM434" s="26"/>
    </row>
    <row r="435" spans="1:65" ht="30" x14ac:dyDescent="0.25">
      <c r="A435" s="163">
        <v>193</v>
      </c>
      <c r="B435" s="155" t="s">
        <v>1417</v>
      </c>
      <c r="C435" s="22" t="s">
        <v>1171</v>
      </c>
      <c r="D435" s="81" t="s">
        <v>128</v>
      </c>
      <c r="E435" s="22" t="s">
        <v>124</v>
      </c>
      <c r="F435" s="33" t="s">
        <v>1038</v>
      </c>
      <c r="G435" s="33" t="s">
        <v>1420</v>
      </c>
      <c r="H435" s="23" t="s">
        <v>1181</v>
      </c>
      <c r="I435" s="35">
        <v>43181</v>
      </c>
      <c r="J435" s="35">
        <v>43546</v>
      </c>
      <c r="K435" s="24" t="s">
        <v>1422</v>
      </c>
      <c r="L435" s="140" t="s">
        <v>379</v>
      </c>
      <c r="M435" s="43" t="s">
        <v>222</v>
      </c>
      <c r="N435" s="61">
        <v>43195</v>
      </c>
      <c r="O435" s="77">
        <v>151700</v>
      </c>
      <c r="P435" s="76">
        <v>12281</v>
      </c>
      <c r="Q435" s="61">
        <v>43195</v>
      </c>
      <c r="R435" s="61">
        <v>43465</v>
      </c>
      <c r="S435" s="43" t="s">
        <v>1193</v>
      </c>
      <c r="T435" s="22"/>
      <c r="U435" s="25"/>
      <c r="V435" s="25"/>
      <c r="W435" s="33" t="s">
        <v>184</v>
      </c>
      <c r="X435" s="33"/>
      <c r="Y435" s="22"/>
      <c r="Z435" s="22"/>
      <c r="AA435" s="22"/>
      <c r="AB435" s="33"/>
      <c r="AC435" s="22"/>
      <c r="AD435" s="22"/>
      <c r="AE435" s="22"/>
      <c r="AF435" s="22"/>
      <c r="AG435" s="25"/>
      <c r="AH435" s="25"/>
      <c r="AI435" s="25"/>
      <c r="AJ435" s="25"/>
      <c r="AK435" s="25"/>
      <c r="AL435" s="74">
        <f t="shared" si="6"/>
        <v>151700</v>
      </c>
      <c r="AM435" s="25"/>
      <c r="AN435" s="25">
        <f>3734.4+40000+91405.6+16560</f>
        <v>151700</v>
      </c>
      <c r="AO435" s="77">
        <f t="shared" si="7"/>
        <v>151700</v>
      </c>
      <c r="AP435" s="22"/>
      <c r="AQ435" s="22"/>
      <c r="AR435" s="22"/>
      <c r="AS435" s="22"/>
      <c r="AT435" s="22"/>
      <c r="AU435" s="26"/>
      <c r="AV435" s="26"/>
      <c r="AW435" s="26"/>
      <c r="AX435" s="26"/>
      <c r="AY435" s="26"/>
      <c r="AZ435" s="26"/>
      <c r="BA435" s="26"/>
      <c r="BB435" s="26"/>
      <c r="BC435" s="60"/>
      <c r="BD435" s="26"/>
      <c r="BE435" s="26"/>
      <c r="BF435" s="26"/>
      <c r="BG435" s="26"/>
      <c r="BH435" s="26"/>
      <c r="BI435" s="26"/>
      <c r="BJ435" s="26"/>
      <c r="BK435" s="26"/>
      <c r="BL435" s="26"/>
      <c r="BM435" s="26"/>
    </row>
    <row r="436" spans="1:65" ht="30" x14ac:dyDescent="0.25">
      <c r="A436" s="163">
        <v>194</v>
      </c>
      <c r="B436" s="155" t="s">
        <v>1417</v>
      </c>
      <c r="C436" s="22" t="s">
        <v>1171</v>
      </c>
      <c r="D436" s="81" t="s">
        <v>128</v>
      </c>
      <c r="E436" s="22" t="s">
        <v>124</v>
      </c>
      <c r="F436" s="33" t="s">
        <v>1038</v>
      </c>
      <c r="G436" s="33" t="s">
        <v>1420</v>
      </c>
      <c r="H436" s="23" t="s">
        <v>1181</v>
      </c>
      <c r="I436" s="35">
        <v>43181</v>
      </c>
      <c r="J436" s="35">
        <v>43546</v>
      </c>
      <c r="K436" s="24" t="s">
        <v>1429</v>
      </c>
      <c r="L436" s="140" t="s">
        <v>223</v>
      </c>
      <c r="M436" s="43" t="s">
        <v>776</v>
      </c>
      <c r="N436" s="61">
        <v>43195</v>
      </c>
      <c r="O436" s="77">
        <v>146030</v>
      </c>
      <c r="P436" s="76">
        <v>12281</v>
      </c>
      <c r="Q436" s="61">
        <v>43195</v>
      </c>
      <c r="R436" s="61">
        <v>43465</v>
      </c>
      <c r="S436" s="43" t="s">
        <v>1193</v>
      </c>
      <c r="T436" s="22"/>
      <c r="U436" s="25"/>
      <c r="V436" s="25"/>
      <c r="W436" s="33" t="s">
        <v>184</v>
      </c>
      <c r="X436" s="33"/>
      <c r="Y436" s="22"/>
      <c r="Z436" s="22"/>
      <c r="AA436" s="22"/>
      <c r="AB436" s="33"/>
      <c r="AC436" s="22"/>
      <c r="AD436" s="22"/>
      <c r="AE436" s="22"/>
      <c r="AF436" s="22"/>
      <c r="AG436" s="25"/>
      <c r="AH436" s="25"/>
      <c r="AI436" s="25"/>
      <c r="AJ436" s="25"/>
      <c r="AK436" s="25"/>
      <c r="AL436" s="74">
        <f t="shared" si="6"/>
        <v>146030</v>
      </c>
      <c r="AM436" s="25"/>
      <c r="AN436" s="25">
        <f>2600+50176.92+89413.08+2520</f>
        <v>144710</v>
      </c>
      <c r="AO436" s="77">
        <f t="shared" si="7"/>
        <v>144710</v>
      </c>
      <c r="AP436" s="22"/>
      <c r="AQ436" s="22"/>
      <c r="AR436" s="22"/>
      <c r="AS436" s="22"/>
      <c r="AT436" s="22"/>
      <c r="AU436" s="26"/>
      <c r="AV436" s="26"/>
      <c r="AW436" s="26"/>
      <c r="AX436" s="26"/>
      <c r="AY436" s="26"/>
      <c r="AZ436" s="26"/>
      <c r="BA436" s="26"/>
      <c r="BB436" s="26"/>
      <c r="BC436" s="60"/>
      <c r="BD436" s="26"/>
      <c r="BE436" s="26"/>
      <c r="BF436" s="26"/>
      <c r="BG436" s="26"/>
      <c r="BH436" s="26"/>
      <c r="BI436" s="26"/>
      <c r="BJ436" s="26"/>
      <c r="BK436" s="26"/>
      <c r="BL436" s="26"/>
      <c r="BM436" s="26"/>
    </row>
    <row r="437" spans="1:65" ht="60" x14ac:dyDescent="0.25">
      <c r="A437" s="163">
        <v>195</v>
      </c>
      <c r="B437" s="155" t="s">
        <v>1424</v>
      </c>
      <c r="C437" s="22" t="s">
        <v>1170</v>
      </c>
      <c r="D437" s="81" t="s">
        <v>903</v>
      </c>
      <c r="E437" s="22"/>
      <c r="F437" s="33" t="s">
        <v>1427</v>
      </c>
      <c r="G437" s="33"/>
      <c r="H437" s="23"/>
      <c r="I437" s="23"/>
      <c r="J437" s="23"/>
      <c r="K437" s="24" t="s">
        <v>1423</v>
      </c>
      <c r="L437" s="140" t="s">
        <v>1425</v>
      </c>
      <c r="M437" s="43" t="s">
        <v>1426</v>
      </c>
      <c r="N437" s="61">
        <v>43195</v>
      </c>
      <c r="O437" s="77">
        <v>4854</v>
      </c>
      <c r="P437" s="76">
        <v>12298</v>
      </c>
      <c r="Q437" s="61">
        <v>43195</v>
      </c>
      <c r="R437" s="61">
        <v>43465</v>
      </c>
      <c r="S437" s="43" t="s">
        <v>1428</v>
      </c>
      <c r="T437" s="22"/>
      <c r="U437" s="25"/>
      <c r="V437" s="25"/>
      <c r="W437" s="33" t="s">
        <v>184</v>
      </c>
      <c r="X437" s="33"/>
      <c r="Y437" s="22"/>
      <c r="Z437" s="22"/>
      <c r="AA437" s="22"/>
      <c r="AB437" s="33"/>
      <c r="AC437" s="22"/>
      <c r="AD437" s="22"/>
      <c r="AE437" s="22"/>
      <c r="AF437" s="22"/>
      <c r="AG437" s="25"/>
      <c r="AH437" s="25"/>
      <c r="AI437" s="25"/>
      <c r="AJ437" s="25"/>
      <c r="AK437" s="25"/>
      <c r="AL437" s="74">
        <f t="shared" si="6"/>
        <v>4854</v>
      </c>
      <c r="AM437" s="25"/>
      <c r="AN437" s="25">
        <f>0</f>
        <v>0</v>
      </c>
      <c r="AO437" s="25"/>
      <c r="AP437" s="22"/>
      <c r="AQ437" s="22"/>
      <c r="AR437" s="22"/>
      <c r="AS437" s="22"/>
      <c r="AT437" s="22"/>
      <c r="AU437" s="26"/>
      <c r="AV437" s="26" t="s">
        <v>136</v>
      </c>
      <c r="AW437" s="22" t="s">
        <v>924</v>
      </c>
      <c r="AX437" s="64">
        <v>12269</v>
      </c>
      <c r="AY437" s="63">
        <v>43187</v>
      </c>
      <c r="AZ437" s="64">
        <v>12273</v>
      </c>
      <c r="BA437" s="63">
        <v>43194</v>
      </c>
      <c r="BB437" s="26"/>
      <c r="BC437" s="60"/>
      <c r="BD437" s="26"/>
      <c r="BE437" s="26"/>
      <c r="BF437" s="26"/>
      <c r="BG437" s="26"/>
      <c r="BH437" s="26"/>
      <c r="BI437" s="26"/>
      <c r="BJ437" s="26"/>
      <c r="BK437" s="26"/>
      <c r="BL437" s="26"/>
      <c r="BM437" s="26"/>
    </row>
    <row r="438" spans="1:65" ht="105" x14ac:dyDescent="0.25">
      <c r="A438" s="163">
        <v>196</v>
      </c>
      <c r="B438" s="155" t="s">
        <v>1431</v>
      </c>
      <c r="C438" s="22" t="s">
        <v>1170</v>
      </c>
      <c r="D438" s="81" t="s">
        <v>1874</v>
      </c>
      <c r="E438" s="22" t="s">
        <v>124</v>
      </c>
      <c r="F438" s="33" t="s">
        <v>1434</v>
      </c>
      <c r="G438" s="33" t="s">
        <v>1445</v>
      </c>
      <c r="H438" s="23"/>
      <c r="I438" s="23"/>
      <c r="J438" s="23"/>
      <c r="K438" s="24" t="s">
        <v>1430</v>
      </c>
      <c r="L438" s="140" t="s">
        <v>1432</v>
      </c>
      <c r="M438" s="43" t="s">
        <v>1433</v>
      </c>
      <c r="N438" s="61">
        <v>43196</v>
      </c>
      <c r="O438" s="77">
        <v>126000</v>
      </c>
      <c r="P438" s="76">
        <v>12280</v>
      </c>
      <c r="Q438" s="61">
        <v>43196</v>
      </c>
      <c r="R438" s="61">
        <v>43379</v>
      </c>
      <c r="S438" s="43" t="s">
        <v>1193</v>
      </c>
      <c r="T438" s="22"/>
      <c r="U438" s="25"/>
      <c r="V438" s="25"/>
      <c r="W438" s="33" t="s">
        <v>135</v>
      </c>
      <c r="X438" s="33" t="s">
        <v>1261</v>
      </c>
      <c r="Y438" s="22" t="s">
        <v>136</v>
      </c>
      <c r="Z438" s="34">
        <v>43378</v>
      </c>
      <c r="AA438" s="34">
        <v>12417</v>
      </c>
      <c r="AB438" s="33" t="s">
        <v>1875</v>
      </c>
      <c r="AC438" s="35">
        <v>43379</v>
      </c>
      <c r="AD438" s="35">
        <v>43465</v>
      </c>
      <c r="AE438" s="22"/>
      <c r="AF438" s="22"/>
      <c r="AG438" s="25">
        <v>58800</v>
      </c>
      <c r="AH438" s="25"/>
      <c r="AI438" s="25"/>
      <c r="AJ438" s="25"/>
      <c r="AK438" s="25"/>
      <c r="AL438" s="74">
        <f>O438-AH438+AG438</f>
        <v>184800</v>
      </c>
      <c r="AM438" s="25"/>
      <c r="AN438" s="25">
        <f>2500+21000+21000+21000+21000+21000</f>
        <v>107500</v>
      </c>
      <c r="AO438" s="77">
        <f t="shared" si="7"/>
        <v>107500</v>
      </c>
      <c r="AP438" s="22" t="s">
        <v>687</v>
      </c>
      <c r="AQ438" s="35">
        <v>42851</v>
      </c>
      <c r="AR438" s="35">
        <v>43216</v>
      </c>
      <c r="AS438" s="34">
        <v>12050</v>
      </c>
      <c r="AT438" s="33" t="s">
        <v>1435</v>
      </c>
      <c r="AU438" s="64">
        <v>12050</v>
      </c>
      <c r="AV438" s="26"/>
      <c r="AW438" s="22"/>
      <c r="AX438" s="26"/>
      <c r="AY438" s="26"/>
      <c r="AZ438" s="26"/>
      <c r="BA438" s="26"/>
      <c r="BB438" s="26"/>
      <c r="BC438" s="60"/>
      <c r="BD438" s="26"/>
      <c r="BE438" s="26"/>
      <c r="BF438" s="26"/>
      <c r="BG438" s="26"/>
      <c r="BH438" s="26"/>
      <c r="BI438" s="26"/>
      <c r="BJ438" s="26"/>
      <c r="BK438" s="26"/>
      <c r="BL438" s="26"/>
      <c r="BM438" s="26"/>
    </row>
    <row r="439" spans="1:65" ht="45" x14ac:dyDescent="0.25">
      <c r="A439" s="163">
        <v>197</v>
      </c>
      <c r="B439" s="155" t="s">
        <v>1437</v>
      </c>
      <c r="C439" s="22" t="s">
        <v>1181</v>
      </c>
      <c r="D439" s="81" t="s">
        <v>240</v>
      </c>
      <c r="E439" s="22" t="s">
        <v>124</v>
      </c>
      <c r="F439" s="33" t="s">
        <v>1438</v>
      </c>
      <c r="G439" s="33"/>
      <c r="H439" s="23"/>
      <c r="I439" s="23"/>
      <c r="J439" s="23"/>
      <c r="K439" s="24" t="s">
        <v>1436</v>
      </c>
      <c r="L439" s="140" t="s">
        <v>1439</v>
      </c>
      <c r="M439" s="43" t="s">
        <v>793</v>
      </c>
      <c r="N439" s="61">
        <v>43200</v>
      </c>
      <c r="O439" s="77">
        <v>6028</v>
      </c>
      <c r="P439" s="76">
        <v>12290</v>
      </c>
      <c r="Q439" s="61">
        <v>43200</v>
      </c>
      <c r="R439" s="61">
        <v>43465</v>
      </c>
      <c r="S439" s="43" t="s">
        <v>1193</v>
      </c>
      <c r="T439" s="22"/>
      <c r="U439" s="25"/>
      <c r="V439" s="25"/>
      <c r="W439" s="33" t="s">
        <v>184</v>
      </c>
      <c r="X439" s="33"/>
      <c r="Y439" s="22"/>
      <c r="Z439" s="22"/>
      <c r="AA439" s="22"/>
      <c r="AB439" s="33"/>
      <c r="AC439" s="22"/>
      <c r="AD439" s="22"/>
      <c r="AE439" s="22"/>
      <c r="AF439" s="22"/>
      <c r="AG439" s="25"/>
      <c r="AH439" s="25"/>
      <c r="AI439" s="25"/>
      <c r="AJ439" s="25"/>
      <c r="AK439" s="25"/>
      <c r="AL439" s="74">
        <f t="shared" si="6"/>
        <v>6028</v>
      </c>
      <c r="AM439" s="25"/>
      <c r="AN439" s="25">
        <f>1507+822+1644</f>
        <v>3973</v>
      </c>
      <c r="AO439" s="77">
        <f t="shared" si="7"/>
        <v>3973</v>
      </c>
      <c r="AP439" s="37"/>
      <c r="AQ439" s="22"/>
      <c r="AR439" s="22"/>
      <c r="AS439" s="22"/>
      <c r="AT439" s="22"/>
      <c r="AU439" s="26"/>
      <c r="AV439" s="26" t="s">
        <v>121</v>
      </c>
      <c r="AW439" s="22" t="s">
        <v>1487</v>
      </c>
      <c r="AX439" s="64"/>
      <c r="AY439" s="63"/>
      <c r="AZ439" s="64"/>
      <c r="BA439" s="63"/>
      <c r="BB439" s="26"/>
      <c r="BC439" s="60"/>
      <c r="BD439" s="26"/>
      <c r="BE439" s="26"/>
      <c r="BF439" s="26"/>
      <c r="BG439" s="26"/>
      <c r="BH439" s="26"/>
      <c r="BI439" s="26"/>
      <c r="BJ439" s="26"/>
      <c r="BK439" s="26"/>
      <c r="BL439" s="26"/>
      <c r="BM439" s="26"/>
    </row>
    <row r="440" spans="1:65" ht="75" x14ac:dyDescent="0.25">
      <c r="A440" s="163">
        <v>198</v>
      </c>
      <c r="B440" s="155" t="s">
        <v>1440</v>
      </c>
      <c r="C440" s="22" t="s">
        <v>1198</v>
      </c>
      <c r="D440" s="81" t="s">
        <v>128</v>
      </c>
      <c r="E440" s="22" t="s">
        <v>124</v>
      </c>
      <c r="F440" s="33" t="s">
        <v>1442</v>
      </c>
      <c r="G440" s="33" t="s">
        <v>1446</v>
      </c>
      <c r="H440" s="23" t="s">
        <v>1177</v>
      </c>
      <c r="I440" s="35">
        <v>43171</v>
      </c>
      <c r="J440" s="35">
        <v>43536</v>
      </c>
      <c r="K440" s="24" t="s">
        <v>1441</v>
      </c>
      <c r="L440" s="140" t="s">
        <v>768</v>
      </c>
      <c r="M440" s="43" t="s">
        <v>769</v>
      </c>
      <c r="N440" s="61">
        <v>43200</v>
      </c>
      <c r="O440" s="77">
        <v>404350</v>
      </c>
      <c r="P440" s="76">
        <v>12288</v>
      </c>
      <c r="Q440" s="61">
        <v>43200</v>
      </c>
      <c r="R440" s="61">
        <v>43465</v>
      </c>
      <c r="S440" s="43" t="s">
        <v>1193</v>
      </c>
      <c r="T440" s="22"/>
      <c r="U440" s="25"/>
      <c r="V440" s="25"/>
      <c r="W440" s="33" t="s">
        <v>184</v>
      </c>
      <c r="X440" s="33" t="s">
        <v>365</v>
      </c>
      <c r="Y440" s="22" t="s">
        <v>136</v>
      </c>
      <c r="Z440" s="35">
        <v>43322</v>
      </c>
      <c r="AA440" s="34">
        <v>12389</v>
      </c>
      <c r="AB440" s="33" t="s">
        <v>1812</v>
      </c>
      <c r="AC440" s="22"/>
      <c r="AD440" s="22"/>
      <c r="AE440" s="22"/>
      <c r="AF440" s="22"/>
      <c r="AG440" s="25">
        <v>17304</v>
      </c>
      <c r="AH440" s="25"/>
      <c r="AI440" s="25"/>
      <c r="AJ440" s="25"/>
      <c r="AK440" s="25"/>
      <c r="AL440" s="74">
        <f t="shared" si="6"/>
        <v>421654</v>
      </c>
      <c r="AM440" s="25"/>
      <c r="AN440" s="25">
        <f>29515.33+61359.2+60247.58+70052.2+69339+28714.08</f>
        <v>319227.39</v>
      </c>
      <c r="AO440" s="77">
        <f t="shared" si="7"/>
        <v>319227.39</v>
      </c>
      <c r="AP440" s="37"/>
      <c r="AQ440" s="22"/>
      <c r="AR440" s="22"/>
      <c r="AS440" s="22"/>
      <c r="AT440" s="22"/>
      <c r="AU440" s="26"/>
      <c r="AV440" s="26"/>
      <c r="AW440" s="26"/>
      <c r="AX440" s="26"/>
      <c r="AY440" s="26"/>
      <c r="AZ440" s="26"/>
      <c r="BA440" s="26"/>
      <c r="BB440" s="26"/>
      <c r="BC440" s="60"/>
      <c r="BD440" s="26"/>
      <c r="BE440" s="26"/>
      <c r="BF440" s="26"/>
      <c r="BG440" s="26"/>
      <c r="BH440" s="26"/>
      <c r="BI440" s="26"/>
      <c r="BJ440" s="26"/>
      <c r="BK440" s="26"/>
      <c r="BL440" s="26"/>
      <c r="BM440" s="26"/>
    </row>
    <row r="441" spans="1:65" ht="60" x14ac:dyDescent="0.25">
      <c r="A441" s="163">
        <v>199</v>
      </c>
      <c r="B441" s="155" t="s">
        <v>1452</v>
      </c>
      <c r="C441" s="22" t="s">
        <v>1247</v>
      </c>
      <c r="D441" s="81" t="s">
        <v>128</v>
      </c>
      <c r="E441" s="22" t="s">
        <v>124</v>
      </c>
      <c r="F441" s="33" t="s">
        <v>1455</v>
      </c>
      <c r="G441" s="33" t="s">
        <v>1463</v>
      </c>
      <c r="H441" s="23" t="s">
        <v>1186</v>
      </c>
      <c r="I441" s="35">
        <v>43207</v>
      </c>
      <c r="J441" s="35">
        <v>43572</v>
      </c>
      <c r="K441" s="24" t="s">
        <v>1451</v>
      </c>
      <c r="L441" s="140" t="s">
        <v>1453</v>
      </c>
      <c r="M441" s="43" t="s">
        <v>1454</v>
      </c>
      <c r="N441" s="61">
        <v>43207</v>
      </c>
      <c r="O441" s="77">
        <v>95928</v>
      </c>
      <c r="P441" s="76">
        <v>12286</v>
      </c>
      <c r="Q441" s="61">
        <v>43207</v>
      </c>
      <c r="R441" s="61">
        <v>43390</v>
      </c>
      <c r="S441" s="43" t="s">
        <v>1456</v>
      </c>
      <c r="T441" s="22"/>
      <c r="U441" s="25"/>
      <c r="V441" s="25"/>
      <c r="W441" s="33" t="s">
        <v>135</v>
      </c>
      <c r="X441" s="33" t="s">
        <v>1261</v>
      </c>
      <c r="Y441" s="22" t="s">
        <v>136</v>
      </c>
      <c r="Z441" s="35">
        <v>43390</v>
      </c>
      <c r="AA441" s="34">
        <v>12415</v>
      </c>
      <c r="AB441" s="33" t="s">
        <v>1870</v>
      </c>
      <c r="AC441" s="35">
        <v>43390</v>
      </c>
      <c r="AD441" s="35">
        <v>43465</v>
      </c>
      <c r="AE441" s="22"/>
      <c r="AF441" s="22"/>
      <c r="AG441" s="25">
        <v>38904.089999999997</v>
      </c>
      <c r="AH441" s="25"/>
      <c r="AI441" s="25"/>
      <c r="AJ441" s="25"/>
      <c r="AK441" s="25"/>
      <c r="AL441" s="74">
        <f>O441-AH441+AG441</f>
        <v>134832.09</v>
      </c>
      <c r="AM441" s="25"/>
      <c r="AN441" s="25">
        <f>11991+15988+15988+15988+15988+15988</f>
        <v>91931</v>
      </c>
      <c r="AO441" s="77">
        <f t="shared" si="7"/>
        <v>91931</v>
      </c>
      <c r="AP441" s="37"/>
      <c r="AQ441" s="22"/>
      <c r="AR441" s="22"/>
      <c r="AS441" s="22"/>
      <c r="AT441" s="22"/>
      <c r="AU441" s="26"/>
      <c r="AV441" s="26"/>
      <c r="AW441" s="26"/>
      <c r="AX441" s="26"/>
      <c r="AY441" s="26"/>
      <c r="AZ441" s="26"/>
      <c r="BA441" s="26"/>
      <c r="BB441" s="26"/>
      <c r="BC441" s="60"/>
      <c r="BD441" s="26"/>
      <c r="BE441" s="26"/>
      <c r="BF441" s="26"/>
      <c r="BG441" s="26"/>
      <c r="BH441" s="26"/>
      <c r="BI441" s="26"/>
      <c r="BJ441" s="26"/>
      <c r="BK441" s="26"/>
      <c r="BL441" s="26"/>
      <c r="BM441" s="26"/>
    </row>
    <row r="442" spans="1:65" ht="90" x14ac:dyDescent="0.25">
      <c r="A442" s="163">
        <v>200</v>
      </c>
      <c r="B442" s="155" t="s">
        <v>1458</v>
      </c>
      <c r="C442" s="22" t="s">
        <v>1180</v>
      </c>
      <c r="D442" s="81" t="s">
        <v>128</v>
      </c>
      <c r="E442" s="22" t="s">
        <v>124</v>
      </c>
      <c r="F442" s="33" t="s">
        <v>1461</v>
      </c>
      <c r="G442" s="33" t="s">
        <v>1464</v>
      </c>
      <c r="H442" s="23" t="s">
        <v>1178</v>
      </c>
      <c r="I442" s="35">
        <v>43178</v>
      </c>
      <c r="J442" s="35">
        <v>43543</v>
      </c>
      <c r="K442" s="24" t="s">
        <v>1457</v>
      </c>
      <c r="L442" s="140" t="s">
        <v>1459</v>
      </c>
      <c r="M442" s="43" t="s">
        <v>1460</v>
      </c>
      <c r="N442" s="61">
        <v>43208</v>
      </c>
      <c r="O442" s="77">
        <v>27200</v>
      </c>
      <c r="P442" s="76">
        <v>12289</v>
      </c>
      <c r="Q442" s="61">
        <v>43208</v>
      </c>
      <c r="R442" s="61">
        <v>43465</v>
      </c>
      <c r="S442" s="43" t="s">
        <v>1462</v>
      </c>
      <c r="T442" s="22"/>
      <c r="U442" s="25"/>
      <c r="V442" s="25"/>
      <c r="W442" s="33" t="s">
        <v>184</v>
      </c>
      <c r="X442" s="33"/>
      <c r="Y442" s="22" t="s">
        <v>1670</v>
      </c>
      <c r="Z442" s="35">
        <v>43277</v>
      </c>
      <c r="AA442" s="34">
        <v>12332</v>
      </c>
      <c r="AB442" s="33" t="s">
        <v>1671</v>
      </c>
      <c r="AC442" s="22"/>
      <c r="AD442" s="22"/>
      <c r="AE442" s="22"/>
      <c r="AF442" s="22"/>
      <c r="AG442" s="25"/>
      <c r="AH442" s="25"/>
      <c r="AI442" s="25"/>
      <c r="AJ442" s="25"/>
      <c r="AK442" s="25"/>
      <c r="AL442" s="74">
        <f t="shared" si="6"/>
        <v>27200</v>
      </c>
      <c r="AM442" s="25"/>
      <c r="AN442" s="25">
        <f>1360+1360</f>
        <v>2720</v>
      </c>
      <c r="AO442" s="77">
        <f t="shared" si="7"/>
        <v>2720</v>
      </c>
      <c r="AP442" s="37"/>
      <c r="AQ442" s="22"/>
      <c r="AR442" s="22"/>
      <c r="AS442" s="22"/>
      <c r="AT442" s="22"/>
      <c r="AU442" s="26"/>
      <c r="AV442" s="26"/>
      <c r="AW442" s="26"/>
      <c r="AX442" s="26"/>
      <c r="AY442" s="26"/>
      <c r="AZ442" s="26"/>
      <c r="BA442" s="26"/>
      <c r="BB442" s="26"/>
      <c r="BC442" s="60"/>
      <c r="BD442" s="26"/>
      <c r="BE442" s="26"/>
      <c r="BF442" s="26"/>
      <c r="BG442" s="26"/>
      <c r="BH442" s="26"/>
      <c r="BI442" s="26"/>
      <c r="BJ442" s="26"/>
      <c r="BK442" s="26"/>
      <c r="BL442" s="26"/>
      <c r="BM442" s="26"/>
    </row>
    <row r="443" spans="1:65" ht="45" x14ac:dyDescent="0.25">
      <c r="A443" s="163">
        <v>201</v>
      </c>
      <c r="B443" s="155" t="s">
        <v>1466</v>
      </c>
      <c r="C443" s="22" t="s">
        <v>1467</v>
      </c>
      <c r="D443" s="81" t="s">
        <v>128</v>
      </c>
      <c r="E443" s="22" t="s">
        <v>124</v>
      </c>
      <c r="F443" s="33" t="s">
        <v>1468</v>
      </c>
      <c r="G443" s="33" t="s">
        <v>1484</v>
      </c>
      <c r="H443" s="23" t="s">
        <v>1184</v>
      </c>
      <c r="I443" s="35">
        <v>43195</v>
      </c>
      <c r="J443" s="35">
        <v>43560</v>
      </c>
      <c r="K443" s="24" t="s">
        <v>1465</v>
      </c>
      <c r="L443" s="140" t="s">
        <v>360</v>
      </c>
      <c r="M443" s="43" t="s">
        <v>229</v>
      </c>
      <c r="N443" s="61">
        <v>43209</v>
      </c>
      <c r="O443" s="77">
        <v>52452.24</v>
      </c>
      <c r="P443" s="76">
        <v>12290</v>
      </c>
      <c r="Q443" s="61">
        <v>43209</v>
      </c>
      <c r="R443" s="61">
        <v>43465</v>
      </c>
      <c r="S443" s="43" t="s">
        <v>1193</v>
      </c>
      <c r="T443" s="22"/>
      <c r="U443" s="25"/>
      <c r="V443" s="25"/>
      <c r="W443" s="33" t="s">
        <v>1418</v>
      </c>
      <c r="X443" s="33"/>
      <c r="Y443" s="22"/>
      <c r="Z443" s="22"/>
      <c r="AA443" s="22"/>
      <c r="AB443" s="33"/>
      <c r="AC443" s="22"/>
      <c r="AD443" s="22"/>
      <c r="AE443" s="22"/>
      <c r="AF443" s="22"/>
      <c r="AG443" s="25"/>
      <c r="AH443" s="25"/>
      <c r="AI443" s="25"/>
      <c r="AJ443" s="25"/>
      <c r="AK443" s="25"/>
      <c r="AL443" s="74">
        <f t="shared" si="6"/>
        <v>52452.24</v>
      </c>
      <c r="AM443" s="25"/>
      <c r="AN443" s="25">
        <f>23015.25+8321.99+19325.5+1762.5</f>
        <v>52425.24</v>
      </c>
      <c r="AO443" s="77">
        <f t="shared" si="7"/>
        <v>52425.24</v>
      </c>
      <c r="AP443" s="37"/>
      <c r="AQ443" s="22"/>
      <c r="AR443" s="22"/>
      <c r="AS443" s="22"/>
      <c r="AT443" s="22"/>
      <c r="AU443" s="26"/>
      <c r="AV443" s="26"/>
      <c r="AW443" s="26"/>
      <c r="AX443" s="26"/>
      <c r="AY443" s="26"/>
      <c r="AZ443" s="26"/>
      <c r="BA443" s="26"/>
      <c r="BB443" s="26"/>
      <c r="BC443" s="60"/>
      <c r="BD443" s="26"/>
      <c r="BE443" s="26"/>
      <c r="BF443" s="26"/>
      <c r="BG443" s="26"/>
      <c r="BH443" s="26"/>
      <c r="BI443" s="26"/>
      <c r="BJ443" s="26"/>
      <c r="BK443" s="26"/>
      <c r="BL443" s="26"/>
      <c r="BM443" s="26"/>
    </row>
    <row r="444" spans="1:65" ht="45" x14ac:dyDescent="0.25">
      <c r="A444" s="163">
        <v>202</v>
      </c>
      <c r="B444" s="155" t="s">
        <v>1466</v>
      </c>
      <c r="C444" s="22" t="s">
        <v>1467</v>
      </c>
      <c r="D444" s="81" t="s">
        <v>128</v>
      </c>
      <c r="E444" s="22" t="s">
        <v>124</v>
      </c>
      <c r="F444" s="33" t="s">
        <v>1468</v>
      </c>
      <c r="G444" s="33" t="s">
        <v>1484</v>
      </c>
      <c r="H444" s="23" t="s">
        <v>1184</v>
      </c>
      <c r="I444" s="35">
        <v>43195</v>
      </c>
      <c r="J444" s="35">
        <v>43560</v>
      </c>
      <c r="K444" s="24" t="s">
        <v>1469</v>
      </c>
      <c r="L444" s="140" t="s">
        <v>622</v>
      </c>
      <c r="M444" s="43" t="s">
        <v>623</v>
      </c>
      <c r="N444" s="61">
        <v>43209</v>
      </c>
      <c r="O444" s="77">
        <v>127280.06</v>
      </c>
      <c r="P444" s="76">
        <v>12290</v>
      </c>
      <c r="Q444" s="61">
        <v>43209</v>
      </c>
      <c r="R444" s="61">
        <v>43465</v>
      </c>
      <c r="S444" s="43" t="s">
        <v>1193</v>
      </c>
      <c r="T444" s="22"/>
      <c r="U444" s="25"/>
      <c r="V444" s="25"/>
      <c r="W444" s="33" t="s">
        <v>1418</v>
      </c>
      <c r="X444" s="33"/>
      <c r="Y444" s="22"/>
      <c r="Z444" s="22"/>
      <c r="AA444" s="22"/>
      <c r="AB444" s="33"/>
      <c r="AC444" s="22"/>
      <c r="AD444" s="22"/>
      <c r="AE444" s="22"/>
      <c r="AF444" s="22"/>
      <c r="AG444" s="25"/>
      <c r="AH444" s="25"/>
      <c r="AI444" s="25"/>
      <c r="AJ444" s="25"/>
      <c r="AK444" s="25"/>
      <c r="AL444" s="74">
        <f t="shared" si="6"/>
        <v>127280.06</v>
      </c>
      <c r="AM444" s="25"/>
      <c r="AN444" s="25">
        <f>11668.33+109082.5+5725.83+803.4</f>
        <v>127280.06</v>
      </c>
      <c r="AO444" s="77">
        <f t="shared" si="7"/>
        <v>127280.06</v>
      </c>
      <c r="AP444" s="22"/>
      <c r="AQ444" s="22"/>
      <c r="AR444" s="22"/>
      <c r="AS444" s="22"/>
      <c r="AT444" s="22"/>
      <c r="AU444" s="26"/>
      <c r="AV444" s="26"/>
      <c r="AW444" s="26"/>
      <c r="AX444" s="26"/>
      <c r="AY444" s="26"/>
      <c r="AZ444" s="26"/>
      <c r="BA444" s="26"/>
      <c r="BB444" s="26"/>
      <c r="BC444" s="60"/>
      <c r="BD444" s="26"/>
      <c r="BE444" s="26"/>
      <c r="BF444" s="26"/>
      <c r="BG444" s="26"/>
      <c r="BH444" s="26"/>
      <c r="BI444" s="26"/>
      <c r="BJ444" s="26"/>
      <c r="BK444" s="26"/>
      <c r="BL444" s="26"/>
      <c r="BM444" s="26"/>
    </row>
    <row r="445" spans="1:65" ht="45" x14ac:dyDescent="0.25">
      <c r="A445" s="163">
        <v>203</v>
      </c>
      <c r="B445" s="155" t="s">
        <v>1466</v>
      </c>
      <c r="C445" s="22" t="s">
        <v>1467</v>
      </c>
      <c r="D445" s="81" t="s">
        <v>128</v>
      </c>
      <c r="E445" s="22" t="s">
        <v>124</v>
      </c>
      <c r="F445" s="33" t="s">
        <v>1468</v>
      </c>
      <c r="G445" s="33" t="s">
        <v>1484</v>
      </c>
      <c r="H445" s="23" t="s">
        <v>1183</v>
      </c>
      <c r="I445" s="35">
        <v>43195</v>
      </c>
      <c r="J445" s="35">
        <v>43560</v>
      </c>
      <c r="K445" s="24" t="s">
        <v>1470</v>
      </c>
      <c r="L445" s="140" t="s">
        <v>1039</v>
      </c>
      <c r="M445" s="43" t="s">
        <v>1040</v>
      </c>
      <c r="N445" s="61">
        <v>43209</v>
      </c>
      <c r="O445" s="77">
        <v>135951.17000000001</v>
      </c>
      <c r="P445" s="76">
        <v>12290</v>
      </c>
      <c r="Q445" s="61">
        <v>43209</v>
      </c>
      <c r="R445" s="61">
        <v>43465</v>
      </c>
      <c r="S445" s="43" t="s">
        <v>1193</v>
      </c>
      <c r="T445" s="22"/>
      <c r="U445" s="25"/>
      <c r="V445" s="25"/>
      <c r="W445" s="33" t="s">
        <v>1418</v>
      </c>
      <c r="X445" s="33"/>
      <c r="Y445" s="22"/>
      <c r="Z445" s="22"/>
      <c r="AA445" s="22"/>
      <c r="AB445" s="33"/>
      <c r="AC445" s="22"/>
      <c r="AD445" s="22"/>
      <c r="AE445" s="22"/>
      <c r="AF445" s="22"/>
      <c r="AG445" s="25"/>
      <c r="AH445" s="25"/>
      <c r="AI445" s="25"/>
      <c r="AJ445" s="25"/>
      <c r="AK445" s="25"/>
      <c r="AL445" s="74">
        <f t="shared" si="6"/>
        <v>135951.17000000001</v>
      </c>
      <c r="AM445" s="25"/>
      <c r="AN445" s="25">
        <f>19300.14+68372.6+1687.2</f>
        <v>89359.94</v>
      </c>
      <c r="AO445" s="77">
        <f t="shared" si="7"/>
        <v>89359.94</v>
      </c>
      <c r="AP445" s="37"/>
      <c r="AQ445" s="22"/>
      <c r="AR445" s="22"/>
      <c r="AS445" s="22"/>
      <c r="AT445" s="22"/>
      <c r="AU445" s="26"/>
      <c r="AV445" s="26"/>
      <c r="AW445" s="26"/>
      <c r="AX445" s="26"/>
      <c r="AY445" s="26"/>
      <c r="AZ445" s="26"/>
      <c r="BA445" s="26"/>
      <c r="BB445" s="26"/>
      <c r="BC445" s="60"/>
      <c r="BD445" s="26"/>
      <c r="BE445" s="26"/>
      <c r="BF445" s="26"/>
      <c r="BG445" s="26"/>
      <c r="BH445" s="26"/>
      <c r="BI445" s="26"/>
      <c r="BJ445" s="26"/>
      <c r="BK445" s="26"/>
      <c r="BL445" s="26"/>
      <c r="BM445" s="26"/>
    </row>
    <row r="446" spans="1:65" ht="45" x14ac:dyDescent="0.25">
      <c r="A446" s="163">
        <v>204</v>
      </c>
      <c r="B446" s="155" t="s">
        <v>1466</v>
      </c>
      <c r="C446" s="22" t="s">
        <v>1467</v>
      </c>
      <c r="D446" s="81" t="s">
        <v>128</v>
      </c>
      <c r="E446" s="22" t="s">
        <v>124</v>
      </c>
      <c r="F446" s="33" t="s">
        <v>1468</v>
      </c>
      <c r="G446" s="33" t="s">
        <v>1484</v>
      </c>
      <c r="H446" s="23" t="s">
        <v>1182</v>
      </c>
      <c r="I446" s="35">
        <v>43195</v>
      </c>
      <c r="J446" s="35">
        <v>43560</v>
      </c>
      <c r="K446" s="24" t="s">
        <v>1471</v>
      </c>
      <c r="L446" s="140" t="s">
        <v>1472</v>
      </c>
      <c r="M446" s="43" t="s">
        <v>1473</v>
      </c>
      <c r="N446" s="61">
        <v>43209</v>
      </c>
      <c r="O446" s="77">
        <v>96481.76</v>
      </c>
      <c r="P446" s="76">
        <v>12306</v>
      </c>
      <c r="Q446" s="61">
        <v>43209</v>
      </c>
      <c r="R446" s="61">
        <v>43465</v>
      </c>
      <c r="S446" s="43" t="s">
        <v>1193</v>
      </c>
      <c r="T446" s="22"/>
      <c r="U446" s="25"/>
      <c r="V446" s="25"/>
      <c r="W446" s="33" t="s">
        <v>967</v>
      </c>
      <c r="X446" s="33"/>
      <c r="Y446" s="22"/>
      <c r="Z446" s="22"/>
      <c r="AA446" s="22"/>
      <c r="AB446" s="33"/>
      <c r="AC446" s="22"/>
      <c r="AD446" s="22"/>
      <c r="AE446" s="22"/>
      <c r="AF446" s="22"/>
      <c r="AG446" s="25"/>
      <c r="AH446" s="25"/>
      <c r="AI446" s="25"/>
      <c r="AJ446" s="25"/>
      <c r="AK446" s="25"/>
      <c r="AL446" s="74">
        <f t="shared" si="6"/>
        <v>96481.76</v>
      </c>
      <c r="AM446" s="25"/>
      <c r="AN446" s="25">
        <f>84420.18+12061.58</f>
        <v>96481.76</v>
      </c>
      <c r="AO446" s="77">
        <f t="shared" si="7"/>
        <v>96481.76</v>
      </c>
      <c r="AP446" s="22"/>
      <c r="AQ446" s="22"/>
      <c r="AR446" s="22"/>
      <c r="AS446" s="22"/>
      <c r="AT446" s="22"/>
      <c r="AU446" s="26"/>
      <c r="AV446" s="26"/>
      <c r="AW446" s="26"/>
      <c r="AX446" s="26"/>
      <c r="AY446" s="26"/>
      <c r="AZ446" s="26"/>
      <c r="BA446" s="26"/>
      <c r="BB446" s="26"/>
      <c r="BC446" s="60"/>
      <c r="BD446" s="26"/>
      <c r="BE446" s="26"/>
      <c r="BF446" s="26"/>
      <c r="BG446" s="26"/>
      <c r="BH446" s="26"/>
      <c r="BI446" s="26"/>
      <c r="BJ446" s="26"/>
      <c r="BK446" s="26"/>
      <c r="BL446" s="26"/>
      <c r="BM446" s="26"/>
    </row>
    <row r="447" spans="1:65" ht="45" x14ac:dyDescent="0.25">
      <c r="A447" s="163">
        <v>205</v>
      </c>
      <c r="B447" s="155" t="s">
        <v>1012</v>
      </c>
      <c r="C447" s="22" t="s">
        <v>764</v>
      </c>
      <c r="D447" s="81" t="s">
        <v>128</v>
      </c>
      <c r="E447" s="22" t="s">
        <v>124</v>
      </c>
      <c r="F447" s="33" t="s">
        <v>1013</v>
      </c>
      <c r="G447" s="33" t="s">
        <v>1486</v>
      </c>
      <c r="H447" s="23" t="s">
        <v>704</v>
      </c>
      <c r="I447" s="35">
        <v>42935</v>
      </c>
      <c r="J447" s="35">
        <v>43300</v>
      </c>
      <c r="K447" s="24" t="s">
        <v>1474</v>
      </c>
      <c r="L447" s="140" t="s">
        <v>360</v>
      </c>
      <c r="M447" s="43" t="s">
        <v>229</v>
      </c>
      <c r="N447" s="61">
        <v>43209</v>
      </c>
      <c r="O447" s="77">
        <v>19500</v>
      </c>
      <c r="P447" s="76">
        <v>12292</v>
      </c>
      <c r="Q447" s="61">
        <v>43209</v>
      </c>
      <c r="R447" s="61">
        <v>43465</v>
      </c>
      <c r="S447" s="43" t="s">
        <v>1193</v>
      </c>
      <c r="T447" s="22"/>
      <c r="U447" s="25"/>
      <c r="V447" s="25"/>
      <c r="W447" s="33" t="s">
        <v>787</v>
      </c>
      <c r="X447" s="33"/>
      <c r="Y447" s="22"/>
      <c r="Z447" s="22"/>
      <c r="AA447" s="22"/>
      <c r="AB447" s="33"/>
      <c r="AC447" s="22"/>
      <c r="AD447" s="22"/>
      <c r="AE447" s="22"/>
      <c r="AF447" s="22"/>
      <c r="AG447" s="25"/>
      <c r="AH447" s="25"/>
      <c r="AI447" s="25"/>
      <c r="AJ447" s="25"/>
      <c r="AK447" s="25"/>
      <c r="AL447" s="74">
        <f t="shared" si="6"/>
        <v>19500</v>
      </c>
      <c r="AM447" s="25"/>
      <c r="AN447" s="25">
        <f>19500</f>
        <v>19500</v>
      </c>
      <c r="AO447" s="77">
        <f t="shared" si="7"/>
        <v>19500</v>
      </c>
      <c r="AP447" s="22"/>
      <c r="AQ447" s="22"/>
      <c r="AR447" s="22"/>
      <c r="AS447" s="22"/>
      <c r="AT447" s="22"/>
      <c r="AU447" s="26"/>
      <c r="AV447" s="26"/>
      <c r="AW447" s="26"/>
      <c r="AX447" s="26"/>
      <c r="AY447" s="26"/>
      <c r="AZ447" s="26"/>
      <c r="BA447" s="26"/>
      <c r="BB447" s="26"/>
      <c r="BC447" s="60"/>
      <c r="BD447" s="26"/>
      <c r="BE447" s="26"/>
      <c r="BF447" s="26"/>
      <c r="BG447" s="26"/>
      <c r="BH447" s="26"/>
      <c r="BI447" s="26"/>
      <c r="BJ447" s="26"/>
      <c r="BK447" s="26"/>
      <c r="BL447" s="26"/>
      <c r="BM447" s="26"/>
    </row>
    <row r="448" spans="1:65" ht="45" x14ac:dyDescent="0.25">
      <c r="A448" s="163">
        <v>206</v>
      </c>
      <c r="B448" s="155" t="s">
        <v>1087</v>
      </c>
      <c r="C448" s="22" t="s">
        <v>786</v>
      </c>
      <c r="D448" s="81" t="s">
        <v>128</v>
      </c>
      <c r="E448" s="22" t="s">
        <v>124</v>
      </c>
      <c r="F448" s="33" t="s">
        <v>1088</v>
      </c>
      <c r="G448" s="33" t="s">
        <v>1090</v>
      </c>
      <c r="H448" s="23" t="s">
        <v>764</v>
      </c>
      <c r="I448" s="35">
        <v>43007</v>
      </c>
      <c r="J448" s="35">
        <v>43372</v>
      </c>
      <c r="K448" s="24" t="s">
        <v>1475</v>
      </c>
      <c r="L448" s="140" t="s">
        <v>938</v>
      </c>
      <c r="M448" s="43" t="s">
        <v>939</v>
      </c>
      <c r="N448" s="61">
        <v>43209</v>
      </c>
      <c r="O448" s="77">
        <v>8300</v>
      </c>
      <c r="P448" s="76">
        <v>12292</v>
      </c>
      <c r="Q448" s="61">
        <v>43209</v>
      </c>
      <c r="R448" s="61">
        <v>43465</v>
      </c>
      <c r="S448" s="43" t="s">
        <v>1456</v>
      </c>
      <c r="T448" s="22"/>
      <c r="U448" s="25"/>
      <c r="V448" s="25"/>
      <c r="W448" s="33" t="s">
        <v>184</v>
      </c>
      <c r="X448" s="33"/>
      <c r="Y448" s="22"/>
      <c r="Z448" s="22"/>
      <c r="AA448" s="22"/>
      <c r="AB448" s="33"/>
      <c r="AC448" s="22"/>
      <c r="AD448" s="22"/>
      <c r="AE448" s="22"/>
      <c r="AF448" s="22"/>
      <c r="AG448" s="25"/>
      <c r="AH448" s="25"/>
      <c r="AI448" s="25"/>
      <c r="AJ448" s="25"/>
      <c r="AK448" s="25"/>
      <c r="AL448" s="74">
        <f t="shared" si="6"/>
        <v>8300</v>
      </c>
      <c r="AM448" s="25"/>
      <c r="AN448" s="25">
        <v>8300</v>
      </c>
      <c r="AO448" s="77">
        <f t="shared" si="7"/>
        <v>8300</v>
      </c>
      <c r="AP448" s="22"/>
      <c r="AQ448" s="22"/>
      <c r="AR448" s="22"/>
      <c r="AS448" s="22"/>
      <c r="AT448" s="22"/>
      <c r="AU448" s="26"/>
      <c r="AV448" s="26"/>
      <c r="AW448" s="26"/>
      <c r="AX448" s="26"/>
      <c r="AY448" s="26"/>
      <c r="AZ448" s="26"/>
      <c r="BA448" s="26"/>
      <c r="BB448" s="26"/>
      <c r="BC448" s="60"/>
      <c r="BD448" s="26"/>
      <c r="BE448" s="26"/>
      <c r="BF448" s="26"/>
      <c r="BG448" s="26"/>
      <c r="BH448" s="26"/>
      <c r="BI448" s="26"/>
      <c r="BJ448" s="26"/>
      <c r="BK448" s="26"/>
      <c r="BL448" s="26"/>
      <c r="BM448" s="26"/>
    </row>
    <row r="449" spans="1:65" ht="45" x14ac:dyDescent="0.25">
      <c r="A449" s="163">
        <v>207</v>
      </c>
      <c r="B449" s="155" t="s">
        <v>946</v>
      </c>
      <c r="C449" s="22" t="s">
        <v>702</v>
      </c>
      <c r="D449" s="81" t="s">
        <v>128</v>
      </c>
      <c r="E449" s="22" t="s">
        <v>124</v>
      </c>
      <c r="F449" s="33" t="s">
        <v>947</v>
      </c>
      <c r="G449" s="33" t="s">
        <v>950</v>
      </c>
      <c r="H449" s="23" t="s">
        <v>696</v>
      </c>
      <c r="I449" s="35">
        <v>42885</v>
      </c>
      <c r="J449" s="35">
        <v>43250</v>
      </c>
      <c r="K449" s="24" t="s">
        <v>1476</v>
      </c>
      <c r="L449" s="140" t="s">
        <v>475</v>
      </c>
      <c r="M449" s="43" t="s">
        <v>476</v>
      </c>
      <c r="N449" s="61">
        <v>43209</v>
      </c>
      <c r="O449" s="77">
        <v>14975</v>
      </c>
      <c r="P449" s="76">
        <v>12292</v>
      </c>
      <c r="Q449" s="61">
        <v>43209</v>
      </c>
      <c r="R449" s="61">
        <v>43465</v>
      </c>
      <c r="S449" s="43" t="s">
        <v>1193</v>
      </c>
      <c r="T449" s="22"/>
      <c r="U449" s="25"/>
      <c r="V449" s="25"/>
      <c r="W449" s="33" t="s">
        <v>787</v>
      </c>
      <c r="X449" s="33"/>
      <c r="Y449" s="22"/>
      <c r="Z449" s="22"/>
      <c r="AA449" s="22"/>
      <c r="AB449" s="33"/>
      <c r="AC449" s="22"/>
      <c r="AD449" s="22"/>
      <c r="AE449" s="22"/>
      <c r="AF449" s="22"/>
      <c r="AG449" s="25"/>
      <c r="AH449" s="25"/>
      <c r="AI449" s="25"/>
      <c r="AJ449" s="25"/>
      <c r="AK449" s="25"/>
      <c r="AL449" s="74">
        <f t="shared" si="6"/>
        <v>14975</v>
      </c>
      <c r="AM449" s="25"/>
      <c r="AN449" s="25">
        <f>14975</f>
        <v>14975</v>
      </c>
      <c r="AO449" s="77">
        <f t="shared" si="7"/>
        <v>14975</v>
      </c>
      <c r="AP449" s="22"/>
      <c r="AQ449" s="22"/>
      <c r="AR449" s="22"/>
      <c r="AS449" s="22"/>
      <c r="AT449" s="22"/>
      <c r="AU449" s="26"/>
      <c r="AV449" s="26"/>
      <c r="AW449" s="26"/>
      <c r="AX449" s="26"/>
      <c r="AY449" s="26"/>
      <c r="AZ449" s="26"/>
      <c r="BA449" s="26"/>
      <c r="BB449" s="26"/>
      <c r="BC449" s="60"/>
      <c r="BD449" s="26"/>
      <c r="BE449" s="26"/>
      <c r="BF449" s="26"/>
      <c r="BG449" s="26"/>
      <c r="BH449" s="26"/>
      <c r="BI449" s="26"/>
      <c r="BJ449" s="26"/>
      <c r="BK449" s="26"/>
      <c r="BL449" s="26"/>
      <c r="BM449" s="26"/>
    </row>
    <row r="450" spans="1:65" ht="90" x14ac:dyDescent="0.25">
      <c r="A450" s="163">
        <v>208</v>
      </c>
      <c r="B450" s="155" t="s">
        <v>1037</v>
      </c>
      <c r="C450" s="22" t="s">
        <v>760</v>
      </c>
      <c r="D450" s="81" t="s">
        <v>128</v>
      </c>
      <c r="E450" s="22" t="s">
        <v>124</v>
      </c>
      <c r="F450" s="33" t="s">
        <v>1038</v>
      </c>
      <c r="G450" s="33" t="s">
        <v>1485</v>
      </c>
      <c r="H450" s="23" t="s">
        <v>708</v>
      </c>
      <c r="I450" s="35">
        <v>42979</v>
      </c>
      <c r="J450" s="35">
        <v>43344</v>
      </c>
      <c r="K450" s="24" t="s">
        <v>1477</v>
      </c>
      <c r="L450" s="140" t="s">
        <v>1039</v>
      </c>
      <c r="M450" s="43" t="s">
        <v>1040</v>
      </c>
      <c r="N450" s="61">
        <v>43209</v>
      </c>
      <c r="O450" s="77">
        <v>26240</v>
      </c>
      <c r="P450" s="76">
        <v>12293</v>
      </c>
      <c r="Q450" s="61">
        <v>43209</v>
      </c>
      <c r="R450" s="61">
        <v>43465</v>
      </c>
      <c r="S450" s="43" t="s">
        <v>1479</v>
      </c>
      <c r="T450" s="22"/>
      <c r="U450" s="25"/>
      <c r="V450" s="25"/>
      <c r="W450" s="33" t="s">
        <v>1478</v>
      </c>
      <c r="X450" s="33"/>
      <c r="Y450" s="22"/>
      <c r="Z450" s="22"/>
      <c r="AA450" s="22"/>
      <c r="AB450" s="33"/>
      <c r="AC450" s="22"/>
      <c r="AD450" s="22"/>
      <c r="AE450" s="22"/>
      <c r="AF450" s="22"/>
      <c r="AG450" s="25"/>
      <c r="AH450" s="25"/>
      <c r="AI450" s="25"/>
      <c r="AJ450" s="25"/>
      <c r="AK450" s="25"/>
      <c r="AL450" s="74">
        <f t="shared" si="6"/>
        <v>26240</v>
      </c>
      <c r="AM450" s="25"/>
      <c r="AN450" s="25">
        <v>26240</v>
      </c>
      <c r="AO450" s="77">
        <f t="shared" si="7"/>
        <v>26240</v>
      </c>
      <c r="AP450" s="22"/>
      <c r="AQ450" s="22"/>
      <c r="AR450" s="22"/>
      <c r="AS450" s="22"/>
      <c r="AT450" s="22"/>
      <c r="AU450" s="26"/>
      <c r="AV450" s="26"/>
      <c r="AW450" s="26"/>
      <c r="AX450" s="26"/>
      <c r="AY450" s="26"/>
      <c r="AZ450" s="26"/>
      <c r="BA450" s="26"/>
      <c r="BB450" s="26"/>
      <c r="BC450" s="60"/>
      <c r="BD450" s="26"/>
      <c r="BE450" s="26"/>
      <c r="BF450" s="26"/>
      <c r="BG450" s="26"/>
      <c r="BH450" s="26"/>
      <c r="BI450" s="26"/>
      <c r="BJ450" s="26"/>
      <c r="BK450" s="26"/>
      <c r="BL450" s="26"/>
      <c r="BM450" s="26"/>
    </row>
    <row r="451" spans="1:65" ht="45" x14ac:dyDescent="0.25">
      <c r="A451" s="163">
        <v>209</v>
      </c>
      <c r="B451" s="155" t="s">
        <v>1129</v>
      </c>
      <c r="C451" s="22" t="s">
        <v>773</v>
      </c>
      <c r="D451" s="81" t="s">
        <v>128</v>
      </c>
      <c r="E451" s="22" t="s">
        <v>124</v>
      </c>
      <c r="F451" s="33" t="s">
        <v>1038</v>
      </c>
      <c r="G451" s="33" t="s">
        <v>1131</v>
      </c>
      <c r="H451" s="23" t="s">
        <v>777</v>
      </c>
      <c r="I451" s="35">
        <v>43038</v>
      </c>
      <c r="J451" s="35">
        <v>43403</v>
      </c>
      <c r="K451" s="24" t="s">
        <v>1480</v>
      </c>
      <c r="L451" s="140" t="s">
        <v>938</v>
      </c>
      <c r="M451" s="43" t="s">
        <v>939</v>
      </c>
      <c r="N451" s="61">
        <v>43209</v>
      </c>
      <c r="O451" s="77">
        <v>12000</v>
      </c>
      <c r="P451" s="76">
        <v>12292</v>
      </c>
      <c r="Q451" s="61">
        <v>43209</v>
      </c>
      <c r="R451" s="61">
        <v>43465</v>
      </c>
      <c r="S451" s="43" t="s">
        <v>1456</v>
      </c>
      <c r="T451" s="22"/>
      <c r="U451" s="25"/>
      <c r="V451" s="25"/>
      <c r="W451" s="33" t="s">
        <v>787</v>
      </c>
      <c r="X451" s="33"/>
      <c r="Y451" s="22"/>
      <c r="Z451" s="22"/>
      <c r="AA451" s="22"/>
      <c r="AB451" s="33"/>
      <c r="AC451" s="22"/>
      <c r="AD451" s="22"/>
      <c r="AE451" s="22"/>
      <c r="AF451" s="22"/>
      <c r="AG451" s="25"/>
      <c r="AH451" s="25"/>
      <c r="AI451" s="25"/>
      <c r="AJ451" s="25"/>
      <c r="AK451" s="25"/>
      <c r="AL451" s="74">
        <f t="shared" si="6"/>
        <v>12000</v>
      </c>
      <c r="AM451" s="25"/>
      <c r="AN451" s="25">
        <v>12000</v>
      </c>
      <c r="AO451" s="77">
        <f t="shared" si="7"/>
        <v>12000</v>
      </c>
      <c r="AP451" s="22"/>
      <c r="AQ451" s="22"/>
      <c r="AR451" s="22"/>
      <c r="AS451" s="22"/>
      <c r="AT451" s="22"/>
      <c r="AU451" s="26"/>
      <c r="AV451" s="26"/>
      <c r="AW451" s="26"/>
      <c r="AX451" s="26"/>
      <c r="AY451" s="26"/>
      <c r="AZ451" s="26"/>
      <c r="BA451" s="26"/>
      <c r="BB451" s="26"/>
      <c r="BC451" s="60"/>
      <c r="BD451" s="26"/>
      <c r="BE451" s="26"/>
      <c r="BF451" s="26"/>
      <c r="BG451" s="26"/>
      <c r="BH451" s="26"/>
      <c r="BI451" s="26"/>
      <c r="BJ451" s="26"/>
      <c r="BK451" s="26"/>
      <c r="BL451" s="26"/>
      <c r="BM451" s="26"/>
    </row>
    <row r="452" spans="1:65" ht="45" x14ac:dyDescent="0.25">
      <c r="A452" s="163">
        <v>210</v>
      </c>
      <c r="B452" s="155" t="s">
        <v>1129</v>
      </c>
      <c r="C452" s="22" t="s">
        <v>773</v>
      </c>
      <c r="D452" s="81" t="s">
        <v>128</v>
      </c>
      <c r="E452" s="22" t="s">
        <v>124</v>
      </c>
      <c r="F452" s="33" t="s">
        <v>1038</v>
      </c>
      <c r="G452" s="33" t="s">
        <v>1131</v>
      </c>
      <c r="H452" s="23" t="s">
        <v>777</v>
      </c>
      <c r="I452" s="35">
        <v>43038</v>
      </c>
      <c r="J452" s="35">
        <v>43403</v>
      </c>
      <c r="K452" s="24" t="s">
        <v>1481</v>
      </c>
      <c r="L452" s="140" t="s">
        <v>645</v>
      </c>
      <c r="M452" s="43" t="s">
        <v>646</v>
      </c>
      <c r="N452" s="61">
        <v>43209</v>
      </c>
      <c r="O452" s="77">
        <v>21997.5</v>
      </c>
      <c r="P452" s="76">
        <v>12292</v>
      </c>
      <c r="Q452" s="61">
        <v>43209</v>
      </c>
      <c r="R452" s="61">
        <v>43465</v>
      </c>
      <c r="S452" s="43" t="s">
        <v>1456</v>
      </c>
      <c r="T452" s="22"/>
      <c r="U452" s="25"/>
      <c r="V452" s="25"/>
      <c r="W452" s="33" t="s">
        <v>787</v>
      </c>
      <c r="X452" s="33"/>
      <c r="Y452" s="22"/>
      <c r="Z452" s="22"/>
      <c r="AA452" s="22"/>
      <c r="AB452" s="33"/>
      <c r="AC452" s="22"/>
      <c r="AD452" s="22"/>
      <c r="AE452" s="22"/>
      <c r="AF452" s="22"/>
      <c r="AG452" s="25"/>
      <c r="AH452" s="25"/>
      <c r="AI452" s="25"/>
      <c r="AJ452" s="25"/>
      <c r="AK452" s="25"/>
      <c r="AL452" s="74">
        <f t="shared" si="6"/>
        <v>21997.5</v>
      </c>
      <c r="AM452" s="25"/>
      <c r="AN452" s="25">
        <f>21997.5</f>
        <v>21997.5</v>
      </c>
      <c r="AO452" s="77">
        <f t="shared" si="7"/>
        <v>21997.5</v>
      </c>
      <c r="AP452" s="22"/>
      <c r="AQ452" s="22"/>
      <c r="AR452" s="22"/>
      <c r="AS452" s="22"/>
      <c r="AT452" s="22"/>
      <c r="AU452" s="26"/>
      <c r="AV452" s="26"/>
      <c r="AW452" s="26"/>
      <c r="AX452" s="26"/>
      <c r="AY452" s="26"/>
      <c r="AZ452" s="26"/>
      <c r="BA452" s="26"/>
      <c r="BB452" s="26"/>
      <c r="BC452" s="60"/>
      <c r="BD452" s="26"/>
      <c r="BE452" s="26"/>
      <c r="BF452" s="26"/>
      <c r="BG452" s="26"/>
      <c r="BH452" s="26"/>
      <c r="BI452" s="26"/>
      <c r="BJ452" s="26"/>
      <c r="BK452" s="26"/>
      <c r="BL452" s="26"/>
      <c r="BM452" s="26"/>
    </row>
    <row r="453" spans="1:65" ht="45" x14ac:dyDescent="0.25">
      <c r="A453" s="163">
        <v>211</v>
      </c>
      <c r="B453" s="155" t="s">
        <v>1129</v>
      </c>
      <c r="C453" s="22" t="s">
        <v>773</v>
      </c>
      <c r="D453" s="81" t="s">
        <v>128</v>
      </c>
      <c r="E453" s="22" t="s">
        <v>124</v>
      </c>
      <c r="F453" s="33" t="s">
        <v>1038</v>
      </c>
      <c r="G453" s="33" t="s">
        <v>1131</v>
      </c>
      <c r="H453" s="23" t="s">
        <v>777</v>
      </c>
      <c r="I453" s="35">
        <v>43038</v>
      </c>
      <c r="J453" s="35">
        <v>43403</v>
      </c>
      <c r="K453" s="24" t="s">
        <v>1482</v>
      </c>
      <c r="L453" s="140" t="s">
        <v>360</v>
      </c>
      <c r="M453" s="43" t="s">
        <v>229</v>
      </c>
      <c r="N453" s="61">
        <v>43209</v>
      </c>
      <c r="O453" s="77">
        <v>19496</v>
      </c>
      <c r="P453" s="76">
        <v>12292</v>
      </c>
      <c r="Q453" s="61">
        <v>43209</v>
      </c>
      <c r="R453" s="61">
        <v>43465</v>
      </c>
      <c r="S453" s="43" t="s">
        <v>1456</v>
      </c>
      <c r="T453" s="22"/>
      <c r="U453" s="25"/>
      <c r="V453" s="25"/>
      <c r="W453" s="33" t="s">
        <v>787</v>
      </c>
      <c r="X453" s="33"/>
      <c r="Y453" s="22"/>
      <c r="Z453" s="22"/>
      <c r="AA453" s="22"/>
      <c r="AB453" s="33"/>
      <c r="AC453" s="22"/>
      <c r="AD453" s="22"/>
      <c r="AE453" s="22"/>
      <c r="AF453" s="22"/>
      <c r="AG453" s="25"/>
      <c r="AH453" s="25"/>
      <c r="AI453" s="25"/>
      <c r="AJ453" s="25"/>
      <c r="AK453" s="25"/>
      <c r="AL453" s="74">
        <f t="shared" si="6"/>
        <v>19496</v>
      </c>
      <c r="AM453" s="25"/>
      <c r="AN453" s="25">
        <f>19496</f>
        <v>19496</v>
      </c>
      <c r="AO453" s="77">
        <f t="shared" si="7"/>
        <v>19496</v>
      </c>
      <c r="AP453" s="22"/>
      <c r="AQ453" s="22"/>
      <c r="AR453" s="22"/>
      <c r="AS453" s="22"/>
      <c r="AT453" s="22"/>
      <c r="AU453" s="26"/>
      <c r="AV453" s="26"/>
      <c r="AW453" s="26"/>
      <c r="AX453" s="26"/>
      <c r="AY453" s="26"/>
      <c r="AZ453" s="26"/>
      <c r="BA453" s="26"/>
      <c r="BB453" s="26"/>
      <c r="BC453" s="60"/>
      <c r="BD453" s="26"/>
      <c r="BE453" s="26"/>
      <c r="BF453" s="26"/>
      <c r="BG453" s="26"/>
      <c r="BH453" s="26"/>
      <c r="BI453" s="26"/>
      <c r="BJ453" s="26"/>
      <c r="BK453" s="26"/>
      <c r="BL453" s="26"/>
      <c r="BM453" s="26"/>
    </row>
    <row r="454" spans="1:65" ht="45" x14ac:dyDescent="0.25">
      <c r="A454" s="163">
        <v>212</v>
      </c>
      <c r="B454" s="155" t="s">
        <v>1129</v>
      </c>
      <c r="C454" s="22" t="s">
        <v>773</v>
      </c>
      <c r="D454" s="81" t="s">
        <v>128</v>
      </c>
      <c r="E454" s="22" t="s">
        <v>124</v>
      </c>
      <c r="F454" s="33" t="s">
        <v>1038</v>
      </c>
      <c r="G454" s="33" t="s">
        <v>1131</v>
      </c>
      <c r="H454" s="23" t="s">
        <v>777</v>
      </c>
      <c r="I454" s="35">
        <v>43038</v>
      </c>
      <c r="J454" s="35">
        <v>43403</v>
      </c>
      <c r="K454" s="24" t="s">
        <v>1483</v>
      </c>
      <c r="L454" s="140" t="s">
        <v>238</v>
      </c>
      <c r="M454" s="43" t="s">
        <v>239</v>
      </c>
      <c r="N454" s="61">
        <v>43209</v>
      </c>
      <c r="O454" s="77">
        <v>28000</v>
      </c>
      <c r="P454" s="76">
        <v>12292</v>
      </c>
      <c r="Q454" s="61">
        <v>43209</v>
      </c>
      <c r="R454" s="61">
        <v>43465</v>
      </c>
      <c r="S454" s="43" t="s">
        <v>1456</v>
      </c>
      <c r="T454" s="22"/>
      <c r="U454" s="25"/>
      <c r="V454" s="25"/>
      <c r="W454" s="33" t="s">
        <v>967</v>
      </c>
      <c r="X454" s="33"/>
      <c r="Y454" s="22"/>
      <c r="Z454" s="22"/>
      <c r="AA454" s="22"/>
      <c r="AB454" s="33"/>
      <c r="AC454" s="22"/>
      <c r="AD454" s="22"/>
      <c r="AE454" s="22"/>
      <c r="AF454" s="22"/>
      <c r="AG454" s="25"/>
      <c r="AH454" s="25"/>
      <c r="AI454" s="25"/>
      <c r="AJ454" s="25"/>
      <c r="AK454" s="25"/>
      <c r="AL454" s="74">
        <f t="shared" si="6"/>
        <v>28000</v>
      </c>
      <c r="AM454" s="25"/>
      <c r="AN454" s="25">
        <f>28000</f>
        <v>28000</v>
      </c>
      <c r="AO454" s="77">
        <f t="shared" si="7"/>
        <v>28000</v>
      </c>
      <c r="AP454" s="22"/>
      <c r="AQ454" s="22"/>
      <c r="AR454" s="22"/>
      <c r="AS454" s="22"/>
      <c r="AT454" s="22"/>
      <c r="AU454" s="26"/>
      <c r="AV454" s="26"/>
      <c r="AW454" s="26"/>
      <c r="AX454" s="26"/>
      <c r="AY454" s="26"/>
      <c r="AZ454" s="26"/>
      <c r="BA454" s="26"/>
      <c r="BB454" s="26"/>
      <c r="BC454" s="60"/>
      <c r="BD454" s="26"/>
      <c r="BE454" s="26"/>
      <c r="BF454" s="26"/>
      <c r="BG454" s="26"/>
      <c r="BH454" s="26"/>
      <c r="BI454" s="26"/>
      <c r="BJ454" s="26"/>
      <c r="BK454" s="26"/>
      <c r="BL454" s="26"/>
      <c r="BM454" s="26"/>
    </row>
    <row r="455" spans="1:65" ht="60" x14ac:dyDescent="0.25">
      <c r="A455" s="163">
        <v>213</v>
      </c>
      <c r="B455" s="155" t="s">
        <v>978</v>
      </c>
      <c r="C455" s="22" t="s">
        <v>699</v>
      </c>
      <c r="D455" s="81" t="s">
        <v>128</v>
      </c>
      <c r="E455" s="22" t="s">
        <v>124</v>
      </c>
      <c r="F455" s="33" t="s">
        <v>979</v>
      </c>
      <c r="G455" s="33" t="s">
        <v>973</v>
      </c>
      <c r="H455" s="23" t="s">
        <v>692</v>
      </c>
      <c r="I455" s="35">
        <v>42852</v>
      </c>
      <c r="J455" s="35">
        <v>43217</v>
      </c>
      <c r="K455" s="24" t="s">
        <v>1488</v>
      </c>
      <c r="L455" s="140" t="s">
        <v>980</v>
      </c>
      <c r="M455" s="43" t="s">
        <v>650</v>
      </c>
      <c r="N455" s="61">
        <v>43213</v>
      </c>
      <c r="O455" s="77">
        <v>310835</v>
      </c>
      <c r="P455" s="76">
        <v>12293</v>
      </c>
      <c r="Q455" s="61">
        <v>43213</v>
      </c>
      <c r="R455" s="61">
        <v>43465</v>
      </c>
      <c r="S455" s="43" t="s">
        <v>1193</v>
      </c>
      <c r="T455" s="22"/>
      <c r="U455" s="25"/>
      <c r="V455" s="25"/>
      <c r="W455" s="33" t="s">
        <v>184</v>
      </c>
      <c r="X455" s="33"/>
      <c r="Y455" s="22"/>
      <c r="Z455" s="22"/>
      <c r="AA455" s="22"/>
      <c r="AB455" s="33"/>
      <c r="AC455" s="22"/>
      <c r="AD455" s="22"/>
      <c r="AE455" s="22"/>
      <c r="AF455" s="22"/>
      <c r="AG455" s="25"/>
      <c r="AH455" s="25"/>
      <c r="AI455" s="25"/>
      <c r="AJ455" s="25"/>
      <c r="AK455" s="25"/>
      <c r="AL455" s="74">
        <f t="shared" si="6"/>
        <v>310835</v>
      </c>
      <c r="AM455" s="25"/>
      <c r="AN455" s="25">
        <f>0</f>
        <v>0</v>
      </c>
      <c r="AO455" s="77">
        <f t="shared" si="7"/>
        <v>0</v>
      </c>
      <c r="AP455" s="22"/>
      <c r="AQ455" s="22"/>
      <c r="AR455" s="22"/>
      <c r="AS455" s="22"/>
      <c r="AT455" s="22"/>
      <c r="AU455" s="26"/>
      <c r="AV455" s="26"/>
      <c r="AW455" s="26"/>
      <c r="AX455" s="26"/>
      <c r="AY455" s="26"/>
      <c r="AZ455" s="26"/>
      <c r="BA455" s="26"/>
      <c r="BB455" s="26"/>
      <c r="BC455" s="60"/>
      <c r="BD455" s="26"/>
      <c r="BE455" s="26"/>
      <c r="BF455" s="26"/>
      <c r="BG455" s="26"/>
      <c r="BH455" s="26"/>
      <c r="BI455" s="26"/>
      <c r="BJ455" s="26"/>
      <c r="BK455" s="26"/>
      <c r="BL455" s="26"/>
      <c r="BM455" s="26"/>
    </row>
    <row r="456" spans="1:65" ht="45" x14ac:dyDescent="0.25">
      <c r="A456" s="163">
        <v>214</v>
      </c>
      <c r="B456" s="155" t="s">
        <v>1490</v>
      </c>
      <c r="C456" s="22" t="s">
        <v>1245</v>
      </c>
      <c r="D456" s="81" t="s">
        <v>128</v>
      </c>
      <c r="E456" s="22" t="s">
        <v>124</v>
      </c>
      <c r="F456" s="33" t="s">
        <v>1493</v>
      </c>
      <c r="G456" s="33" t="s">
        <v>1495</v>
      </c>
      <c r="H456" s="23" t="s">
        <v>1197</v>
      </c>
      <c r="I456" s="35">
        <v>43213</v>
      </c>
      <c r="J456" s="35">
        <v>43578</v>
      </c>
      <c r="K456" s="24" t="s">
        <v>1489</v>
      </c>
      <c r="L456" s="140" t="s">
        <v>1491</v>
      </c>
      <c r="M456" s="43" t="s">
        <v>1492</v>
      </c>
      <c r="N456" s="61">
        <v>43222</v>
      </c>
      <c r="O456" s="77">
        <v>13500</v>
      </c>
      <c r="P456" s="76">
        <v>12296</v>
      </c>
      <c r="Q456" s="61">
        <v>43222</v>
      </c>
      <c r="R456" s="61">
        <v>43465</v>
      </c>
      <c r="S456" s="43" t="s">
        <v>1499</v>
      </c>
      <c r="T456" s="22"/>
      <c r="U456" s="25"/>
      <c r="V456" s="25"/>
      <c r="W456" s="33" t="s">
        <v>214</v>
      </c>
      <c r="X456" s="33"/>
      <c r="Y456" s="22"/>
      <c r="Z456" s="22"/>
      <c r="AA456" s="22"/>
      <c r="AB456" s="33"/>
      <c r="AC456" s="22"/>
      <c r="AD456" s="22"/>
      <c r="AE456" s="22"/>
      <c r="AF456" s="22"/>
      <c r="AG456" s="25"/>
      <c r="AH456" s="25"/>
      <c r="AI456" s="25"/>
      <c r="AJ456" s="25"/>
      <c r="AK456" s="25"/>
      <c r="AL456" s="74">
        <f t="shared" si="6"/>
        <v>13500</v>
      </c>
      <c r="AM456" s="25"/>
      <c r="AN456" s="25">
        <f>13500</f>
        <v>13500</v>
      </c>
      <c r="AO456" s="77">
        <f t="shared" si="7"/>
        <v>13500</v>
      </c>
      <c r="AP456" s="22"/>
      <c r="AQ456" s="22"/>
      <c r="AR456" s="22"/>
      <c r="AS456" s="22"/>
      <c r="AT456" s="22"/>
      <c r="AU456" s="26"/>
      <c r="AV456" s="26"/>
      <c r="AW456" s="26"/>
      <c r="AX456" s="26"/>
      <c r="AY456" s="26"/>
      <c r="AZ456" s="26"/>
      <c r="BA456" s="26"/>
      <c r="BB456" s="26"/>
      <c r="BC456" s="60"/>
      <c r="BD456" s="26"/>
      <c r="BE456" s="26"/>
      <c r="BF456" s="26"/>
      <c r="BG456" s="26"/>
      <c r="BH456" s="26"/>
      <c r="BI456" s="26"/>
      <c r="BJ456" s="26"/>
      <c r="BK456" s="26"/>
      <c r="BL456" s="26"/>
      <c r="BM456" s="26"/>
    </row>
    <row r="457" spans="1:65" ht="60" x14ac:dyDescent="0.25">
      <c r="A457" s="163">
        <v>215</v>
      </c>
      <c r="B457" s="155" t="s">
        <v>1073</v>
      </c>
      <c r="C457" s="22" t="s">
        <v>772</v>
      </c>
      <c r="D457" s="81" t="s">
        <v>128</v>
      </c>
      <c r="E457" s="22" t="s">
        <v>124</v>
      </c>
      <c r="F457" s="33" t="s">
        <v>221</v>
      </c>
      <c r="G457" s="33" t="s">
        <v>1093</v>
      </c>
      <c r="H457" s="23" t="s">
        <v>772</v>
      </c>
      <c r="I457" s="35">
        <v>43027</v>
      </c>
      <c r="J457" s="35">
        <v>43392</v>
      </c>
      <c r="K457" s="24" t="s">
        <v>1500</v>
      </c>
      <c r="L457" s="140" t="s">
        <v>1098</v>
      </c>
      <c r="M457" s="43" t="s">
        <v>1099</v>
      </c>
      <c r="N457" s="61">
        <v>43223</v>
      </c>
      <c r="O457" s="77">
        <v>71956</v>
      </c>
      <c r="P457" s="76">
        <v>12312</v>
      </c>
      <c r="Q457" s="61">
        <v>43223</v>
      </c>
      <c r="R457" s="61">
        <v>43465</v>
      </c>
      <c r="S457" s="43" t="s">
        <v>1501</v>
      </c>
      <c r="T457" s="22"/>
      <c r="U457" s="25"/>
      <c r="V457" s="25"/>
      <c r="W457" s="33" t="s">
        <v>292</v>
      </c>
      <c r="X457" s="33"/>
      <c r="Y457" s="22"/>
      <c r="Z457" s="22"/>
      <c r="AA457" s="22"/>
      <c r="AB457" s="33"/>
      <c r="AC457" s="22"/>
      <c r="AD457" s="22"/>
      <c r="AE457" s="22"/>
      <c r="AF457" s="22"/>
      <c r="AG457" s="25"/>
      <c r="AH457" s="25"/>
      <c r="AI457" s="25"/>
      <c r="AJ457" s="25"/>
      <c r="AK457" s="25"/>
      <c r="AL457" s="74">
        <f t="shared" si="6"/>
        <v>71956</v>
      </c>
      <c r="AM457" s="25"/>
      <c r="AN457" s="25">
        <f>1936+61600</f>
        <v>63536</v>
      </c>
      <c r="AO457" s="77">
        <f t="shared" si="7"/>
        <v>63536</v>
      </c>
      <c r="AP457" s="37"/>
      <c r="AQ457" s="22"/>
      <c r="AR457" s="22"/>
      <c r="AS457" s="22"/>
      <c r="AT457" s="22"/>
      <c r="AU457" s="26"/>
      <c r="AV457" s="26"/>
      <c r="AW457" s="26"/>
      <c r="AX457" s="26"/>
      <c r="AY457" s="26"/>
      <c r="AZ457" s="26"/>
      <c r="BA457" s="26"/>
      <c r="BB457" s="26"/>
      <c r="BC457" s="60"/>
      <c r="BD457" s="26"/>
      <c r="BE457" s="26"/>
      <c r="BF457" s="26"/>
      <c r="BG457" s="26"/>
      <c r="BH457" s="26"/>
      <c r="BI457" s="26"/>
      <c r="BJ457" s="26"/>
      <c r="BK457" s="26"/>
      <c r="BL457" s="26"/>
      <c r="BM457" s="26"/>
    </row>
    <row r="458" spans="1:65" ht="45" x14ac:dyDescent="0.25">
      <c r="A458" s="163">
        <v>216</v>
      </c>
      <c r="B458" s="155" t="s">
        <v>1236</v>
      </c>
      <c r="C458" s="22" t="s">
        <v>794</v>
      </c>
      <c r="D458" s="81" t="s">
        <v>128</v>
      </c>
      <c r="E458" s="22" t="s">
        <v>124</v>
      </c>
      <c r="F458" s="33" t="s">
        <v>1238</v>
      </c>
      <c r="G458" s="33" t="s">
        <v>1242</v>
      </c>
      <c r="H458" s="23" t="s">
        <v>785</v>
      </c>
      <c r="I458" s="35">
        <v>43077</v>
      </c>
      <c r="J458" s="35">
        <v>43442</v>
      </c>
      <c r="K458" s="24" t="s">
        <v>1502</v>
      </c>
      <c r="L458" s="140" t="s">
        <v>970</v>
      </c>
      <c r="M458" s="43" t="s">
        <v>971</v>
      </c>
      <c r="N458" s="61">
        <v>43223</v>
      </c>
      <c r="O458" s="77">
        <v>32430</v>
      </c>
      <c r="P458" s="76">
        <v>12303</v>
      </c>
      <c r="Q458" s="61">
        <v>43223</v>
      </c>
      <c r="R458" s="61">
        <v>43465</v>
      </c>
      <c r="S458" s="43" t="s">
        <v>1383</v>
      </c>
      <c r="T458" s="22"/>
      <c r="U458" s="25"/>
      <c r="V458" s="25"/>
      <c r="W458" s="33" t="s">
        <v>1503</v>
      </c>
      <c r="X458" s="33"/>
      <c r="Y458" s="22"/>
      <c r="Z458" s="22"/>
      <c r="AA458" s="22"/>
      <c r="AB458" s="33"/>
      <c r="AC458" s="22"/>
      <c r="AD458" s="22"/>
      <c r="AE458" s="22"/>
      <c r="AF458" s="22"/>
      <c r="AG458" s="25"/>
      <c r="AH458" s="25"/>
      <c r="AI458" s="25"/>
      <c r="AJ458" s="25"/>
      <c r="AK458" s="25"/>
      <c r="AL458" s="74">
        <f t="shared" si="6"/>
        <v>32430</v>
      </c>
      <c r="AM458" s="25"/>
      <c r="AN458" s="25">
        <f>32430</f>
        <v>32430</v>
      </c>
      <c r="AO458" s="77">
        <f t="shared" si="7"/>
        <v>32430</v>
      </c>
      <c r="AP458" s="22"/>
      <c r="AQ458" s="22"/>
      <c r="AR458" s="22"/>
      <c r="AS458" s="22"/>
      <c r="AT458" s="22"/>
      <c r="AU458" s="26"/>
      <c r="AV458" s="26"/>
      <c r="AW458" s="26"/>
      <c r="AX458" s="26"/>
      <c r="AY458" s="26"/>
      <c r="AZ458" s="26"/>
      <c r="BA458" s="26"/>
      <c r="BB458" s="26"/>
      <c r="BC458" s="60"/>
      <c r="BD458" s="26"/>
      <c r="BE458" s="26"/>
      <c r="BF458" s="26"/>
      <c r="BG458" s="26"/>
      <c r="BH458" s="26"/>
      <c r="BI458" s="26"/>
      <c r="BJ458" s="26"/>
      <c r="BK458" s="26"/>
      <c r="BL458" s="26"/>
      <c r="BM458" s="26"/>
    </row>
    <row r="459" spans="1:65" ht="45" x14ac:dyDescent="0.25">
      <c r="A459" s="163">
        <v>217</v>
      </c>
      <c r="B459" s="155" t="s">
        <v>1236</v>
      </c>
      <c r="C459" s="22" t="s">
        <v>794</v>
      </c>
      <c r="D459" s="81" t="s">
        <v>128</v>
      </c>
      <c r="E459" s="22" t="s">
        <v>124</v>
      </c>
      <c r="F459" s="33" t="s">
        <v>1238</v>
      </c>
      <c r="G459" s="33" t="s">
        <v>1242</v>
      </c>
      <c r="H459" s="23" t="s">
        <v>785</v>
      </c>
      <c r="I459" s="35">
        <v>43077</v>
      </c>
      <c r="J459" s="35">
        <v>43442</v>
      </c>
      <c r="K459" s="24" t="s">
        <v>1504</v>
      </c>
      <c r="L459" s="140" t="s">
        <v>1240</v>
      </c>
      <c r="M459" s="43" t="s">
        <v>1241</v>
      </c>
      <c r="N459" s="61">
        <v>43223</v>
      </c>
      <c r="O459" s="77">
        <v>55225</v>
      </c>
      <c r="P459" s="76">
        <v>12306</v>
      </c>
      <c r="Q459" s="61">
        <v>43223</v>
      </c>
      <c r="R459" s="61">
        <v>43465</v>
      </c>
      <c r="S459" s="43" t="s">
        <v>1383</v>
      </c>
      <c r="T459" s="22"/>
      <c r="U459" s="25"/>
      <c r="V459" s="25"/>
      <c r="W459" s="33" t="s">
        <v>1503</v>
      </c>
      <c r="X459" s="33"/>
      <c r="Y459" s="22"/>
      <c r="Z459" s="22"/>
      <c r="AA459" s="22"/>
      <c r="AB459" s="33"/>
      <c r="AC459" s="22"/>
      <c r="AD459" s="22"/>
      <c r="AE459" s="22"/>
      <c r="AF459" s="22"/>
      <c r="AG459" s="25"/>
      <c r="AH459" s="25"/>
      <c r="AI459" s="25"/>
      <c r="AJ459" s="25"/>
      <c r="AK459" s="25"/>
      <c r="AL459" s="74">
        <f t="shared" ref="AL459:AL524" si="8">O459-AH459+AG459</f>
        <v>55225</v>
      </c>
      <c r="AM459" s="25"/>
      <c r="AN459" s="25">
        <f>41540</f>
        <v>41540</v>
      </c>
      <c r="AO459" s="77">
        <f t="shared" si="7"/>
        <v>41540</v>
      </c>
      <c r="AP459" s="37"/>
      <c r="AQ459" s="22"/>
      <c r="AR459" s="22"/>
      <c r="AS459" s="22"/>
      <c r="AT459" s="22"/>
      <c r="AU459" s="26"/>
      <c r="AV459" s="26"/>
      <c r="AW459" s="26"/>
      <c r="AX459" s="26"/>
      <c r="AY459" s="26"/>
      <c r="AZ459" s="26"/>
      <c r="BA459" s="26"/>
      <c r="BB459" s="26"/>
      <c r="BC459" s="60"/>
      <c r="BD459" s="26"/>
      <c r="BE459" s="26"/>
      <c r="BF459" s="26"/>
      <c r="BG459" s="26"/>
      <c r="BH459" s="26"/>
      <c r="BI459" s="26"/>
      <c r="BJ459" s="26"/>
      <c r="BK459" s="26"/>
      <c r="BL459" s="26"/>
      <c r="BM459" s="26"/>
    </row>
    <row r="460" spans="1:65" ht="30" x14ac:dyDescent="0.25">
      <c r="A460" s="163">
        <v>218</v>
      </c>
      <c r="B460" s="155" t="s">
        <v>1506</v>
      </c>
      <c r="C460" s="22" t="s">
        <v>1179</v>
      </c>
      <c r="D460" s="81" t="s">
        <v>128</v>
      </c>
      <c r="E460" s="22" t="s">
        <v>124</v>
      </c>
      <c r="F460" s="33" t="s">
        <v>1507</v>
      </c>
      <c r="G460" s="33" t="s">
        <v>1513</v>
      </c>
      <c r="H460" s="26" t="s">
        <v>1187</v>
      </c>
      <c r="I460" s="35">
        <v>43213</v>
      </c>
      <c r="J460" s="35">
        <v>43578</v>
      </c>
      <c r="K460" s="24" t="s">
        <v>1505</v>
      </c>
      <c r="L460" s="140" t="s">
        <v>1491</v>
      </c>
      <c r="M460" s="43" t="s">
        <v>1492</v>
      </c>
      <c r="N460" s="61">
        <v>43223</v>
      </c>
      <c r="O460" s="77">
        <v>83880</v>
      </c>
      <c r="P460" s="76">
        <v>12303</v>
      </c>
      <c r="Q460" s="61">
        <v>43223</v>
      </c>
      <c r="R460" s="61">
        <v>43465</v>
      </c>
      <c r="S460" s="43" t="s">
        <v>1383</v>
      </c>
      <c r="T460" s="22"/>
      <c r="U460" s="25"/>
      <c r="V460" s="25"/>
      <c r="W460" s="33" t="s">
        <v>214</v>
      </c>
      <c r="X460" s="33"/>
      <c r="Y460" s="22"/>
      <c r="Z460" s="22"/>
      <c r="AA460" s="22"/>
      <c r="AB460" s="33"/>
      <c r="AC460" s="22"/>
      <c r="AD460" s="22"/>
      <c r="AE460" s="22"/>
      <c r="AF460" s="22"/>
      <c r="AG460" s="25"/>
      <c r="AH460" s="25"/>
      <c r="AI460" s="25"/>
      <c r="AJ460" s="25"/>
      <c r="AK460" s="25"/>
      <c r="AL460" s="74">
        <f t="shared" si="8"/>
        <v>83880</v>
      </c>
      <c r="AM460" s="25"/>
      <c r="AN460" s="25">
        <v>83880</v>
      </c>
      <c r="AO460" s="77">
        <f t="shared" si="7"/>
        <v>83880</v>
      </c>
      <c r="AP460" s="22"/>
      <c r="AQ460" s="22"/>
      <c r="AR460" s="22"/>
      <c r="AS460" s="22"/>
      <c r="AT460" s="22"/>
      <c r="AU460" s="26"/>
      <c r="AV460" s="26"/>
      <c r="AW460" s="26"/>
      <c r="AX460" s="26"/>
      <c r="AY460" s="26"/>
      <c r="AZ460" s="26"/>
      <c r="BA460" s="26"/>
      <c r="BB460" s="26"/>
      <c r="BC460" s="60"/>
      <c r="BD460" s="26"/>
      <c r="BE460" s="26"/>
      <c r="BF460" s="26"/>
      <c r="BG460" s="26"/>
      <c r="BH460" s="26"/>
      <c r="BI460" s="26"/>
      <c r="BJ460" s="26"/>
      <c r="BK460" s="26"/>
      <c r="BL460" s="26"/>
      <c r="BM460" s="26"/>
    </row>
    <row r="461" spans="1:65" ht="30" x14ac:dyDescent="0.25">
      <c r="A461" s="163">
        <v>219</v>
      </c>
      <c r="B461" s="155" t="s">
        <v>1506</v>
      </c>
      <c r="C461" s="22" t="s">
        <v>1179</v>
      </c>
      <c r="D461" s="81" t="s">
        <v>128</v>
      </c>
      <c r="E461" s="22" t="s">
        <v>124</v>
      </c>
      <c r="F461" s="33" t="s">
        <v>1507</v>
      </c>
      <c r="G461" s="33" t="s">
        <v>1513</v>
      </c>
      <c r="H461" s="26" t="s">
        <v>1187</v>
      </c>
      <c r="I461" s="35">
        <v>43213</v>
      </c>
      <c r="J461" s="35">
        <v>43578</v>
      </c>
      <c r="K461" s="24" t="s">
        <v>1508</v>
      </c>
      <c r="L461" s="140" t="s">
        <v>1509</v>
      </c>
      <c r="M461" s="43" t="s">
        <v>1510</v>
      </c>
      <c r="N461" s="61">
        <v>43223</v>
      </c>
      <c r="O461" s="77">
        <v>19016</v>
      </c>
      <c r="P461" s="76">
        <v>12303</v>
      </c>
      <c r="Q461" s="61">
        <v>43223</v>
      </c>
      <c r="R461" s="61">
        <v>43465</v>
      </c>
      <c r="S461" s="43" t="s">
        <v>1383</v>
      </c>
      <c r="T461" s="22"/>
      <c r="U461" s="25"/>
      <c r="V461" s="25"/>
      <c r="W461" s="33" t="s">
        <v>214</v>
      </c>
      <c r="X461" s="33"/>
      <c r="Y461" s="22"/>
      <c r="Z461" s="22"/>
      <c r="AA461" s="22"/>
      <c r="AB461" s="33"/>
      <c r="AC461" s="22"/>
      <c r="AD461" s="22"/>
      <c r="AE461" s="22"/>
      <c r="AF461" s="22"/>
      <c r="AG461" s="25"/>
      <c r="AH461" s="25"/>
      <c r="AI461" s="25"/>
      <c r="AJ461" s="25"/>
      <c r="AK461" s="25"/>
      <c r="AL461" s="74">
        <f t="shared" si="8"/>
        <v>19016</v>
      </c>
      <c r="AM461" s="25"/>
      <c r="AN461" s="25">
        <f>11216</f>
        <v>11216</v>
      </c>
      <c r="AO461" s="77">
        <f t="shared" si="7"/>
        <v>11216</v>
      </c>
      <c r="AP461" s="37"/>
      <c r="AQ461" s="22"/>
      <c r="AR461" s="22"/>
      <c r="AS461" s="22"/>
      <c r="AT461" s="22"/>
      <c r="AU461" s="26"/>
      <c r="AV461" s="26"/>
      <c r="AW461" s="26"/>
      <c r="AX461" s="26"/>
      <c r="AY461" s="26"/>
      <c r="AZ461" s="26"/>
      <c r="BA461" s="26"/>
      <c r="BB461" s="26"/>
      <c r="BC461" s="60"/>
      <c r="BD461" s="26"/>
      <c r="BE461" s="26"/>
      <c r="BF461" s="26"/>
      <c r="BG461" s="26"/>
      <c r="BH461" s="26"/>
      <c r="BI461" s="26"/>
      <c r="BJ461" s="26"/>
      <c r="BK461" s="26"/>
      <c r="BL461" s="26"/>
      <c r="BM461" s="26"/>
    </row>
    <row r="462" spans="1:65" ht="30" x14ac:dyDescent="0.25">
      <c r="A462" s="163">
        <v>220</v>
      </c>
      <c r="B462" s="155" t="s">
        <v>1506</v>
      </c>
      <c r="C462" s="22" t="s">
        <v>1179</v>
      </c>
      <c r="D462" s="81" t="s">
        <v>128</v>
      </c>
      <c r="E462" s="22" t="s">
        <v>124</v>
      </c>
      <c r="F462" s="33" t="s">
        <v>1507</v>
      </c>
      <c r="G462" s="33" t="s">
        <v>1513</v>
      </c>
      <c r="H462" s="26" t="s">
        <v>1187</v>
      </c>
      <c r="I462" s="35">
        <v>43213</v>
      </c>
      <c r="J462" s="35">
        <v>43578</v>
      </c>
      <c r="K462" s="24" t="s">
        <v>1511</v>
      </c>
      <c r="L462" s="140" t="s">
        <v>246</v>
      </c>
      <c r="M462" s="43" t="s">
        <v>920</v>
      </c>
      <c r="N462" s="61">
        <v>43223</v>
      </c>
      <c r="O462" s="77">
        <v>22340</v>
      </c>
      <c r="P462" s="76">
        <v>12303</v>
      </c>
      <c r="Q462" s="61">
        <v>43223</v>
      </c>
      <c r="R462" s="61">
        <v>43465</v>
      </c>
      <c r="S462" s="43" t="s">
        <v>1383</v>
      </c>
      <c r="T462" s="22"/>
      <c r="U462" s="25"/>
      <c r="V462" s="25"/>
      <c r="W462" s="33" t="s">
        <v>214</v>
      </c>
      <c r="X462" s="33"/>
      <c r="Y462" s="22"/>
      <c r="Z462" s="22"/>
      <c r="AA462" s="22"/>
      <c r="AB462" s="33"/>
      <c r="AC462" s="22"/>
      <c r="AD462" s="22"/>
      <c r="AE462" s="22"/>
      <c r="AF462" s="22"/>
      <c r="AG462" s="25"/>
      <c r="AH462" s="25"/>
      <c r="AI462" s="25"/>
      <c r="AJ462" s="25"/>
      <c r="AK462" s="25"/>
      <c r="AL462" s="74">
        <f t="shared" si="8"/>
        <v>22340</v>
      </c>
      <c r="AM462" s="25"/>
      <c r="AN462" s="25">
        <f>20740</f>
        <v>20740</v>
      </c>
      <c r="AO462" s="77">
        <f t="shared" si="7"/>
        <v>20740</v>
      </c>
      <c r="AP462" s="37"/>
      <c r="AQ462" s="22"/>
      <c r="AR462" s="22"/>
      <c r="AS462" s="22"/>
      <c r="AT462" s="22"/>
      <c r="AU462" s="26"/>
      <c r="AV462" s="26"/>
      <c r="AW462" s="26"/>
      <c r="AX462" s="26"/>
      <c r="AY462" s="26"/>
      <c r="AZ462" s="26"/>
      <c r="BA462" s="26"/>
      <c r="BB462" s="26"/>
      <c r="BC462" s="60"/>
      <c r="BD462" s="26"/>
      <c r="BE462" s="26"/>
      <c r="BF462" s="26"/>
      <c r="BG462" s="26"/>
      <c r="BH462" s="26"/>
      <c r="BI462" s="26"/>
      <c r="BJ462" s="26"/>
      <c r="BK462" s="26"/>
      <c r="BL462" s="26"/>
      <c r="BM462" s="26"/>
    </row>
    <row r="463" spans="1:65" ht="30" x14ac:dyDescent="0.25">
      <c r="A463" s="163">
        <v>221</v>
      </c>
      <c r="B463" s="155" t="s">
        <v>1506</v>
      </c>
      <c r="C463" s="22" t="s">
        <v>1179</v>
      </c>
      <c r="D463" s="81" t="s">
        <v>128</v>
      </c>
      <c r="E463" s="22" t="s">
        <v>124</v>
      </c>
      <c r="F463" s="33" t="s">
        <v>1507</v>
      </c>
      <c r="G463" s="33" t="s">
        <v>1513</v>
      </c>
      <c r="H463" s="26" t="s">
        <v>1187</v>
      </c>
      <c r="I463" s="35">
        <v>43213</v>
      </c>
      <c r="J463" s="35">
        <v>43578</v>
      </c>
      <c r="K463" s="24" t="s">
        <v>1514</v>
      </c>
      <c r="L463" s="140" t="s">
        <v>1491</v>
      </c>
      <c r="M463" s="43" t="s">
        <v>1492</v>
      </c>
      <c r="N463" s="61">
        <v>43231</v>
      </c>
      <c r="O463" s="77">
        <v>26280</v>
      </c>
      <c r="P463" s="76">
        <v>12306</v>
      </c>
      <c r="Q463" s="61">
        <v>43231</v>
      </c>
      <c r="R463" s="61">
        <v>43465</v>
      </c>
      <c r="S463" s="43" t="s">
        <v>1383</v>
      </c>
      <c r="T463" s="22"/>
      <c r="U463" s="25"/>
      <c r="V463" s="25"/>
      <c r="W463" s="33" t="s">
        <v>214</v>
      </c>
      <c r="X463" s="33"/>
      <c r="Y463" s="22"/>
      <c r="Z463" s="22"/>
      <c r="AA463" s="22"/>
      <c r="AB463" s="33"/>
      <c r="AC463" s="22"/>
      <c r="AD463" s="22"/>
      <c r="AE463" s="22"/>
      <c r="AF463" s="22"/>
      <c r="AG463" s="25"/>
      <c r="AH463" s="25"/>
      <c r="AI463" s="25"/>
      <c r="AJ463" s="25"/>
      <c r="AK463" s="25"/>
      <c r="AL463" s="74">
        <f t="shared" si="8"/>
        <v>26280</v>
      </c>
      <c r="AM463" s="25"/>
      <c r="AN463" s="25">
        <v>26280</v>
      </c>
      <c r="AO463" s="77">
        <f t="shared" si="7"/>
        <v>26280</v>
      </c>
      <c r="AP463" s="22"/>
      <c r="AQ463" s="22"/>
      <c r="AR463" s="22"/>
      <c r="AS463" s="22"/>
      <c r="AT463" s="22"/>
      <c r="AU463" s="26"/>
      <c r="AV463" s="26"/>
      <c r="AW463" s="26"/>
      <c r="AX463" s="26"/>
      <c r="AY463" s="26"/>
      <c r="AZ463" s="26"/>
      <c r="BA463" s="26"/>
      <c r="BB463" s="26"/>
      <c r="BC463" s="60"/>
      <c r="BD463" s="26"/>
      <c r="BE463" s="26"/>
      <c r="BF463" s="26"/>
      <c r="BG463" s="26"/>
      <c r="BH463" s="26"/>
      <c r="BI463" s="26"/>
      <c r="BJ463" s="26"/>
      <c r="BK463" s="26"/>
      <c r="BL463" s="26"/>
      <c r="BM463" s="26"/>
    </row>
    <row r="464" spans="1:65" ht="30" x14ac:dyDescent="0.25">
      <c r="A464" s="163">
        <v>222</v>
      </c>
      <c r="B464" s="155" t="s">
        <v>1506</v>
      </c>
      <c r="C464" s="22" t="s">
        <v>1179</v>
      </c>
      <c r="D464" s="81" t="s">
        <v>128</v>
      </c>
      <c r="E464" s="22" t="s">
        <v>124</v>
      </c>
      <c r="F464" s="33" t="s">
        <v>1507</v>
      </c>
      <c r="G464" s="33" t="s">
        <v>1513</v>
      </c>
      <c r="H464" s="26" t="s">
        <v>1187</v>
      </c>
      <c r="I464" s="35">
        <v>43213</v>
      </c>
      <c r="J464" s="35">
        <v>43578</v>
      </c>
      <c r="K464" s="24" t="s">
        <v>1515</v>
      </c>
      <c r="L464" s="140" t="s">
        <v>1509</v>
      </c>
      <c r="M464" s="43" t="s">
        <v>1510</v>
      </c>
      <c r="N464" s="61">
        <v>43231</v>
      </c>
      <c r="O464" s="77">
        <v>10155</v>
      </c>
      <c r="P464" s="76">
        <v>12306</v>
      </c>
      <c r="Q464" s="61">
        <v>43231</v>
      </c>
      <c r="R464" s="61">
        <v>43465</v>
      </c>
      <c r="S464" s="43" t="s">
        <v>1383</v>
      </c>
      <c r="T464" s="22"/>
      <c r="U464" s="25"/>
      <c r="V464" s="25"/>
      <c r="W464" s="33" t="s">
        <v>214</v>
      </c>
      <c r="X464" s="33"/>
      <c r="Y464" s="22"/>
      <c r="Z464" s="22"/>
      <c r="AA464" s="22"/>
      <c r="AB464" s="33"/>
      <c r="AC464" s="22"/>
      <c r="AD464" s="22"/>
      <c r="AE464" s="22"/>
      <c r="AF464" s="22"/>
      <c r="AG464" s="25"/>
      <c r="AH464" s="25"/>
      <c r="AI464" s="25"/>
      <c r="AJ464" s="25"/>
      <c r="AK464" s="25"/>
      <c r="AL464" s="74">
        <f t="shared" si="8"/>
        <v>10155</v>
      </c>
      <c r="AM464" s="25"/>
      <c r="AN464" s="25">
        <f>5725+1230</f>
        <v>6955</v>
      </c>
      <c r="AO464" s="77">
        <f t="shared" si="7"/>
        <v>6955</v>
      </c>
      <c r="AP464" s="37"/>
      <c r="AQ464" s="22"/>
      <c r="AR464" s="22"/>
      <c r="AS464" s="22"/>
      <c r="AT464" s="22"/>
      <c r="AU464" s="26"/>
      <c r="AV464" s="26"/>
      <c r="AW464" s="26"/>
      <c r="AX464" s="26"/>
      <c r="AY464" s="26"/>
      <c r="AZ464" s="26"/>
      <c r="BA464" s="26"/>
      <c r="BB464" s="26"/>
      <c r="BC464" s="60"/>
      <c r="BD464" s="26"/>
      <c r="BE464" s="26"/>
      <c r="BF464" s="26"/>
      <c r="BG464" s="26"/>
      <c r="BH464" s="26"/>
      <c r="BI464" s="26"/>
      <c r="BJ464" s="26"/>
      <c r="BK464" s="26"/>
      <c r="BL464" s="26"/>
      <c r="BM464" s="26"/>
    </row>
    <row r="465" spans="1:65" ht="30" x14ac:dyDescent="0.25">
      <c r="A465" s="163">
        <v>223</v>
      </c>
      <c r="B465" s="155" t="s">
        <v>1506</v>
      </c>
      <c r="C465" s="22" t="s">
        <v>1179</v>
      </c>
      <c r="D465" s="81" t="s">
        <v>128</v>
      </c>
      <c r="E465" s="22" t="s">
        <v>124</v>
      </c>
      <c r="F465" s="33" t="s">
        <v>1507</v>
      </c>
      <c r="G465" s="33" t="s">
        <v>1513</v>
      </c>
      <c r="H465" s="26" t="s">
        <v>1187</v>
      </c>
      <c r="I465" s="35">
        <v>43213</v>
      </c>
      <c r="J465" s="35">
        <v>43578</v>
      </c>
      <c r="K465" s="22" t="s">
        <v>1516</v>
      </c>
      <c r="L465" s="140" t="s">
        <v>246</v>
      </c>
      <c r="M465" s="43" t="s">
        <v>920</v>
      </c>
      <c r="N465" s="61">
        <v>43231</v>
      </c>
      <c r="O465" s="77">
        <v>18880</v>
      </c>
      <c r="P465" s="76">
        <v>12306</v>
      </c>
      <c r="Q465" s="61">
        <v>43231</v>
      </c>
      <c r="R465" s="61">
        <v>43465</v>
      </c>
      <c r="S465" s="43" t="s">
        <v>1383</v>
      </c>
      <c r="T465" s="22"/>
      <c r="U465" s="25"/>
      <c r="V465" s="25"/>
      <c r="W465" s="33" t="s">
        <v>214</v>
      </c>
      <c r="X465" s="33"/>
      <c r="Y465" s="22"/>
      <c r="Z465" s="22"/>
      <c r="AA465" s="22"/>
      <c r="AB465" s="33"/>
      <c r="AC465" s="22"/>
      <c r="AD465" s="22"/>
      <c r="AE465" s="22"/>
      <c r="AF465" s="22"/>
      <c r="AG465" s="25"/>
      <c r="AH465" s="25"/>
      <c r="AI465" s="25"/>
      <c r="AJ465" s="25"/>
      <c r="AK465" s="25"/>
      <c r="AL465" s="74">
        <f t="shared" si="8"/>
        <v>18880</v>
      </c>
      <c r="AM465" s="25"/>
      <c r="AN465" s="25">
        <f>18880</f>
        <v>18880</v>
      </c>
      <c r="AO465" s="77">
        <f t="shared" si="7"/>
        <v>18880</v>
      </c>
      <c r="AP465" s="22"/>
      <c r="AQ465" s="22"/>
      <c r="AR465" s="22"/>
      <c r="AS465" s="22"/>
      <c r="AT465" s="22"/>
      <c r="AU465" s="26"/>
      <c r="AV465" s="26"/>
      <c r="AW465" s="26"/>
      <c r="AX465" s="26"/>
      <c r="AY465" s="26"/>
      <c r="AZ465" s="26"/>
      <c r="BA465" s="26"/>
      <c r="BB465" s="26"/>
      <c r="BC465" s="60"/>
      <c r="BD465" s="26"/>
      <c r="BE465" s="26"/>
      <c r="BF465" s="26"/>
      <c r="BG465" s="26"/>
      <c r="BH465" s="26"/>
      <c r="BI465" s="26"/>
      <c r="BJ465" s="26"/>
      <c r="BK465" s="26"/>
      <c r="BL465" s="26"/>
      <c r="BM465" s="26"/>
    </row>
    <row r="466" spans="1:65" ht="30" x14ac:dyDescent="0.25">
      <c r="A466" s="163">
        <v>224</v>
      </c>
      <c r="B466" s="155" t="s">
        <v>1506</v>
      </c>
      <c r="C466" s="22" t="s">
        <v>1179</v>
      </c>
      <c r="D466" s="81" t="s">
        <v>128</v>
      </c>
      <c r="E466" s="22" t="s">
        <v>124</v>
      </c>
      <c r="F466" s="33" t="s">
        <v>1507</v>
      </c>
      <c r="G466" s="33" t="s">
        <v>1513</v>
      </c>
      <c r="H466" s="26" t="s">
        <v>1187</v>
      </c>
      <c r="I466" s="35">
        <v>43213</v>
      </c>
      <c r="J466" s="35">
        <v>43578</v>
      </c>
      <c r="K466" s="24" t="s">
        <v>1517</v>
      </c>
      <c r="L466" s="140" t="s">
        <v>1518</v>
      </c>
      <c r="M466" s="43" t="s">
        <v>1519</v>
      </c>
      <c r="N466" s="61">
        <v>43231</v>
      </c>
      <c r="O466" s="77">
        <v>4450</v>
      </c>
      <c r="P466" s="76">
        <v>12306</v>
      </c>
      <c r="Q466" s="61">
        <v>43231</v>
      </c>
      <c r="R466" s="61">
        <v>43465</v>
      </c>
      <c r="S466" s="43" t="s">
        <v>1383</v>
      </c>
      <c r="T466" s="22"/>
      <c r="U466" s="25"/>
      <c r="V466" s="25"/>
      <c r="W466" s="33" t="s">
        <v>214</v>
      </c>
      <c r="X466" s="33"/>
      <c r="Y466" s="22"/>
      <c r="Z466" s="22"/>
      <c r="AA466" s="22"/>
      <c r="AB466" s="33"/>
      <c r="AC466" s="22"/>
      <c r="AD466" s="22"/>
      <c r="AE466" s="22"/>
      <c r="AF466" s="22"/>
      <c r="AG466" s="25"/>
      <c r="AH466" s="25"/>
      <c r="AI466" s="25"/>
      <c r="AJ466" s="25"/>
      <c r="AK466" s="25"/>
      <c r="AL466" s="74">
        <f t="shared" si="8"/>
        <v>4450</v>
      </c>
      <c r="AM466" s="25"/>
      <c r="AN466" s="25">
        <f>0</f>
        <v>0</v>
      </c>
      <c r="AO466" s="77">
        <f t="shared" si="7"/>
        <v>0</v>
      </c>
      <c r="AP466" s="22"/>
      <c r="AQ466" s="22"/>
      <c r="AR466" s="22"/>
      <c r="AS466" s="22"/>
      <c r="AT466" s="22"/>
      <c r="AU466" s="26"/>
      <c r="AV466" s="26"/>
      <c r="AW466" s="26"/>
      <c r="AX466" s="26"/>
      <c r="AY466" s="26"/>
      <c r="AZ466" s="26"/>
      <c r="BA466" s="26"/>
      <c r="BB466" s="26"/>
      <c r="BC466" s="60"/>
      <c r="BD466" s="26"/>
      <c r="BE466" s="26"/>
      <c r="BF466" s="26"/>
      <c r="BG466" s="26"/>
      <c r="BH466" s="26"/>
      <c r="BI466" s="26"/>
      <c r="BJ466" s="26"/>
      <c r="BK466" s="26"/>
      <c r="BL466" s="26"/>
      <c r="BM466" s="26"/>
    </row>
    <row r="467" spans="1:65" ht="45" x14ac:dyDescent="0.25">
      <c r="A467" s="163">
        <v>225</v>
      </c>
      <c r="B467" s="155" t="s">
        <v>1236</v>
      </c>
      <c r="C467" s="22" t="s">
        <v>794</v>
      </c>
      <c r="D467" s="81" t="s">
        <v>128</v>
      </c>
      <c r="E467" s="22" t="s">
        <v>124</v>
      </c>
      <c r="F467" s="33" t="s">
        <v>1238</v>
      </c>
      <c r="G467" s="33" t="s">
        <v>1242</v>
      </c>
      <c r="H467" s="23" t="s">
        <v>785</v>
      </c>
      <c r="I467" s="35">
        <v>43077</v>
      </c>
      <c r="J467" s="35">
        <v>43442</v>
      </c>
      <c r="K467" s="24" t="s">
        <v>1520</v>
      </c>
      <c r="L467" s="140" t="s">
        <v>1240</v>
      </c>
      <c r="M467" s="43" t="s">
        <v>1241</v>
      </c>
      <c r="N467" s="61">
        <v>43235</v>
      </c>
      <c r="O467" s="77">
        <v>4612.5</v>
      </c>
      <c r="P467" s="76">
        <v>12311</v>
      </c>
      <c r="Q467" s="61">
        <v>43235</v>
      </c>
      <c r="R467" s="61">
        <v>43465</v>
      </c>
      <c r="S467" s="43" t="s">
        <v>1383</v>
      </c>
      <c r="T467" s="22"/>
      <c r="U467" s="25"/>
      <c r="V467" s="25"/>
      <c r="W467" s="33" t="s">
        <v>787</v>
      </c>
      <c r="X467" s="33"/>
      <c r="Y467" s="22"/>
      <c r="Z467" s="22"/>
      <c r="AA467" s="22"/>
      <c r="AB467" s="33"/>
      <c r="AC467" s="22"/>
      <c r="AD467" s="22"/>
      <c r="AE467" s="22"/>
      <c r="AF467" s="22"/>
      <c r="AG467" s="25"/>
      <c r="AH467" s="25"/>
      <c r="AI467" s="25"/>
      <c r="AJ467" s="25"/>
      <c r="AK467" s="25"/>
      <c r="AL467" s="74">
        <f t="shared" si="8"/>
        <v>4612.5</v>
      </c>
      <c r="AM467" s="25"/>
      <c r="AN467" s="25">
        <f>4612.5</f>
        <v>4612.5</v>
      </c>
      <c r="AO467" s="77">
        <f t="shared" si="7"/>
        <v>4612.5</v>
      </c>
      <c r="AP467" s="22"/>
      <c r="AQ467" s="22"/>
      <c r="AR467" s="22"/>
      <c r="AS467" s="22"/>
      <c r="AT467" s="22"/>
      <c r="AU467" s="26"/>
      <c r="AV467" s="26"/>
      <c r="AW467" s="26"/>
      <c r="AX467" s="26"/>
      <c r="AY467" s="26"/>
      <c r="AZ467" s="26"/>
      <c r="BA467" s="26"/>
      <c r="BB467" s="26"/>
      <c r="BC467" s="60"/>
      <c r="BD467" s="26"/>
      <c r="BE467" s="26"/>
      <c r="BF467" s="26"/>
      <c r="BG467" s="26"/>
      <c r="BH467" s="26"/>
      <c r="BI467" s="26"/>
      <c r="BJ467" s="26"/>
      <c r="BK467" s="26"/>
      <c r="BL467" s="26"/>
      <c r="BM467" s="26"/>
    </row>
    <row r="468" spans="1:65" ht="75" x14ac:dyDescent="0.25">
      <c r="A468" s="163">
        <v>226</v>
      </c>
      <c r="B468" s="155" t="s">
        <v>1073</v>
      </c>
      <c r="C468" s="22" t="s">
        <v>772</v>
      </c>
      <c r="D468" s="81" t="s">
        <v>128</v>
      </c>
      <c r="E468" s="22" t="s">
        <v>124</v>
      </c>
      <c r="F468" s="33" t="s">
        <v>221</v>
      </c>
      <c r="G468" s="33" t="s">
        <v>1093</v>
      </c>
      <c r="H468" s="23" t="s">
        <v>765</v>
      </c>
      <c r="I468" s="35">
        <v>43014</v>
      </c>
      <c r="J468" s="35">
        <v>43379</v>
      </c>
      <c r="K468" s="24" t="s">
        <v>1521</v>
      </c>
      <c r="L468" s="140" t="s">
        <v>375</v>
      </c>
      <c r="M468" s="43" t="s">
        <v>299</v>
      </c>
      <c r="N468" s="61">
        <v>43235</v>
      </c>
      <c r="O468" s="77">
        <v>240420</v>
      </c>
      <c r="P468" s="76">
        <v>12311</v>
      </c>
      <c r="Q468" s="61">
        <v>43235</v>
      </c>
      <c r="R468" s="61">
        <v>43465</v>
      </c>
      <c r="S468" s="43" t="s">
        <v>1501</v>
      </c>
      <c r="T468" s="22"/>
      <c r="U468" s="25"/>
      <c r="V468" s="25"/>
      <c r="W468" s="33" t="s">
        <v>292</v>
      </c>
      <c r="X468" s="33" t="s">
        <v>365</v>
      </c>
      <c r="Y468" s="22" t="s">
        <v>136</v>
      </c>
      <c r="Z468" s="35">
        <v>43305</v>
      </c>
      <c r="AA468" s="34">
        <v>12362</v>
      </c>
      <c r="AB468" s="33" t="s">
        <v>1736</v>
      </c>
      <c r="AC468" s="22"/>
      <c r="AD468" s="22"/>
      <c r="AE468" s="22"/>
      <c r="AF468" s="22"/>
      <c r="AG468" s="25">
        <v>27900</v>
      </c>
      <c r="AH468" s="25"/>
      <c r="AI468" s="25"/>
      <c r="AJ468" s="25"/>
      <c r="AK468" s="25"/>
      <c r="AL468" s="74">
        <f t="shared" si="8"/>
        <v>268320</v>
      </c>
      <c r="AM468" s="25"/>
      <c r="AN468" s="25">
        <f>214252.77+21221.36+29420</f>
        <v>264894.13</v>
      </c>
      <c r="AO468" s="77">
        <f t="shared" si="7"/>
        <v>264894.13</v>
      </c>
      <c r="AP468" s="37"/>
      <c r="AQ468" s="22"/>
      <c r="AR468" s="22"/>
      <c r="AS468" s="22"/>
      <c r="AT468" s="22"/>
      <c r="AU468" s="26"/>
      <c r="AV468" s="26"/>
      <c r="AW468" s="26"/>
      <c r="AX468" s="26"/>
      <c r="AY468" s="26"/>
      <c r="AZ468" s="26"/>
      <c r="BA468" s="26"/>
      <c r="BB468" s="26"/>
      <c r="BC468" s="60"/>
      <c r="BD468" s="26"/>
      <c r="BE468" s="26"/>
      <c r="BF468" s="26"/>
      <c r="BG468" s="26"/>
      <c r="BH468" s="26"/>
      <c r="BI468" s="26"/>
      <c r="BJ468" s="26"/>
      <c r="BK468" s="26"/>
      <c r="BL468" s="26"/>
      <c r="BM468" s="26"/>
    </row>
    <row r="469" spans="1:65" ht="60" x14ac:dyDescent="0.25">
      <c r="A469" s="163">
        <v>227</v>
      </c>
      <c r="B469" s="155" t="s">
        <v>1073</v>
      </c>
      <c r="C469" s="22" t="s">
        <v>772</v>
      </c>
      <c r="D469" s="81" t="s">
        <v>128</v>
      </c>
      <c r="E469" s="22" t="s">
        <v>124</v>
      </c>
      <c r="F469" s="33" t="s">
        <v>221</v>
      </c>
      <c r="G469" s="33" t="s">
        <v>1093</v>
      </c>
      <c r="H469" s="23" t="s">
        <v>765</v>
      </c>
      <c r="I469" s="35">
        <v>43014</v>
      </c>
      <c r="J469" s="35">
        <v>43379</v>
      </c>
      <c r="K469" s="24" t="s">
        <v>1522</v>
      </c>
      <c r="L469" s="140" t="s">
        <v>1082</v>
      </c>
      <c r="M469" s="43" t="s">
        <v>1083</v>
      </c>
      <c r="N469" s="61">
        <v>43235</v>
      </c>
      <c r="O469" s="77">
        <v>64500</v>
      </c>
      <c r="P469" s="76">
        <v>12311</v>
      </c>
      <c r="Q469" s="61">
        <v>43235</v>
      </c>
      <c r="R469" s="61">
        <v>43465</v>
      </c>
      <c r="S469" s="43" t="s">
        <v>1501</v>
      </c>
      <c r="T469" s="22"/>
      <c r="U469" s="25"/>
      <c r="V469" s="25"/>
      <c r="W469" s="33" t="s">
        <v>292</v>
      </c>
      <c r="X469" s="33"/>
      <c r="Y469" s="22"/>
      <c r="Z469" s="22"/>
      <c r="AA469" s="22"/>
      <c r="AB469" s="33"/>
      <c r="AC469" s="22"/>
      <c r="AD469" s="22"/>
      <c r="AE469" s="22"/>
      <c r="AF469" s="22"/>
      <c r="AG469" s="25"/>
      <c r="AH469" s="25"/>
      <c r="AI469" s="25"/>
      <c r="AJ469" s="25"/>
      <c r="AK469" s="25"/>
      <c r="AL469" s="74">
        <f t="shared" si="8"/>
        <v>64500</v>
      </c>
      <c r="AM469" s="25"/>
      <c r="AN469" s="25">
        <f>1720+62780</f>
        <v>64500</v>
      </c>
      <c r="AO469" s="77">
        <f t="shared" si="7"/>
        <v>64500</v>
      </c>
      <c r="AP469" s="37"/>
      <c r="AQ469" s="22"/>
      <c r="AR469" s="22"/>
      <c r="AS469" s="22"/>
      <c r="AT469" s="22"/>
      <c r="AU469" s="26"/>
      <c r="AV469" s="26"/>
      <c r="AW469" s="26"/>
      <c r="AX469" s="26"/>
      <c r="AY469" s="26"/>
      <c r="AZ469" s="26"/>
      <c r="BA469" s="26"/>
      <c r="BB469" s="26"/>
      <c r="BC469" s="60"/>
      <c r="BD469" s="26"/>
      <c r="BE469" s="26"/>
      <c r="BF469" s="26"/>
      <c r="BG469" s="26"/>
      <c r="BH469" s="26"/>
      <c r="BI469" s="26"/>
      <c r="BJ469" s="26"/>
      <c r="BK469" s="26"/>
      <c r="BL469" s="26"/>
      <c r="BM469" s="26"/>
    </row>
    <row r="470" spans="1:65" ht="60" x14ac:dyDescent="0.25">
      <c r="A470" s="163">
        <v>228</v>
      </c>
      <c r="B470" s="155" t="s">
        <v>1073</v>
      </c>
      <c r="C470" s="22" t="s">
        <v>772</v>
      </c>
      <c r="D470" s="81" t="s">
        <v>128</v>
      </c>
      <c r="E470" s="22" t="s">
        <v>124</v>
      </c>
      <c r="F470" s="33" t="s">
        <v>221</v>
      </c>
      <c r="G470" s="33" t="s">
        <v>1093</v>
      </c>
      <c r="H470" s="23" t="s">
        <v>765</v>
      </c>
      <c r="I470" s="35">
        <v>43014</v>
      </c>
      <c r="J470" s="35">
        <v>43379</v>
      </c>
      <c r="K470" s="24" t="s">
        <v>1523</v>
      </c>
      <c r="L470" s="140" t="s">
        <v>380</v>
      </c>
      <c r="M470" s="43" t="s">
        <v>381</v>
      </c>
      <c r="N470" s="61">
        <v>43235</v>
      </c>
      <c r="O470" s="77">
        <v>66750</v>
      </c>
      <c r="P470" s="76">
        <v>12311</v>
      </c>
      <c r="Q470" s="61">
        <v>43235</v>
      </c>
      <c r="R470" s="61">
        <v>43465</v>
      </c>
      <c r="S470" s="43" t="s">
        <v>1501</v>
      </c>
      <c r="T470" s="22"/>
      <c r="U470" s="25"/>
      <c r="V470" s="25"/>
      <c r="W470" s="33" t="s">
        <v>292</v>
      </c>
      <c r="X470" s="33"/>
      <c r="Y470" s="22"/>
      <c r="Z470" s="22"/>
      <c r="AA470" s="22"/>
      <c r="AB470" s="33"/>
      <c r="AC470" s="22"/>
      <c r="AD470" s="22"/>
      <c r="AE470" s="22"/>
      <c r="AF470" s="22"/>
      <c r="AG470" s="25"/>
      <c r="AH470" s="25"/>
      <c r="AI470" s="25"/>
      <c r="AJ470" s="25"/>
      <c r="AK470" s="25"/>
      <c r="AL470" s="74">
        <f t="shared" si="8"/>
        <v>66750</v>
      </c>
      <c r="AM470" s="25"/>
      <c r="AN470" s="25">
        <f>13350+53400</f>
        <v>66750</v>
      </c>
      <c r="AO470" s="77">
        <f t="shared" si="7"/>
        <v>66750</v>
      </c>
      <c r="AP470" s="22"/>
      <c r="AQ470" s="22"/>
      <c r="AR470" s="22"/>
      <c r="AS470" s="22"/>
      <c r="AT470" s="22"/>
      <c r="AU470" s="26"/>
      <c r="AV470" s="26"/>
      <c r="AW470" s="26"/>
      <c r="AX470" s="26"/>
      <c r="AY470" s="26"/>
      <c r="AZ470" s="26"/>
      <c r="BA470" s="26"/>
      <c r="BB470" s="26"/>
      <c r="BC470" s="60"/>
      <c r="BD470" s="26"/>
      <c r="BE470" s="26"/>
      <c r="BF470" s="26"/>
      <c r="BG470" s="26"/>
      <c r="BH470" s="26"/>
      <c r="BI470" s="26"/>
      <c r="BJ470" s="26"/>
      <c r="BK470" s="26"/>
      <c r="BL470" s="26"/>
      <c r="BM470" s="26"/>
    </row>
    <row r="471" spans="1:65" ht="60" x14ac:dyDescent="0.25">
      <c r="A471" s="163">
        <v>229</v>
      </c>
      <c r="B471" s="155" t="s">
        <v>1073</v>
      </c>
      <c r="C471" s="22" t="s">
        <v>772</v>
      </c>
      <c r="D471" s="81" t="s">
        <v>128</v>
      </c>
      <c r="E471" s="22" t="s">
        <v>124</v>
      </c>
      <c r="F471" s="33" t="s">
        <v>221</v>
      </c>
      <c r="G471" s="33" t="s">
        <v>1093</v>
      </c>
      <c r="H471" s="23" t="s">
        <v>765</v>
      </c>
      <c r="I471" s="35">
        <v>43014</v>
      </c>
      <c r="J471" s="35">
        <v>43379</v>
      </c>
      <c r="K471" s="24" t="s">
        <v>1524</v>
      </c>
      <c r="L471" s="140" t="s">
        <v>377</v>
      </c>
      <c r="M471" s="43" t="s">
        <v>378</v>
      </c>
      <c r="N471" s="61">
        <v>43235</v>
      </c>
      <c r="O471" s="77">
        <v>30500</v>
      </c>
      <c r="P471" s="76">
        <v>12311</v>
      </c>
      <c r="Q471" s="61">
        <v>43235</v>
      </c>
      <c r="R471" s="61">
        <v>43465</v>
      </c>
      <c r="S471" s="43" t="s">
        <v>1501</v>
      </c>
      <c r="T471" s="22"/>
      <c r="U471" s="25"/>
      <c r="V471" s="25"/>
      <c r="W471" s="33" t="s">
        <v>292</v>
      </c>
      <c r="X471" s="33"/>
      <c r="Y471" s="22"/>
      <c r="Z471" s="22"/>
      <c r="AA471" s="22"/>
      <c r="AB471" s="33"/>
      <c r="AC471" s="22"/>
      <c r="AD471" s="22"/>
      <c r="AE471" s="22"/>
      <c r="AF471" s="22"/>
      <c r="AG471" s="25"/>
      <c r="AH471" s="25"/>
      <c r="AI471" s="25"/>
      <c r="AJ471" s="25"/>
      <c r="AK471" s="25"/>
      <c r="AL471" s="74">
        <f t="shared" si="8"/>
        <v>30500</v>
      </c>
      <c r="AM471" s="25"/>
      <c r="AN471" s="25">
        <f>19400+11100</f>
        <v>30500</v>
      </c>
      <c r="AO471" s="77">
        <f t="shared" si="7"/>
        <v>30500</v>
      </c>
      <c r="AP471" s="22"/>
      <c r="AQ471" s="22"/>
      <c r="AR471" s="22"/>
      <c r="AS471" s="22"/>
      <c r="AT471" s="22"/>
      <c r="AU471" s="26"/>
      <c r="AV471" s="26"/>
      <c r="AW471" s="26"/>
      <c r="AX471" s="26"/>
      <c r="AY471" s="26"/>
      <c r="AZ471" s="26"/>
      <c r="BA471" s="26"/>
      <c r="BB471" s="26"/>
      <c r="BC471" s="60"/>
      <c r="BD471" s="26"/>
      <c r="BE471" s="26"/>
      <c r="BF471" s="26"/>
      <c r="BG471" s="26"/>
      <c r="BH471" s="26"/>
      <c r="BI471" s="26"/>
      <c r="BJ471" s="26"/>
      <c r="BK471" s="26"/>
      <c r="BL471" s="26"/>
      <c r="BM471" s="26"/>
    </row>
    <row r="472" spans="1:65" ht="75" x14ac:dyDescent="0.25">
      <c r="A472" s="163">
        <v>230</v>
      </c>
      <c r="B472" s="155" t="s">
        <v>1073</v>
      </c>
      <c r="C472" s="22" t="s">
        <v>772</v>
      </c>
      <c r="D472" s="81" t="s">
        <v>128</v>
      </c>
      <c r="E472" s="22" t="s">
        <v>124</v>
      </c>
      <c r="F472" s="33" t="s">
        <v>221</v>
      </c>
      <c r="G472" s="33" t="s">
        <v>1093</v>
      </c>
      <c r="H472" s="23" t="s">
        <v>765</v>
      </c>
      <c r="I472" s="35">
        <v>43014</v>
      </c>
      <c r="J472" s="35">
        <v>43379</v>
      </c>
      <c r="K472" s="24" t="s">
        <v>1525</v>
      </c>
      <c r="L472" s="140" t="s">
        <v>379</v>
      </c>
      <c r="M472" s="43" t="s">
        <v>222</v>
      </c>
      <c r="N472" s="61">
        <v>43235</v>
      </c>
      <c r="O472" s="77">
        <v>128600</v>
      </c>
      <c r="P472" s="76">
        <v>12311</v>
      </c>
      <c r="Q472" s="61">
        <v>43235</v>
      </c>
      <c r="R472" s="61">
        <v>43465</v>
      </c>
      <c r="S472" s="43" t="s">
        <v>1501</v>
      </c>
      <c r="T472" s="22"/>
      <c r="U472" s="25"/>
      <c r="V472" s="25"/>
      <c r="W472" s="33" t="s">
        <v>292</v>
      </c>
      <c r="X472" s="33" t="s">
        <v>365</v>
      </c>
      <c r="Y472" s="35" t="s">
        <v>136</v>
      </c>
      <c r="Z472" s="35">
        <v>43305</v>
      </c>
      <c r="AA472" s="34">
        <v>12363</v>
      </c>
      <c r="AB472" s="33" t="s">
        <v>1716</v>
      </c>
      <c r="AC472" s="22"/>
      <c r="AD472" s="22"/>
      <c r="AE472" s="22"/>
      <c r="AF472" s="22"/>
      <c r="AG472" s="25">
        <v>7400</v>
      </c>
      <c r="AH472" s="25"/>
      <c r="AI472" s="25"/>
      <c r="AJ472" s="25"/>
      <c r="AK472" s="25"/>
      <c r="AL472" s="74">
        <f t="shared" si="8"/>
        <v>136000</v>
      </c>
      <c r="AM472" s="25"/>
      <c r="AN472" s="25">
        <f>128243+7400</f>
        <v>135643</v>
      </c>
      <c r="AO472" s="77">
        <f t="shared" si="7"/>
        <v>135643</v>
      </c>
      <c r="AP472" s="37"/>
      <c r="AQ472" s="22"/>
      <c r="AR472" s="22"/>
      <c r="AS472" s="22"/>
      <c r="AT472" s="22"/>
      <c r="AU472" s="26"/>
      <c r="AV472" s="26"/>
      <c r="AW472" s="26"/>
      <c r="AX472" s="26"/>
      <c r="AY472" s="26"/>
      <c r="AZ472" s="26"/>
      <c r="BA472" s="26"/>
      <c r="BB472" s="26"/>
      <c r="BC472" s="60"/>
      <c r="BD472" s="26"/>
      <c r="BE472" s="26"/>
      <c r="BF472" s="26"/>
      <c r="BG472" s="26"/>
      <c r="BH472" s="26"/>
      <c r="BI472" s="26"/>
      <c r="BJ472" s="26"/>
      <c r="BK472" s="26"/>
      <c r="BL472" s="26"/>
      <c r="BM472" s="26"/>
    </row>
    <row r="473" spans="1:65" ht="75" x14ac:dyDescent="0.25">
      <c r="A473" s="163">
        <v>231</v>
      </c>
      <c r="B473" s="155" t="s">
        <v>1073</v>
      </c>
      <c r="C473" s="22" t="s">
        <v>772</v>
      </c>
      <c r="D473" s="81" t="s">
        <v>128</v>
      </c>
      <c r="E473" s="22" t="s">
        <v>124</v>
      </c>
      <c r="F473" s="33" t="s">
        <v>221</v>
      </c>
      <c r="G473" s="33" t="s">
        <v>1093</v>
      </c>
      <c r="H473" s="23" t="s">
        <v>765</v>
      </c>
      <c r="I473" s="35">
        <v>43014</v>
      </c>
      <c r="J473" s="35">
        <v>43379</v>
      </c>
      <c r="K473" s="24" t="s">
        <v>1526</v>
      </c>
      <c r="L473" s="140" t="s">
        <v>656</v>
      </c>
      <c r="M473" s="43" t="s">
        <v>601</v>
      </c>
      <c r="N473" s="61">
        <v>43235</v>
      </c>
      <c r="O473" s="77">
        <v>149896</v>
      </c>
      <c r="P473" s="76">
        <v>12311</v>
      </c>
      <c r="Q473" s="61">
        <v>43235</v>
      </c>
      <c r="R473" s="61">
        <v>43465</v>
      </c>
      <c r="S473" s="43" t="s">
        <v>1501</v>
      </c>
      <c r="T473" s="22"/>
      <c r="U473" s="25"/>
      <c r="V473" s="25"/>
      <c r="W473" s="33" t="s">
        <v>292</v>
      </c>
      <c r="X473" s="33" t="s">
        <v>365</v>
      </c>
      <c r="Y473" s="22" t="s">
        <v>136</v>
      </c>
      <c r="Z473" s="35">
        <v>43305</v>
      </c>
      <c r="AA473" s="34">
        <v>12362</v>
      </c>
      <c r="AB473" s="33" t="s">
        <v>1737</v>
      </c>
      <c r="AC473" s="22"/>
      <c r="AD473" s="22"/>
      <c r="AE473" s="22"/>
      <c r="AF473" s="22"/>
      <c r="AG473" s="25">
        <v>27225</v>
      </c>
      <c r="AH473" s="25"/>
      <c r="AI473" s="25"/>
      <c r="AJ473" s="25"/>
      <c r="AK473" s="25"/>
      <c r="AL473" s="74">
        <f t="shared" si="8"/>
        <v>177121</v>
      </c>
      <c r="AM473" s="25"/>
      <c r="AN473" s="25">
        <f>139960.65+2065.64+3650+12618</f>
        <v>158294.29</v>
      </c>
      <c r="AO473" s="77">
        <f t="shared" si="7"/>
        <v>158294.29</v>
      </c>
      <c r="AP473" s="37"/>
      <c r="AQ473" s="22"/>
      <c r="AR473" s="22"/>
      <c r="AS473" s="22"/>
      <c r="AT473" s="22"/>
      <c r="AU473" s="26"/>
      <c r="AV473" s="26"/>
      <c r="AW473" s="26"/>
      <c r="AX473" s="26"/>
      <c r="AY473" s="26"/>
      <c r="AZ473" s="26"/>
      <c r="BA473" s="26"/>
      <c r="BB473" s="26"/>
      <c r="BC473" s="60"/>
      <c r="BD473" s="26"/>
      <c r="BE473" s="26"/>
      <c r="BF473" s="26"/>
      <c r="BG473" s="26"/>
      <c r="BH473" s="26"/>
      <c r="BI473" s="26"/>
      <c r="BJ473" s="26"/>
      <c r="BK473" s="26"/>
      <c r="BL473" s="26"/>
      <c r="BM473" s="26"/>
    </row>
    <row r="474" spans="1:65" ht="60" x14ac:dyDescent="0.25">
      <c r="A474" s="163">
        <v>232</v>
      </c>
      <c r="B474" s="155" t="s">
        <v>1073</v>
      </c>
      <c r="C474" s="22" t="s">
        <v>772</v>
      </c>
      <c r="D474" s="81" t="s">
        <v>128</v>
      </c>
      <c r="E474" s="22" t="s">
        <v>124</v>
      </c>
      <c r="F474" s="33" t="s">
        <v>221</v>
      </c>
      <c r="G474" s="33" t="s">
        <v>1093</v>
      </c>
      <c r="H474" s="23" t="s">
        <v>765</v>
      </c>
      <c r="I474" s="35">
        <v>43014</v>
      </c>
      <c r="J474" s="35">
        <v>43379</v>
      </c>
      <c r="K474" s="24" t="s">
        <v>1527</v>
      </c>
      <c r="L474" s="140" t="s">
        <v>1080</v>
      </c>
      <c r="M474" s="43" t="s">
        <v>1081</v>
      </c>
      <c r="N474" s="61">
        <v>43235</v>
      </c>
      <c r="O474" s="77">
        <v>105000</v>
      </c>
      <c r="P474" s="76">
        <v>12314</v>
      </c>
      <c r="Q474" s="61">
        <v>43235</v>
      </c>
      <c r="R474" s="61">
        <v>43465</v>
      </c>
      <c r="S474" s="43" t="s">
        <v>1501</v>
      </c>
      <c r="T474" s="22"/>
      <c r="U474" s="25"/>
      <c r="V474" s="25"/>
      <c r="W474" s="33" t="s">
        <v>292</v>
      </c>
      <c r="X474" s="33"/>
      <c r="Y474" s="22"/>
      <c r="Z474" s="22"/>
      <c r="AA474" s="22"/>
      <c r="AB474" s="33"/>
      <c r="AC474" s="22"/>
      <c r="AD474" s="22"/>
      <c r="AE474" s="22"/>
      <c r="AF474" s="22"/>
      <c r="AG474" s="25"/>
      <c r="AH474" s="25"/>
      <c r="AI474" s="25"/>
      <c r="AJ474" s="25"/>
      <c r="AK474" s="25"/>
      <c r="AL474" s="74">
        <f t="shared" si="8"/>
        <v>105000</v>
      </c>
      <c r="AM474" s="25"/>
      <c r="AN474" s="25">
        <f>11995.2+16660</f>
        <v>28655.200000000001</v>
      </c>
      <c r="AO474" s="77">
        <f t="shared" si="7"/>
        <v>28655.200000000001</v>
      </c>
      <c r="AP474" s="37"/>
      <c r="AQ474" s="22"/>
      <c r="AR474" s="22"/>
      <c r="AS474" s="22"/>
      <c r="AT474" s="22"/>
      <c r="AU474" s="26"/>
      <c r="AV474" s="26"/>
      <c r="AW474" s="26"/>
      <c r="AX474" s="26"/>
      <c r="AY474" s="26"/>
      <c r="AZ474" s="26"/>
      <c r="BA474" s="26"/>
      <c r="BB474" s="26"/>
      <c r="BC474" s="60"/>
      <c r="BD474" s="26"/>
      <c r="BE474" s="26"/>
      <c r="BF474" s="26"/>
      <c r="BG474" s="26"/>
      <c r="BH474" s="26"/>
      <c r="BI474" s="26"/>
      <c r="BJ474" s="26"/>
      <c r="BK474" s="26"/>
      <c r="BL474" s="26"/>
      <c r="BM474" s="26"/>
    </row>
    <row r="475" spans="1:65" ht="60" x14ac:dyDescent="0.25">
      <c r="A475" s="163">
        <v>233</v>
      </c>
      <c r="B475" s="155" t="s">
        <v>1073</v>
      </c>
      <c r="C475" s="22" t="s">
        <v>772</v>
      </c>
      <c r="D475" s="81" t="s">
        <v>128</v>
      </c>
      <c r="E475" s="22" t="s">
        <v>124</v>
      </c>
      <c r="F475" s="33" t="s">
        <v>221</v>
      </c>
      <c r="G475" s="33" t="s">
        <v>1093</v>
      </c>
      <c r="H475" s="23" t="s">
        <v>1399</v>
      </c>
      <c r="I475" s="35" t="s">
        <v>1878</v>
      </c>
      <c r="J475" s="35" t="s">
        <v>1877</v>
      </c>
      <c r="K475" s="24" t="s">
        <v>1528</v>
      </c>
      <c r="L475" s="140" t="s">
        <v>1078</v>
      </c>
      <c r="M475" s="43" t="s">
        <v>1079</v>
      </c>
      <c r="N475" s="61">
        <v>43235</v>
      </c>
      <c r="O475" s="77">
        <v>53810</v>
      </c>
      <c r="P475" s="76">
        <v>12311</v>
      </c>
      <c r="Q475" s="61">
        <v>43235</v>
      </c>
      <c r="R475" s="61">
        <v>43465</v>
      </c>
      <c r="S475" s="43" t="s">
        <v>1501</v>
      </c>
      <c r="T475" s="22"/>
      <c r="U475" s="25"/>
      <c r="V475" s="25"/>
      <c r="W475" s="33" t="s">
        <v>292</v>
      </c>
      <c r="X475" s="33"/>
      <c r="Y475" s="22"/>
      <c r="Z475" s="22"/>
      <c r="AA475" s="22"/>
      <c r="AB475" s="33"/>
      <c r="AC475" s="22"/>
      <c r="AD475" s="22"/>
      <c r="AE475" s="22"/>
      <c r="AF475" s="22"/>
      <c r="AG475" s="25"/>
      <c r="AH475" s="25"/>
      <c r="AI475" s="25"/>
      <c r="AJ475" s="25"/>
      <c r="AK475" s="25"/>
      <c r="AL475" s="74">
        <f t="shared" si="8"/>
        <v>53810</v>
      </c>
      <c r="AM475" s="25"/>
      <c r="AN475" s="25">
        <f>53810</f>
        <v>53810</v>
      </c>
      <c r="AO475" s="77">
        <f t="shared" si="7"/>
        <v>53810</v>
      </c>
      <c r="AP475" s="22"/>
      <c r="AQ475" s="22"/>
      <c r="AR475" s="22"/>
      <c r="AS475" s="22"/>
      <c r="AT475" s="22"/>
      <c r="AU475" s="26"/>
      <c r="AV475" s="26"/>
      <c r="AW475" s="26"/>
      <c r="AX475" s="26"/>
      <c r="AY475" s="26"/>
      <c r="AZ475" s="26"/>
      <c r="BA475" s="26"/>
      <c r="BB475" s="26"/>
      <c r="BC475" s="60"/>
      <c r="BD475" s="26"/>
      <c r="BE475" s="26"/>
      <c r="BF475" s="26"/>
      <c r="BG475" s="26"/>
      <c r="BH475" s="26"/>
      <c r="BI475" s="26"/>
      <c r="BJ475" s="26"/>
      <c r="BK475" s="26"/>
      <c r="BL475" s="26"/>
      <c r="BM475" s="26"/>
    </row>
    <row r="476" spans="1:65" ht="75" x14ac:dyDescent="0.25">
      <c r="A476" s="163">
        <v>234</v>
      </c>
      <c r="B476" s="155" t="s">
        <v>1073</v>
      </c>
      <c r="C476" s="22" t="s">
        <v>772</v>
      </c>
      <c r="D476" s="81" t="s">
        <v>128</v>
      </c>
      <c r="E476" s="22" t="s">
        <v>124</v>
      </c>
      <c r="F476" s="33" t="s">
        <v>221</v>
      </c>
      <c r="G476" s="33" t="s">
        <v>1093</v>
      </c>
      <c r="H476" s="23" t="s">
        <v>767</v>
      </c>
      <c r="I476" s="35">
        <v>43027</v>
      </c>
      <c r="J476" s="35">
        <v>43392</v>
      </c>
      <c r="K476" s="24" t="s">
        <v>1529</v>
      </c>
      <c r="L476" s="140" t="s">
        <v>1096</v>
      </c>
      <c r="M476" s="43" t="s">
        <v>1097</v>
      </c>
      <c r="N476" s="61">
        <v>43235</v>
      </c>
      <c r="O476" s="77">
        <v>56904</v>
      </c>
      <c r="P476" s="76">
        <v>12311</v>
      </c>
      <c r="Q476" s="61">
        <v>43235</v>
      </c>
      <c r="R476" s="61">
        <v>43465</v>
      </c>
      <c r="S476" s="43" t="s">
        <v>1501</v>
      </c>
      <c r="T476" s="22"/>
      <c r="U476" s="25"/>
      <c r="V476" s="25"/>
      <c r="W476" s="33" t="s">
        <v>292</v>
      </c>
      <c r="X476" s="33" t="s">
        <v>365</v>
      </c>
      <c r="Y476" s="22" t="s">
        <v>136</v>
      </c>
      <c r="Z476" s="35">
        <v>43305</v>
      </c>
      <c r="AA476" s="34">
        <v>12362</v>
      </c>
      <c r="AB476" s="33" t="s">
        <v>1738</v>
      </c>
      <c r="AC476" s="22"/>
      <c r="AD476" s="22"/>
      <c r="AE476" s="22"/>
      <c r="AF476" s="22"/>
      <c r="AG476" s="25">
        <v>1453.5</v>
      </c>
      <c r="AH476" s="25"/>
      <c r="AI476" s="25"/>
      <c r="AJ476" s="25"/>
      <c r="AK476" s="25"/>
      <c r="AL476" s="74">
        <f t="shared" si="8"/>
        <v>58357.5</v>
      </c>
      <c r="AM476" s="25"/>
      <c r="AN476" s="25">
        <f>30665.7+4518.5+11230+6943.5</f>
        <v>53357.7</v>
      </c>
      <c r="AO476" s="77">
        <f t="shared" si="7"/>
        <v>53357.7</v>
      </c>
      <c r="AP476" s="37"/>
      <c r="AQ476" s="22"/>
      <c r="AR476" s="22"/>
      <c r="AS476" s="22"/>
      <c r="AT476" s="22"/>
      <c r="AU476" s="26"/>
      <c r="AV476" s="26"/>
      <c r="AW476" s="26"/>
      <c r="AX476" s="26"/>
      <c r="AY476" s="26"/>
      <c r="AZ476" s="26"/>
      <c r="BA476" s="26"/>
      <c r="BB476" s="26"/>
      <c r="BC476" s="60"/>
      <c r="BD476" s="26"/>
      <c r="BE476" s="26"/>
      <c r="BF476" s="26"/>
      <c r="BG476" s="26"/>
      <c r="BH476" s="26"/>
      <c r="BI476" s="26"/>
      <c r="BJ476" s="26"/>
      <c r="BK476" s="26"/>
      <c r="BL476" s="26"/>
      <c r="BM476" s="26"/>
    </row>
    <row r="477" spans="1:65" ht="60" x14ac:dyDescent="0.25">
      <c r="A477" s="163">
        <v>235</v>
      </c>
      <c r="B477" s="155" t="s">
        <v>1073</v>
      </c>
      <c r="C477" s="22" t="s">
        <v>772</v>
      </c>
      <c r="D477" s="81" t="s">
        <v>128</v>
      </c>
      <c r="E477" s="22" t="s">
        <v>124</v>
      </c>
      <c r="F477" s="33" t="s">
        <v>221</v>
      </c>
      <c r="G477" s="33" t="s">
        <v>1093</v>
      </c>
      <c r="H477" s="23" t="s">
        <v>772</v>
      </c>
      <c r="I477" s="35">
        <v>43027</v>
      </c>
      <c r="J477" s="35">
        <v>43392</v>
      </c>
      <c r="K477" s="24" t="s">
        <v>1530</v>
      </c>
      <c r="L477" s="140" t="s">
        <v>1098</v>
      </c>
      <c r="M477" s="43" t="s">
        <v>1099</v>
      </c>
      <c r="N477" s="61">
        <v>43235</v>
      </c>
      <c r="O477" s="77">
        <v>10164</v>
      </c>
      <c r="P477" s="76">
        <v>12312</v>
      </c>
      <c r="Q477" s="61">
        <v>43235</v>
      </c>
      <c r="R477" s="61">
        <v>43465</v>
      </c>
      <c r="S477" s="43" t="s">
        <v>1501</v>
      </c>
      <c r="T477" s="22"/>
      <c r="U477" s="25"/>
      <c r="V477" s="25"/>
      <c r="W477" s="33" t="s">
        <v>292</v>
      </c>
      <c r="X477" s="33"/>
      <c r="Y477" s="22"/>
      <c r="Z477" s="22"/>
      <c r="AA477" s="22"/>
      <c r="AB477" s="33"/>
      <c r="AC477" s="22"/>
      <c r="AD477" s="22"/>
      <c r="AE477" s="22"/>
      <c r="AF477" s="22"/>
      <c r="AG477" s="25"/>
      <c r="AH477" s="25"/>
      <c r="AI477" s="25"/>
      <c r="AJ477" s="25"/>
      <c r="AK477" s="25"/>
      <c r="AL477" s="74">
        <f t="shared" si="8"/>
        <v>10164</v>
      </c>
      <c r="AM477" s="25"/>
      <c r="AN477" s="25">
        <f>901.44+1220.1</f>
        <v>2121.54</v>
      </c>
      <c r="AO477" s="77">
        <f t="shared" si="7"/>
        <v>2121.54</v>
      </c>
      <c r="AP477" s="37"/>
      <c r="AQ477" s="22"/>
      <c r="AR477" s="22"/>
      <c r="AS477" s="22"/>
      <c r="AT477" s="22"/>
      <c r="AU477" s="26"/>
      <c r="AV477" s="26"/>
      <c r="AW477" s="26"/>
      <c r="AX477" s="26"/>
      <c r="AY477" s="26"/>
      <c r="AZ477" s="26"/>
      <c r="BA477" s="26"/>
      <c r="BB477" s="26"/>
      <c r="BC477" s="60"/>
      <c r="BD477" s="26"/>
      <c r="BE477" s="26"/>
      <c r="BF477" s="26"/>
      <c r="BG477" s="26"/>
      <c r="BH477" s="26"/>
      <c r="BI477" s="26"/>
      <c r="BJ477" s="26"/>
      <c r="BK477" s="26"/>
      <c r="BL477" s="26"/>
      <c r="BM477" s="26"/>
    </row>
    <row r="478" spans="1:65" ht="60" x14ac:dyDescent="0.25">
      <c r="A478" s="163">
        <v>236</v>
      </c>
      <c r="B478" s="155" t="s">
        <v>1089</v>
      </c>
      <c r="C478" s="22" t="s">
        <v>783</v>
      </c>
      <c r="D478" s="81" t="s">
        <v>128</v>
      </c>
      <c r="E478" s="22" t="s">
        <v>124</v>
      </c>
      <c r="F478" s="33" t="s">
        <v>1548</v>
      </c>
      <c r="G478" s="33" t="s">
        <v>1091</v>
      </c>
      <c r="H478" s="23" t="s">
        <v>761</v>
      </c>
      <c r="I478" s="35">
        <v>43005</v>
      </c>
      <c r="J478" s="35">
        <v>43370</v>
      </c>
      <c r="K478" s="24" t="s">
        <v>1549</v>
      </c>
      <c r="L478" s="140" t="s">
        <v>1100</v>
      </c>
      <c r="M478" s="43" t="s">
        <v>1101</v>
      </c>
      <c r="N478" s="61">
        <v>43242</v>
      </c>
      <c r="O478" s="77">
        <v>17900</v>
      </c>
      <c r="P478" s="76">
        <v>12319</v>
      </c>
      <c r="Q478" s="61">
        <v>43242</v>
      </c>
      <c r="R478" s="61">
        <v>43465</v>
      </c>
      <c r="S478" s="43" t="s">
        <v>1244</v>
      </c>
      <c r="T478" s="22"/>
      <c r="U478" s="25"/>
      <c r="V478" s="25"/>
      <c r="W478" s="33" t="s">
        <v>184</v>
      </c>
      <c r="X478" s="33"/>
      <c r="Y478" s="22"/>
      <c r="Z478" s="22"/>
      <c r="AA478" s="22"/>
      <c r="AB478" s="33"/>
      <c r="AC478" s="22"/>
      <c r="AD478" s="22"/>
      <c r="AE478" s="22"/>
      <c r="AF478" s="22"/>
      <c r="AG478" s="25"/>
      <c r="AH478" s="25"/>
      <c r="AI478" s="25"/>
      <c r="AJ478" s="25"/>
      <c r="AK478" s="25"/>
      <c r="AL478" s="74">
        <f t="shared" si="8"/>
        <v>17900</v>
      </c>
      <c r="AM478" s="25"/>
      <c r="AN478" s="25">
        <v>17900</v>
      </c>
      <c r="AO478" s="77">
        <f t="shared" si="7"/>
        <v>17900</v>
      </c>
      <c r="AP478" s="22"/>
      <c r="AQ478" s="22"/>
      <c r="AR478" s="22"/>
      <c r="AS478" s="22"/>
      <c r="AT478" s="22"/>
      <c r="AU478" s="26"/>
      <c r="AV478" s="26"/>
      <c r="AW478" s="26"/>
      <c r="AX478" s="26"/>
      <c r="AY478" s="26"/>
      <c r="AZ478" s="26"/>
      <c r="BA478" s="26"/>
      <c r="BB478" s="26"/>
      <c r="BC478" s="60"/>
      <c r="BD478" s="26"/>
      <c r="BE478" s="26"/>
      <c r="BF478" s="26"/>
      <c r="BG478" s="26"/>
      <c r="BH478" s="26"/>
      <c r="BI478" s="26"/>
      <c r="BJ478" s="26"/>
      <c r="BK478" s="26"/>
      <c r="BL478" s="26"/>
      <c r="BM478" s="26"/>
    </row>
    <row r="479" spans="1:65" ht="120" x14ac:dyDescent="0.25">
      <c r="A479" s="163">
        <v>237</v>
      </c>
      <c r="B479" s="155" t="s">
        <v>1551</v>
      </c>
      <c r="C479" s="22" t="s">
        <v>1171</v>
      </c>
      <c r="D479" s="81" t="s">
        <v>1552</v>
      </c>
      <c r="E479" s="22" t="s">
        <v>124</v>
      </c>
      <c r="F479" s="33" t="s">
        <v>1553</v>
      </c>
      <c r="G479" s="33"/>
      <c r="H479" s="23"/>
      <c r="I479" s="23"/>
      <c r="J479" s="23"/>
      <c r="K479" s="24" t="s">
        <v>1550</v>
      </c>
      <c r="L479" s="140" t="s">
        <v>998</v>
      </c>
      <c r="M479" s="43" t="s">
        <v>1611</v>
      </c>
      <c r="N479" s="61">
        <v>43244</v>
      </c>
      <c r="O479" s="77">
        <v>360000</v>
      </c>
      <c r="P479" s="76">
        <v>12329</v>
      </c>
      <c r="Q479" s="61">
        <v>43244</v>
      </c>
      <c r="R479" s="61">
        <v>43465</v>
      </c>
      <c r="S479" s="43" t="s">
        <v>1196</v>
      </c>
      <c r="T479" s="22"/>
      <c r="U479" s="25"/>
      <c r="V479" s="25"/>
      <c r="W479" s="33" t="s">
        <v>184</v>
      </c>
      <c r="X479" s="33"/>
      <c r="Y479" s="22"/>
      <c r="Z479" s="22"/>
      <c r="AA479" s="22"/>
      <c r="AB479" s="33"/>
      <c r="AC479" s="22"/>
      <c r="AD479" s="22"/>
      <c r="AE479" s="22"/>
      <c r="AF479" s="22"/>
      <c r="AG479" s="25"/>
      <c r="AH479" s="25"/>
      <c r="AI479" s="25"/>
      <c r="AJ479" s="25"/>
      <c r="AK479" s="25"/>
      <c r="AL479" s="74">
        <f t="shared" si="8"/>
        <v>360000</v>
      </c>
      <c r="AM479" s="25"/>
      <c r="AN479" s="25">
        <f>0</f>
        <v>0</v>
      </c>
      <c r="AO479" s="77">
        <f t="shared" si="7"/>
        <v>0</v>
      </c>
      <c r="AP479" s="22" t="s">
        <v>691</v>
      </c>
      <c r="AQ479" s="35">
        <v>42898</v>
      </c>
      <c r="AR479" s="35">
        <v>43263</v>
      </c>
      <c r="AS479" s="22" t="s">
        <v>1555</v>
      </c>
      <c r="AT479" s="22" t="s">
        <v>1554</v>
      </c>
      <c r="AU479" s="22" t="s">
        <v>1555</v>
      </c>
      <c r="AV479" s="26"/>
      <c r="AW479" s="26"/>
      <c r="AX479" s="26"/>
      <c r="AY479" s="26"/>
      <c r="AZ479" s="26"/>
      <c r="BA479" s="26"/>
      <c r="BB479" s="26"/>
      <c r="BC479" s="60"/>
      <c r="BD479" s="26"/>
      <c r="BE479" s="26"/>
      <c r="BF479" s="26"/>
      <c r="BG479" s="26"/>
      <c r="BH479" s="26"/>
      <c r="BI479" s="26"/>
      <c r="BJ479" s="26"/>
      <c r="BK479" s="26"/>
      <c r="BL479" s="26"/>
      <c r="BM479" s="26"/>
    </row>
    <row r="480" spans="1:65" ht="45" x14ac:dyDescent="0.25">
      <c r="A480" s="163">
        <v>238</v>
      </c>
      <c r="B480" s="155" t="s">
        <v>946</v>
      </c>
      <c r="C480" s="22" t="s">
        <v>702</v>
      </c>
      <c r="D480" s="81" t="s">
        <v>128</v>
      </c>
      <c r="E480" s="22" t="s">
        <v>124</v>
      </c>
      <c r="F480" s="33" t="s">
        <v>1613</v>
      </c>
      <c r="G480" s="33" t="s">
        <v>950</v>
      </c>
      <c r="H480" s="23" t="s">
        <v>696</v>
      </c>
      <c r="I480" s="35">
        <v>42885</v>
      </c>
      <c r="J480" s="35">
        <v>43250</v>
      </c>
      <c r="K480" s="24" t="s">
        <v>1557</v>
      </c>
      <c r="L480" s="140" t="s">
        <v>475</v>
      </c>
      <c r="M480" s="43" t="s">
        <v>476</v>
      </c>
      <c r="N480" s="61">
        <v>43249</v>
      </c>
      <c r="O480" s="77">
        <v>70200</v>
      </c>
      <c r="P480" s="76">
        <v>12329</v>
      </c>
      <c r="Q480" s="61">
        <v>43249</v>
      </c>
      <c r="R480" s="61">
        <v>43465</v>
      </c>
      <c r="S480" s="43" t="s">
        <v>1193</v>
      </c>
      <c r="T480" s="22"/>
      <c r="U480" s="25"/>
      <c r="V480" s="25"/>
      <c r="W480" s="33" t="s">
        <v>787</v>
      </c>
      <c r="X480" s="33"/>
      <c r="Y480" s="22"/>
      <c r="Z480" s="22"/>
      <c r="AA480" s="22"/>
      <c r="AB480" s="33"/>
      <c r="AC480" s="22"/>
      <c r="AD480" s="22"/>
      <c r="AE480" s="22"/>
      <c r="AF480" s="22"/>
      <c r="AG480" s="25"/>
      <c r="AH480" s="25"/>
      <c r="AI480" s="25"/>
      <c r="AJ480" s="25"/>
      <c r="AK480" s="25"/>
      <c r="AL480" s="74">
        <f t="shared" si="8"/>
        <v>70200</v>
      </c>
      <c r="AM480" s="25"/>
      <c r="AN480" s="25">
        <f>0</f>
        <v>0</v>
      </c>
      <c r="AO480" s="77">
        <f t="shared" si="7"/>
        <v>0</v>
      </c>
      <c r="AP480" s="22"/>
      <c r="AQ480" s="22"/>
      <c r="AR480" s="22"/>
      <c r="AS480" s="22"/>
      <c r="AT480" s="22"/>
      <c r="AU480" s="26"/>
      <c r="AV480" s="26"/>
      <c r="AW480" s="26"/>
      <c r="AX480" s="26"/>
      <c r="AY480" s="26"/>
      <c r="AZ480" s="26"/>
      <c r="BA480" s="26"/>
      <c r="BB480" s="26"/>
      <c r="BC480" s="60"/>
      <c r="BD480" s="26"/>
      <c r="BE480" s="26"/>
      <c r="BF480" s="26"/>
      <c r="BG480" s="26"/>
      <c r="BH480" s="26"/>
      <c r="BI480" s="26"/>
      <c r="BJ480" s="26"/>
      <c r="BK480" s="26"/>
      <c r="BL480" s="26"/>
      <c r="BM480" s="26"/>
    </row>
    <row r="481" spans="1:65" ht="45" x14ac:dyDescent="0.25">
      <c r="A481" s="163">
        <v>239</v>
      </c>
      <c r="B481" s="155" t="s">
        <v>1558</v>
      </c>
      <c r="C481" s="22" t="s">
        <v>1209</v>
      </c>
      <c r="D481" s="81" t="s">
        <v>128</v>
      </c>
      <c r="E481" s="22" t="s">
        <v>124</v>
      </c>
      <c r="F481" s="33" t="s">
        <v>1559</v>
      </c>
      <c r="G481" s="33" t="s">
        <v>1568</v>
      </c>
      <c r="H481" s="23" t="s">
        <v>1185</v>
      </c>
      <c r="I481" s="35">
        <v>43202</v>
      </c>
      <c r="J481" s="35">
        <v>43567</v>
      </c>
      <c r="K481" s="24" t="s">
        <v>1561</v>
      </c>
      <c r="L481" s="140" t="s">
        <v>826</v>
      </c>
      <c r="M481" s="43" t="s">
        <v>827</v>
      </c>
      <c r="N481" s="61">
        <v>43249</v>
      </c>
      <c r="O481" s="77">
        <v>6585.4</v>
      </c>
      <c r="P481" s="76">
        <v>12326</v>
      </c>
      <c r="Q481" s="61">
        <v>43249</v>
      </c>
      <c r="R481" s="61">
        <v>43465</v>
      </c>
      <c r="S481" s="43" t="s">
        <v>1193</v>
      </c>
      <c r="T481" s="22"/>
      <c r="U481" s="25"/>
      <c r="V481" s="25"/>
      <c r="W481" s="33" t="s">
        <v>184</v>
      </c>
      <c r="X481" s="33"/>
      <c r="Y481" s="22"/>
      <c r="Z481" s="22"/>
      <c r="AA481" s="22"/>
      <c r="AB481" s="33"/>
      <c r="AC481" s="22"/>
      <c r="AD481" s="22"/>
      <c r="AE481" s="22"/>
      <c r="AF481" s="22"/>
      <c r="AG481" s="25"/>
      <c r="AH481" s="25"/>
      <c r="AI481" s="25"/>
      <c r="AJ481" s="25"/>
      <c r="AK481" s="25"/>
      <c r="AL481" s="74">
        <f t="shared" si="8"/>
        <v>6585.4</v>
      </c>
      <c r="AM481" s="25"/>
      <c r="AN481" s="25">
        <f>6585.4</f>
        <v>6585.4</v>
      </c>
      <c r="AO481" s="77">
        <f t="shared" si="7"/>
        <v>6585.4</v>
      </c>
      <c r="AP481" s="22"/>
      <c r="AQ481" s="22"/>
      <c r="AR481" s="22"/>
      <c r="AS481" s="22"/>
      <c r="AT481" s="22"/>
      <c r="AU481" s="26"/>
      <c r="AV481" s="26"/>
      <c r="AW481" s="26"/>
      <c r="AX481" s="26"/>
      <c r="AY481" s="26"/>
      <c r="AZ481" s="26"/>
      <c r="BA481" s="26"/>
      <c r="BB481" s="26"/>
      <c r="BC481" s="60"/>
      <c r="BD481" s="26"/>
      <c r="BE481" s="26"/>
      <c r="BF481" s="26"/>
      <c r="BG481" s="26"/>
      <c r="BH481" s="26"/>
      <c r="BI481" s="26"/>
      <c r="BJ481" s="26"/>
      <c r="BK481" s="26"/>
      <c r="BL481" s="26"/>
      <c r="BM481" s="26"/>
    </row>
    <row r="482" spans="1:65" ht="45" x14ac:dyDescent="0.25">
      <c r="A482" s="163">
        <v>240</v>
      </c>
      <c r="B482" s="155" t="s">
        <v>1558</v>
      </c>
      <c r="C482" s="22" t="s">
        <v>1209</v>
      </c>
      <c r="D482" s="81" t="s">
        <v>128</v>
      </c>
      <c r="E482" s="22" t="s">
        <v>124</v>
      </c>
      <c r="F482" s="33" t="s">
        <v>1559</v>
      </c>
      <c r="G482" s="33" t="s">
        <v>1568</v>
      </c>
      <c r="H482" s="23" t="s">
        <v>1185</v>
      </c>
      <c r="I482" s="35">
        <v>43202</v>
      </c>
      <c r="J482" s="35">
        <v>43567</v>
      </c>
      <c r="K482" s="24" t="s">
        <v>1562</v>
      </c>
      <c r="L482" s="140" t="s">
        <v>1563</v>
      </c>
      <c r="M482" s="43" t="s">
        <v>1564</v>
      </c>
      <c r="N482" s="61">
        <v>43249</v>
      </c>
      <c r="O482" s="77">
        <v>10165.34</v>
      </c>
      <c r="P482" s="76">
        <v>12326</v>
      </c>
      <c r="Q482" s="61">
        <v>43249</v>
      </c>
      <c r="R482" s="61">
        <v>43465</v>
      </c>
      <c r="S482" s="43" t="s">
        <v>1196</v>
      </c>
      <c r="T482" s="22"/>
      <c r="U482" s="25"/>
      <c r="V482" s="25"/>
      <c r="W482" s="33" t="s">
        <v>184</v>
      </c>
      <c r="X482" s="33"/>
      <c r="Y482" s="22"/>
      <c r="Z482" s="22"/>
      <c r="AA482" s="22"/>
      <c r="AB482" s="33"/>
      <c r="AC482" s="22"/>
      <c r="AD482" s="22"/>
      <c r="AE482" s="22"/>
      <c r="AF482" s="22"/>
      <c r="AG482" s="25"/>
      <c r="AH482" s="25"/>
      <c r="AI482" s="25"/>
      <c r="AJ482" s="25"/>
      <c r="AK482" s="25"/>
      <c r="AL482" s="74">
        <f t="shared" si="8"/>
        <v>10165.34</v>
      </c>
      <c r="AM482" s="25"/>
      <c r="AN482" s="25">
        <f>0</f>
        <v>0</v>
      </c>
      <c r="AO482" s="77">
        <f t="shared" si="7"/>
        <v>0</v>
      </c>
      <c r="AP482" s="22"/>
      <c r="AQ482" s="22"/>
      <c r="AR482" s="22"/>
      <c r="AS482" s="22"/>
      <c r="AT482" s="22"/>
      <c r="AU482" s="26"/>
      <c r="AV482" s="26"/>
      <c r="AW482" s="26"/>
      <c r="AX482" s="26"/>
      <c r="AY482" s="26"/>
      <c r="AZ482" s="26"/>
      <c r="BA482" s="26"/>
      <c r="BB482" s="26"/>
      <c r="BC482" s="60"/>
      <c r="BD482" s="26"/>
      <c r="BE482" s="26"/>
      <c r="BF482" s="26"/>
      <c r="BG482" s="26"/>
      <c r="BH482" s="26"/>
      <c r="BI482" s="26"/>
      <c r="BJ482" s="26"/>
      <c r="BK482" s="26"/>
      <c r="BL482" s="26"/>
      <c r="BM482" s="26"/>
    </row>
    <row r="483" spans="1:65" ht="45" x14ac:dyDescent="0.25">
      <c r="A483" s="163">
        <v>241</v>
      </c>
      <c r="B483" s="155" t="s">
        <v>1558</v>
      </c>
      <c r="C483" s="22" t="s">
        <v>1209</v>
      </c>
      <c r="D483" s="81" t="s">
        <v>128</v>
      </c>
      <c r="E483" s="22" t="s">
        <v>124</v>
      </c>
      <c r="F483" s="33" t="s">
        <v>1559</v>
      </c>
      <c r="G483" s="33" t="s">
        <v>1568</v>
      </c>
      <c r="H483" s="23" t="s">
        <v>1185</v>
      </c>
      <c r="I483" s="35">
        <v>43202</v>
      </c>
      <c r="J483" s="35">
        <v>43567</v>
      </c>
      <c r="K483" s="24" t="s">
        <v>1565</v>
      </c>
      <c r="L483" s="140" t="s">
        <v>799</v>
      </c>
      <c r="M483" s="43" t="s">
        <v>575</v>
      </c>
      <c r="N483" s="61">
        <v>43249</v>
      </c>
      <c r="O483" s="77">
        <v>10975.24</v>
      </c>
      <c r="P483" s="76">
        <v>12326</v>
      </c>
      <c r="Q483" s="61">
        <v>43249</v>
      </c>
      <c r="R483" s="61">
        <v>43465</v>
      </c>
      <c r="S483" s="43" t="s">
        <v>1193</v>
      </c>
      <c r="T483" s="22"/>
      <c r="U483" s="25"/>
      <c r="V483" s="25"/>
      <c r="W483" s="33" t="s">
        <v>184</v>
      </c>
      <c r="X483" s="33"/>
      <c r="Y483" s="22"/>
      <c r="Z483" s="22"/>
      <c r="AA483" s="22"/>
      <c r="AB483" s="33"/>
      <c r="AC483" s="22"/>
      <c r="AD483" s="22"/>
      <c r="AE483" s="22"/>
      <c r="AF483" s="22"/>
      <c r="AG483" s="25"/>
      <c r="AH483" s="25"/>
      <c r="AI483" s="25"/>
      <c r="AJ483" s="25"/>
      <c r="AK483" s="25"/>
      <c r="AL483" s="74">
        <f t="shared" si="8"/>
        <v>10975.24</v>
      </c>
      <c r="AM483" s="25"/>
      <c r="AN483" s="25">
        <f>10975.24</f>
        <v>10975.24</v>
      </c>
      <c r="AO483" s="77">
        <f t="shared" si="7"/>
        <v>10975.24</v>
      </c>
      <c r="AP483" s="22"/>
      <c r="AQ483" s="22"/>
      <c r="AR483" s="22"/>
      <c r="AS483" s="22"/>
      <c r="AT483" s="22"/>
      <c r="AU483" s="26"/>
      <c r="AV483" s="26"/>
      <c r="AW483" s="26"/>
      <c r="AX483" s="26"/>
      <c r="AY483" s="26"/>
      <c r="AZ483" s="26"/>
      <c r="BA483" s="26"/>
      <c r="BB483" s="26"/>
      <c r="BC483" s="60"/>
      <c r="BD483" s="26"/>
      <c r="BE483" s="26"/>
      <c r="BF483" s="26"/>
      <c r="BG483" s="26"/>
      <c r="BH483" s="26"/>
      <c r="BI483" s="26"/>
      <c r="BJ483" s="26"/>
      <c r="BK483" s="26"/>
      <c r="BL483" s="26"/>
      <c r="BM483" s="26"/>
    </row>
    <row r="484" spans="1:65" ht="45" x14ac:dyDescent="0.25">
      <c r="A484" s="163">
        <v>242</v>
      </c>
      <c r="B484" s="155" t="s">
        <v>1558</v>
      </c>
      <c r="C484" s="22" t="s">
        <v>1209</v>
      </c>
      <c r="D484" s="81" t="s">
        <v>128</v>
      </c>
      <c r="E484" s="22" t="s">
        <v>124</v>
      </c>
      <c r="F484" s="33" t="s">
        <v>1559</v>
      </c>
      <c r="G484" s="33" t="s">
        <v>1568</v>
      </c>
      <c r="H484" s="23" t="s">
        <v>1185</v>
      </c>
      <c r="I484" s="35">
        <v>43202</v>
      </c>
      <c r="J484" s="35">
        <v>43567</v>
      </c>
      <c r="K484" s="24" t="s">
        <v>1566</v>
      </c>
      <c r="L484" s="140" t="s">
        <v>846</v>
      </c>
      <c r="M484" s="43" t="s">
        <v>835</v>
      </c>
      <c r="N484" s="61">
        <v>43249</v>
      </c>
      <c r="O484" s="77">
        <v>5608.43</v>
      </c>
      <c r="P484" s="76">
        <v>12326</v>
      </c>
      <c r="Q484" s="61">
        <v>43249</v>
      </c>
      <c r="R484" s="61">
        <v>43465</v>
      </c>
      <c r="S484" s="43" t="s">
        <v>1193</v>
      </c>
      <c r="T484" s="22"/>
      <c r="U484" s="25"/>
      <c r="V484" s="25"/>
      <c r="W484" s="33" t="s">
        <v>184</v>
      </c>
      <c r="X484" s="33"/>
      <c r="Y484" s="22"/>
      <c r="Z484" s="22"/>
      <c r="AA484" s="22"/>
      <c r="AB484" s="33"/>
      <c r="AC484" s="22"/>
      <c r="AD484" s="22"/>
      <c r="AE484" s="22"/>
      <c r="AF484" s="22"/>
      <c r="AG484" s="25"/>
      <c r="AH484" s="25"/>
      <c r="AI484" s="25"/>
      <c r="AJ484" s="25"/>
      <c r="AK484" s="25"/>
      <c r="AL484" s="74">
        <f t="shared" si="8"/>
        <v>5608.43</v>
      </c>
      <c r="AM484" s="25"/>
      <c r="AN484" s="25">
        <v>5608.43</v>
      </c>
      <c r="AO484" s="77">
        <f t="shared" si="7"/>
        <v>5608.43</v>
      </c>
      <c r="AP484" s="22"/>
      <c r="AQ484" s="22"/>
      <c r="AR484" s="22"/>
      <c r="AS484" s="22"/>
      <c r="AT484" s="22"/>
      <c r="AU484" s="26"/>
      <c r="AV484" s="26"/>
      <c r="AW484" s="26"/>
      <c r="AX484" s="26"/>
      <c r="AY484" s="26"/>
      <c r="AZ484" s="26"/>
      <c r="BA484" s="26"/>
      <c r="BB484" s="26"/>
      <c r="BC484" s="60"/>
      <c r="BD484" s="26"/>
      <c r="BE484" s="26"/>
      <c r="BF484" s="26"/>
      <c r="BG484" s="26"/>
      <c r="BH484" s="26"/>
      <c r="BI484" s="26"/>
      <c r="BJ484" s="26"/>
      <c r="BK484" s="26"/>
      <c r="BL484" s="26"/>
      <c r="BM484" s="26"/>
    </row>
    <row r="485" spans="1:65" ht="120" x14ac:dyDescent="0.25">
      <c r="A485" s="163">
        <v>243</v>
      </c>
      <c r="B485" s="155" t="s">
        <v>1581</v>
      </c>
      <c r="C485" s="22" t="s">
        <v>1172</v>
      </c>
      <c r="D485" s="81" t="s">
        <v>1583</v>
      </c>
      <c r="E485" s="22" t="s">
        <v>124</v>
      </c>
      <c r="F485" s="33" t="s">
        <v>1582</v>
      </c>
      <c r="G485" s="33" t="s">
        <v>1596</v>
      </c>
      <c r="H485" s="23"/>
      <c r="I485" s="23"/>
      <c r="J485" s="23"/>
      <c r="K485" s="24" t="s">
        <v>1580</v>
      </c>
      <c r="L485" s="140" t="s">
        <v>1584</v>
      </c>
      <c r="M485" s="43" t="s">
        <v>1585</v>
      </c>
      <c r="N485" s="61">
        <v>43252</v>
      </c>
      <c r="O485" s="77">
        <f>70000+9100</f>
        <v>79100</v>
      </c>
      <c r="P485" s="76">
        <v>12323</v>
      </c>
      <c r="Q485" s="61">
        <v>43252</v>
      </c>
      <c r="R485" s="61">
        <v>43465</v>
      </c>
      <c r="S485" s="43" t="s">
        <v>1275</v>
      </c>
      <c r="T485" s="22"/>
      <c r="U485" s="25"/>
      <c r="V485" s="25"/>
      <c r="W485" s="33" t="s">
        <v>135</v>
      </c>
      <c r="X485" s="33"/>
      <c r="Y485" s="22"/>
      <c r="Z485" s="22"/>
      <c r="AA485" s="22"/>
      <c r="AB485" s="33"/>
      <c r="AC485" s="22"/>
      <c r="AD485" s="22"/>
      <c r="AE485" s="22"/>
      <c r="AF485" s="22"/>
      <c r="AG485" s="25"/>
      <c r="AH485" s="25"/>
      <c r="AI485" s="25"/>
      <c r="AJ485" s="25"/>
      <c r="AK485" s="25"/>
      <c r="AL485" s="74">
        <f t="shared" si="8"/>
        <v>79100</v>
      </c>
      <c r="AM485" s="25"/>
      <c r="AN485" s="25">
        <f>1300+1300+1300+1300</f>
        <v>5200</v>
      </c>
      <c r="AO485" s="77">
        <f t="shared" si="7"/>
        <v>5200</v>
      </c>
      <c r="AP485" s="22" t="s">
        <v>1171</v>
      </c>
      <c r="AQ485" s="35">
        <v>43138</v>
      </c>
      <c r="AR485" s="35">
        <v>43503</v>
      </c>
      <c r="AS485" s="34">
        <v>12243</v>
      </c>
      <c r="AT485" s="22" t="s">
        <v>1586</v>
      </c>
      <c r="AU485" s="34">
        <v>12243</v>
      </c>
      <c r="AV485" s="26"/>
      <c r="AW485" s="26"/>
      <c r="AX485" s="26"/>
      <c r="AY485" s="26"/>
      <c r="AZ485" s="26"/>
      <c r="BA485" s="26"/>
      <c r="BB485" s="26"/>
      <c r="BC485" s="60"/>
      <c r="BD485" s="26"/>
      <c r="BE485" s="26"/>
      <c r="BF485" s="26"/>
      <c r="BG485" s="26"/>
      <c r="BH485" s="26"/>
      <c r="BI485" s="26"/>
      <c r="BJ485" s="26"/>
      <c r="BK485" s="26"/>
      <c r="BL485" s="26"/>
      <c r="BM485" s="26"/>
    </row>
    <row r="486" spans="1:65" ht="30" x14ac:dyDescent="0.25">
      <c r="A486" s="163">
        <v>244</v>
      </c>
      <c r="B486" s="155" t="s">
        <v>1458</v>
      </c>
      <c r="C486" s="22" t="s">
        <v>1180</v>
      </c>
      <c r="D486" s="81" t="s">
        <v>128</v>
      </c>
      <c r="E486" s="22" t="s">
        <v>124</v>
      </c>
      <c r="F486" s="33" t="s">
        <v>1461</v>
      </c>
      <c r="G486" s="33" t="s">
        <v>1513</v>
      </c>
      <c r="H486" s="23" t="s">
        <v>1178</v>
      </c>
      <c r="I486" s="35">
        <v>43178</v>
      </c>
      <c r="J486" s="35">
        <v>43543</v>
      </c>
      <c r="K486" s="24" t="s">
        <v>1587</v>
      </c>
      <c r="L486" s="140" t="s">
        <v>1588</v>
      </c>
      <c r="M486" s="43" t="s">
        <v>1589</v>
      </c>
      <c r="N486" s="61">
        <v>43255</v>
      </c>
      <c r="O486" s="77">
        <v>11750</v>
      </c>
      <c r="P486" s="76">
        <v>12326</v>
      </c>
      <c r="Q486" s="61">
        <v>43255</v>
      </c>
      <c r="R486" s="61">
        <v>43465</v>
      </c>
      <c r="S486" s="43" t="s">
        <v>1244</v>
      </c>
      <c r="T486" s="22"/>
      <c r="U486" s="25"/>
      <c r="V486" s="25"/>
      <c r="W486" s="33" t="s">
        <v>184</v>
      </c>
      <c r="X486" s="33"/>
      <c r="Y486" s="22"/>
      <c r="Z486" s="22"/>
      <c r="AA486" s="22"/>
      <c r="AB486" s="33"/>
      <c r="AC486" s="22"/>
      <c r="AD486" s="22"/>
      <c r="AE486" s="22"/>
      <c r="AF486" s="22"/>
      <c r="AG486" s="25"/>
      <c r="AH486" s="25"/>
      <c r="AI486" s="25"/>
      <c r="AJ486" s="25"/>
      <c r="AK486" s="25"/>
      <c r="AL486" s="74">
        <f t="shared" si="8"/>
        <v>11750</v>
      </c>
      <c r="AM486" s="25"/>
      <c r="AN486" s="25">
        <v>11750</v>
      </c>
      <c r="AO486" s="77">
        <f t="shared" si="7"/>
        <v>11750</v>
      </c>
      <c r="AP486" s="37"/>
      <c r="AQ486" s="22"/>
      <c r="AR486" s="22"/>
      <c r="AS486" s="22"/>
      <c r="AT486" s="22"/>
      <c r="AU486" s="26"/>
      <c r="AV486" s="26"/>
      <c r="AW486" s="26"/>
      <c r="AX486" s="26"/>
      <c r="AY486" s="26"/>
      <c r="AZ486" s="26"/>
      <c r="BA486" s="26"/>
      <c r="BB486" s="26"/>
      <c r="BC486" s="60"/>
      <c r="BD486" s="26"/>
      <c r="BE486" s="26"/>
      <c r="BF486" s="26"/>
      <c r="BG486" s="26"/>
      <c r="BH486" s="26"/>
      <c r="BI486" s="26"/>
      <c r="BJ486" s="26"/>
      <c r="BK486" s="26"/>
      <c r="BL486" s="26"/>
      <c r="BM486" s="26"/>
    </row>
    <row r="487" spans="1:65" ht="30" x14ac:dyDescent="0.25">
      <c r="A487" s="163">
        <v>245</v>
      </c>
      <c r="B487" s="155" t="s">
        <v>1458</v>
      </c>
      <c r="C487" s="22" t="s">
        <v>1180</v>
      </c>
      <c r="D487" s="81" t="s">
        <v>128</v>
      </c>
      <c r="E487" s="22" t="s">
        <v>124</v>
      </c>
      <c r="F487" s="33" t="s">
        <v>1461</v>
      </c>
      <c r="G487" s="33" t="s">
        <v>1513</v>
      </c>
      <c r="H487" s="23" t="s">
        <v>1178</v>
      </c>
      <c r="I487" s="35">
        <v>43178</v>
      </c>
      <c r="J487" s="35">
        <v>43543</v>
      </c>
      <c r="K487" s="24" t="s">
        <v>1590</v>
      </c>
      <c r="L487" s="140" t="s">
        <v>477</v>
      </c>
      <c r="M487" s="43" t="s">
        <v>478</v>
      </c>
      <c r="N487" s="61">
        <v>43255</v>
      </c>
      <c r="O487" s="77">
        <v>4654.8</v>
      </c>
      <c r="P487" s="76">
        <v>12326</v>
      </c>
      <c r="Q487" s="61">
        <v>43255</v>
      </c>
      <c r="R487" s="61">
        <v>43465</v>
      </c>
      <c r="S487" s="43" t="s">
        <v>1244</v>
      </c>
      <c r="T487" s="22"/>
      <c r="U487" s="25"/>
      <c r="V487" s="25"/>
      <c r="W487" s="33" t="s">
        <v>184</v>
      </c>
      <c r="X487" s="33"/>
      <c r="Y487" s="22"/>
      <c r="Z487" s="22"/>
      <c r="AA487" s="22"/>
      <c r="AB487" s="33"/>
      <c r="AC487" s="22"/>
      <c r="AD487" s="22"/>
      <c r="AE487" s="22"/>
      <c r="AF487" s="22"/>
      <c r="AG487" s="25"/>
      <c r="AH487" s="25"/>
      <c r="AI487" s="25"/>
      <c r="AJ487" s="25"/>
      <c r="AK487" s="25"/>
      <c r="AL487" s="74">
        <f t="shared" si="8"/>
        <v>4654.8</v>
      </c>
      <c r="AM487" s="25"/>
      <c r="AN487" s="25">
        <f>4654.8</f>
        <v>4654.8</v>
      </c>
      <c r="AO487" s="77">
        <f t="shared" si="7"/>
        <v>4654.8</v>
      </c>
      <c r="AP487" s="22"/>
      <c r="AQ487" s="22"/>
      <c r="AR487" s="22"/>
      <c r="AS487" s="22"/>
      <c r="AT487" s="22"/>
      <c r="AU487" s="26"/>
      <c r="AV487" s="26"/>
      <c r="AW487" s="26"/>
      <c r="AX487" s="26"/>
      <c r="AY487" s="26"/>
      <c r="AZ487" s="26"/>
      <c r="BA487" s="26"/>
      <c r="BB487" s="26"/>
      <c r="BC487" s="60"/>
      <c r="BD487" s="26"/>
      <c r="BE487" s="26"/>
      <c r="BF487" s="26"/>
      <c r="BG487" s="26"/>
      <c r="BH487" s="26"/>
      <c r="BI487" s="26"/>
      <c r="BJ487" s="26"/>
      <c r="BK487" s="26"/>
      <c r="BL487" s="26"/>
      <c r="BM487" s="26"/>
    </row>
    <row r="488" spans="1:65" ht="90" x14ac:dyDescent="0.25">
      <c r="A488" s="163">
        <v>246</v>
      </c>
      <c r="B488" s="155" t="s">
        <v>1458</v>
      </c>
      <c r="C488" s="22" t="s">
        <v>1180</v>
      </c>
      <c r="D488" s="81" t="s">
        <v>128</v>
      </c>
      <c r="E488" s="22" t="s">
        <v>124</v>
      </c>
      <c r="F488" s="33" t="s">
        <v>1461</v>
      </c>
      <c r="G488" s="33" t="s">
        <v>1513</v>
      </c>
      <c r="H488" s="23" t="s">
        <v>1178</v>
      </c>
      <c r="I488" s="35">
        <v>43178</v>
      </c>
      <c r="J488" s="35">
        <v>43543</v>
      </c>
      <c r="K488" s="24" t="s">
        <v>1591</v>
      </c>
      <c r="L488" s="140" t="s">
        <v>1459</v>
      </c>
      <c r="M488" s="43" t="s">
        <v>1460</v>
      </c>
      <c r="N488" s="61">
        <v>43255</v>
      </c>
      <c r="O488" s="77">
        <v>28647.5</v>
      </c>
      <c r="P488" s="76">
        <v>12326</v>
      </c>
      <c r="Q488" s="61">
        <v>43255</v>
      </c>
      <c r="R488" s="61">
        <v>43465</v>
      </c>
      <c r="S488" s="43" t="s">
        <v>1244</v>
      </c>
      <c r="T488" s="22"/>
      <c r="U488" s="25"/>
      <c r="V488" s="25"/>
      <c r="W488" s="33" t="s">
        <v>184</v>
      </c>
      <c r="X488" s="33"/>
      <c r="Y488" s="22" t="s">
        <v>1670</v>
      </c>
      <c r="Z488" s="35">
        <v>43277</v>
      </c>
      <c r="AA488" s="34">
        <v>12332</v>
      </c>
      <c r="AB488" s="33" t="s">
        <v>1672</v>
      </c>
      <c r="AC488" s="22"/>
      <c r="AD488" s="22"/>
      <c r="AE488" s="22"/>
      <c r="AF488" s="22"/>
      <c r="AG488" s="25"/>
      <c r="AH488" s="25"/>
      <c r="AI488" s="25"/>
      <c r="AJ488" s="25"/>
      <c r="AK488" s="25"/>
      <c r="AL488" s="74">
        <f t="shared" si="8"/>
        <v>28647.5</v>
      </c>
      <c r="AM488" s="25"/>
      <c r="AN488" s="25">
        <f>0</f>
        <v>0</v>
      </c>
      <c r="AO488" s="77">
        <f t="shared" si="7"/>
        <v>0</v>
      </c>
      <c r="AP488" s="22"/>
      <c r="AQ488" s="22"/>
      <c r="AR488" s="22"/>
      <c r="AS488" s="22"/>
      <c r="AT488" s="22"/>
      <c r="AU488" s="26"/>
      <c r="AV488" s="26"/>
      <c r="AW488" s="26"/>
      <c r="AX488" s="26"/>
      <c r="AY488" s="26"/>
      <c r="AZ488" s="26"/>
      <c r="BA488" s="26"/>
      <c r="BB488" s="26"/>
      <c r="BC488" s="60"/>
      <c r="BD488" s="26"/>
      <c r="BE488" s="26"/>
      <c r="BF488" s="26"/>
      <c r="BG488" s="26"/>
      <c r="BH488" s="26"/>
      <c r="BI488" s="26"/>
      <c r="BJ488" s="26"/>
      <c r="BK488" s="26"/>
      <c r="BL488" s="26"/>
      <c r="BM488" s="26"/>
    </row>
    <row r="489" spans="1:65" ht="45" x14ac:dyDescent="0.25">
      <c r="A489" s="163">
        <v>247</v>
      </c>
      <c r="B489" s="155" t="s">
        <v>1558</v>
      </c>
      <c r="C489" s="22" t="s">
        <v>1209</v>
      </c>
      <c r="D489" s="81" t="s">
        <v>128</v>
      </c>
      <c r="E489" s="22" t="s">
        <v>124</v>
      </c>
      <c r="F489" s="33" t="s">
        <v>1559</v>
      </c>
      <c r="G489" s="33" t="s">
        <v>1568</v>
      </c>
      <c r="H489" s="23" t="s">
        <v>1185</v>
      </c>
      <c r="I489" s="35">
        <v>43202</v>
      </c>
      <c r="J489" s="35">
        <v>43567</v>
      </c>
      <c r="K489" s="24" t="s">
        <v>1597</v>
      </c>
      <c r="L489" s="140" t="s">
        <v>1598</v>
      </c>
      <c r="M489" s="43" t="s">
        <v>1560</v>
      </c>
      <c r="N489" s="61">
        <v>43255</v>
      </c>
      <c r="O489" s="77">
        <v>10394.5</v>
      </c>
      <c r="P489" s="76">
        <v>12326</v>
      </c>
      <c r="Q489" s="61">
        <v>43255</v>
      </c>
      <c r="R489" s="61">
        <v>43465</v>
      </c>
      <c r="S489" s="43" t="s">
        <v>1193</v>
      </c>
      <c r="T489" s="22"/>
      <c r="U489" s="25"/>
      <c r="V489" s="25"/>
      <c r="W489" s="33" t="s">
        <v>184</v>
      </c>
      <c r="X489" s="33"/>
      <c r="Y489" s="22"/>
      <c r="Z489" s="22"/>
      <c r="AA489" s="22"/>
      <c r="AB489" s="33"/>
      <c r="AC489" s="22"/>
      <c r="AD489" s="22"/>
      <c r="AE489" s="22"/>
      <c r="AF489" s="22"/>
      <c r="AG489" s="25"/>
      <c r="AH489" s="25"/>
      <c r="AI489" s="25"/>
      <c r="AJ489" s="25"/>
      <c r="AK489" s="25"/>
      <c r="AL489" s="74">
        <f t="shared" si="8"/>
        <v>10394.5</v>
      </c>
      <c r="AM489" s="25"/>
      <c r="AN489" s="25">
        <f>0</f>
        <v>0</v>
      </c>
      <c r="AO489" s="77">
        <f t="shared" si="7"/>
        <v>0</v>
      </c>
      <c r="AP489" s="22"/>
      <c r="AQ489" s="22"/>
      <c r="AR489" s="22"/>
      <c r="AS489" s="22"/>
      <c r="AT489" s="22"/>
      <c r="AU489" s="26"/>
      <c r="AV489" s="26"/>
      <c r="AW489" s="26"/>
      <c r="AX489" s="26"/>
      <c r="AY489" s="26"/>
      <c r="AZ489" s="26"/>
      <c r="BA489" s="26"/>
      <c r="BB489" s="26"/>
      <c r="BC489" s="60"/>
      <c r="BD489" s="26"/>
      <c r="BE489" s="26"/>
      <c r="BF489" s="26"/>
      <c r="BG489" s="26"/>
      <c r="BH489" s="26"/>
      <c r="BI489" s="26"/>
      <c r="BJ489" s="26"/>
      <c r="BK489" s="26"/>
      <c r="BL489" s="26"/>
      <c r="BM489" s="26"/>
    </row>
    <row r="490" spans="1:65" ht="30" x14ac:dyDescent="0.25">
      <c r="A490" s="163">
        <v>248</v>
      </c>
      <c r="B490" s="155" t="s">
        <v>965</v>
      </c>
      <c r="C490" s="22" t="s">
        <v>709</v>
      </c>
      <c r="D490" s="81" t="s">
        <v>128</v>
      </c>
      <c r="E490" s="22" t="s">
        <v>124</v>
      </c>
      <c r="F490" s="33" t="s">
        <v>966</v>
      </c>
      <c r="G490" s="33" t="s">
        <v>972</v>
      </c>
      <c r="H490" s="23" t="s">
        <v>700</v>
      </c>
      <c r="I490" s="35">
        <v>42898</v>
      </c>
      <c r="J490" s="35">
        <v>43263</v>
      </c>
      <c r="K490" s="24" t="s">
        <v>1599</v>
      </c>
      <c r="L490" s="140" t="s">
        <v>360</v>
      </c>
      <c r="M490" s="43" t="s">
        <v>229</v>
      </c>
      <c r="N490" s="61">
        <v>43262</v>
      </c>
      <c r="O490" s="77">
        <v>459000</v>
      </c>
      <c r="P490" s="76">
        <v>12331</v>
      </c>
      <c r="Q490" s="61">
        <v>43262</v>
      </c>
      <c r="R490" s="61">
        <v>43465</v>
      </c>
      <c r="S490" s="43" t="s">
        <v>1193</v>
      </c>
      <c r="T490" s="22"/>
      <c r="U490" s="25"/>
      <c r="V490" s="25"/>
      <c r="W490" s="33" t="s">
        <v>967</v>
      </c>
      <c r="X490" s="33"/>
      <c r="Y490" s="22"/>
      <c r="Z490" s="22"/>
      <c r="AA490" s="22"/>
      <c r="AB490" s="33"/>
      <c r="AC490" s="22"/>
      <c r="AD490" s="22"/>
      <c r="AE490" s="22"/>
      <c r="AF490" s="22"/>
      <c r="AG490" s="25"/>
      <c r="AH490" s="25"/>
      <c r="AI490" s="25"/>
      <c r="AJ490" s="25"/>
      <c r="AK490" s="25"/>
      <c r="AL490" s="74">
        <f t="shared" si="8"/>
        <v>459000</v>
      </c>
      <c r="AM490" s="25"/>
      <c r="AN490" s="25">
        <f>153000</f>
        <v>153000</v>
      </c>
      <c r="AO490" s="77">
        <f t="shared" si="7"/>
        <v>153000</v>
      </c>
      <c r="AP490" s="37"/>
      <c r="AQ490" s="22"/>
      <c r="AR490" s="22"/>
      <c r="AS490" s="22"/>
      <c r="AT490" s="22"/>
      <c r="AU490" s="26"/>
      <c r="AV490" s="26"/>
      <c r="AW490" s="26"/>
      <c r="AX490" s="26"/>
      <c r="AY490" s="26"/>
      <c r="AZ490" s="26"/>
      <c r="BA490" s="26"/>
      <c r="BB490" s="26"/>
      <c r="BC490" s="60"/>
      <c r="BD490" s="26"/>
      <c r="BE490" s="26"/>
      <c r="BF490" s="26"/>
      <c r="BG490" s="26"/>
      <c r="BH490" s="26"/>
      <c r="BI490" s="26"/>
      <c r="BJ490" s="26"/>
      <c r="BK490" s="26"/>
      <c r="BL490" s="26"/>
      <c r="BM490" s="26"/>
    </row>
    <row r="491" spans="1:65" ht="30" x14ac:dyDescent="0.25">
      <c r="A491" s="163">
        <v>249</v>
      </c>
      <c r="B491" s="155" t="s">
        <v>968</v>
      </c>
      <c r="C491" s="22" t="s">
        <v>710</v>
      </c>
      <c r="D491" s="81" t="s">
        <v>128</v>
      </c>
      <c r="E491" s="22" t="s">
        <v>124</v>
      </c>
      <c r="F491" s="33" t="s">
        <v>969</v>
      </c>
      <c r="G491" s="33" t="s">
        <v>1608</v>
      </c>
      <c r="H491" s="23" t="s">
        <v>701</v>
      </c>
      <c r="I491" s="35">
        <v>42898</v>
      </c>
      <c r="J491" s="35">
        <v>43263</v>
      </c>
      <c r="K491" s="24" t="s">
        <v>1600</v>
      </c>
      <c r="L491" s="140" t="s">
        <v>238</v>
      </c>
      <c r="M491" s="43" t="s">
        <v>239</v>
      </c>
      <c r="N491" s="61">
        <v>43262</v>
      </c>
      <c r="O491" s="77">
        <v>36900</v>
      </c>
      <c r="P491" s="76">
        <v>12331</v>
      </c>
      <c r="Q491" s="61">
        <v>43262</v>
      </c>
      <c r="R491" s="61">
        <v>43465</v>
      </c>
      <c r="S491" s="43" t="s">
        <v>1193</v>
      </c>
      <c r="T491" s="22"/>
      <c r="U491" s="25"/>
      <c r="V491" s="25"/>
      <c r="W491" s="33" t="s">
        <v>967</v>
      </c>
      <c r="X491" s="33"/>
      <c r="Y491" s="22"/>
      <c r="Z491" s="22"/>
      <c r="AA491" s="22"/>
      <c r="AB491" s="33"/>
      <c r="AC491" s="22"/>
      <c r="AD491" s="22"/>
      <c r="AE491" s="22"/>
      <c r="AF491" s="22"/>
      <c r="AG491" s="25"/>
      <c r="AH491" s="25"/>
      <c r="AI491" s="25"/>
      <c r="AJ491" s="25"/>
      <c r="AK491" s="25"/>
      <c r="AL491" s="74">
        <f t="shared" si="8"/>
        <v>36900</v>
      </c>
      <c r="AM491" s="25"/>
      <c r="AN491" s="25">
        <f>0</f>
        <v>0</v>
      </c>
      <c r="AO491" s="77">
        <f t="shared" si="7"/>
        <v>0</v>
      </c>
      <c r="AP491" s="22"/>
      <c r="AQ491" s="22"/>
      <c r="AR491" s="22"/>
      <c r="AS491" s="22"/>
      <c r="AT491" s="22"/>
      <c r="AU491" s="26"/>
      <c r="AV491" s="26"/>
      <c r="AW491" s="26"/>
      <c r="AX491" s="26"/>
      <c r="AY491" s="26"/>
      <c r="AZ491" s="26"/>
      <c r="BA491" s="26"/>
      <c r="BB491" s="26"/>
      <c r="BC491" s="60"/>
      <c r="BD491" s="26"/>
      <c r="BE491" s="26"/>
      <c r="BF491" s="26"/>
      <c r="BG491" s="26"/>
      <c r="BH491" s="26"/>
      <c r="BI491" s="26"/>
      <c r="BJ491" s="26"/>
      <c r="BK491" s="26"/>
      <c r="BL491" s="26"/>
      <c r="BM491" s="26"/>
    </row>
    <row r="492" spans="1:65" ht="105" x14ac:dyDescent="0.25">
      <c r="A492" s="163">
        <v>250</v>
      </c>
      <c r="B492" s="155" t="s">
        <v>1602</v>
      </c>
      <c r="C492" s="22" t="s">
        <v>1604</v>
      </c>
      <c r="D492" s="81" t="s">
        <v>1603</v>
      </c>
      <c r="E492" s="22" t="s">
        <v>124</v>
      </c>
      <c r="F492" s="33" t="s">
        <v>1605</v>
      </c>
      <c r="G492" s="33" t="s">
        <v>1607</v>
      </c>
      <c r="H492" s="23"/>
      <c r="I492" s="23"/>
      <c r="J492" s="23"/>
      <c r="K492" s="24" t="s">
        <v>1601</v>
      </c>
      <c r="L492" s="140" t="s">
        <v>1003</v>
      </c>
      <c r="M492" s="43" t="s">
        <v>1004</v>
      </c>
      <c r="N492" s="61">
        <v>43269</v>
      </c>
      <c r="O492" s="77">
        <v>139500</v>
      </c>
      <c r="P492" s="76">
        <v>12338</v>
      </c>
      <c r="Q492" s="61">
        <v>43269</v>
      </c>
      <c r="R492" s="61">
        <v>43465</v>
      </c>
      <c r="S492" s="43" t="s">
        <v>369</v>
      </c>
      <c r="T492" s="22"/>
      <c r="U492" s="25"/>
      <c r="V492" s="25"/>
      <c r="W492" s="33" t="s">
        <v>214</v>
      </c>
      <c r="X492" s="33"/>
      <c r="Y492" s="22"/>
      <c r="Z492" s="22"/>
      <c r="AA492" s="22"/>
      <c r="AB492" s="33"/>
      <c r="AC492" s="22"/>
      <c r="AD492" s="22"/>
      <c r="AE492" s="22"/>
      <c r="AF492" s="22"/>
      <c r="AG492" s="25"/>
      <c r="AH492" s="25"/>
      <c r="AI492" s="25"/>
      <c r="AJ492" s="25"/>
      <c r="AK492" s="25"/>
      <c r="AL492" s="74">
        <f t="shared" si="8"/>
        <v>139500</v>
      </c>
      <c r="AM492" s="25"/>
      <c r="AN492" s="25">
        <f>124000+15500</f>
        <v>139500</v>
      </c>
      <c r="AO492" s="77">
        <f t="shared" si="7"/>
        <v>139500</v>
      </c>
      <c r="AP492" s="22" t="s">
        <v>949</v>
      </c>
      <c r="AQ492" s="35">
        <v>42996</v>
      </c>
      <c r="AR492" s="35">
        <v>43361</v>
      </c>
      <c r="AS492" s="34">
        <v>12143</v>
      </c>
      <c r="AT492" s="33" t="s">
        <v>1606</v>
      </c>
      <c r="AU492" s="64">
        <v>12143</v>
      </c>
      <c r="AV492" s="26"/>
      <c r="AW492" s="26"/>
      <c r="AX492" s="26"/>
      <c r="AY492" s="26"/>
      <c r="AZ492" s="26"/>
      <c r="BA492" s="26"/>
      <c r="BB492" s="26"/>
      <c r="BC492" s="60"/>
      <c r="BD492" s="26"/>
      <c r="BE492" s="26"/>
      <c r="BF492" s="26"/>
      <c r="BG492" s="26"/>
      <c r="BH492" s="26"/>
      <c r="BI492" s="26"/>
      <c r="BJ492" s="26"/>
      <c r="BK492" s="26"/>
      <c r="BL492" s="26"/>
      <c r="BM492" s="26"/>
    </row>
    <row r="493" spans="1:65" ht="60" x14ac:dyDescent="0.25">
      <c r="A493" s="163">
        <v>251</v>
      </c>
      <c r="B493" s="155" t="s">
        <v>1619</v>
      </c>
      <c r="C493" s="22" t="s">
        <v>1184</v>
      </c>
      <c r="D493" s="81" t="s">
        <v>138</v>
      </c>
      <c r="E493" s="22"/>
      <c r="F493" s="33" t="s">
        <v>1617</v>
      </c>
      <c r="G493" s="33"/>
      <c r="H493" s="23"/>
      <c r="I493" s="23"/>
      <c r="J493" s="23"/>
      <c r="K493" s="24" t="s">
        <v>1614</v>
      </c>
      <c r="L493" s="140" t="s">
        <v>1615</v>
      </c>
      <c r="M493" s="43" t="s">
        <v>1616</v>
      </c>
      <c r="N493" s="61">
        <v>43280</v>
      </c>
      <c r="O493" s="77">
        <v>22200</v>
      </c>
      <c r="P493" s="76">
        <v>12352</v>
      </c>
      <c r="Q493" s="61">
        <v>43282</v>
      </c>
      <c r="R493" s="61">
        <v>43465</v>
      </c>
      <c r="S493" s="43" t="s">
        <v>1193</v>
      </c>
      <c r="T493" s="22"/>
      <c r="U493" s="25"/>
      <c r="V493" s="25"/>
      <c r="W493" s="33" t="s">
        <v>1618</v>
      </c>
      <c r="X493" s="33"/>
      <c r="Y493" s="22"/>
      <c r="Z493" s="22"/>
      <c r="AA493" s="22"/>
      <c r="AB493" s="33"/>
      <c r="AC493" s="22"/>
      <c r="AD493" s="22"/>
      <c r="AE493" s="22"/>
      <c r="AF493" s="22"/>
      <c r="AG493" s="25"/>
      <c r="AH493" s="25"/>
      <c r="AI493" s="25"/>
      <c r="AJ493" s="25"/>
      <c r="AK493" s="25"/>
      <c r="AL493" s="74">
        <f t="shared" si="8"/>
        <v>22200</v>
      </c>
      <c r="AM493" s="25"/>
      <c r="AN493" s="25">
        <f>3700+3700+3700+3700</f>
        <v>14800</v>
      </c>
      <c r="AO493" s="77">
        <f t="shared" si="7"/>
        <v>14800</v>
      </c>
      <c r="AP493" s="37"/>
      <c r="AQ493" s="22"/>
      <c r="AR493" s="22"/>
      <c r="AS493" s="22"/>
      <c r="AT493" s="22"/>
      <c r="AU493" s="26"/>
      <c r="AV493" s="26" t="s">
        <v>121</v>
      </c>
      <c r="AW493" s="22" t="s">
        <v>977</v>
      </c>
      <c r="AX493" s="64">
        <v>12337</v>
      </c>
      <c r="AY493" s="63">
        <v>43286</v>
      </c>
      <c r="AZ493" s="64">
        <v>12351</v>
      </c>
      <c r="BA493" s="63">
        <v>43306</v>
      </c>
      <c r="BB493" s="26"/>
      <c r="BC493" s="60"/>
      <c r="BD493" s="26"/>
      <c r="BE493" s="26"/>
      <c r="BF493" s="26"/>
      <c r="BG493" s="26"/>
      <c r="BH493" s="26"/>
      <c r="BI493" s="26"/>
      <c r="BJ493" s="26"/>
      <c r="BK493" s="26"/>
      <c r="BL493" s="26"/>
      <c r="BM493" s="26"/>
    </row>
    <row r="494" spans="1:65" ht="45" x14ac:dyDescent="0.25">
      <c r="A494" s="163">
        <v>252</v>
      </c>
      <c r="B494" s="155" t="s">
        <v>1052</v>
      </c>
      <c r="C494" s="22" t="s">
        <v>766</v>
      </c>
      <c r="D494" s="81" t="s">
        <v>128</v>
      </c>
      <c r="E494" s="22" t="s">
        <v>124</v>
      </c>
      <c r="F494" s="33" t="s">
        <v>1053</v>
      </c>
      <c r="G494" s="33" t="s">
        <v>1064</v>
      </c>
      <c r="H494" s="23" t="s">
        <v>709</v>
      </c>
      <c r="I494" s="35">
        <v>42984</v>
      </c>
      <c r="J494" s="35">
        <v>43349</v>
      </c>
      <c r="K494" s="24" t="s">
        <v>1620</v>
      </c>
      <c r="L494" s="140" t="s">
        <v>238</v>
      </c>
      <c r="M494" s="43" t="s">
        <v>239</v>
      </c>
      <c r="N494" s="61">
        <v>43270</v>
      </c>
      <c r="O494" s="77">
        <v>65000</v>
      </c>
      <c r="P494" s="76">
        <v>12331</v>
      </c>
      <c r="Q494" s="61">
        <v>43270</v>
      </c>
      <c r="R494" s="61">
        <v>43465</v>
      </c>
      <c r="S494" s="43" t="s">
        <v>1193</v>
      </c>
      <c r="T494" s="22"/>
      <c r="U494" s="25"/>
      <c r="V494" s="25"/>
      <c r="W494" s="33" t="s">
        <v>787</v>
      </c>
      <c r="X494" s="33"/>
      <c r="Y494" s="22"/>
      <c r="Z494" s="22"/>
      <c r="AA494" s="22"/>
      <c r="AB494" s="33"/>
      <c r="AC494" s="22"/>
      <c r="AD494" s="22"/>
      <c r="AE494" s="22"/>
      <c r="AF494" s="22"/>
      <c r="AG494" s="25"/>
      <c r="AH494" s="25"/>
      <c r="AI494" s="25"/>
      <c r="AJ494" s="25"/>
      <c r="AK494" s="25"/>
      <c r="AL494" s="74">
        <f t="shared" si="8"/>
        <v>65000</v>
      </c>
      <c r="AM494" s="25"/>
      <c r="AN494" s="25">
        <f>65000</f>
        <v>65000</v>
      </c>
      <c r="AO494" s="77">
        <f t="shared" si="7"/>
        <v>65000</v>
      </c>
      <c r="AP494" s="22"/>
      <c r="AQ494" s="22"/>
      <c r="AR494" s="22"/>
      <c r="AS494" s="22"/>
      <c r="AT494" s="22"/>
      <c r="AU494" s="26"/>
      <c r="AV494" s="26"/>
      <c r="AW494" s="22"/>
      <c r="AX494" s="26"/>
      <c r="AY494" s="26"/>
      <c r="AZ494" s="26"/>
      <c r="BA494" s="26"/>
      <c r="BB494" s="26"/>
      <c r="BC494" s="60"/>
      <c r="BD494" s="26"/>
      <c r="BE494" s="26"/>
      <c r="BF494" s="26"/>
      <c r="BG494" s="26"/>
      <c r="BH494" s="26"/>
      <c r="BI494" s="26"/>
      <c r="BJ494" s="26"/>
      <c r="BK494" s="26"/>
      <c r="BL494" s="26"/>
      <c r="BM494" s="26"/>
    </row>
    <row r="495" spans="1:65" ht="45" x14ac:dyDescent="0.25">
      <c r="A495" s="163">
        <v>253</v>
      </c>
      <c r="B495" s="155" t="s">
        <v>1622</v>
      </c>
      <c r="C495" s="22" t="s">
        <v>1205</v>
      </c>
      <c r="D495" s="81" t="s">
        <v>128</v>
      </c>
      <c r="E495" s="22" t="s">
        <v>124</v>
      </c>
      <c r="F495" s="33" t="s">
        <v>1623</v>
      </c>
      <c r="G495" s="33" t="s">
        <v>1633</v>
      </c>
      <c r="H495" s="23" t="s">
        <v>1203</v>
      </c>
      <c r="I495" s="35">
        <v>43270</v>
      </c>
      <c r="J495" s="35">
        <v>43635</v>
      </c>
      <c r="K495" s="24" t="s">
        <v>1621</v>
      </c>
      <c r="L495" s="140" t="s">
        <v>360</v>
      </c>
      <c r="M495" s="43" t="s">
        <v>229</v>
      </c>
      <c r="N495" s="61">
        <v>43270</v>
      </c>
      <c r="O495" s="77">
        <v>9560</v>
      </c>
      <c r="P495" s="76">
        <v>12332</v>
      </c>
      <c r="Q495" s="61">
        <v>43270</v>
      </c>
      <c r="R495" s="61">
        <v>43465</v>
      </c>
      <c r="S495" s="43" t="s">
        <v>1456</v>
      </c>
      <c r="T495" s="22"/>
      <c r="U495" s="25"/>
      <c r="V495" s="25"/>
      <c r="W495" s="33" t="s">
        <v>787</v>
      </c>
      <c r="X495" s="33"/>
      <c r="Y495" s="22"/>
      <c r="Z495" s="22"/>
      <c r="AA495" s="22"/>
      <c r="AB495" s="33"/>
      <c r="AC495" s="22"/>
      <c r="AD495" s="22"/>
      <c r="AE495" s="22"/>
      <c r="AF495" s="22"/>
      <c r="AG495" s="25"/>
      <c r="AH495" s="25"/>
      <c r="AI495" s="25"/>
      <c r="AJ495" s="25"/>
      <c r="AK495" s="25"/>
      <c r="AL495" s="74">
        <f t="shared" si="8"/>
        <v>9560</v>
      </c>
      <c r="AM495" s="25"/>
      <c r="AN495" s="25">
        <f>9560</f>
        <v>9560</v>
      </c>
      <c r="AO495" s="77">
        <f t="shared" si="7"/>
        <v>9560</v>
      </c>
      <c r="AP495" s="22"/>
      <c r="AQ495" s="22"/>
      <c r="AR495" s="22"/>
      <c r="AS495" s="22"/>
      <c r="AT495" s="22"/>
      <c r="AU495" s="26"/>
      <c r="AV495" s="26"/>
      <c r="AW495" s="22"/>
      <c r="AX495" s="26"/>
      <c r="AY495" s="26"/>
      <c r="AZ495" s="26"/>
      <c r="BA495" s="26"/>
      <c r="BB495" s="26"/>
      <c r="BC495" s="60"/>
      <c r="BD495" s="26"/>
      <c r="BE495" s="26"/>
      <c r="BF495" s="26"/>
      <c r="BG495" s="26"/>
      <c r="BH495" s="26"/>
      <c r="BI495" s="26"/>
      <c r="BJ495" s="26"/>
      <c r="BK495" s="26"/>
      <c r="BL495" s="26"/>
      <c r="BM495" s="26"/>
    </row>
    <row r="496" spans="1:65" ht="45" x14ac:dyDescent="0.25">
      <c r="A496" s="163">
        <v>254</v>
      </c>
      <c r="B496" s="155" t="s">
        <v>1622</v>
      </c>
      <c r="C496" s="22" t="s">
        <v>1205</v>
      </c>
      <c r="D496" s="81" t="s">
        <v>128</v>
      </c>
      <c r="E496" s="22" t="s">
        <v>124</v>
      </c>
      <c r="F496" s="33" t="s">
        <v>1623</v>
      </c>
      <c r="G496" s="33" t="s">
        <v>1633</v>
      </c>
      <c r="H496" s="23" t="s">
        <v>1203</v>
      </c>
      <c r="I496" s="35">
        <v>43270</v>
      </c>
      <c r="J496" s="35">
        <v>43635</v>
      </c>
      <c r="K496" s="24" t="s">
        <v>1624</v>
      </c>
      <c r="L496" s="140" t="s">
        <v>238</v>
      </c>
      <c r="M496" s="43" t="s">
        <v>239</v>
      </c>
      <c r="N496" s="61">
        <v>43270</v>
      </c>
      <c r="O496" s="77">
        <v>375085</v>
      </c>
      <c r="P496" s="76">
        <v>12336</v>
      </c>
      <c r="Q496" s="61">
        <v>43270</v>
      </c>
      <c r="R496" s="61">
        <v>43465</v>
      </c>
      <c r="S496" s="43" t="s">
        <v>1456</v>
      </c>
      <c r="T496" s="22"/>
      <c r="U496" s="25"/>
      <c r="V496" s="25"/>
      <c r="W496" s="33" t="s">
        <v>787</v>
      </c>
      <c r="X496" s="33"/>
      <c r="Y496" s="22"/>
      <c r="Z496" s="22"/>
      <c r="AA496" s="22"/>
      <c r="AB496" s="33"/>
      <c r="AC496" s="22"/>
      <c r="AD496" s="22"/>
      <c r="AE496" s="22"/>
      <c r="AF496" s="22"/>
      <c r="AG496" s="25"/>
      <c r="AH496" s="25"/>
      <c r="AI496" s="25"/>
      <c r="AJ496" s="25"/>
      <c r="AK496" s="25"/>
      <c r="AL496" s="74">
        <f t="shared" si="8"/>
        <v>375085</v>
      </c>
      <c r="AM496" s="25"/>
      <c r="AN496" s="25">
        <f>206160+168925</f>
        <v>375085</v>
      </c>
      <c r="AO496" s="77">
        <f t="shared" si="7"/>
        <v>375085</v>
      </c>
      <c r="AP496" s="22"/>
      <c r="AQ496" s="22"/>
      <c r="AR496" s="22"/>
      <c r="AS496" s="22"/>
      <c r="AT496" s="22"/>
      <c r="AU496" s="26"/>
      <c r="AV496" s="26"/>
      <c r="AW496" s="22"/>
      <c r="AX496" s="26"/>
      <c r="AY496" s="26"/>
      <c r="AZ496" s="26"/>
      <c r="BA496" s="26"/>
      <c r="BB496" s="26"/>
      <c r="BC496" s="60"/>
      <c r="BD496" s="26"/>
      <c r="BE496" s="26"/>
      <c r="BF496" s="26"/>
      <c r="BG496" s="26"/>
      <c r="BH496" s="26"/>
      <c r="BI496" s="26"/>
      <c r="BJ496" s="26"/>
      <c r="BK496" s="26"/>
      <c r="BL496" s="26"/>
      <c r="BM496" s="26"/>
    </row>
    <row r="497" spans="1:65" ht="45" x14ac:dyDescent="0.25">
      <c r="A497" s="163">
        <v>255</v>
      </c>
      <c r="B497" s="155" t="s">
        <v>1622</v>
      </c>
      <c r="C497" s="22" t="s">
        <v>1205</v>
      </c>
      <c r="D497" s="81" t="s">
        <v>128</v>
      </c>
      <c r="E497" s="22" t="s">
        <v>124</v>
      </c>
      <c r="F497" s="33" t="s">
        <v>1623</v>
      </c>
      <c r="G497" s="33" t="s">
        <v>1633</v>
      </c>
      <c r="H497" s="23" t="s">
        <v>1203</v>
      </c>
      <c r="I497" s="35">
        <v>43270</v>
      </c>
      <c r="J497" s="35">
        <v>43635</v>
      </c>
      <c r="K497" s="24" t="s">
        <v>1625</v>
      </c>
      <c r="L497" s="140" t="s">
        <v>645</v>
      </c>
      <c r="M497" s="43" t="s">
        <v>646</v>
      </c>
      <c r="N497" s="61">
        <v>43270</v>
      </c>
      <c r="O497" s="77">
        <v>22500</v>
      </c>
      <c r="P497" s="76">
        <v>12332</v>
      </c>
      <c r="Q497" s="61">
        <v>43270</v>
      </c>
      <c r="R497" s="61">
        <v>43465</v>
      </c>
      <c r="S497" s="43" t="s">
        <v>1456</v>
      </c>
      <c r="T497" s="22"/>
      <c r="U497" s="25"/>
      <c r="V497" s="25"/>
      <c r="W497" s="33" t="s">
        <v>787</v>
      </c>
      <c r="X497" s="33"/>
      <c r="Y497" s="22"/>
      <c r="Z497" s="22"/>
      <c r="AA497" s="22"/>
      <c r="AB497" s="33"/>
      <c r="AC497" s="22"/>
      <c r="AD497" s="22"/>
      <c r="AE497" s="22"/>
      <c r="AF497" s="22"/>
      <c r="AG497" s="25"/>
      <c r="AH497" s="25"/>
      <c r="AI497" s="25"/>
      <c r="AJ497" s="25"/>
      <c r="AK497" s="25"/>
      <c r="AL497" s="74">
        <f t="shared" si="8"/>
        <v>22500</v>
      </c>
      <c r="AM497" s="25"/>
      <c r="AN497" s="25">
        <f>5940+16560</f>
        <v>22500</v>
      </c>
      <c r="AO497" s="77">
        <f t="shared" si="7"/>
        <v>22500</v>
      </c>
      <c r="AP497" s="22"/>
      <c r="AQ497" s="22"/>
      <c r="AR497" s="22"/>
      <c r="AS497" s="22"/>
      <c r="AT497" s="22"/>
      <c r="AU497" s="26"/>
      <c r="AV497" s="26"/>
      <c r="AW497" s="22"/>
      <c r="AX497" s="26"/>
      <c r="AY497" s="26"/>
      <c r="AZ497" s="26"/>
      <c r="BA497" s="26"/>
      <c r="BB497" s="26"/>
      <c r="BC497" s="60"/>
      <c r="BD497" s="26"/>
      <c r="BE497" s="26"/>
      <c r="BF497" s="26"/>
      <c r="BG497" s="26"/>
      <c r="BH497" s="26"/>
      <c r="BI497" s="26"/>
      <c r="BJ497" s="26"/>
      <c r="BK497" s="26"/>
      <c r="BL497" s="26"/>
      <c r="BM497" s="26"/>
    </row>
    <row r="498" spans="1:65" ht="45" x14ac:dyDescent="0.25">
      <c r="A498" s="163">
        <v>256</v>
      </c>
      <c r="B498" s="155" t="s">
        <v>1622</v>
      </c>
      <c r="C498" s="22" t="s">
        <v>1205</v>
      </c>
      <c r="D498" s="81" t="s">
        <v>128</v>
      </c>
      <c r="E498" s="22" t="s">
        <v>124</v>
      </c>
      <c r="F498" s="33" t="s">
        <v>1623</v>
      </c>
      <c r="G498" s="33" t="s">
        <v>1633</v>
      </c>
      <c r="H498" s="23" t="s">
        <v>1203</v>
      </c>
      <c r="I498" s="35">
        <v>43270</v>
      </c>
      <c r="J498" s="35">
        <v>43635</v>
      </c>
      <c r="K498" s="24" t="s">
        <v>1626</v>
      </c>
      <c r="L498" s="140" t="s">
        <v>1627</v>
      </c>
      <c r="M498" s="43" t="s">
        <v>1628</v>
      </c>
      <c r="N498" s="61">
        <v>43270</v>
      </c>
      <c r="O498" s="77">
        <v>33500</v>
      </c>
      <c r="P498" s="76">
        <v>12332</v>
      </c>
      <c r="Q498" s="61">
        <v>43270</v>
      </c>
      <c r="R498" s="61">
        <v>43465</v>
      </c>
      <c r="S498" s="43" t="s">
        <v>1456</v>
      </c>
      <c r="T498" s="22"/>
      <c r="U498" s="25"/>
      <c r="V498" s="25"/>
      <c r="W498" s="33" t="s">
        <v>787</v>
      </c>
      <c r="X498" s="33"/>
      <c r="Y498" s="22"/>
      <c r="Z498" s="22"/>
      <c r="AA498" s="22"/>
      <c r="AB498" s="33"/>
      <c r="AC498" s="22"/>
      <c r="AD498" s="22"/>
      <c r="AE498" s="22"/>
      <c r="AF498" s="22"/>
      <c r="AG498" s="25"/>
      <c r="AH498" s="25"/>
      <c r="AI498" s="25"/>
      <c r="AJ498" s="25"/>
      <c r="AK498" s="25"/>
      <c r="AL498" s="74">
        <f t="shared" si="8"/>
        <v>33500</v>
      </c>
      <c r="AM498" s="25"/>
      <c r="AN498" s="25">
        <f>33500</f>
        <v>33500</v>
      </c>
      <c r="AO498" s="77">
        <f t="shared" si="7"/>
        <v>33500</v>
      </c>
      <c r="AP498" s="22"/>
      <c r="AQ498" s="22"/>
      <c r="AR498" s="22"/>
      <c r="AS498" s="22"/>
      <c r="AT498" s="22"/>
      <c r="AU498" s="26"/>
      <c r="AV498" s="26"/>
      <c r="AW498" s="22"/>
      <c r="AX498" s="26"/>
      <c r="AY498" s="26"/>
      <c r="AZ498" s="26"/>
      <c r="BA498" s="26"/>
      <c r="BB498" s="26"/>
      <c r="BC498" s="60"/>
      <c r="BD498" s="26"/>
      <c r="BE498" s="26"/>
      <c r="BF498" s="26"/>
      <c r="BG498" s="26"/>
      <c r="BH498" s="26"/>
      <c r="BI498" s="26"/>
      <c r="BJ498" s="26"/>
      <c r="BK498" s="26"/>
      <c r="BL498" s="26"/>
      <c r="BM498" s="26"/>
    </row>
    <row r="499" spans="1:65" ht="45" x14ac:dyDescent="0.25">
      <c r="A499" s="163">
        <v>257</v>
      </c>
      <c r="B499" s="155" t="s">
        <v>1629</v>
      </c>
      <c r="C499" s="22" t="s">
        <v>1207</v>
      </c>
      <c r="D499" s="81" t="s">
        <v>128</v>
      </c>
      <c r="E499" s="22" t="s">
        <v>124</v>
      </c>
      <c r="F499" s="33" t="s">
        <v>1631</v>
      </c>
      <c r="G499" s="33" t="s">
        <v>1634</v>
      </c>
      <c r="H499" s="23" t="s">
        <v>1198</v>
      </c>
      <c r="I499" s="35">
        <v>43230</v>
      </c>
      <c r="J499" s="35">
        <v>43595</v>
      </c>
      <c r="K499" s="24" t="s">
        <v>1630</v>
      </c>
      <c r="L499" s="140" t="s">
        <v>360</v>
      </c>
      <c r="M499" s="43" t="s">
        <v>229</v>
      </c>
      <c r="N499" s="61">
        <v>43270</v>
      </c>
      <c r="O499" s="77">
        <v>83325</v>
      </c>
      <c r="P499" s="76">
        <v>12334</v>
      </c>
      <c r="Q499" s="61">
        <v>43270</v>
      </c>
      <c r="R499" s="61">
        <v>43465</v>
      </c>
      <c r="S499" s="43" t="s">
        <v>1456</v>
      </c>
      <c r="T499" s="22"/>
      <c r="U499" s="25"/>
      <c r="V499" s="25"/>
      <c r="W499" s="33" t="s">
        <v>787</v>
      </c>
      <c r="X499" s="33"/>
      <c r="Y499" s="22"/>
      <c r="Z499" s="22"/>
      <c r="AA499" s="22"/>
      <c r="AB499" s="33"/>
      <c r="AC499" s="22"/>
      <c r="AD499" s="22"/>
      <c r="AE499" s="22"/>
      <c r="AF499" s="22"/>
      <c r="AG499" s="25"/>
      <c r="AH499" s="25"/>
      <c r="AI499" s="25"/>
      <c r="AJ499" s="25"/>
      <c r="AK499" s="25"/>
      <c r="AL499" s="74">
        <f t="shared" si="8"/>
        <v>83325</v>
      </c>
      <c r="AM499" s="25"/>
      <c r="AN499" s="25">
        <f>13925+69400</f>
        <v>83325</v>
      </c>
      <c r="AO499" s="77">
        <f t="shared" si="7"/>
        <v>83325</v>
      </c>
      <c r="AP499" s="22"/>
      <c r="AQ499" s="22"/>
      <c r="AR499" s="22"/>
      <c r="AS499" s="22"/>
      <c r="AT499" s="22"/>
      <c r="AU499" s="26"/>
      <c r="AV499" s="26"/>
      <c r="AW499" s="22"/>
      <c r="AX499" s="26"/>
      <c r="AY499" s="26"/>
      <c r="AZ499" s="26"/>
      <c r="BA499" s="26"/>
      <c r="BB499" s="26"/>
      <c r="BC499" s="60"/>
      <c r="BD499" s="26"/>
      <c r="BE499" s="26"/>
      <c r="BF499" s="26"/>
      <c r="BG499" s="26"/>
      <c r="BH499" s="26"/>
      <c r="BI499" s="26"/>
      <c r="BJ499" s="26"/>
      <c r="BK499" s="26"/>
      <c r="BL499" s="26"/>
      <c r="BM499" s="26"/>
    </row>
    <row r="500" spans="1:65" ht="45" x14ac:dyDescent="0.25">
      <c r="A500" s="163">
        <v>258</v>
      </c>
      <c r="B500" s="155" t="s">
        <v>1629</v>
      </c>
      <c r="C500" s="22" t="s">
        <v>1207</v>
      </c>
      <c r="D500" s="81" t="s">
        <v>128</v>
      </c>
      <c r="E500" s="22" t="s">
        <v>124</v>
      </c>
      <c r="F500" s="33" t="s">
        <v>1631</v>
      </c>
      <c r="G500" s="33" t="s">
        <v>1634</v>
      </c>
      <c r="H500" s="23" t="s">
        <v>1198</v>
      </c>
      <c r="I500" s="35">
        <v>43230</v>
      </c>
      <c r="J500" s="35">
        <v>43595</v>
      </c>
      <c r="K500" s="24" t="s">
        <v>1632</v>
      </c>
      <c r="L500" s="140" t="s">
        <v>238</v>
      </c>
      <c r="M500" s="43" t="s">
        <v>239</v>
      </c>
      <c r="N500" s="61">
        <v>43270</v>
      </c>
      <c r="O500" s="77">
        <v>59012</v>
      </c>
      <c r="P500" s="76">
        <v>12334</v>
      </c>
      <c r="Q500" s="61">
        <v>43270</v>
      </c>
      <c r="R500" s="61">
        <v>43465</v>
      </c>
      <c r="S500" s="43" t="s">
        <v>1456</v>
      </c>
      <c r="T500" s="22"/>
      <c r="U500" s="25"/>
      <c r="V500" s="25"/>
      <c r="W500" s="33" t="s">
        <v>787</v>
      </c>
      <c r="X500" s="33"/>
      <c r="Y500" s="22"/>
      <c r="Z500" s="22"/>
      <c r="AA500" s="22"/>
      <c r="AB500" s="33"/>
      <c r="AC500" s="22"/>
      <c r="AD500" s="22"/>
      <c r="AE500" s="22"/>
      <c r="AF500" s="22"/>
      <c r="AG500" s="25"/>
      <c r="AH500" s="25"/>
      <c r="AI500" s="25"/>
      <c r="AJ500" s="25"/>
      <c r="AK500" s="25"/>
      <c r="AL500" s="74">
        <f t="shared" si="8"/>
        <v>59012</v>
      </c>
      <c r="AM500" s="25"/>
      <c r="AN500" s="25">
        <f>47800+11212</f>
        <v>59012</v>
      </c>
      <c r="AO500" s="77">
        <f t="shared" si="7"/>
        <v>59012</v>
      </c>
      <c r="AP500" s="22"/>
      <c r="AQ500" s="22"/>
      <c r="AR500" s="22"/>
      <c r="AS500" s="22"/>
      <c r="AT500" s="22"/>
      <c r="AU500" s="26"/>
      <c r="AV500" s="26"/>
      <c r="AW500" s="26"/>
      <c r="AX500" s="26"/>
      <c r="AY500" s="26"/>
      <c r="AZ500" s="26"/>
      <c r="BA500" s="26"/>
      <c r="BB500" s="26"/>
      <c r="BC500" s="60"/>
      <c r="BD500" s="26"/>
      <c r="BE500" s="26"/>
      <c r="BF500" s="26"/>
      <c r="BG500" s="26"/>
      <c r="BH500" s="26"/>
      <c r="BI500" s="26"/>
      <c r="BJ500" s="26"/>
      <c r="BK500" s="26"/>
      <c r="BL500" s="26"/>
      <c r="BM500" s="26"/>
    </row>
    <row r="501" spans="1:65" ht="45" x14ac:dyDescent="0.25">
      <c r="A501" s="163">
        <v>259</v>
      </c>
      <c r="B501" s="155" t="s">
        <v>1629</v>
      </c>
      <c r="C501" s="22" t="s">
        <v>1207</v>
      </c>
      <c r="D501" s="81" t="s">
        <v>128</v>
      </c>
      <c r="E501" s="22" t="s">
        <v>124</v>
      </c>
      <c r="F501" s="33" t="s">
        <v>1631</v>
      </c>
      <c r="G501" s="33" t="s">
        <v>1634</v>
      </c>
      <c r="H501" s="23" t="s">
        <v>1198</v>
      </c>
      <c r="I501" s="35">
        <v>43230</v>
      </c>
      <c r="J501" s="35">
        <v>43595</v>
      </c>
      <c r="K501" s="24" t="s">
        <v>1635</v>
      </c>
      <c r="L501" s="140" t="s">
        <v>645</v>
      </c>
      <c r="M501" s="43" t="s">
        <v>646</v>
      </c>
      <c r="N501" s="61">
        <v>43270</v>
      </c>
      <c r="O501" s="77">
        <v>80100</v>
      </c>
      <c r="P501" s="76">
        <v>12334</v>
      </c>
      <c r="Q501" s="61">
        <v>43270</v>
      </c>
      <c r="R501" s="61">
        <v>43465</v>
      </c>
      <c r="S501" s="43" t="s">
        <v>1456</v>
      </c>
      <c r="T501" s="22"/>
      <c r="U501" s="25"/>
      <c r="V501" s="25"/>
      <c r="W501" s="33" t="s">
        <v>787</v>
      </c>
      <c r="X501" s="33"/>
      <c r="Y501" s="22"/>
      <c r="Z501" s="22"/>
      <c r="AA501" s="22"/>
      <c r="AB501" s="33"/>
      <c r="AC501" s="22"/>
      <c r="AD501" s="22"/>
      <c r="AE501" s="22"/>
      <c r="AF501" s="22"/>
      <c r="AG501" s="25"/>
      <c r="AH501" s="25"/>
      <c r="AI501" s="25"/>
      <c r="AJ501" s="25"/>
      <c r="AK501" s="25"/>
      <c r="AL501" s="74">
        <f t="shared" si="8"/>
        <v>80100</v>
      </c>
      <c r="AM501" s="25"/>
      <c r="AN501" s="25">
        <f>13000+53400+13700</f>
        <v>80100</v>
      </c>
      <c r="AO501" s="77">
        <f t="shared" si="7"/>
        <v>80100</v>
      </c>
      <c r="AP501" s="37"/>
      <c r="AQ501" s="22"/>
      <c r="AR501" s="22"/>
      <c r="AS501" s="22"/>
      <c r="AT501" s="22"/>
      <c r="AU501" s="26"/>
      <c r="AV501" s="26"/>
      <c r="AW501" s="26"/>
      <c r="AX501" s="26"/>
      <c r="AY501" s="26"/>
      <c r="AZ501" s="26"/>
      <c r="BA501" s="26"/>
      <c r="BB501" s="26"/>
      <c r="BC501" s="60"/>
      <c r="BD501" s="26"/>
      <c r="BE501" s="26"/>
      <c r="BF501" s="26"/>
      <c r="BG501" s="26"/>
      <c r="BH501" s="26"/>
      <c r="BI501" s="26"/>
      <c r="BJ501" s="26"/>
      <c r="BK501" s="26"/>
      <c r="BL501" s="26"/>
      <c r="BM501" s="26"/>
    </row>
    <row r="502" spans="1:65" ht="30" x14ac:dyDescent="0.25">
      <c r="A502" s="163">
        <v>260</v>
      </c>
      <c r="B502" s="155" t="s">
        <v>1506</v>
      </c>
      <c r="C502" s="22" t="s">
        <v>1179</v>
      </c>
      <c r="D502" s="81" t="s">
        <v>128</v>
      </c>
      <c r="E502" s="22" t="s">
        <v>124</v>
      </c>
      <c r="F502" s="33" t="s">
        <v>1507</v>
      </c>
      <c r="G502" s="33" t="s">
        <v>1513</v>
      </c>
      <c r="H502" s="26" t="s">
        <v>1187</v>
      </c>
      <c r="I502" s="35">
        <v>43213</v>
      </c>
      <c r="J502" s="35">
        <v>43578</v>
      </c>
      <c r="K502" s="24" t="s">
        <v>1636</v>
      </c>
      <c r="L502" s="140" t="s">
        <v>1491</v>
      </c>
      <c r="M502" s="43" t="s">
        <v>1492</v>
      </c>
      <c r="N502" s="61">
        <v>43272</v>
      </c>
      <c r="O502" s="77">
        <v>4100</v>
      </c>
      <c r="P502" s="76">
        <v>12334</v>
      </c>
      <c r="Q502" s="61">
        <v>43272</v>
      </c>
      <c r="R502" s="61">
        <v>43465</v>
      </c>
      <c r="S502" s="43" t="s">
        <v>243</v>
      </c>
      <c r="T502" s="22"/>
      <c r="U502" s="25"/>
      <c r="V502" s="25"/>
      <c r="W502" s="33" t="s">
        <v>214</v>
      </c>
      <c r="X502" s="33"/>
      <c r="Y502" s="22"/>
      <c r="Z502" s="22"/>
      <c r="AA502" s="22"/>
      <c r="AB502" s="33"/>
      <c r="AC502" s="22"/>
      <c r="AD502" s="22"/>
      <c r="AE502" s="22"/>
      <c r="AF502" s="22"/>
      <c r="AG502" s="25"/>
      <c r="AH502" s="25"/>
      <c r="AI502" s="25"/>
      <c r="AJ502" s="25"/>
      <c r="AK502" s="25"/>
      <c r="AL502" s="74">
        <f t="shared" si="8"/>
        <v>4100</v>
      </c>
      <c r="AM502" s="25"/>
      <c r="AN502" s="25">
        <f>4100</f>
        <v>4100</v>
      </c>
      <c r="AO502" s="77">
        <f t="shared" si="7"/>
        <v>4100</v>
      </c>
      <c r="AP502" s="22"/>
      <c r="AQ502" s="22"/>
      <c r="AR502" s="22"/>
      <c r="AS502" s="22"/>
      <c r="AT502" s="22"/>
      <c r="AU502" s="26"/>
      <c r="AV502" s="26"/>
      <c r="AW502" s="26"/>
      <c r="AX502" s="26"/>
      <c r="AY502" s="26"/>
      <c r="AZ502" s="26"/>
      <c r="BA502" s="26"/>
      <c r="BB502" s="26"/>
      <c r="BC502" s="60"/>
      <c r="BD502" s="26"/>
      <c r="BE502" s="26"/>
      <c r="BF502" s="26"/>
      <c r="BG502" s="26"/>
      <c r="BH502" s="26"/>
      <c r="BI502" s="26"/>
      <c r="BJ502" s="26"/>
      <c r="BK502" s="26"/>
      <c r="BL502" s="26"/>
      <c r="BM502" s="26"/>
    </row>
    <row r="503" spans="1:65" ht="60" x14ac:dyDescent="0.25">
      <c r="A503" s="163">
        <v>261</v>
      </c>
      <c r="B503" s="155" t="s">
        <v>1638</v>
      </c>
      <c r="C503" s="22" t="s">
        <v>1185</v>
      </c>
      <c r="D503" s="81" t="s">
        <v>240</v>
      </c>
      <c r="E503" s="22"/>
      <c r="F503" s="33" t="s">
        <v>1639</v>
      </c>
      <c r="G503" s="33"/>
      <c r="H503" s="23"/>
      <c r="I503" s="23"/>
      <c r="J503" s="23"/>
      <c r="K503" s="24" t="s">
        <v>1637</v>
      </c>
      <c r="L503" s="140" t="s">
        <v>379</v>
      </c>
      <c r="M503" s="43" t="s">
        <v>222</v>
      </c>
      <c r="N503" s="61">
        <v>43280</v>
      </c>
      <c r="O503" s="77">
        <v>51680</v>
      </c>
      <c r="P503" s="76">
        <v>12338</v>
      </c>
      <c r="Q503" s="61">
        <v>43280</v>
      </c>
      <c r="R503" s="61">
        <v>43465</v>
      </c>
      <c r="S503" s="43" t="s">
        <v>243</v>
      </c>
      <c r="T503" s="22"/>
      <c r="U503" s="25"/>
      <c r="V503" s="25"/>
      <c r="W503" s="33" t="s">
        <v>184</v>
      </c>
      <c r="X503" s="33"/>
      <c r="Y503" s="22"/>
      <c r="Z503" s="22"/>
      <c r="AA503" s="22"/>
      <c r="AB503" s="33"/>
      <c r="AC503" s="22"/>
      <c r="AD503" s="22"/>
      <c r="AE503" s="22"/>
      <c r="AF503" s="22"/>
      <c r="AG503" s="25"/>
      <c r="AH503" s="25"/>
      <c r="AI503" s="25"/>
      <c r="AJ503" s="25"/>
      <c r="AK503" s="25"/>
      <c r="AL503" s="74">
        <f t="shared" si="8"/>
        <v>51680</v>
      </c>
      <c r="AM503" s="25"/>
      <c r="AN503" s="25">
        <v>51680</v>
      </c>
      <c r="AO503" s="77">
        <f t="shared" si="7"/>
        <v>51680</v>
      </c>
      <c r="AP503" s="22"/>
      <c r="AQ503" s="22"/>
      <c r="AR503" s="22"/>
      <c r="AS503" s="22"/>
      <c r="AT503" s="22"/>
      <c r="AU503" s="26"/>
      <c r="AV503" s="26" t="s">
        <v>121</v>
      </c>
      <c r="AW503" s="22" t="s">
        <v>1666</v>
      </c>
      <c r="AX503" s="26"/>
      <c r="AY503" s="26"/>
      <c r="AZ503" s="64">
        <v>12343</v>
      </c>
      <c r="BA503" s="63">
        <v>43294</v>
      </c>
      <c r="BB503" s="26"/>
      <c r="BC503" s="60"/>
      <c r="BD503" s="26"/>
      <c r="BE503" s="26"/>
      <c r="BF503" s="26"/>
      <c r="BG503" s="26"/>
      <c r="BH503" s="26"/>
      <c r="BI503" s="26"/>
      <c r="BJ503" s="26"/>
      <c r="BK503" s="26"/>
      <c r="BL503" s="26"/>
      <c r="BM503" s="26"/>
    </row>
    <row r="504" spans="1:65" ht="150" x14ac:dyDescent="0.25">
      <c r="A504" s="163">
        <v>262</v>
      </c>
      <c r="B504" s="155" t="s">
        <v>1641</v>
      </c>
      <c r="C504" s="22" t="s">
        <v>1312</v>
      </c>
      <c r="D504" s="81" t="s">
        <v>128</v>
      </c>
      <c r="E504" s="22" t="s">
        <v>124</v>
      </c>
      <c r="F504" s="33" t="s">
        <v>1643</v>
      </c>
      <c r="G504" s="33" t="s">
        <v>1715</v>
      </c>
      <c r="H504" s="23" t="s">
        <v>1202</v>
      </c>
      <c r="I504" s="35">
        <v>43269</v>
      </c>
      <c r="J504" s="35">
        <v>43634</v>
      </c>
      <c r="K504" s="24" t="s">
        <v>1640</v>
      </c>
      <c r="L504" s="140" t="s">
        <v>1642</v>
      </c>
      <c r="M504" s="43" t="s">
        <v>131</v>
      </c>
      <c r="N504" s="61">
        <v>43280</v>
      </c>
      <c r="O504" s="77">
        <v>1342080</v>
      </c>
      <c r="P504" s="76">
        <v>12337</v>
      </c>
      <c r="Q504" s="61">
        <v>43282</v>
      </c>
      <c r="R504" s="61">
        <v>43465</v>
      </c>
      <c r="S504" s="43" t="s">
        <v>1196</v>
      </c>
      <c r="T504" s="22"/>
      <c r="U504" s="25"/>
      <c r="V504" s="25"/>
      <c r="W504" s="33" t="s">
        <v>1191</v>
      </c>
      <c r="X504" s="33"/>
      <c r="Y504" s="22"/>
      <c r="Z504" s="22"/>
      <c r="AA504" s="22"/>
      <c r="AB504" s="33"/>
      <c r="AC504" s="22"/>
      <c r="AD504" s="22"/>
      <c r="AE504" s="22"/>
      <c r="AF504" s="22"/>
      <c r="AG504" s="25"/>
      <c r="AH504" s="25"/>
      <c r="AI504" s="25"/>
      <c r="AJ504" s="25"/>
      <c r="AK504" s="25"/>
      <c r="AL504" s="74">
        <f t="shared" si="8"/>
        <v>1342080</v>
      </c>
      <c r="AM504" s="25"/>
      <c r="AN504" s="25">
        <f>126752+128678.12+130480+130480</f>
        <v>516390.12</v>
      </c>
      <c r="AO504" s="77">
        <f t="shared" si="7"/>
        <v>516390.12</v>
      </c>
      <c r="AP504" s="37"/>
      <c r="AQ504" s="22"/>
      <c r="AR504" s="22"/>
      <c r="AS504" s="22"/>
      <c r="AT504" s="22"/>
      <c r="AU504" s="26"/>
      <c r="AV504" s="26"/>
      <c r="AW504" s="26"/>
      <c r="AX504" s="26"/>
      <c r="AY504" s="26"/>
      <c r="AZ504" s="26"/>
      <c r="BA504" s="26"/>
      <c r="BB504" s="26"/>
      <c r="BC504" s="60"/>
      <c r="BD504" s="26"/>
      <c r="BE504" s="26"/>
      <c r="BF504" s="26"/>
      <c r="BG504" s="26"/>
      <c r="BH504" s="26"/>
      <c r="BI504" s="26"/>
      <c r="BJ504" s="26"/>
      <c r="BK504" s="26"/>
      <c r="BL504" s="26"/>
      <c r="BM504" s="26"/>
    </row>
    <row r="505" spans="1:65" ht="60" x14ac:dyDescent="0.25">
      <c r="A505" s="163">
        <v>263</v>
      </c>
      <c r="B505" s="155" t="s">
        <v>1067</v>
      </c>
      <c r="C505" s="22" t="s">
        <v>784</v>
      </c>
      <c r="D505" s="81" t="s">
        <v>128</v>
      </c>
      <c r="E505" s="22" t="s">
        <v>124</v>
      </c>
      <c r="F505" s="33" t="s">
        <v>1068</v>
      </c>
      <c r="G505" s="33" t="s">
        <v>1070</v>
      </c>
      <c r="H505" s="23" t="s">
        <v>758</v>
      </c>
      <c r="I505" s="35">
        <v>42997</v>
      </c>
      <c r="J505" s="35">
        <v>43362</v>
      </c>
      <c r="K505" s="24" t="s">
        <v>1644</v>
      </c>
      <c r="L505" s="140" t="s">
        <v>379</v>
      </c>
      <c r="M505" s="43" t="s">
        <v>222</v>
      </c>
      <c r="N505" s="61">
        <v>43284</v>
      </c>
      <c r="O505" s="77">
        <v>71865</v>
      </c>
      <c r="P505" s="76">
        <v>12340</v>
      </c>
      <c r="Q505" s="61">
        <v>43284</v>
      </c>
      <c r="R505" s="61">
        <v>43465</v>
      </c>
      <c r="S505" s="43" t="s">
        <v>1069</v>
      </c>
      <c r="T505" s="22"/>
      <c r="U505" s="25"/>
      <c r="V505" s="25"/>
      <c r="W505" s="33" t="s">
        <v>1645</v>
      </c>
      <c r="X505" s="33"/>
      <c r="Y505" s="22"/>
      <c r="Z505" s="22"/>
      <c r="AA505" s="22"/>
      <c r="AB505" s="33"/>
      <c r="AC505" s="22"/>
      <c r="AD505" s="22"/>
      <c r="AE505" s="22"/>
      <c r="AF505" s="22"/>
      <c r="AG505" s="25"/>
      <c r="AH505" s="25"/>
      <c r="AI505" s="25"/>
      <c r="AJ505" s="25"/>
      <c r="AK505" s="25"/>
      <c r="AL505" s="74">
        <f t="shared" si="8"/>
        <v>71865</v>
      </c>
      <c r="AM505" s="25"/>
      <c r="AN505" s="25">
        <f>71865</f>
        <v>71865</v>
      </c>
      <c r="AO505" s="77">
        <f t="shared" si="7"/>
        <v>71865</v>
      </c>
      <c r="AP505" s="22"/>
      <c r="AQ505" s="22"/>
      <c r="AR505" s="22"/>
      <c r="AS505" s="22"/>
      <c r="AT505" s="22"/>
      <c r="AU505" s="26"/>
      <c r="AV505" s="26"/>
      <c r="AW505" s="26"/>
      <c r="AX505" s="26"/>
      <c r="AY505" s="26"/>
      <c r="AZ505" s="26"/>
      <c r="BA505" s="26"/>
      <c r="BB505" s="26"/>
      <c r="BC505" s="60"/>
      <c r="BD505" s="26"/>
      <c r="BE505" s="26"/>
      <c r="BF505" s="26"/>
      <c r="BG505" s="26"/>
      <c r="BH505" s="26"/>
      <c r="BI505" s="26"/>
      <c r="BJ505" s="26"/>
      <c r="BK505" s="26"/>
      <c r="BL505" s="26"/>
      <c r="BM505" s="26"/>
    </row>
    <row r="506" spans="1:65" ht="90" x14ac:dyDescent="0.25">
      <c r="A506" s="163">
        <v>264</v>
      </c>
      <c r="B506" s="155" t="s">
        <v>1308</v>
      </c>
      <c r="C506" s="22" t="s">
        <v>1181</v>
      </c>
      <c r="D506" s="81" t="s">
        <v>128</v>
      </c>
      <c r="E506" s="22" t="s">
        <v>124</v>
      </c>
      <c r="F506" s="33" t="s">
        <v>1309</v>
      </c>
      <c r="G506" s="33" t="s">
        <v>1350</v>
      </c>
      <c r="H506" s="23" t="s">
        <v>1174</v>
      </c>
      <c r="I506" s="35">
        <v>43154</v>
      </c>
      <c r="J506" s="35">
        <v>43519</v>
      </c>
      <c r="K506" s="24" t="s">
        <v>1646</v>
      </c>
      <c r="L506" s="140" t="s">
        <v>1001</v>
      </c>
      <c r="M506" s="43" t="s">
        <v>1002</v>
      </c>
      <c r="N506" s="61">
        <v>43284</v>
      </c>
      <c r="O506" s="77">
        <v>6750</v>
      </c>
      <c r="P506" s="76">
        <v>12340</v>
      </c>
      <c r="Q506" s="61">
        <v>43284</v>
      </c>
      <c r="R506" s="61">
        <v>43465</v>
      </c>
      <c r="S506" s="43" t="s">
        <v>1196</v>
      </c>
      <c r="T506" s="22"/>
      <c r="U506" s="25"/>
      <c r="V506" s="25"/>
      <c r="W506" s="33" t="s">
        <v>1191</v>
      </c>
      <c r="X506" s="33"/>
      <c r="Y506" s="22"/>
      <c r="Z506" s="22"/>
      <c r="AA506" s="22"/>
      <c r="AB506" s="33"/>
      <c r="AC506" s="22"/>
      <c r="AD506" s="22"/>
      <c r="AE506" s="22"/>
      <c r="AF506" s="22"/>
      <c r="AG506" s="25"/>
      <c r="AH506" s="25"/>
      <c r="AI506" s="25"/>
      <c r="AJ506" s="25"/>
      <c r="AK506" s="25"/>
      <c r="AL506" s="74">
        <f t="shared" si="8"/>
        <v>6750</v>
      </c>
      <c r="AM506" s="25"/>
      <c r="AN506" s="25">
        <v>6750</v>
      </c>
      <c r="AO506" s="77">
        <f t="shared" si="7"/>
        <v>6750</v>
      </c>
      <c r="AP506" s="22"/>
      <c r="AQ506" s="22"/>
      <c r="AR506" s="22"/>
      <c r="AS506" s="22"/>
      <c r="AT506" s="22"/>
      <c r="AU506" s="26"/>
      <c r="AV506" s="26"/>
      <c r="AW506" s="26"/>
      <c r="AX506" s="26"/>
      <c r="AY506" s="26"/>
      <c r="AZ506" s="26"/>
      <c r="BA506" s="26"/>
      <c r="BB506" s="26"/>
      <c r="BC506" s="60"/>
      <c r="BD506" s="26"/>
      <c r="BE506" s="26"/>
      <c r="BF506" s="26"/>
      <c r="BG506" s="26"/>
      <c r="BH506" s="26"/>
      <c r="BI506" s="26"/>
      <c r="BJ506" s="26"/>
      <c r="BK506" s="26"/>
      <c r="BL506" s="26"/>
      <c r="BM506" s="26"/>
    </row>
    <row r="507" spans="1:65" ht="90" x14ac:dyDescent="0.25">
      <c r="A507" s="163">
        <v>265</v>
      </c>
      <c r="B507" s="155" t="s">
        <v>1648</v>
      </c>
      <c r="C507" s="22" t="s">
        <v>1175</v>
      </c>
      <c r="D507" s="81" t="s">
        <v>1649</v>
      </c>
      <c r="E507" s="22" t="s">
        <v>124</v>
      </c>
      <c r="F507" s="33" t="s">
        <v>1652</v>
      </c>
      <c r="G507" s="33" t="s">
        <v>1667</v>
      </c>
      <c r="H507" s="23"/>
      <c r="I507" s="23"/>
      <c r="J507" s="23"/>
      <c r="K507" s="24" t="s">
        <v>1647</v>
      </c>
      <c r="L507" s="140" t="s">
        <v>1650</v>
      </c>
      <c r="M507" s="43" t="s">
        <v>1651</v>
      </c>
      <c r="N507" s="61">
        <v>43284</v>
      </c>
      <c r="O507" s="77">
        <v>327152</v>
      </c>
      <c r="P507" s="76">
        <v>12343</v>
      </c>
      <c r="Q507" s="61">
        <v>43284</v>
      </c>
      <c r="R507" s="61">
        <v>43465</v>
      </c>
      <c r="S507" s="43" t="s">
        <v>243</v>
      </c>
      <c r="T507" s="22"/>
      <c r="U507" s="25"/>
      <c r="V507" s="25"/>
      <c r="W507" s="33" t="s">
        <v>1191</v>
      </c>
      <c r="X507" s="33"/>
      <c r="Y507" s="22"/>
      <c r="Z507" s="22"/>
      <c r="AA507" s="22"/>
      <c r="AB507" s="33"/>
      <c r="AC507" s="22"/>
      <c r="AD507" s="22"/>
      <c r="AE507" s="22"/>
      <c r="AF507" s="22"/>
      <c r="AG507" s="25"/>
      <c r="AH507" s="25"/>
      <c r="AI507" s="25"/>
      <c r="AJ507" s="25"/>
      <c r="AK507" s="25"/>
      <c r="AL507" s="74">
        <f t="shared" si="8"/>
        <v>327152</v>
      </c>
      <c r="AM507" s="25"/>
      <c r="AN507" s="25">
        <f>81788+163576</f>
        <v>245364</v>
      </c>
      <c r="AO507" s="77">
        <f t="shared" si="7"/>
        <v>245364</v>
      </c>
      <c r="AP507" s="22" t="s">
        <v>1173</v>
      </c>
      <c r="AQ507" s="35">
        <v>43215</v>
      </c>
      <c r="AR507" s="35">
        <v>43580</v>
      </c>
      <c r="AS507" s="34">
        <v>12291</v>
      </c>
      <c r="AT507" s="33" t="s">
        <v>1668</v>
      </c>
      <c r="AU507" s="64">
        <v>12291</v>
      </c>
      <c r="AV507" s="26"/>
      <c r="AW507" s="26"/>
      <c r="AX507" s="26"/>
      <c r="AY507" s="26"/>
      <c r="AZ507" s="26"/>
      <c r="BA507" s="26"/>
      <c r="BB507" s="26"/>
      <c r="BC507" s="60"/>
      <c r="BD507" s="26"/>
      <c r="BE507" s="26"/>
      <c r="BF507" s="26"/>
      <c r="BG507" s="26"/>
      <c r="BH507" s="26"/>
      <c r="BI507" s="26"/>
      <c r="BJ507" s="26"/>
      <c r="BK507" s="26"/>
      <c r="BL507" s="26"/>
      <c r="BM507" s="26"/>
    </row>
    <row r="508" spans="1:65" ht="45" x14ac:dyDescent="0.25">
      <c r="A508" s="163">
        <v>266</v>
      </c>
      <c r="B508" s="155" t="s">
        <v>1653</v>
      </c>
      <c r="C508" s="22" t="s">
        <v>1280</v>
      </c>
      <c r="D508" s="81" t="s">
        <v>128</v>
      </c>
      <c r="E508" s="22" t="s">
        <v>124</v>
      </c>
      <c r="F508" s="33" t="s">
        <v>1657</v>
      </c>
      <c r="G508" s="33" t="s">
        <v>1669</v>
      </c>
      <c r="H508" s="23" t="s">
        <v>1201</v>
      </c>
      <c r="I508" s="35">
        <v>43259</v>
      </c>
      <c r="J508" s="35">
        <v>43624</v>
      </c>
      <c r="K508" s="24" t="s">
        <v>1654</v>
      </c>
      <c r="L508" s="140" t="s">
        <v>1655</v>
      </c>
      <c r="M508" s="43" t="s">
        <v>1656</v>
      </c>
      <c r="N508" s="61">
        <v>43287</v>
      </c>
      <c r="O508" s="77">
        <v>408000</v>
      </c>
      <c r="P508" s="76">
        <v>12341</v>
      </c>
      <c r="Q508" s="61">
        <v>43287</v>
      </c>
      <c r="R508" s="61">
        <v>43465</v>
      </c>
      <c r="S508" s="43" t="s">
        <v>1244</v>
      </c>
      <c r="T508" s="22"/>
      <c r="U508" s="25"/>
      <c r="V508" s="25"/>
      <c r="W508" s="33" t="s">
        <v>787</v>
      </c>
      <c r="X508" s="33"/>
      <c r="Y508" s="22"/>
      <c r="Z508" s="22"/>
      <c r="AA508" s="22"/>
      <c r="AB508" s="33"/>
      <c r="AC508" s="22"/>
      <c r="AD508" s="22"/>
      <c r="AE508" s="22"/>
      <c r="AF508" s="22"/>
      <c r="AG508" s="25"/>
      <c r="AH508" s="25"/>
      <c r="AI508" s="25"/>
      <c r="AJ508" s="25"/>
      <c r="AK508" s="25"/>
      <c r="AL508" s="74">
        <f t="shared" si="8"/>
        <v>408000</v>
      </c>
      <c r="AM508" s="25"/>
      <c r="AN508" s="25">
        <f>11084+14314+12002</f>
        <v>37400</v>
      </c>
      <c r="AO508" s="77">
        <f t="shared" si="7"/>
        <v>37400</v>
      </c>
      <c r="AP508" s="37"/>
      <c r="AQ508" s="22"/>
      <c r="AR508" s="22"/>
      <c r="AS508" s="22"/>
      <c r="AT508" s="22"/>
      <c r="AU508" s="26"/>
      <c r="AV508" s="26"/>
      <c r="AW508" s="26"/>
      <c r="AX508" s="26"/>
      <c r="AY508" s="26"/>
      <c r="AZ508" s="26"/>
      <c r="BA508" s="26"/>
      <c r="BB508" s="26"/>
      <c r="BC508" s="60"/>
      <c r="BD508" s="26"/>
      <c r="BE508" s="26"/>
      <c r="BF508" s="26"/>
      <c r="BG508" s="26"/>
      <c r="BH508" s="26"/>
      <c r="BI508" s="26"/>
      <c r="BJ508" s="26"/>
      <c r="BK508" s="26"/>
      <c r="BL508" s="26"/>
      <c r="BM508" s="26"/>
    </row>
    <row r="509" spans="1:65" ht="30" x14ac:dyDescent="0.25">
      <c r="A509" s="163">
        <v>267</v>
      </c>
      <c r="B509" s="155" t="s">
        <v>1458</v>
      </c>
      <c r="C509" s="22" t="s">
        <v>1180</v>
      </c>
      <c r="D509" s="81" t="s">
        <v>128</v>
      </c>
      <c r="E509" s="22" t="s">
        <v>124</v>
      </c>
      <c r="F509" s="33" t="s">
        <v>1461</v>
      </c>
      <c r="G509" s="33" t="s">
        <v>1513</v>
      </c>
      <c r="H509" s="23" t="s">
        <v>1178</v>
      </c>
      <c r="I509" s="35">
        <v>43178</v>
      </c>
      <c r="J509" s="35">
        <v>43543</v>
      </c>
      <c r="K509" s="24" t="s">
        <v>1659</v>
      </c>
      <c r="L509" s="140" t="s">
        <v>1658</v>
      </c>
      <c r="M509" s="43" t="s">
        <v>361</v>
      </c>
      <c r="N509" s="61">
        <v>43293</v>
      </c>
      <c r="O509" s="77">
        <v>4626.3999999999996</v>
      </c>
      <c r="P509" s="76">
        <v>12346</v>
      </c>
      <c r="Q509" s="61">
        <v>43293</v>
      </c>
      <c r="R509" s="61">
        <v>43465</v>
      </c>
      <c r="S509" s="43" t="s">
        <v>1244</v>
      </c>
      <c r="T509" s="22"/>
      <c r="U509" s="25"/>
      <c r="V509" s="25"/>
      <c r="W509" s="33" t="s">
        <v>184</v>
      </c>
      <c r="X509" s="33"/>
      <c r="Y509" s="22"/>
      <c r="Z509" s="22"/>
      <c r="AA509" s="22"/>
      <c r="AB509" s="33"/>
      <c r="AC509" s="22"/>
      <c r="AD509" s="22"/>
      <c r="AE509" s="22"/>
      <c r="AF509" s="22"/>
      <c r="AG509" s="25"/>
      <c r="AH509" s="25"/>
      <c r="AI509" s="25"/>
      <c r="AJ509" s="25"/>
      <c r="AK509" s="25"/>
      <c r="AL509" s="74">
        <f t="shared" si="8"/>
        <v>4626.3999999999996</v>
      </c>
      <c r="AM509" s="25"/>
      <c r="AN509" s="25">
        <f>4626.4</f>
        <v>4626.3999999999996</v>
      </c>
      <c r="AO509" s="77">
        <f t="shared" si="7"/>
        <v>4626.3999999999996</v>
      </c>
      <c r="AP509" s="22"/>
      <c r="AQ509" s="22"/>
      <c r="AR509" s="22"/>
      <c r="AS509" s="22"/>
      <c r="AT509" s="22"/>
      <c r="AU509" s="26"/>
      <c r="AV509" s="26"/>
      <c r="AW509" s="26"/>
      <c r="AX509" s="26"/>
      <c r="AY509" s="26"/>
      <c r="AZ509" s="26"/>
      <c r="BA509" s="26"/>
      <c r="BB509" s="26"/>
      <c r="BC509" s="60"/>
      <c r="BD509" s="26"/>
      <c r="BE509" s="26"/>
      <c r="BF509" s="26"/>
      <c r="BG509" s="26"/>
      <c r="BH509" s="26"/>
      <c r="BI509" s="26"/>
      <c r="BJ509" s="26"/>
      <c r="BK509" s="26"/>
      <c r="BL509" s="26"/>
      <c r="BM509" s="26"/>
    </row>
    <row r="510" spans="1:65" ht="45" x14ac:dyDescent="0.25">
      <c r="A510" s="163">
        <v>268</v>
      </c>
      <c r="B510" s="155" t="s">
        <v>1141</v>
      </c>
      <c r="C510" s="22" t="s">
        <v>782</v>
      </c>
      <c r="D510" s="81" t="s">
        <v>128</v>
      </c>
      <c r="E510" s="22" t="s">
        <v>124</v>
      </c>
      <c r="F510" s="33" t="s">
        <v>1142</v>
      </c>
      <c r="G510" s="33" t="s">
        <v>1143</v>
      </c>
      <c r="H510" s="23" t="s">
        <v>773</v>
      </c>
      <c r="I510" s="35">
        <v>43031</v>
      </c>
      <c r="J510" s="35">
        <v>43396</v>
      </c>
      <c r="K510" s="24" t="s">
        <v>1660</v>
      </c>
      <c r="L510" s="140" t="s">
        <v>360</v>
      </c>
      <c r="M510" s="43" t="s">
        <v>229</v>
      </c>
      <c r="N510" s="61">
        <v>43293</v>
      </c>
      <c r="O510" s="77">
        <v>434647.4</v>
      </c>
      <c r="P510" s="76">
        <v>12346</v>
      </c>
      <c r="Q510" s="61">
        <v>43293</v>
      </c>
      <c r="R510" s="61">
        <v>43465</v>
      </c>
      <c r="S510" s="43" t="s">
        <v>1196</v>
      </c>
      <c r="T510" s="22"/>
      <c r="U510" s="25"/>
      <c r="V510" s="25"/>
      <c r="W510" s="33" t="s">
        <v>787</v>
      </c>
      <c r="X510" s="33"/>
      <c r="Y510" s="22"/>
      <c r="Z510" s="22"/>
      <c r="AA510" s="22"/>
      <c r="AB510" s="33"/>
      <c r="AC510" s="22"/>
      <c r="AD510" s="22"/>
      <c r="AE510" s="22"/>
      <c r="AF510" s="22"/>
      <c r="AG510" s="25"/>
      <c r="AH510" s="25"/>
      <c r="AI510" s="25"/>
      <c r="AJ510" s="25"/>
      <c r="AK510" s="25"/>
      <c r="AL510" s="74">
        <f t="shared" si="8"/>
        <v>434647.4</v>
      </c>
      <c r="AM510" s="25"/>
      <c r="AN510" s="25">
        <f>211742.44+222904.95</f>
        <v>434647.39</v>
      </c>
      <c r="AO510" s="77">
        <f t="shared" si="7"/>
        <v>434647.39</v>
      </c>
      <c r="AP510" s="22"/>
      <c r="AQ510" s="22"/>
      <c r="AR510" s="22"/>
      <c r="AS510" s="22"/>
      <c r="AT510" s="22"/>
      <c r="AU510" s="26"/>
      <c r="AV510" s="26"/>
      <c r="AW510" s="26"/>
      <c r="AX510" s="26"/>
      <c r="AY510" s="26"/>
      <c r="AZ510" s="26"/>
      <c r="BA510" s="26"/>
      <c r="BB510" s="26"/>
      <c r="BC510" s="60"/>
      <c r="BD510" s="26"/>
      <c r="BE510" s="26"/>
      <c r="BF510" s="26"/>
      <c r="BG510" s="26"/>
      <c r="BH510" s="26"/>
      <c r="BI510" s="26"/>
      <c r="BJ510" s="26"/>
      <c r="BK510" s="26"/>
      <c r="BL510" s="26"/>
      <c r="BM510" s="26"/>
    </row>
    <row r="511" spans="1:65" ht="45" x14ac:dyDescent="0.25">
      <c r="A511" s="163">
        <v>269</v>
      </c>
      <c r="B511" s="155" t="s">
        <v>1223</v>
      </c>
      <c r="C511" s="22" t="s">
        <v>770</v>
      </c>
      <c r="D511" s="81" t="s">
        <v>128</v>
      </c>
      <c r="E511" s="22" t="s">
        <v>124</v>
      </c>
      <c r="F511" s="33" t="s">
        <v>1224</v>
      </c>
      <c r="G511" s="33" t="s">
        <v>1225</v>
      </c>
      <c r="H511" s="23" t="s">
        <v>710</v>
      </c>
      <c r="I511" s="35">
        <v>42990</v>
      </c>
      <c r="J511" s="35">
        <v>43355</v>
      </c>
      <c r="K511" s="24" t="s">
        <v>1661</v>
      </c>
      <c r="L511" s="140" t="s">
        <v>360</v>
      </c>
      <c r="M511" s="43" t="s">
        <v>229</v>
      </c>
      <c r="N511" s="61">
        <v>43293</v>
      </c>
      <c r="O511" s="77">
        <v>22788</v>
      </c>
      <c r="P511" s="76">
        <v>12346</v>
      </c>
      <c r="Q511" s="61">
        <v>43293</v>
      </c>
      <c r="R511" s="61">
        <v>43465</v>
      </c>
      <c r="S511" s="43" t="s">
        <v>1196</v>
      </c>
      <c r="T511" s="22"/>
      <c r="U511" s="25"/>
      <c r="V511" s="25"/>
      <c r="W511" s="33" t="s">
        <v>787</v>
      </c>
      <c r="X511" s="33"/>
      <c r="Y511" s="22"/>
      <c r="Z511" s="22"/>
      <c r="AA511" s="22"/>
      <c r="AB511" s="33"/>
      <c r="AC511" s="22"/>
      <c r="AD511" s="22"/>
      <c r="AE511" s="22"/>
      <c r="AF511" s="22"/>
      <c r="AG511" s="25"/>
      <c r="AH511" s="25"/>
      <c r="AI511" s="25"/>
      <c r="AJ511" s="25"/>
      <c r="AK511" s="25"/>
      <c r="AL511" s="74">
        <f t="shared" si="8"/>
        <v>22788</v>
      </c>
      <c r="AM511" s="25"/>
      <c r="AN511" s="25">
        <f>22788</f>
        <v>22788</v>
      </c>
      <c r="AO511" s="77">
        <f t="shared" si="7"/>
        <v>22788</v>
      </c>
      <c r="AP511" s="22"/>
      <c r="AQ511" s="22"/>
      <c r="AR511" s="22"/>
      <c r="AS511" s="22"/>
      <c r="AT511" s="22"/>
      <c r="AU511" s="26"/>
      <c r="AV511" s="26"/>
      <c r="AW511" s="26"/>
      <c r="AX511" s="26"/>
      <c r="AY511" s="26"/>
      <c r="AZ511" s="26"/>
      <c r="BA511" s="26"/>
      <c r="BB511" s="26"/>
      <c r="BC511" s="60"/>
      <c r="BD511" s="26"/>
      <c r="BE511" s="26"/>
      <c r="BF511" s="26"/>
      <c r="BG511" s="26"/>
      <c r="BH511" s="26"/>
      <c r="BI511" s="26"/>
      <c r="BJ511" s="26"/>
      <c r="BK511" s="26"/>
      <c r="BL511" s="26"/>
      <c r="BM511" s="26"/>
    </row>
    <row r="512" spans="1:65" ht="60" x14ac:dyDescent="0.25">
      <c r="A512" s="163">
        <v>270</v>
      </c>
      <c r="B512" s="155" t="s">
        <v>1221</v>
      </c>
      <c r="C512" s="22" t="s">
        <v>778</v>
      </c>
      <c r="D512" s="81" t="s">
        <v>128</v>
      </c>
      <c r="E512" s="22" t="s">
        <v>124</v>
      </c>
      <c r="F512" s="33" t="s">
        <v>1222</v>
      </c>
      <c r="G512" s="33" t="s">
        <v>1226</v>
      </c>
      <c r="H512" s="23" t="s">
        <v>778</v>
      </c>
      <c r="I512" s="35">
        <v>43047</v>
      </c>
      <c r="J512" s="35">
        <v>43412</v>
      </c>
      <c r="K512" s="24" t="s">
        <v>1662</v>
      </c>
      <c r="L512" s="140" t="s">
        <v>360</v>
      </c>
      <c r="M512" s="43" t="s">
        <v>229</v>
      </c>
      <c r="N512" s="61">
        <v>43293</v>
      </c>
      <c r="O512" s="77">
        <v>44297.04</v>
      </c>
      <c r="P512" s="76">
        <v>12348</v>
      </c>
      <c r="Q512" s="61">
        <v>43293</v>
      </c>
      <c r="R512" s="61">
        <v>43465</v>
      </c>
      <c r="S512" s="43" t="s">
        <v>1196</v>
      </c>
      <c r="T512" s="22"/>
      <c r="U512" s="25"/>
      <c r="V512" s="25"/>
      <c r="W512" s="33" t="s">
        <v>787</v>
      </c>
      <c r="X512" s="33"/>
      <c r="Y512" s="22"/>
      <c r="Z512" s="22"/>
      <c r="AA512" s="22"/>
      <c r="AB512" s="33"/>
      <c r="AC512" s="22"/>
      <c r="AD512" s="22"/>
      <c r="AE512" s="22"/>
      <c r="AF512" s="22"/>
      <c r="AG512" s="25"/>
      <c r="AH512" s="25"/>
      <c r="AI512" s="25"/>
      <c r="AJ512" s="25"/>
      <c r="AK512" s="25"/>
      <c r="AL512" s="74">
        <f t="shared" si="8"/>
        <v>44297.04</v>
      </c>
      <c r="AM512" s="25"/>
      <c r="AN512" s="25">
        <f>43727.04+570</f>
        <v>44297.04</v>
      </c>
      <c r="AO512" s="77">
        <f t="shared" si="7"/>
        <v>44297.04</v>
      </c>
      <c r="AP512" s="37"/>
      <c r="AQ512" s="22"/>
      <c r="AR512" s="22"/>
      <c r="AS512" s="22"/>
      <c r="AT512" s="22"/>
      <c r="AU512" s="26"/>
      <c r="AV512" s="26"/>
      <c r="AW512" s="26"/>
      <c r="AX512" s="26"/>
      <c r="AY512" s="26"/>
      <c r="AZ512" s="26"/>
      <c r="BA512" s="26"/>
      <c r="BB512" s="26"/>
      <c r="BC512" s="60"/>
      <c r="BD512" s="26"/>
      <c r="BE512" s="26"/>
      <c r="BF512" s="26"/>
      <c r="BG512" s="26"/>
      <c r="BH512" s="26"/>
      <c r="BI512" s="26"/>
      <c r="BJ512" s="26"/>
      <c r="BK512" s="26"/>
      <c r="BL512" s="26"/>
      <c r="BM512" s="26"/>
    </row>
    <row r="513" spans="1:65" ht="75" x14ac:dyDescent="0.25">
      <c r="A513" s="163">
        <v>271</v>
      </c>
      <c r="B513" s="155" t="s">
        <v>1663</v>
      </c>
      <c r="C513" s="22" t="s">
        <v>1285</v>
      </c>
      <c r="D513" s="81" t="s">
        <v>128</v>
      </c>
      <c r="E513" s="22" t="s">
        <v>124</v>
      </c>
      <c r="F513" s="33" t="s">
        <v>1665</v>
      </c>
      <c r="G513" s="33" t="s">
        <v>1669</v>
      </c>
      <c r="H513" s="23" t="s">
        <v>1205</v>
      </c>
      <c r="I513" s="35">
        <v>43287</v>
      </c>
      <c r="J513" s="35">
        <v>43652</v>
      </c>
      <c r="K513" s="24" t="s">
        <v>1664</v>
      </c>
      <c r="L513" s="140" t="s">
        <v>1491</v>
      </c>
      <c r="M513" s="43" t="s">
        <v>1492</v>
      </c>
      <c r="N513" s="61">
        <v>43297</v>
      </c>
      <c r="O513" s="77">
        <v>605360</v>
      </c>
      <c r="P513" s="76">
        <v>12346</v>
      </c>
      <c r="Q513" s="61">
        <v>43297</v>
      </c>
      <c r="R513" s="61">
        <v>43465</v>
      </c>
      <c r="S513" s="43" t="s">
        <v>198</v>
      </c>
      <c r="T513" s="22"/>
      <c r="U513" s="25"/>
      <c r="V513" s="25"/>
      <c r="W513" s="33" t="s">
        <v>1130</v>
      </c>
      <c r="X513" s="33" t="s">
        <v>365</v>
      </c>
      <c r="Y513" s="22" t="s">
        <v>136</v>
      </c>
      <c r="Z513" s="35">
        <v>43370</v>
      </c>
      <c r="AA513" s="34">
        <v>12399</v>
      </c>
      <c r="AB513" s="33" t="s">
        <v>1834</v>
      </c>
      <c r="AC513" s="22"/>
      <c r="AD513" s="22"/>
      <c r="AE513" s="22"/>
      <c r="AF513" s="22"/>
      <c r="AG513" s="25">
        <v>5840</v>
      </c>
      <c r="AH513" s="25"/>
      <c r="AI513" s="25"/>
      <c r="AJ513" s="25"/>
      <c r="AK513" s="25"/>
      <c r="AL513" s="74">
        <f t="shared" si="8"/>
        <v>611200</v>
      </c>
      <c r="AM513" s="25"/>
      <c r="AN513" s="25">
        <f>605360+5840</f>
        <v>611200</v>
      </c>
      <c r="AO513" s="77">
        <f t="shared" si="7"/>
        <v>611200</v>
      </c>
      <c r="AP513" s="22"/>
      <c r="AQ513" s="22"/>
      <c r="AR513" s="22"/>
      <c r="AS513" s="22"/>
      <c r="AT513" s="22"/>
      <c r="AU513" s="26"/>
      <c r="AV513" s="26"/>
      <c r="AW513" s="26"/>
      <c r="AX513" s="26"/>
      <c r="AY513" s="26"/>
      <c r="AZ513" s="26"/>
      <c r="BA513" s="26"/>
      <c r="BB513" s="26"/>
      <c r="BC513" s="60"/>
      <c r="BD513" s="26"/>
      <c r="BE513" s="26"/>
      <c r="BF513" s="26"/>
      <c r="BG513" s="26"/>
      <c r="BH513" s="26"/>
      <c r="BI513" s="26"/>
      <c r="BJ513" s="26"/>
      <c r="BK513" s="26"/>
      <c r="BL513" s="26"/>
      <c r="BM513" s="26"/>
    </row>
    <row r="514" spans="1:65" ht="60" x14ac:dyDescent="0.25">
      <c r="A514" s="163">
        <v>272</v>
      </c>
      <c r="B514" s="155" t="s">
        <v>1073</v>
      </c>
      <c r="C514" s="22" t="s">
        <v>772</v>
      </c>
      <c r="D514" s="81" t="s">
        <v>128</v>
      </c>
      <c r="E514" s="22" t="s">
        <v>124</v>
      </c>
      <c r="F514" s="33" t="s">
        <v>221</v>
      </c>
      <c r="G514" s="33" t="s">
        <v>1093</v>
      </c>
      <c r="H514" s="23" t="s">
        <v>765</v>
      </c>
      <c r="I514" s="35">
        <v>43014</v>
      </c>
      <c r="J514" s="35">
        <v>43379</v>
      </c>
      <c r="K514" s="24" t="s">
        <v>1691</v>
      </c>
      <c r="L514" s="140" t="s">
        <v>375</v>
      </c>
      <c r="M514" s="43" t="s">
        <v>299</v>
      </c>
      <c r="N514" s="61">
        <v>43306</v>
      </c>
      <c r="O514" s="77">
        <v>87060</v>
      </c>
      <c r="P514" s="76">
        <v>12362</v>
      </c>
      <c r="Q514" s="61">
        <v>43306</v>
      </c>
      <c r="R514" s="61">
        <v>43465</v>
      </c>
      <c r="S514" s="43" t="s">
        <v>1501</v>
      </c>
      <c r="T514" s="22"/>
      <c r="U514" s="25"/>
      <c r="V514" s="25"/>
      <c r="W514" s="33" t="s">
        <v>292</v>
      </c>
      <c r="X514" s="33"/>
      <c r="Y514" s="22"/>
      <c r="Z514" s="22"/>
      <c r="AA514" s="22"/>
      <c r="AB514" s="33"/>
      <c r="AC514" s="22"/>
      <c r="AD514" s="22"/>
      <c r="AE514" s="22"/>
      <c r="AF514" s="22"/>
      <c r="AG514" s="25"/>
      <c r="AH514" s="25"/>
      <c r="AI514" s="25"/>
      <c r="AJ514" s="25"/>
      <c r="AK514" s="25"/>
      <c r="AL514" s="74">
        <f t="shared" si="8"/>
        <v>87060</v>
      </c>
      <c r="AM514" s="25"/>
      <c r="AN514" s="25">
        <f>40130+26100</f>
        <v>66230</v>
      </c>
      <c r="AO514" s="77">
        <f t="shared" si="7"/>
        <v>66230</v>
      </c>
      <c r="AP514" s="37"/>
      <c r="AQ514" s="22"/>
      <c r="AR514" s="22"/>
      <c r="AS514" s="22"/>
      <c r="AT514" s="22"/>
      <c r="AU514" s="26"/>
      <c r="AV514" s="26"/>
      <c r="AW514" s="26"/>
      <c r="AX514" s="26"/>
      <c r="AY514" s="26"/>
      <c r="AZ514" s="26"/>
      <c r="BA514" s="26"/>
      <c r="BB514" s="26"/>
      <c r="BC514" s="60"/>
      <c r="BD514" s="26"/>
      <c r="BE514" s="26"/>
      <c r="BF514" s="26"/>
      <c r="BG514" s="26"/>
      <c r="BH514" s="26"/>
      <c r="BI514" s="26"/>
      <c r="BJ514" s="26"/>
      <c r="BK514" s="26"/>
      <c r="BL514" s="26"/>
      <c r="BM514" s="26"/>
    </row>
    <row r="515" spans="1:65" ht="60" x14ac:dyDescent="0.25">
      <c r="A515" s="163">
        <v>273</v>
      </c>
      <c r="B515" s="155" t="s">
        <v>1073</v>
      </c>
      <c r="C515" s="22" t="s">
        <v>772</v>
      </c>
      <c r="D515" s="81" t="s">
        <v>128</v>
      </c>
      <c r="E515" s="22" t="s">
        <v>124</v>
      </c>
      <c r="F515" s="33" t="s">
        <v>221</v>
      </c>
      <c r="G515" s="33" t="s">
        <v>1093</v>
      </c>
      <c r="H515" s="23" t="s">
        <v>765</v>
      </c>
      <c r="I515" s="35">
        <v>43014</v>
      </c>
      <c r="J515" s="35">
        <v>43379</v>
      </c>
      <c r="K515" s="24" t="s">
        <v>1692</v>
      </c>
      <c r="L515" s="140" t="s">
        <v>379</v>
      </c>
      <c r="M515" s="43" t="s">
        <v>222</v>
      </c>
      <c r="N515" s="61">
        <v>43306</v>
      </c>
      <c r="O515" s="77">
        <v>7133</v>
      </c>
      <c r="P515" s="76">
        <v>12362</v>
      </c>
      <c r="Q515" s="61">
        <v>43306</v>
      </c>
      <c r="R515" s="61">
        <v>43465</v>
      </c>
      <c r="S515" s="43" t="s">
        <v>1501</v>
      </c>
      <c r="T515" s="22"/>
      <c r="U515" s="25"/>
      <c r="V515" s="25"/>
      <c r="W515" s="33" t="s">
        <v>292</v>
      </c>
      <c r="X515" s="33"/>
      <c r="Y515" s="22"/>
      <c r="Z515" s="22"/>
      <c r="AA515" s="22"/>
      <c r="AB515" s="33"/>
      <c r="AC515" s="22"/>
      <c r="AD515" s="22"/>
      <c r="AE515" s="22"/>
      <c r="AF515" s="22"/>
      <c r="AG515" s="25"/>
      <c r="AH515" s="25"/>
      <c r="AI515" s="25"/>
      <c r="AJ515" s="25"/>
      <c r="AK515" s="25"/>
      <c r="AL515" s="74">
        <f t="shared" si="8"/>
        <v>7133</v>
      </c>
      <c r="AM515" s="25"/>
      <c r="AN515" s="25">
        <f>7133</f>
        <v>7133</v>
      </c>
      <c r="AO515" s="77">
        <f t="shared" si="7"/>
        <v>7133</v>
      </c>
      <c r="AP515" s="22"/>
      <c r="AQ515" s="22"/>
      <c r="AR515" s="22"/>
      <c r="AS515" s="22"/>
      <c r="AT515" s="22"/>
      <c r="AU515" s="26"/>
      <c r="AV515" s="26"/>
      <c r="AW515" s="26"/>
      <c r="AX515" s="26"/>
      <c r="AY515" s="26"/>
      <c r="AZ515" s="26"/>
      <c r="BA515" s="26"/>
      <c r="BB515" s="26"/>
      <c r="BC515" s="60"/>
      <c r="BD515" s="26"/>
      <c r="BE515" s="26"/>
      <c r="BF515" s="26"/>
      <c r="BG515" s="26"/>
      <c r="BH515" s="26"/>
      <c r="BI515" s="26"/>
      <c r="BJ515" s="26"/>
      <c r="BK515" s="26"/>
      <c r="BL515" s="26"/>
      <c r="BM515" s="26"/>
    </row>
    <row r="516" spans="1:65" ht="60" x14ac:dyDescent="0.25">
      <c r="A516" s="163">
        <v>274</v>
      </c>
      <c r="B516" s="155" t="s">
        <v>1073</v>
      </c>
      <c r="C516" s="22" t="s">
        <v>772</v>
      </c>
      <c r="D516" s="81" t="s">
        <v>128</v>
      </c>
      <c r="E516" s="22" t="s">
        <v>124</v>
      </c>
      <c r="F516" s="33" t="s">
        <v>221</v>
      </c>
      <c r="G516" s="33" t="s">
        <v>1093</v>
      </c>
      <c r="H516" s="23" t="s">
        <v>765</v>
      </c>
      <c r="I516" s="35">
        <v>43014</v>
      </c>
      <c r="J516" s="35">
        <v>43379</v>
      </c>
      <c r="K516" s="24" t="s">
        <v>1693</v>
      </c>
      <c r="L516" s="140" t="s">
        <v>656</v>
      </c>
      <c r="M516" s="43" t="s">
        <v>601</v>
      </c>
      <c r="N516" s="61">
        <v>43306</v>
      </c>
      <c r="O516" s="77">
        <v>22100</v>
      </c>
      <c r="P516" s="76">
        <v>12362</v>
      </c>
      <c r="Q516" s="61">
        <v>43306</v>
      </c>
      <c r="R516" s="61">
        <v>43465</v>
      </c>
      <c r="S516" s="43" t="s">
        <v>1501</v>
      </c>
      <c r="T516" s="22"/>
      <c r="U516" s="25"/>
      <c r="V516" s="25"/>
      <c r="W516" s="33" t="s">
        <v>292</v>
      </c>
      <c r="X516" s="33"/>
      <c r="Y516" s="22"/>
      <c r="Z516" s="22"/>
      <c r="AA516" s="22"/>
      <c r="AB516" s="33"/>
      <c r="AC516" s="22"/>
      <c r="AD516" s="22"/>
      <c r="AE516" s="22"/>
      <c r="AF516" s="22"/>
      <c r="AG516" s="25"/>
      <c r="AH516" s="25"/>
      <c r="AI516" s="25"/>
      <c r="AJ516" s="25"/>
      <c r="AK516" s="25"/>
      <c r="AL516" s="74">
        <f t="shared" si="8"/>
        <v>22100</v>
      </c>
      <c r="AM516" s="25"/>
      <c r="AN516" s="25">
        <f>22097.4</f>
        <v>22097.4</v>
      </c>
      <c r="AO516" s="77">
        <f t="shared" si="7"/>
        <v>22097.4</v>
      </c>
      <c r="AP516" s="37"/>
      <c r="AQ516" s="22"/>
      <c r="AR516" s="22"/>
      <c r="AS516" s="22"/>
      <c r="AT516" s="22"/>
      <c r="AU516" s="26"/>
      <c r="AV516" s="26"/>
      <c r="AW516" s="26"/>
      <c r="AX516" s="26"/>
      <c r="AY516" s="26"/>
      <c r="AZ516" s="26"/>
      <c r="BA516" s="26"/>
      <c r="BB516" s="26"/>
      <c r="BC516" s="60"/>
      <c r="BD516" s="26"/>
      <c r="BE516" s="26"/>
      <c r="BF516" s="26"/>
      <c r="BG516" s="26"/>
      <c r="BH516" s="26"/>
      <c r="BI516" s="26"/>
      <c r="BJ516" s="26"/>
      <c r="BK516" s="26"/>
      <c r="BL516" s="26"/>
      <c r="BM516" s="26"/>
    </row>
    <row r="517" spans="1:65" ht="60" x14ac:dyDescent="0.25">
      <c r="A517" s="163">
        <v>275</v>
      </c>
      <c r="B517" s="155" t="s">
        <v>1073</v>
      </c>
      <c r="C517" s="22" t="s">
        <v>772</v>
      </c>
      <c r="D517" s="81" t="s">
        <v>128</v>
      </c>
      <c r="E517" s="22" t="s">
        <v>124</v>
      </c>
      <c r="F517" s="33" t="s">
        <v>221</v>
      </c>
      <c r="G517" s="33" t="s">
        <v>1093</v>
      </c>
      <c r="H517" s="23" t="s">
        <v>767</v>
      </c>
      <c r="I517" s="35">
        <v>43027</v>
      </c>
      <c r="J517" s="35">
        <v>43392</v>
      </c>
      <c r="K517" s="24" t="s">
        <v>1694</v>
      </c>
      <c r="L517" s="140" t="s">
        <v>1096</v>
      </c>
      <c r="M517" s="43" t="s">
        <v>1097</v>
      </c>
      <c r="N517" s="61">
        <v>43306</v>
      </c>
      <c r="O517" s="77">
        <v>15900</v>
      </c>
      <c r="P517" s="76">
        <v>12362</v>
      </c>
      <c r="Q517" s="61">
        <v>43306</v>
      </c>
      <c r="R517" s="61">
        <v>43465</v>
      </c>
      <c r="S517" s="43" t="s">
        <v>1501</v>
      </c>
      <c r="T517" s="22"/>
      <c r="U517" s="25"/>
      <c r="V517" s="25"/>
      <c r="W517" s="33" t="s">
        <v>292</v>
      </c>
      <c r="X517" s="33"/>
      <c r="Y517" s="22"/>
      <c r="Z517" s="22"/>
      <c r="AA517" s="22"/>
      <c r="AB517" s="33"/>
      <c r="AC517" s="22"/>
      <c r="AD517" s="22"/>
      <c r="AE517" s="22"/>
      <c r="AF517" s="22"/>
      <c r="AG517" s="25"/>
      <c r="AH517" s="25"/>
      <c r="AI517" s="25"/>
      <c r="AJ517" s="25"/>
      <c r="AK517" s="25"/>
      <c r="AL517" s="74">
        <f t="shared" si="8"/>
        <v>15900</v>
      </c>
      <c r="AM517" s="25"/>
      <c r="AN517" s="25">
        <f>15900</f>
        <v>15900</v>
      </c>
      <c r="AO517" s="77">
        <f t="shared" si="7"/>
        <v>15900</v>
      </c>
      <c r="AP517" s="22"/>
      <c r="AQ517" s="22"/>
      <c r="AR517" s="22"/>
      <c r="AS517" s="22"/>
      <c r="AT517" s="22"/>
      <c r="AU517" s="26"/>
      <c r="AV517" s="26"/>
      <c r="AW517" s="26"/>
      <c r="AX517" s="26"/>
      <c r="AY517" s="26"/>
      <c r="AZ517" s="26"/>
      <c r="BA517" s="26"/>
      <c r="BB517" s="26"/>
      <c r="BC517" s="60"/>
      <c r="BD517" s="26"/>
      <c r="BE517" s="26"/>
      <c r="BF517" s="26"/>
      <c r="BG517" s="26"/>
      <c r="BH517" s="26"/>
      <c r="BI517" s="26"/>
      <c r="BJ517" s="26"/>
      <c r="BK517" s="26"/>
      <c r="BL517" s="26"/>
      <c r="BM517" s="26"/>
    </row>
    <row r="518" spans="1:65" x14ac:dyDescent="0.25">
      <c r="A518" s="163">
        <v>276</v>
      </c>
      <c r="B518" s="155"/>
      <c r="C518" s="22"/>
      <c r="D518" s="81"/>
      <c r="E518" s="22"/>
      <c r="F518" s="33"/>
      <c r="G518" s="33"/>
      <c r="H518" s="23"/>
      <c r="I518" s="35"/>
      <c r="J518" s="35"/>
      <c r="K518" s="24" t="s">
        <v>1695</v>
      </c>
      <c r="L518" s="140"/>
      <c r="M518" s="43"/>
      <c r="N518" s="61"/>
      <c r="O518" s="77"/>
      <c r="P518" s="43"/>
      <c r="Q518" s="61"/>
      <c r="R518" s="61"/>
      <c r="S518" s="43"/>
      <c r="T518" s="22"/>
      <c r="U518" s="25"/>
      <c r="V518" s="25"/>
      <c r="W518" s="33"/>
      <c r="X518" s="33"/>
      <c r="Y518" s="22"/>
      <c r="Z518" s="22"/>
      <c r="AA518" s="22"/>
      <c r="AB518" s="33"/>
      <c r="AC518" s="22"/>
      <c r="AD518" s="22"/>
      <c r="AE518" s="22"/>
      <c r="AF518" s="22"/>
      <c r="AG518" s="25"/>
      <c r="AH518" s="25"/>
      <c r="AI518" s="25"/>
      <c r="AJ518" s="25"/>
      <c r="AK518" s="25"/>
      <c r="AL518" s="74">
        <f t="shared" si="8"/>
        <v>0</v>
      </c>
      <c r="AM518" s="25"/>
      <c r="AN518" s="25"/>
      <c r="AO518" s="77">
        <f t="shared" si="7"/>
        <v>0</v>
      </c>
      <c r="AP518" s="22"/>
      <c r="AQ518" s="22"/>
      <c r="AR518" s="22"/>
      <c r="AS518" s="22"/>
      <c r="AT518" s="22"/>
      <c r="AU518" s="26"/>
      <c r="AV518" s="26"/>
      <c r="AW518" s="26"/>
      <c r="AX518" s="26"/>
      <c r="AY518" s="26"/>
      <c r="AZ518" s="26"/>
      <c r="BA518" s="26"/>
      <c r="BB518" s="26"/>
      <c r="BC518" s="60"/>
      <c r="BD518" s="26"/>
      <c r="BE518" s="26"/>
      <c r="BF518" s="26"/>
      <c r="BG518" s="26"/>
      <c r="BH518" s="26"/>
      <c r="BI518" s="26"/>
      <c r="BJ518" s="26"/>
      <c r="BK518" s="26"/>
      <c r="BL518" s="26"/>
      <c r="BM518" s="26"/>
    </row>
    <row r="519" spans="1:65" ht="135" x14ac:dyDescent="0.25">
      <c r="A519" s="163">
        <v>277</v>
      </c>
      <c r="B519" s="155" t="s">
        <v>1698</v>
      </c>
      <c r="C519" s="22" t="s">
        <v>1174</v>
      </c>
      <c r="D519" s="81" t="s">
        <v>1699</v>
      </c>
      <c r="E519" s="22" t="s">
        <v>124</v>
      </c>
      <c r="F519" s="33" t="s">
        <v>1703</v>
      </c>
      <c r="G519" s="33"/>
      <c r="H519" s="23"/>
      <c r="I519" s="23"/>
      <c r="J519" s="23"/>
      <c r="K519" s="24" t="s">
        <v>1697</v>
      </c>
      <c r="L519" s="140" t="s">
        <v>1700</v>
      </c>
      <c r="M519" s="43" t="s">
        <v>1701</v>
      </c>
      <c r="N519" s="61">
        <v>43308</v>
      </c>
      <c r="O519" s="77">
        <v>104400</v>
      </c>
      <c r="P519" s="76">
        <v>12354</v>
      </c>
      <c r="Q519" s="61">
        <v>43308</v>
      </c>
      <c r="R519" s="61">
        <v>43465</v>
      </c>
      <c r="S519" s="43" t="s">
        <v>1702</v>
      </c>
      <c r="T519" s="22"/>
      <c r="U519" s="25"/>
      <c r="V519" s="25"/>
      <c r="W519" s="33" t="s">
        <v>135</v>
      </c>
      <c r="X519" s="33"/>
      <c r="Y519" s="22"/>
      <c r="Z519" s="22"/>
      <c r="AA519" s="22"/>
      <c r="AB519" s="33"/>
      <c r="AC519" s="22"/>
      <c r="AD519" s="22"/>
      <c r="AE519" s="22"/>
      <c r="AF519" s="22"/>
      <c r="AG519" s="25"/>
      <c r="AH519" s="25"/>
      <c r="AI519" s="25"/>
      <c r="AJ519" s="25"/>
      <c r="AK519" s="25"/>
      <c r="AL519" s="74">
        <f t="shared" si="8"/>
        <v>104400</v>
      </c>
      <c r="AM519" s="25"/>
      <c r="AN519" s="25">
        <f>0</f>
        <v>0</v>
      </c>
      <c r="AO519" s="77">
        <f t="shared" si="7"/>
        <v>0</v>
      </c>
      <c r="AP519" s="22" t="s">
        <v>1745</v>
      </c>
      <c r="AQ519" s="35">
        <v>43089</v>
      </c>
      <c r="AR519" s="35">
        <v>43454</v>
      </c>
      <c r="AS519" s="22" t="s">
        <v>1746</v>
      </c>
      <c r="AT519" s="33" t="s">
        <v>1747</v>
      </c>
      <c r="AU519" s="22" t="s">
        <v>1746</v>
      </c>
      <c r="AV519" s="26"/>
      <c r="AW519" s="26"/>
      <c r="AX519" s="26"/>
      <c r="AY519" s="26"/>
      <c r="AZ519" s="26"/>
      <c r="BA519" s="26"/>
      <c r="BB519" s="26"/>
      <c r="BC519" s="60"/>
      <c r="BD519" s="26"/>
      <c r="BE519" s="26"/>
      <c r="BF519" s="26"/>
      <c r="BG519" s="26"/>
      <c r="BH519" s="26"/>
      <c r="BI519" s="26"/>
      <c r="BJ519" s="26"/>
      <c r="BK519" s="26"/>
      <c r="BL519" s="26"/>
      <c r="BM519" s="26"/>
    </row>
    <row r="520" spans="1:65" ht="45" x14ac:dyDescent="0.25">
      <c r="A520" s="163">
        <v>278</v>
      </c>
      <c r="B520" s="155" t="s">
        <v>1466</v>
      </c>
      <c r="C520" s="22" t="s">
        <v>1467</v>
      </c>
      <c r="D520" s="81" t="s">
        <v>128</v>
      </c>
      <c r="E520" s="22" t="s">
        <v>124</v>
      </c>
      <c r="F520" s="33" t="s">
        <v>1468</v>
      </c>
      <c r="G520" s="33" t="s">
        <v>1484</v>
      </c>
      <c r="H520" s="23" t="s">
        <v>1184</v>
      </c>
      <c r="I520" s="35">
        <v>43195</v>
      </c>
      <c r="J520" s="35">
        <v>43560</v>
      </c>
      <c r="K520" s="24" t="s">
        <v>1704</v>
      </c>
      <c r="L520" s="140" t="s">
        <v>622</v>
      </c>
      <c r="M520" s="43" t="s">
        <v>623</v>
      </c>
      <c r="N520" s="61">
        <v>43311</v>
      </c>
      <c r="O520" s="77">
        <v>13296.08</v>
      </c>
      <c r="P520" s="76">
        <v>12357</v>
      </c>
      <c r="Q520" s="61">
        <v>43311</v>
      </c>
      <c r="R520" s="61">
        <v>43465</v>
      </c>
      <c r="S520" s="43" t="s">
        <v>1193</v>
      </c>
      <c r="T520" s="22"/>
      <c r="U520" s="25"/>
      <c r="V520" s="25"/>
      <c r="W520" s="33" t="s">
        <v>1418</v>
      </c>
      <c r="X520" s="33"/>
      <c r="Y520" s="22"/>
      <c r="Z520" s="22"/>
      <c r="AA520" s="22"/>
      <c r="AB520" s="33"/>
      <c r="AC520" s="22"/>
      <c r="AD520" s="22"/>
      <c r="AE520" s="22"/>
      <c r="AF520" s="22"/>
      <c r="AG520" s="25"/>
      <c r="AH520" s="25"/>
      <c r="AI520" s="25"/>
      <c r="AJ520" s="25"/>
      <c r="AK520" s="25"/>
      <c r="AL520" s="74">
        <f t="shared" si="8"/>
        <v>13296.08</v>
      </c>
      <c r="AM520" s="25"/>
      <c r="AN520" s="25">
        <f>13296.08</f>
        <v>13296.08</v>
      </c>
      <c r="AO520" s="77">
        <f t="shared" si="7"/>
        <v>13296.08</v>
      </c>
      <c r="AP520" s="22"/>
      <c r="AQ520" s="22"/>
      <c r="AR520" s="22"/>
      <c r="AS520" s="22"/>
      <c r="AT520" s="22"/>
      <c r="AU520" s="26"/>
      <c r="AV520" s="26"/>
      <c r="AW520" s="26"/>
      <c r="AX520" s="26"/>
      <c r="AY520" s="26"/>
      <c r="AZ520" s="26"/>
      <c r="BA520" s="26"/>
      <c r="BB520" s="26"/>
      <c r="BC520" s="60"/>
      <c r="BD520" s="26"/>
      <c r="BE520" s="26"/>
      <c r="BF520" s="26"/>
      <c r="BG520" s="26"/>
      <c r="BH520" s="26"/>
      <c r="BI520" s="26"/>
      <c r="BJ520" s="26"/>
      <c r="BK520" s="26"/>
      <c r="BL520" s="26"/>
      <c r="BM520" s="26"/>
    </row>
    <row r="521" spans="1:65" x14ac:dyDescent="0.25">
      <c r="A521" s="163">
        <v>279</v>
      </c>
      <c r="B521" s="155"/>
      <c r="C521" s="22"/>
      <c r="D521" s="81"/>
      <c r="E521" s="22"/>
      <c r="F521" s="33"/>
      <c r="G521" s="33"/>
      <c r="H521" s="23"/>
      <c r="I521" s="35"/>
      <c r="J521" s="35"/>
      <c r="K521" s="24" t="s">
        <v>1705</v>
      </c>
      <c r="L521" s="140"/>
      <c r="M521" s="43"/>
      <c r="N521" s="61"/>
      <c r="O521" s="77"/>
      <c r="P521" s="43"/>
      <c r="Q521" s="61"/>
      <c r="R521" s="61"/>
      <c r="S521" s="43"/>
      <c r="T521" s="22"/>
      <c r="U521" s="25"/>
      <c r="V521" s="25"/>
      <c r="W521" s="33"/>
      <c r="X521" s="33"/>
      <c r="Y521" s="22"/>
      <c r="Z521" s="22"/>
      <c r="AA521" s="22"/>
      <c r="AB521" s="33"/>
      <c r="AC521" s="22"/>
      <c r="AD521" s="22"/>
      <c r="AE521" s="22"/>
      <c r="AF521" s="22"/>
      <c r="AG521" s="25"/>
      <c r="AH521" s="25"/>
      <c r="AI521" s="25"/>
      <c r="AJ521" s="25"/>
      <c r="AK521" s="25"/>
      <c r="AL521" s="74">
        <f t="shared" si="8"/>
        <v>0</v>
      </c>
      <c r="AM521" s="25"/>
      <c r="AN521" s="25">
        <f>0</f>
        <v>0</v>
      </c>
      <c r="AO521" s="77">
        <f t="shared" si="7"/>
        <v>0</v>
      </c>
      <c r="AP521" s="22"/>
      <c r="AQ521" s="22"/>
      <c r="AR521" s="22"/>
      <c r="AS521" s="22"/>
      <c r="AT521" s="22"/>
      <c r="AU521" s="26"/>
      <c r="AV521" s="26"/>
      <c r="AW521" s="26"/>
      <c r="AX521" s="26"/>
      <c r="AY521" s="26"/>
      <c r="AZ521" s="26"/>
      <c r="BA521" s="26"/>
      <c r="BB521" s="26"/>
      <c r="BC521" s="60"/>
      <c r="BD521" s="26"/>
      <c r="BE521" s="26"/>
      <c r="BF521" s="26"/>
      <c r="BG521" s="26"/>
      <c r="BH521" s="26"/>
      <c r="BI521" s="26"/>
      <c r="BJ521" s="26"/>
      <c r="BK521" s="26"/>
      <c r="BL521" s="26"/>
      <c r="BM521" s="26"/>
    </row>
    <row r="522" spans="1:65" ht="45" x14ac:dyDescent="0.25">
      <c r="A522" s="163">
        <v>280</v>
      </c>
      <c r="B522" s="155" t="s">
        <v>1558</v>
      </c>
      <c r="C522" s="22" t="s">
        <v>1209</v>
      </c>
      <c r="D522" s="81" t="s">
        <v>128</v>
      </c>
      <c r="E522" s="22" t="s">
        <v>124</v>
      </c>
      <c r="F522" s="33" t="s">
        <v>1559</v>
      </c>
      <c r="G522" s="33" t="s">
        <v>1568</v>
      </c>
      <c r="H522" s="23" t="s">
        <v>1185</v>
      </c>
      <c r="I522" s="35">
        <v>43202</v>
      </c>
      <c r="J522" s="35">
        <v>43567</v>
      </c>
      <c r="K522" s="24" t="s">
        <v>1713</v>
      </c>
      <c r="L522" s="140" t="s">
        <v>1598</v>
      </c>
      <c r="M522" s="43" t="s">
        <v>1560</v>
      </c>
      <c r="N522" s="61">
        <v>43313</v>
      </c>
      <c r="O522" s="77">
        <v>10439</v>
      </c>
      <c r="P522" s="76">
        <v>12361</v>
      </c>
      <c r="Q522" s="61">
        <v>43313</v>
      </c>
      <c r="R522" s="61">
        <v>43465</v>
      </c>
      <c r="S522" s="43" t="s">
        <v>1193</v>
      </c>
      <c r="T522" s="22"/>
      <c r="U522" s="25"/>
      <c r="V522" s="25"/>
      <c r="W522" s="33" t="s">
        <v>184</v>
      </c>
      <c r="X522" s="33"/>
      <c r="Y522" s="22"/>
      <c r="Z522" s="22"/>
      <c r="AA522" s="22"/>
      <c r="AB522" s="33"/>
      <c r="AC522" s="22"/>
      <c r="AD522" s="22"/>
      <c r="AE522" s="22"/>
      <c r="AF522" s="22"/>
      <c r="AG522" s="25"/>
      <c r="AH522" s="25"/>
      <c r="AI522" s="25"/>
      <c r="AJ522" s="25"/>
      <c r="AK522" s="25"/>
      <c r="AL522" s="74">
        <f t="shared" si="8"/>
        <v>10439</v>
      </c>
      <c r="AM522" s="25"/>
      <c r="AN522" s="25">
        <f>0</f>
        <v>0</v>
      </c>
      <c r="AO522" s="77">
        <f t="shared" si="7"/>
        <v>0</v>
      </c>
      <c r="AP522" s="22"/>
      <c r="AQ522" s="22"/>
      <c r="AR522" s="22"/>
      <c r="AS522" s="22"/>
      <c r="AT522" s="22"/>
      <c r="AU522" s="26"/>
      <c r="AV522" s="26"/>
      <c r="AW522" s="26"/>
      <c r="AX522" s="26"/>
      <c r="AY522" s="26"/>
      <c r="AZ522" s="26"/>
      <c r="BA522" s="26"/>
      <c r="BB522" s="26"/>
      <c r="BC522" s="60"/>
      <c r="BD522" s="26"/>
      <c r="BE522" s="26"/>
      <c r="BF522" s="26"/>
      <c r="BG522" s="26"/>
      <c r="BH522" s="26"/>
      <c r="BI522" s="26"/>
      <c r="BJ522" s="26"/>
      <c r="BK522" s="26"/>
      <c r="BL522" s="26"/>
      <c r="BM522" s="26"/>
    </row>
    <row r="523" spans="1:65" ht="45" x14ac:dyDescent="0.25">
      <c r="A523" s="163">
        <v>281</v>
      </c>
      <c r="B523" s="155" t="s">
        <v>1558</v>
      </c>
      <c r="C523" s="22" t="s">
        <v>1209</v>
      </c>
      <c r="D523" s="81" t="s">
        <v>128</v>
      </c>
      <c r="E523" s="22" t="s">
        <v>124</v>
      </c>
      <c r="F523" s="33" t="s">
        <v>1559</v>
      </c>
      <c r="G523" s="33" t="s">
        <v>1568</v>
      </c>
      <c r="H523" s="23" t="s">
        <v>1185</v>
      </c>
      <c r="I523" s="35">
        <v>43202</v>
      </c>
      <c r="J523" s="35">
        <v>43567</v>
      </c>
      <c r="K523" s="24" t="s">
        <v>1714</v>
      </c>
      <c r="L523" s="140" t="s">
        <v>1563</v>
      </c>
      <c r="M523" s="43" t="s">
        <v>1564</v>
      </c>
      <c r="N523" s="61">
        <v>43313</v>
      </c>
      <c r="O523" s="77">
        <v>10203.52</v>
      </c>
      <c r="P523" s="76">
        <v>12361</v>
      </c>
      <c r="Q523" s="61">
        <v>43313</v>
      </c>
      <c r="R523" s="61">
        <v>43465</v>
      </c>
      <c r="S523" s="43" t="s">
        <v>1193</v>
      </c>
      <c r="T523" s="22"/>
      <c r="U523" s="25"/>
      <c r="V523" s="25"/>
      <c r="W523" s="33" t="s">
        <v>184</v>
      </c>
      <c r="X523" s="33"/>
      <c r="Y523" s="22"/>
      <c r="Z523" s="22"/>
      <c r="AA523" s="22"/>
      <c r="AB523" s="33"/>
      <c r="AC523" s="22"/>
      <c r="AD523" s="22"/>
      <c r="AE523" s="22"/>
      <c r="AF523" s="22"/>
      <c r="AG523" s="25"/>
      <c r="AH523" s="25"/>
      <c r="AI523" s="25"/>
      <c r="AJ523" s="25"/>
      <c r="AK523" s="25"/>
      <c r="AL523" s="74">
        <f>O523-AH523+AG523</f>
        <v>10203.52</v>
      </c>
      <c r="AM523" s="25"/>
      <c r="AN523" s="25">
        <f>10203.52</f>
        <v>10203.52</v>
      </c>
      <c r="AO523" s="77">
        <f t="shared" si="7"/>
        <v>10203.52</v>
      </c>
      <c r="AP523" s="22"/>
      <c r="AQ523" s="22"/>
      <c r="AR523" s="22"/>
      <c r="AS523" s="22"/>
      <c r="AT523" s="22"/>
      <c r="AU523" s="26"/>
      <c r="AV523" s="26"/>
      <c r="AW523" s="26"/>
      <c r="AX523" s="26"/>
      <c r="AY523" s="26"/>
      <c r="AZ523" s="26"/>
      <c r="BA523" s="26"/>
      <c r="BB523" s="26"/>
      <c r="BC523" s="60"/>
      <c r="BD523" s="26"/>
      <c r="BE523" s="26"/>
      <c r="BF523" s="26"/>
      <c r="BG523" s="26"/>
      <c r="BH523" s="26"/>
      <c r="BI523" s="26"/>
      <c r="BJ523" s="26"/>
      <c r="BK523" s="26"/>
      <c r="BL523" s="26"/>
      <c r="BM523" s="26"/>
    </row>
    <row r="524" spans="1:65" ht="60" x14ac:dyDescent="0.25">
      <c r="A524" s="163">
        <v>282</v>
      </c>
      <c r="B524" s="155" t="s">
        <v>1720</v>
      </c>
      <c r="C524" s="22" t="s">
        <v>1199</v>
      </c>
      <c r="D524" s="81" t="s">
        <v>128</v>
      </c>
      <c r="E524" s="22" t="s">
        <v>124</v>
      </c>
      <c r="F524" s="33" t="s">
        <v>1721</v>
      </c>
      <c r="G524" s="33" t="s">
        <v>1722</v>
      </c>
      <c r="H524" s="23" t="s">
        <v>1200</v>
      </c>
      <c r="I524" s="35">
        <v>43243</v>
      </c>
      <c r="J524" s="35">
        <v>43608</v>
      </c>
      <c r="K524" s="24" t="s">
        <v>1719</v>
      </c>
      <c r="L524" s="140" t="s">
        <v>996</v>
      </c>
      <c r="M524" s="43" t="s">
        <v>997</v>
      </c>
      <c r="N524" s="61">
        <v>43313</v>
      </c>
      <c r="O524" s="77">
        <v>37940</v>
      </c>
      <c r="P524" s="76">
        <v>12364</v>
      </c>
      <c r="Q524" s="61">
        <v>43313</v>
      </c>
      <c r="R524" s="61">
        <v>43465</v>
      </c>
      <c r="S524" s="43" t="s">
        <v>1193</v>
      </c>
      <c r="T524" s="22"/>
      <c r="U524" s="25"/>
      <c r="V524" s="25"/>
      <c r="W524" s="33" t="s">
        <v>184</v>
      </c>
      <c r="X524" s="33" t="s">
        <v>365</v>
      </c>
      <c r="Y524" s="22" t="s">
        <v>136</v>
      </c>
      <c r="Z524" s="35">
        <v>43364</v>
      </c>
      <c r="AA524" s="34">
        <v>12395</v>
      </c>
      <c r="AB524" s="33" t="s">
        <v>1833</v>
      </c>
      <c r="AC524" s="22"/>
      <c r="AD524" s="22"/>
      <c r="AE524" s="22"/>
      <c r="AF524" s="22"/>
      <c r="AG524" s="25">
        <v>60</v>
      </c>
      <c r="AH524" s="25"/>
      <c r="AI524" s="25"/>
      <c r="AJ524" s="25"/>
      <c r="AK524" s="25"/>
      <c r="AL524" s="74">
        <f t="shared" si="8"/>
        <v>38000</v>
      </c>
      <c r="AM524" s="25"/>
      <c r="AN524" s="25">
        <f>0</f>
        <v>0</v>
      </c>
      <c r="AO524" s="77">
        <f t="shared" si="7"/>
        <v>0</v>
      </c>
      <c r="AP524" s="22"/>
      <c r="AQ524" s="22"/>
      <c r="AR524" s="22"/>
      <c r="AS524" s="22"/>
      <c r="AT524" s="22"/>
      <c r="AU524" s="26"/>
      <c r="AV524" s="26"/>
      <c r="AW524" s="26"/>
      <c r="AX524" s="26"/>
      <c r="AY524" s="26"/>
      <c r="AZ524" s="26"/>
      <c r="BA524" s="26"/>
      <c r="BB524" s="26"/>
      <c r="BC524" s="60"/>
      <c r="BD524" s="26"/>
      <c r="BE524" s="26"/>
      <c r="BF524" s="26"/>
      <c r="BG524" s="26"/>
      <c r="BH524" s="26"/>
      <c r="BI524" s="26"/>
      <c r="BJ524" s="26"/>
      <c r="BK524" s="26"/>
      <c r="BL524" s="26"/>
      <c r="BM524" s="26"/>
    </row>
    <row r="525" spans="1:65" ht="60" x14ac:dyDescent="0.25">
      <c r="A525" s="163">
        <v>283</v>
      </c>
      <c r="B525" s="155" t="s">
        <v>1724</v>
      </c>
      <c r="C525" s="22" t="s">
        <v>1319</v>
      </c>
      <c r="D525" s="81" t="s">
        <v>128</v>
      </c>
      <c r="E525" s="22" t="s">
        <v>124</v>
      </c>
      <c r="F525" s="33" t="s">
        <v>1727</v>
      </c>
      <c r="G525" s="33" t="s">
        <v>1733</v>
      </c>
      <c r="H525" s="23" t="s">
        <v>1206</v>
      </c>
      <c r="I525" s="35">
        <v>43319</v>
      </c>
      <c r="J525" s="35">
        <v>43684</v>
      </c>
      <c r="K525" s="24" t="s">
        <v>1723</v>
      </c>
      <c r="L525" s="140" t="s">
        <v>1725</v>
      </c>
      <c r="M525" s="43" t="s">
        <v>1726</v>
      </c>
      <c r="N525" s="61">
        <v>43321</v>
      </c>
      <c r="O525" s="77">
        <v>226669.04</v>
      </c>
      <c r="P525" s="76">
        <v>12367</v>
      </c>
      <c r="Q525" s="61">
        <v>43329</v>
      </c>
      <c r="R525" s="61">
        <v>43465</v>
      </c>
      <c r="S525" s="43" t="s">
        <v>1193</v>
      </c>
      <c r="T525" s="22"/>
      <c r="U525" s="25"/>
      <c r="V525" s="25"/>
      <c r="W525" s="33" t="s">
        <v>1728</v>
      </c>
      <c r="X525" s="33"/>
      <c r="Y525" s="22"/>
      <c r="Z525" s="22"/>
      <c r="AA525" s="22"/>
      <c r="AB525" s="33"/>
      <c r="AC525" s="22"/>
      <c r="AD525" s="22"/>
      <c r="AE525" s="22"/>
      <c r="AF525" s="22"/>
      <c r="AG525" s="25"/>
      <c r="AH525" s="25"/>
      <c r="AI525" s="25"/>
      <c r="AJ525" s="25"/>
      <c r="AK525" s="25"/>
      <c r="AL525" s="74">
        <f t="shared" ref="AL525:AL540" si="9">O525-AH525+AG525</f>
        <v>226669.04</v>
      </c>
      <c r="AM525" s="25"/>
      <c r="AN525" s="25">
        <f>22103.06+47363.68</f>
        <v>69466.740000000005</v>
      </c>
      <c r="AO525" s="77">
        <f t="shared" si="7"/>
        <v>69466.740000000005</v>
      </c>
      <c r="AP525" s="37"/>
      <c r="AQ525" s="22"/>
      <c r="AR525" s="22"/>
      <c r="AS525" s="22"/>
      <c r="AT525" s="22"/>
      <c r="AU525" s="26"/>
      <c r="AV525" s="26"/>
      <c r="AW525" s="26"/>
      <c r="AX525" s="26"/>
      <c r="AY525" s="26"/>
      <c r="AZ525" s="26"/>
      <c r="BA525" s="26"/>
      <c r="BB525" s="26"/>
      <c r="BC525" s="60"/>
      <c r="BD525" s="26"/>
      <c r="BE525" s="26"/>
      <c r="BF525" s="26"/>
      <c r="BG525" s="26"/>
      <c r="BH525" s="26"/>
      <c r="BI525" s="26"/>
      <c r="BJ525" s="26"/>
      <c r="BK525" s="26"/>
      <c r="BL525" s="26"/>
      <c r="BM525" s="26"/>
    </row>
    <row r="526" spans="1:65" ht="45" x14ac:dyDescent="0.25">
      <c r="A526" s="163">
        <v>284</v>
      </c>
      <c r="B526" s="155" t="s">
        <v>1724</v>
      </c>
      <c r="C526" s="22" t="s">
        <v>1319</v>
      </c>
      <c r="D526" s="81" t="s">
        <v>128</v>
      </c>
      <c r="E526" s="22" t="s">
        <v>124</v>
      </c>
      <c r="F526" s="33" t="s">
        <v>1729</v>
      </c>
      <c r="G526" s="33" t="s">
        <v>1733</v>
      </c>
      <c r="H526" s="23" t="s">
        <v>1206</v>
      </c>
      <c r="I526" s="35">
        <v>43319</v>
      </c>
      <c r="J526" s="35">
        <v>43684</v>
      </c>
      <c r="K526" s="24" t="s">
        <v>1732</v>
      </c>
      <c r="L526" s="140" t="s">
        <v>1730</v>
      </c>
      <c r="M526" s="43" t="s">
        <v>1731</v>
      </c>
      <c r="N526" s="61">
        <v>43321</v>
      </c>
      <c r="O526" s="77">
        <v>51191.48</v>
      </c>
      <c r="P526" s="76">
        <v>12366</v>
      </c>
      <c r="Q526" s="61">
        <v>43329</v>
      </c>
      <c r="R526" s="61">
        <v>43465</v>
      </c>
      <c r="S526" s="43" t="s">
        <v>1193</v>
      </c>
      <c r="T526" s="22"/>
      <c r="U526" s="25"/>
      <c r="V526" s="25"/>
      <c r="W526" s="33" t="s">
        <v>1728</v>
      </c>
      <c r="X526" s="33"/>
      <c r="Y526" s="22"/>
      <c r="Z526" s="22"/>
      <c r="AA526" s="22"/>
      <c r="AB526" s="33"/>
      <c r="AC526" s="22"/>
      <c r="AD526" s="22"/>
      <c r="AE526" s="22"/>
      <c r="AF526" s="22"/>
      <c r="AG526" s="25"/>
      <c r="AH526" s="25"/>
      <c r="AI526" s="25"/>
      <c r="AJ526" s="25"/>
      <c r="AK526" s="25"/>
      <c r="AL526" s="74">
        <f t="shared" si="9"/>
        <v>51191.48</v>
      </c>
      <c r="AM526" s="25"/>
      <c r="AN526" s="25">
        <f>5348.28+11460.8</f>
        <v>16809.079999999998</v>
      </c>
      <c r="AO526" s="77">
        <f t="shared" si="7"/>
        <v>16809.079999999998</v>
      </c>
      <c r="AP526" s="37"/>
      <c r="AQ526" s="22"/>
      <c r="AR526" s="22"/>
      <c r="AS526" s="22"/>
      <c r="AT526" s="22"/>
      <c r="AU526" s="26"/>
      <c r="AV526" s="26"/>
      <c r="AW526" s="26"/>
      <c r="AX526" s="26"/>
      <c r="AY526" s="26"/>
      <c r="AZ526" s="26"/>
      <c r="BA526" s="26"/>
      <c r="BB526" s="26"/>
      <c r="BC526" s="60"/>
      <c r="BD526" s="26"/>
      <c r="BE526" s="26"/>
      <c r="BF526" s="26"/>
      <c r="BG526" s="26"/>
      <c r="BH526" s="26"/>
      <c r="BI526" s="26"/>
      <c r="BJ526" s="26"/>
      <c r="BK526" s="26"/>
      <c r="BL526" s="26"/>
      <c r="BM526" s="26"/>
    </row>
    <row r="527" spans="1:65" ht="45" x14ac:dyDescent="0.25">
      <c r="A527" s="163">
        <v>285</v>
      </c>
      <c r="B527" s="155" t="s">
        <v>1236</v>
      </c>
      <c r="C527" s="22" t="s">
        <v>794</v>
      </c>
      <c r="D527" s="81" t="s">
        <v>128</v>
      </c>
      <c r="E527" s="22" t="s">
        <v>124</v>
      </c>
      <c r="F527" s="33" t="s">
        <v>1238</v>
      </c>
      <c r="G527" s="33" t="s">
        <v>1242</v>
      </c>
      <c r="H527" s="23" t="s">
        <v>785</v>
      </c>
      <c r="I527" s="35">
        <v>43077</v>
      </c>
      <c r="J527" s="35">
        <v>43442</v>
      </c>
      <c r="K527" s="24" t="s">
        <v>1751</v>
      </c>
      <c r="L527" s="140" t="s">
        <v>1240</v>
      </c>
      <c r="M527" s="43" t="s">
        <v>1241</v>
      </c>
      <c r="N527" s="61">
        <v>43335</v>
      </c>
      <c r="O527" s="77">
        <v>23177.5</v>
      </c>
      <c r="P527" s="76">
        <v>12384</v>
      </c>
      <c r="Q527" s="61">
        <v>43335</v>
      </c>
      <c r="R527" s="61">
        <v>43465</v>
      </c>
      <c r="S527" s="43" t="s">
        <v>243</v>
      </c>
      <c r="T527" s="22"/>
      <c r="U527" s="25"/>
      <c r="V527" s="25"/>
      <c r="W527" s="33" t="s">
        <v>1752</v>
      </c>
      <c r="X527" s="33"/>
      <c r="Y527" s="22"/>
      <c r="Z527" s="22"/>
      <c r="AA527" s="22"/>
      <c r="AB527" s="33"/>
      <c r="AC527" s="22"/>
      <c r="AD527" s="22"/>
      <c r="AE527" s="22"/>
      <c r="AF527" s="22"/>
      <c r="AG527" s="25"/>
      <c r="AH527" s="25"/>
      <c r="AI527" s="25"/>
      <c r="AJ527" s="25"/>
      <c r="AK527" s="25"/>
      <c r="AL527" s="74">
        <f t="shared" si="9"/>
        <v>23177.5</v>
      </c>
      <c r="AM527" s="25"/>
      <c r="AN527" s="25">
        <f>0</f>
        <v>0</v>
      </c>
      <c r="AO527" s="77">
        <f t="shared" si="7"/>
        <v>0</v>
      </c>
      <c r="AP527" s="22"/>
      <c r="AQ527" s="22"/>
      <c r="AR527" s="22"/>
      <c r="AS527" s="22"/>
      <c r="AT527" s="22"/>
      <c r="AU527" s="26"/>
      <c r="AV527" s="26"/>
      <c r="AW527" s="26"/>
      <c r="AX527" s="26"/>
      <c r="AY527" s="26"/>
      <c r="AZ527" s="26"/>
      <c r="BA527" s="26"/>
      <c r="BB527" s="26"/>
      <c r="BC527" s="60"/>
      <c r="BD527" s="26"/>
      <c r="BE527" s="26"/>
      <c r="BF527" s="26"/>
      <c r="BG527" s="26"/>
      <c r="BH527" s="26"/>
      <c r="BI527" s="26"/>
      <c r="BJ527" s="26"/>
      <c r="BK527" s="26"/>
      <c r="BL527" s="26"/>
      <c r="BM527" s="26"/>
    </row>
    <row r="528" spans="1:65" ht="45" x14ac:dyDescent="0.25">
      <c r="A528" s="163">
        <v>286</v>
      </c>
      <c r="B528" s="155" t="s">
        <v>1236</v>
      </c>
      <c r="C528" s="22" t="s">
        <v>794</v>
      </c>
      <c r="D528" s="81" t="s">
        <v>128</v>
      </c>
      <c r="E528" s="22" t="s">
        <v>124</v>
      </c>
      <c r="F528" s="33" t="s">
        <v>1238</v>
      </c>
      <c r="G528" s="33" t="s">
        <v>1242</v>
      </c>
      <c r="H528" s="23" t="s">
        <v>785</v>
      </c>
      <c r="I528" s="35">
        <v>43077</v>
      </c>
      <c r="J528" s="35">
        <v>43442</v>
      </c>
      <c r="K528" s="24" t="s">
        <v>1753</v>
      </c>
      <c r="L528" s="140" t="s">
        <v>970</v>
      </c>
      <c r="M528" s="43" t="s">
        <v>971</v>
      </c>
      <c r="N528" s="61">
        <v>43335</v>
      </c>
      <c r="O528" s="77">
        <v>15048</v>
      </c>
      <c r="P528" s="76">
        <v>12384</v>
      </c>
      <c r="Q528" s="61">
        <v>43335</v>
      </c>
      <c r="R528" s="61">
        <v>43465</v>
      </c>
      <c r="S528" s="43" t="s">
        <v>243</v>
      </c>
      <c r="T528" s="22"/>
      <c r="U528" s="25"/>
      <c r="V528" s="25"/>
      <c r="W528" s="33" t="s">
        <v>1752</v>
      </c>
      <c r="X528" s="33"/>
      <c r="Y528" s="22"/>
      <c r="Z528" s="22"/>
      <c r="AA528" s="22"/>
      <c r="AB528" s="33"/>
      <c r="AC528" s="22"/>
      <c r="AD528" s="22"/>
      <c r="AE528" s="22"/>
      <c r="AF528" s="22"/>
      <c r="AG528" s="25"/>
      <c r="AH528" s="25"/>
      <c r="AI528" s="25"/>
      <c r="AJ528" s="25"/>
      <c r="AK528" s="25"/>
      <c r="AL528" s="74">
        <f t="shared" si="9"/>
        <v>15048</v>
      </c>
      <c r="AM528" s="25"/>
      <c r="AN528" s="25">
        <f>15048</f>
        <v>15048</v>
      </c>
      <c r="AO528" s="77">
        <f t="shared" si="7"/>
        <v>15048</v>
      </c>
      <c r="AP528" s="22"/>
      <c r="AQ528" s="22"/>
      <c r="AR528" s="22"/>
      <c r="AS528" s="22"/>
      <c r="AT528" s="22"/>
      <c r="AU528" s="26"/>
      <c r="AV528" s="26"/>
      <c r="AW528" s="26"/>
      <c r="AX528" s="26"/>
      <c r="AY528" s="26"/>
      <c r="AZ528" s="26"/>
      <c r="BA528" s="26"/>
      <c r="BB528" s="26"/>
      <c r="BC528" s="60"/>
      <c r="BD528" s="26"/>
      <c r="BE528" s="26"/>
      <c r="BF528" s="26"/>
      <c r="BG528" s="26"/>
      <c r="BH528" s="26"/>
      <c r="BI528" s="26"/>
      <c r="BJ528" s="26"/>
      <c r="BK528" s="26"/>
      <c r="BL528" s="26"/>
      <c r="BM528" s="26"/>
    </row>
    <row r="529" spans="1:65" ht="45" x14ac:dyDescent="0.25">
      <c r="A529" s="163">
        <v>287</v>
      </c>
      <c r="B529" s="155" t="s">
        <v>1720</v>
      </c>
      <c r="C529" s="22" t="s">
        <v>1199</v>
      </c>
      <c r="D529" s="81" t="s">
        <v>128</v>
      </c>
      <c r="E529" s="22" t="s">
        <v>124</v>
      </c>
      <c r="F529" s="33" t="s">
        <v>1721</v>
      </c>
      <c r="G529" s="33" t="s">
        <v>1722</v>
      </c>
      <c r="H529" s="23" t="s">
        <v>1200</v>
      </c>
      <c r="I529" s="35">
        <v>43243</v>
      </c>
      <c r="J529" s="35">
        <v>43608</v>
      </c>
      <c r="K529" s="24" t="s">
        <v>1754</v>
      </c>
      <c r="L529" s="140" t="s">
        <v>999</v>
      </c>
      <c r="M529" s="43" t="s">
        <v>1000</v>
      </c>
      <c r="N529" s="61">
        <v>43335</v>
      </c>
      <c r="O529" s="77">
        <v>8430</v>
      </c>
      <c r="P529" s="76">
        <v>12382</v>
      </c>
      <c r="Q529" s="61">
        <v>43335</v>
      </c>
      <c r="R529" s="61">
        <v>43465</v>
      </c>
      <c r="S529" s="43" t="s">
        <v>1196</v>
      </c>
      <c r="T529" s="22"/>
      <c r="U529" s="25"/>
      <c r="V529" s="25"/>
      <c r="W529" s="33" t="s">
        <v>184</v>
      </c>
      <c r="X529" s="33"/>
      <c r="Y529" s="22"/>
      <c r="Z529" s="22"/>
      <c r="AA529" s="22"/>
      <c r="AB529" s="33"/>
      <c r="AC529" s="22"/>
      <c r="AD529" s="22"/>
      <c r="AE529" s="22"/>
      <c r="AF529" s="22"/>
      <c r="AG529" s="25"/>
      <c r="AH529" s="25"/>
      <c r="AI529" s="25"/>
      <c r="AJ529" s="25"/>
      <c r="AK529" s="25"/>
      <c r="AL529" s="74">
        <f t="shared" si="9"/>
        <v>8430</v>
      </c>
      <c r="AM529" s="25"/>
      <c r="AN529" s="25">
        <f>0</f>
        <v>0</v>
      </c>
      <c r="AO529" s="77">
        <f t="shared" si="7"/>
        <v>0</v>
      </c>
      <c r="AP529" s="22"/>
      <c r="AQ529" s="22"/>
      <c r="AR529" s="22"/>
      <c r="AS529" s="22"/>
      <c r="AT529" s="22"/>
      <c r="AU529" s="26"/>
      <c r="AV529" s="26"/>
      <c r="AW529" s="26"/>
      <c r="AX529" s="26"/>
      <c r="AY529" s="26"/>
      <c r="AZ529" s="26"/>
      <c r="BA529" s="26"/>
      <c r="BB529" s="26"/>
      <c r="BC529" s="60"/>
      <c r="BD529" s="26"/>
      <c r="BE529" s="26"/>
      <c r="BF529" s="26"/>
      <c r="BG529" s="26"/>
      <c r="BH529" s="26"/>
      <c r="BI529" s="26"/>
      <c r="BJ529" s="26"/>
      <c r="BK529" s="26"/>
      <c r="BL529" s="26"/>
      <c r="BM529" s="26"/>
    </row>
    <row r="530" spans="1:65" ht="45" x14ac:dyDescent="0.25">
      <c r="A530" s="163">
        <v>288</v>
      </c>
      <c r="B530" s="155" t="s">
        <v>1720</v>
      </c>
      <c r="C530" s="22" t="s">
        <v>1199</v>
      </c>
      <c r="D530" s="81" t="s">
        <v>128</v>
      </c>
      <c r="E530" s="22" t="s">
        <v>124</v>
      </c>
      <c r="F530" s="33" t="s">
        <v>1721</v>
      </c>
      <c r="G530" s="33" t="s">
        <v>1722</v>
      </c>
      <c r="H530" s="23" t="s">
        <v>1200</v>
      </c>
      <c r="I530" s="35">
        <v>43243</v>
      </c>
      <c r="J530" s="35">
        <v>43608</v>
      </c>
      <c r="K530" s="24" t="s">
        <v>1755</v>
      </c>
      <c r="L530" s="140" t="s">
        <v>1756</v>
      </c>
      <c r="M530" s="43" t="s">
        <v>1757</v>
      </c>
      <c r="N530" s="61">
        <v>43335</v>
      </c>
      <c r="O530" s="77">
        <v>24815.5</v>
      </c>
      <c r="P530" s="76">
        <v>12382</v>
      </c>
      <c r="Q530" s="61">
        <v>43335</v>
      </c>
      <c r="R530" s="61">
        <v>43465</v>
      </c>
      <c r="S530" s="43" t="s">
        <v>1196</v>
      </c>
      <c r="T530" s="22"/>
      <c r="U530" s="25"/>
      <c r="V530" s="25"/>
      <c r="W530" s="33" t="s">
        <v>184</v>
      </c>
      <c r="X530" s="33"/>
      <c r="Y530" s="22"/>
      <c r="Z530" s="22"/>
      <c r="AA530" s="22"/>
      <c r="AB530" s="33"/>
      <c r="AC530" s="22"/>
      <c r="AD530" s="22"/>
      <c r="AE530" s="22"/>
      <c r="AF530" s="22"/>
      <c r="AG530" s="25"/>
      <c r="AH530" s="25"/>
      <c r="AI530" s="25"/>
      <c r="AJ530" s="25"/>
      <c r="AK530" s="25"/>
      <c r="AL530" s="74">
        <f t="shared" si="9"/>
        <v>24815.5</v>
      </c>
      <c r="AM530" s="25"/>
      <c r="AN530" s="25">
        <f>0</f>
        <v>0</v>
      </c>
      <c r="AO530" s="77">
        <f t="shared" si="7"/>
        <v>0</v>
      </c>
      <c r="AP530" s="22"/>
      <c r="AQ530" s="22"/>
      <c r="AR530" s="22"/>
      <c r="AS530" s="22"/>
      <c r="AT530" s="22"/>
      <c r="AU530" s="26"/>
      <c r="AV530" s="26"/>
      <c r="AW530" s="26"/>
      <c r="AX530" s="26"/>
      <c r="AY530" s="26"/>
      <c r="AZ530" s="26"/>
      <c r="BA530" s="26"/>
      <c r="BB530" s="26"/>
      <c r="BC530" s="60"/>
      <c r="BD530" s="26"/>
      <c r="BE530" s="26"/>
      <c r="BF530" s="26"/>
      <c r="BG530" s="26"/>
      <c r="BH530" s="26"/>
      <c r="BI530" s="26"/>
      <c r="BJ530" s="26"/>
      <c r="BK530" s="26"/>
      <c r="BL530" s="26"/>
      <c r="BM530" s="26"/>
    </row>
    <row r="531" spans="1:65" ht="60" x14ac:dyDescent="0.25">
      <c r="A531" s="163">
        <v>289</v>
      </c>
      <c r="B531" s="155" t="s">
        <v>1221</v>
      </c>
      <c r="C531" s="22" t="s">
        <v>778</v>
      </c>
      <c r="D531" s="81" t="s">
        <v>128</v>
      </c>
      <c r="E531" s="22" t="s">
        <v>124</v>
      </c>
      <c r="F531" s="33" t="s">
        <v>1222</v>
      </c>
      <c r="G531" s="33" t="s">
        <v>1226</v>
      </c>
      <c r="H531" s="23" t="s">
        <v>778</v>
      </c>
      <c r="I531" s="35">
        <v>43047</v>
      </c>
      <c r="J531" s="35">
        <v>43412</v>
      </c>
      <c r="K531" s="24" t="s">
        <v>1758</v>
      </c>
      <c r="L531" s="140" t="s">
        <v>360</v>
      </c>
      <c r="M531" s="43" t="s">
        <v>229</v>
      </c>
      <c r="N531" s="61">
        <v>43335</v>
      </c>
      <c r="O531" s="77">
        <v>33100</v>
      </c>
      <c r="P531" s="76">
        <v>12376</v>
      </c>
      <c r="Q531" s="61">
        <v>43335</v>
      </c>
      <c r="R531" s="61">
        <v>43465</v>
      </c>
      <c r="S531" s="43" t="s">
        <v>1196</v>
      </c>
      <c r="T531" s="22"/>
      <c r="U531" s="25"/>
      <c r="V531" s="25"/>
      <c r="W531" s="33" t="s">
        <v>787</v>
      </c>
      <c r="X531" s="33"/>
      <c r="Y531" s="22"/>
      <c r="Z531" s="22"/>
      <c r="AA531" s="22"/>
      <c r="AB531" s="33"/>
      <c r="AC531" s="22"/>
      <c r="AD531" s="22"/>
      <c r="AE531" s="22"/>
      <c r="AF531" s="22"/>
      <c r="AG531" s="25"/>
      <c r="AH531" s="25"/>
      <c r="AI531" s="25"/>
      <c r="AJ531" s="25"/>
      <c r="AK531" s="25"/>
      <c r="AL531" s="74">
        <f t="shared" si="9"/>
        <v>33100</v>
      </c>
      <c r="AM531" s="25"/>
      <c r="AN531" s="25">
        <f>22100+11000</f>
        <v>33100</v>
      </c>
      <c r="AO531" s="77">
        <f t="shared" si="7"/>
        <v>33100</v>
      </c>
      <c r="AP531" s="37"/>
      <c r="AQ531" s="22"/>
      <c r="AR531" s="22"/>
      <c r="AS531" s="22"/>
      <c r="AT531" s="22"/>
      <c r="AU531" s="26"/>
      <c r="AV531" s="26"/>
      <c r="AW531" s="26"/>
      <c r="AX531" s="26"/>
      <c r="AY531" s="26"/>
      <c r="AZ531" s="26"/>
      <c r="BA531" s="26"/>
      <c r="BB531" s="26"/>
      <c r="BC531" s="60"/>
      <c r="BD531" s="26"/>
      <c r="BE531" s="26"/>
      <c r="BF531" s="26"/>
      <c r="BG531" s="26"/>
      <c r="BH531" s="26"/>
      <c r="BI531" s="26"/>
      <c r="BJ531" s="26"/>
      <c r="BK531" s="26"/>
      <c r="BL531" s="26"/>
      <c r="BM531" s="26"/>
    </row>
    <row r="532" spans="1:65" ht="30" x14ac:dyDescent="0.25">
      <c r="A532" s="163">
        <v>290</v>
      </c>
      <c r="B532" s="155" t="s">
        <v>1760</v>
      </c>
      <c r="C532" s="22" t="s">
        <v>1245</v>
      </c>
      <c r="D532" s="81" t="s">
        <v>128</v>
      </c>
      <c r="E532" s="22" t="s">
        <v>124</v>
      </c>
      <c r="F532" s="33" t="s">
        <v>1761</v>
      </c>
      <c r="G532" s="33" t="s">
        <v>1773</v>
      </c>
      <c r="H532" s="23" t="s">
        <v>1212</v>
      </c>
      <c r="I532" s="35">
        <v>43332</v>
      </c>
      <c r="J532" s="35">
        <v>43697</v>
      </c>
      <c r="K532" s="24" t="s">
        <v>1759</v>
      </c>
      <c r="L532" s="140" t="s">
        <v>223</v>
      </c>
      <c r="M532" s="43" t="s">
        <v>224</v>
      </c>
      <c r="N532" s="61">
        <v>43336</v>
      </c>
      <c r="O532" s="77">
        <v>206692</v>
      </c>
      <c r="P532" s="76">
        <v>12377</v>
      </c>
      <c r="Q532" s="61">
        <v>43336</v>
      </c>
      <c r="R532" s="61">
        <v>43465</v>
      </c>
      <c r="S532" s="43" t="s">
        <v>1196</v>
      </c>
      <c r="T532" s="22"/>
      <c r="U532" s="25"/>
      <c r="V532" s="25"/>
      <c r="W532" s="33" t="s">
        <v>184</v>
      </c>
      <c r="X532" s="33"/>
      <c r="Y532" s="22"/>
      <c r="Z532" s="22"/>
      <c r="AA532" s="22"/>
      <c r="AB532" s="33"/>
      <c r="AC532" s="22"/>
      <c r="AD532" s="22"/>
      <c r="AE532" s="22"/>
      <c r="AF532" s="22"/>
      <c r="AG532" s="25"/>
      <c r="AH532" s="25"/>
      <c r="AI532" s="25"/>
      <c r="AJ532" s="25"/>
      <c r="AK532" s="25"/>
      <c r="AL532" s="74">
        <f t="shared" si="9"/>
        <v>206692</v>
      </c>
      <c r="AM532" s="25"/>
      <c r="AN532" s="25">
        <f>163616.56+17586</f>
        <v>181202.56</v>
      </c>
      <c r="AO532" s="77">
        <f t="shared" si="7"/>
        <v>181202.56</v>
      </c>
      <c r="AP532" s="37"/>
      <c r="AQ532" s="22"/>
      <c r="AR532" s="22"/>
      <c r="AS532" s="22"/>
      <c r="AT532" s="22"/>
      <c r="AU532" s="26"/>
      <c r="AV532" s="26"/>
      <c r="AW532" s="26"/>
      <c r="AX532" s="26"/>
      <c r="AY532" s="26"/>
      <c r="AZ532" s="26"/>
      <c r="BA532" s="26"/>
      <c r="BB532" s="26"/>
      <c r="BC532" s="60"/>
      <c r="BD532" s="26"/>
      <c r="BE532" s="26"/>
      <c r="BF532" s="26"/>
      <c r="BG532" s="26"/>
      <c r="BH532" s="26"/>
      <c r="BI532" s="26"/>
      <c r="BJ532" s="26"/>
      <c r="BK532" s="26"/>
      <c r="BL532" s="26"/>
      <c r="BM532" s="26"/>
    </row>
    <row r="533" spans="1:65" ht="30" x14ac:dyDescent="0.25">
      <c r="A533" s="163">
        <v>291</v>
      </c>
      <c r="B533" s="155" t="s">
        <v>1760</v>
      </c>
      <c r="C533" s="22" t="s">
        <v>1245</v>
      </c>
      <c r="D533" s="81" t="s">
        <v>128</v>
      </c>
      <c r="E533" s="22" t="s">
        <v>124</v>
      </c>
      <c r="F533" s="33" t="s">
        <v>1761</v>
      </c>
      <c r="G533" s="33" t="s">
        <v>1773</v>
      </c>
      <c r="H533" s="23" t="s">
        <v>1212</v>
      </c>
      <c r="I533" s="35">
        <v>43332</v>
      </c>
      <c r="J533" s="35">
        <v>43697</v>
      </c>
      <c r="K533" s="24" t="s">
        <v>1762</v>
      </c>
      <c r="L533" s="140" t="s">
        <v>779</v>
      </c>
      <c r="M533" s="43" t="s">
        <v>780</v>
      </c>
      <c r="N533" s="61">
        <v>43336</v>
      </c>
      <c r="O533" s="77">
        <v>210204</v>
      </c>
      <c r="P533" s="76">
        <v>12377</v>
      </c>
      <c r="Q533" s="61">
        <v>43336</v>
      </c>
      <c r="R533" s="61">
        <v>43465</v>
      </c>
      <c r="S533" s="43" t="s">
        <v>1196</v>
      </c>
      <c r="T533" s="22"/>
      <c r="U533" s="25"/>
      <c r="V533" s="25"/>
      <c r="W533" s="33" t="s">
        <v>184</v>
      </c>
      <c r="X533" s="33"/>
      <c r="Y533" s="22"/>
      <c r="Z533" s="22"/>
      <c r="AA533" s="22"/>
      <c r="AB533" s="33"/>
      <c r="AC533" s="22"/>
      <c r="AD533" s="22"/>
      <c r="AE533" s="22"/>
      <c r="AF533" s="22"/>
      <c r="AG533" s="25"/>
      <c r="AH533" s="25"/>
      <c r="AI533" s="25"/>
      <c r="AJ533" s="25"/>
      <c r="AK533" s="25"/>
      <c r="AL533" s="74">
        <f t="shared" si="9"/>
        <v>210204</v>
      </c>
      <c r="AM533" s="25"/>
      <c r="AN533" s="25">
        <f>115666.5+79387.5</f>
        <v>195054</v>
      </c>
      <c r="AO533" s="77">
        <f t="shared" si="7"/>
        <v>195054</v>
      </c>
      <c r="AP533" s="37"/>
      <c r="AQ533" s="22"/>
      <c r="AR533" s="22"/>
      <c r="AS533" s="22"/>
      <c r="AT533" s="22"/>
      <c r="AU533" s="26"/>
      <c r="AV533" s="26"/>
      <c r="AW533" s="26"/>
      <c r="AX533" s="26"/>
      <c r="AY533" s="26"/>
      <c r="AZ533" s="26"/>
      <c r="BA533" s="26"/>
      <c r="BB533" s="26"/>
      <c r="BC533" s="60"/>
      <c r="BD533" s="26"/>
      <c r="BE533" s="26"/>
      <c r="BF533" s="26"/>
      <c r="BG533" s="26"/>
      <c r="BH533" s="26"/>
      <c r="BI533" s="26"/>
      <c r="BJ533" s="26"/>
      <c r="BK533" s="26"/>
      <c r="BL533" s="26"/>
      <c r="BM533" s="26"/>
    </row>
    <row r="534" spans="1:65" ht="30" x14ac:dyDescent="0.25">
      <c r="A534" s="163">
        <v>292</v>
      </c>
      <c r="B534" s="155" t="s">
        <v>1760</v>
      </c>
      <c r="C534" s="22" t="s">
        <v>1245</v>
      </c>
      <c r="D534" s="81" t="s">
        <v>128</v>
      </c>
      <c r="E534" s="22" t="s">
        <v>124</v>
      </c>
      <c r="F534" s="33" t="s">
        <v>1761</v>
      </c>
      <c r="G534" s="33" t="s">
        <v>1773</v>
      </c>
      <c r="H534" s="23" t="s">
        <v>1212</v>
      </c>
      <c r="I534" s="35">
        <v>43332</v>
      </c>
      <c r="J534" s="35">
        <v>43697</v>
      </c>
      <c r="K534" s="24" t="s">
        <v>1763</v>
      </c>
      <c r="L534" s="140" t="s">
        <v>238</v>
      </c>
      <c r="M534" s="43" t="s">
        <v>239</v>
      </c>
      <c r="N534" s="61">
        <v>43336</v>
      </c>
      <c r="O534" s="77">
        <v>8158.8</v>
      </c>
      <c r="P534" s="76">
        <v>12377</v>
      </c>
      <c r="Q534" s="61">
        <v>43336</v>
      </c>
      <c r="R534" s="61">
        <v>43465</v>
      </c>
      <c r="S534" s="43" t="s">
        <v>1196</v>
      </c>
      <c r="T534" s="22"/>
      <c r="U534" s="25"/>
      <c r="V534" s="25"/>
      <c r="W534" s="33" t="s">
        <v>184</v>
      </c>
      <c r="X534" s="33"/>
      <c r="Y534" s="22"/>
      <c r="Z534" s="22"/>
      <c r="AA534" s="22"/>
      <c r="AB534" s="33"/>
      <c r="AC534" s="22"/>
      <c r="AD534" s="22"/>
      <c r="AE534" s="22"/>
      <c r="AF534" s="22"/>
      <c r="AG534" s="25"/>
      <c r="AH534" s="25"/>
      <c r="AI534" s="25"/>
      <c r="AJ534" s="25"/>
      <c r="AK534" s="25"/>
      <c r="AL534" s="74">
        <f t="shared" si="9"/>
        <v>8158.8</v>
      </c>
      <c r="AM534" s="25"/>
      <c r="AN534" s="25">
        <f>2100+1500</f>
        <v>3600</v>
      </c>
      <c r="AO534" s="77">
        <f t="shared" si="7"/>
        <v>3600</v>
      </c>
      <c r="AP534" s="37"/>
      <c r="AQ534" s="22"/>
      <c r="AR534" s="22"/>
      <c r="AS534" s="22"/>
      <c r="AT534" s="22"/>
      <c r="AU534" s="26"/>
      <c r="AV534" s="26"/>
      <c r="AW534" s="26"/>
      <c r="AX534" s="26"/>
      <c r="AY534" s="26"/>
      <c r="AZ534" s="26"/>
      <c r="BA534" s="26"/>
      <c r="BB534" s="26"/>
      <c r="BC534" s="60"/>
      <c r="BD534" s="26"/>
      <c r="BE534" s="26"/>
      <c r="BF534" s="26"/>
      <c r="BG534" s="26"/>
      <c r="BH534" s="26"/>
      <c r="BI534" s="26"/>
      <c r="BJ534" s="26"/>
      <c r="BK534" s="26"/>
      <c r="BL534" s="26"/>
      <c r="BM534" s="26"/>
    </row>
    <row r="535" spans="1:65" ht="30" x14ac:dyDescent="0.25">
      <c r="A535" s="163">
        <v>293</v>
      </c>
      <c r="B535" s="155" t="s">
        <v>1760</v>
      </c>
      <c r="C535" s="22" t="s">
        <v>1245</v>
      </c>
      <c r="D535" s="81" t="s">
        <v>128</v>
      </c>
      <c r="E535" s="22" t="s">
        <v>124</v>
      </c>
      <c r="F535" s="33" t="s">
        <v>1761</v>
      </c>
      <c r="G535" s="33" t="s">
        <v>1773</v>
      </c>
      <c r="H535" s="23" t="s">
        <v>1212</v>
      </c>
      <c r="I535" s="35">
        <v>43332</v>
      </c>
      <c r="J535" s="35">
        <v>43697</v>
      </c>
      <c r="K535" s="24" t="s">
        <v>1764</v>
      </c>
      <c r="L535" s="140" t="s">
        <v>379</v>
      </c>
      <c r="M535" s="43" t="s">
        <v>222</v>
      </c>
      <c r="N535" s="61">
        <v>43336</v>
      </c>
      <c r="O535" s="77">
        <v>112677.6</v>
      </c>
      <c r="P535" s="76">
        <v>12377</v>
      </c>
      <c r="Q535" s="61">
        <v>43336</v>
      </c>
      <c r="R535" s="61">
        <v>43465</v>
      </c>
      <c r="S535" s="43" t="s">
        <v>1196</v>
      </c>
      <c r="T535" s="22"/>
      <c r="U535" s="25"/>
      <c r="V535" s="25"/>
      <c r="W535" s="33" t="s">
        <v>184</v>
      </c>
      <c r="X535" s="33"/>
      <c r="Y535" s="22"/>
      <c r="Z535" s="22"/>
      <c r="AA535" s="22"/>
      <c r="AB535" s="33"/>
      <c r="AC535" s="22"/>
      <c r="AD535" s="22"/>
      <c r="AE535" s="22"/>
      <c r="AF535" s="22"/>
      <c r="AG535" s="25"/>
      <c r="AH535" s="25"/>
      <c r="AI535" s="25"/>
      <c r="AJ535" s="25"/>
      <c r="AK535" s="25"/>
      <c r="AL535" s="74">
        <f t="shared" si="9"/>
        <v>112677.6</v>
      </c>
      <c r="AM535" s="25"/>
      <c r="AN535" s="25">
        <f>50987.6+52200</f>
        <v>103187.6</v>
      </c>
      <c r="AO535" s="77">
        <f t="shared" si="7"/>
        <v>103187.6</v>
      </c>
      <c r="AP535" s="37"/>
      <c r="AQ535" s="22"/>
      <c r="AR535" s="22"/>
      <c r="AS535" s="22"/>
      <c r="AT535" s="22"/>
      <c r="AU535" s="26"/>
      <c r="AV535" s="26"/>
      <c r="AW535" s="26"/>
      <c r="AX535" s="26"/>
      <c r="AY535" s="26"/>
      <c r="AZ535" s="26"/>
      <c r="BA535" s="26"/>
      <c r="BB535" s="26"/>
      <c r="BC535" s="60"/>
      <c r="BD535" s="26"/>
      <c r="BE535" s="26"/>
      <c r="BF535" s="26"/>
      <c r="BG535" s="26"/>
      <c r="BH535" s="26"/>
      <c r="BI535" s="26"/>
      <c r="BJ535" s="26"/>
      <c r="BK535" s="26"/>
      <c r="BL535" s="26"/>
      <c r="BM535" s="26"/>
    </row>
    <row r="536" spans="1:65" ht="30" x14ac:dyDescent="0.25">
      <c r="A536" s="163">
        <v>294</v>
      </c>
      <c r="B536" s="155" t="s">
        <v>1760</v>
      </c>
      <c r="C536" s="22" t="s">
        <v>1245</v>
      </c>
      <c r="D536" s="81" t="s">
        <v>128</v>
      </c>
      <c r="E536" s="22" t="s">
        <v>124</v>
      </c>
      <c r="F536" s="33" t="s">
        <v>1761</v>
      </c>
      <c r="G536" s="33" t="s">
        <v>1773</v>
      </c>
      <c r="H536" s="23" t="s">
        <v>1212</v>
      </c>
      <c r="I536" s="35">
        <v>43332</v>
      </c>
      <c r="J536" s="35">
        <v>43697</v>
      </c>
      <c r="K536" s="24" t="s">
        <v>1765</v>
      </c>
      <c r="L536" s="140" t="s">
        <v>360</v>
      </c>
      <c r="M536" s="43" t="s">
        <v>229</v>
      </c>
      <c r="N536" s="61">
        <v>43336</v>
      </c>
      <c r="O536" s="77">
        <v>304305.09999999998</v>
      </c>
      <c r="P536" s="76">
        <v>12377</v>
      </c>
      <c r="Q536" s="61">
        <v>43336</v>
      </c>
      <c r="R536" s="61">
        <v>43465</v>
      </c>
      <c r="S536" s="43" t="s">
        <v>1196</v>
      </c>
      <c r="T536" s="22"/>
      <c r="U536" s="25"/>
      <c r="V536" s="25"/>
      <c r="W536" s="33" t="s">
        <v>184</v>
      </c>
      <c r="X536" s="33"/>
      <c r="Y536" s="22"/>
      <c r="Z536" s="22"/>
      <c r="AA536" s="22"/>
      <c r="AB536" s="33"/>
      <c r="AC536" s="22"/>
      <c r="AD536" s="22"/>
      <c r="AE536" s="22"/>
      <c r="AF536" s="22"/>
      <c r="AG536" s="25"/>
      <c r="AH536" s="25"/>
      <c r="AI536" s="25"/>
      <c r="AJ536" s="25"/>
      <c r="AK536" s="25"/>
      <c r="AL536" s="74">
        <f t="shared" si="9"/>
        <v>304305.09999999998</v>
      </c>
      <c r="AM536" s="25"/>
      <c r="AN536" s="25">
        <f>207954.2</f>
        <v>207954.2</v>
      </c>
      <c r="AO536" s="77">
        <f t="shared" si="7"/>
        <v>207954.2</v>
      </c>
      <c r="AP536" s="22"/>
      <c r="AQ536" s="22"/>
      <c r="AR536" s="22"/>
      <c r="AS536" s="22"/>
      <c r="AT536" s="22"/>
      <c r="AU536" s="26"/>
      <c r="AV536" s="26"/>
      <c r="AW536" s="26"/>
      <c r="AX536" s="26"/>
      <c r="AY536" s="26"/>
      <c r="AZ536" s="26"/>
      <c r="BA536" s="26"/>
      <c r="BB536" s="26"/>
      <c r="BC536" s="60"/>
      <c r="BD536" s="26"/>
      <c r="BE536" s="26"/>
      <c r="BF536" s="26"/>
      <c r="BG536" s="26"/>
      <c r="BH536" s="26"/>
      <c r="BI536" s="26"/>
      <c r="BJ536" s="26"/>
      <c r="BK536" s="26"/>
      <c r="BL536" s="26"/>
      <c r="BM536" s="26"/>
    </row>
    <row r="537" spans="1:65" ht="30" x14ac:dyDescent="0.25">
      <c r="A537" s="163">
        <v>295</v>
      </c>
      <c r="B537" s="155" t="s">
        <v>1760</v>
      </c>
      <c r="C537" s="22" t="s">
        <v>1245</v>
      </c>
      <c r="D537" s="81" t="s">
        <v>128</v>
      </c>
      <c r="E537" s="22" t="s">
        <v>124</v>
      </c>
      <c r="F537" s="33" t="s">
        <v>1761</v>
      </c>
      <c r="G537" s="33" t="s">
        <v>1773</v>
      </c>
      <c r="H537" s="23" t="s">
        <v>1212</v>
      </c>
      <c r="I537" s="35">
        <v>43332</v>
      </c>
      <c r="J537" s="35">
        <v>43697</v>
      </c>
      <c r="K537" s="24" t="s">
        <v>1766</v>
      </c>
      <c r="L537" s="140" t="s">
        <v>622</v>
      </c>
      <c r="M537" s="43" t="s">
        <v>623</v>
      </c>
      <c r="N537" s="61">
        <v>43336</v>
      </c>
      <c r="O537" s="77">
        <v>7740</v>
      </c>
      <c r="P537" s="76">
        <v>12377</v>
      </c>
      <c r="Q537" s="61">
        <v>43336</v>
      </c>
      <c r="R537" s="61">
        <v>43465</v>
      </c>
      <c r="S537" s="43" t="s">
        <v>1196</v>
      </c>
      <c r="T537" s="22"/>
      <c r="U537" s="25"/>
      <c r="V537" s="25"/>
      <c r="W537" s="33" t="s">
        <v>184</v>
      </c>
      <c r="X537" s="33"/>
      <c r="Y537" s="22"/>
      <c r="Z537" s="22"/>
      <c r="AA537" s="22"/>
      <c r="AB537" s="33"/>
      <c r="AC537" s="22"/>
      <c r="AD537" s="22"/>
      <c r="AE537" s="22"/>
      <c r="AF537" s="22"/>
      <c r="AG537" s="25"/>
      <c r="AH537" s="25"/>
      <c r="AI537" s="25"/>
      <c r="AJ537" s="25"/>
      <c r="AK537" s="25"/>
      <c r="AL537" s="74">
        <f t="shared" si="9"/>
        <v>7740</v>
      </c>
      <c r="AM537" s="25"/>
      <c r="AN537" s="25">
        <f>6795+945</f>
        <v>7740</v>
      </c>
      <c r="AO537" s="77">
        <f t="shared" si="7"/>
        <v>7740</v>
      </c>
      <c r="AP537" s="37"/>
      <c r="AQ537" s="22"/>
      <c r="AR537" s="22"/>
      <c r="AS537" s="22"/>
      <c r="AT537" s="22"/>
      <c r="AU537" s="26"/>
      <c r="AV537" s="26"/>
      <c r="AW537" s="26"/>
      <c r="AX537" s="26"/>
      <c r="AY537" s="26"/>
      <c r="AZ537" s="26"/>
      <c r="BA537" s="26"/>
      <c r="BB537" s="26"/>
      <c r="BC537" s="60"/>
      <c r="BD537" s="26"/>
      <c r="BE537" s="26"/>
      <c r="BF537" s="26"/>
      <c r="BG537" s="26"/>
      <c r="BH537" s="26"/>
      <c r="BI537" s="26"/>
      <c r="BJ537" s="26"/>
      <c r="BK537" s="26"/>
      <c r="BL537" s="26"/>
      <c r="BM537" s="26"/>
    </row>
    <row r="538" spans="1:65" ht="30" x14ac:dyDescent="0.25">
      <c r="A538" s="163">
        <v>296</v>
      </c>
      <c r="B538" s="155" t="s">
        <v>1760</v>
      </c>
      <c r="C538" s="22" t="s">
        <v>1245</v>
      </c>
      <c r="D538" s="81" t="s">
        <v>128</v>
      </c>
      <c r="E538" s="22" t="s">
        <v>124</v>
      </c>
      <c r="F538" s="33" t="s">
        <v>1761</v>
      </c>
      <c r="G538" s="33" t="s">
        <v>1773</v>
      </c>
      <c r="H538" s="23" t="s">
        <v>1212</v>
      </c>
      <c r="I538" s="35">
        <v>43332</v>
      </c>
      <c r="J538" s="35">
        <v>43697</v>
      </c>
      <c r="K538" s="24" t="s">
        <v>1767</v>
      </c>
      <c r="L538" s="140" t="s">
        <v>1768</v>
      </c>
      <c r="M538" s="43" t="s">
        <v>1769</v>
      </c>
      <c r="N538" s="61">
        <v>43336</v>
      </c>
      <c r="O538" s="77">
        <v>34364</v>
      </c>
      <c r="P538" s="76">
        <v>12377</v>
      </c>
      <c r="Q538" s="61">
        <v>43336</v>
      </c>
      <c r="R538" s="61">
        <v>43465</v>
      </c>
      <c r="S538" s="43" t="s">
        <v>1196</v>
      </c>
      <c r="T538" s="22"/>
      <c r="U538" s="25"/>
      <c r="V538" s="25"/>
      <c r="W538" s="33" t="s">
        <v>184</v>
      </c>
      <c r="X538" s="33"/>
      <c r="Y538" s="22"/>
      <c r="Z538" s="22"/>
      <c r="AA538" s="22"/>
      <c r="AB538" s="33"/>
      <c r="AC538" s="22"/>
      <c r="AD538" s="22"/>
      <c r="AE538" s="22"/>
      <c r="AF538" s="22"/>
      <c r="AG538" s="25"/>
      <c r="AH538" s="25"/>
      <c r="AI538" s="25"/>
      <c r="AJ538" s="25"/>
      <c r="AK538" s="25"/>
      <c r="AL538" s="74">
        <f t="shared" si="9"/>
        <v>34364</v>
      </c>
      <c r="AM538" s="25"/>
      <c r="AN538" s="25">
        <f>30164</f>
        <v>30164</v>
      </c>
      <c r="AO538" s="77">
        <f t="shared" si="7"/>
        <v>30164</v>
      </c>
      <c r="AP538" s="22"/>
      <c r="AQ538" s="22"/>
      <c r="AR538" s="22"/>
      <c r="AS538" s="22"/>
      <c r="AT538" s="22"/>
      <c r="AU538" s="26"/>
      <c r="AV538" s="26"/>
      <c r="AW538" s="26"/>
      <c r="AX538" s="26"/>
      <c r="AY538" s="26"/>
      <c r="AZ538" s="26"/>
      <c r="BA538" s="26"/>
      <c r="BB538" s="26"/>
      <c r="BC538" s="60"/>
      <c r="BD538" s="26"/>
      <c r="BE538" s="26"/>
      <c r="BF538" s="26"/>
      <c r="BG538" s="26"/>
      <c r="BH538" s="26"/>
      <c r="BI538" s="26"/>
      <c r="BJ538" s="26"/>
      <c r="BK538" s="26"/>
      <c r="BL538" s="26"/>
      <c r="BM538" s="26"/>
    </row>
    <row r="539" spans="1:65" ht="30" x14ac:dyDescent="0.25">
      <c r="A539" s="163">
        <v>297</v>
      </c>
      <c r="B539" s="155" t="s">
        <v>1760</v>
      </c>
      <c r="C539" s="22" t="s">
        <v>1245</v>
      </c>
      <c r="D539" s="81" t="s">
        <v>128</v>
      </c>
      <c r="E539" s="22" t="s">
        <v>124</v>
      </c>
      <c r="F539" s="33" t="s">
        <v>1761</v>
      </c>
      <c r="G539" s="33" t="s">
        <v>1773</v>
      </c>
      <c r="H539" s="23" t="s">
        <v>1212</v>
      </c>
      <c r="I539" s="35">
        <v>43332</v>
      </c>
      <c r="J539" s="35">
        <v>43697</v>
      </c>
      <c r="K539" s="24" t="s">
        <v>1774</v>
      </c>
      <c r="L539" s="140" t="s">
        <v>645</v>
      </c>
      <c r="M539" s="43" t="s">
        <v>646</v>
      </c>
      <c r="N539" s="61">
        <v>43336</v>
      </c>
      <c r="O539" s="77">
        <v>145756</v>
      </c>
      <c r="P539" s="76">
        <v>12377</v>
      </c>
      <c r="Q539" s="61">
        <v>43336</v>
      </c>
      <c r="R539" s="61">
        <v>43465</v>
      </c>
      <c r="S539" s="43" t="s">
        <v>1196</v>
      </c>
      <c r="T539" s="22"/>
      <c r="U539" s="25"/>
      <c r="V539" s="25"/>
      <c r="W539" s="33" t="s">
        <v>184</v>
      </c>
      <c r="X539" s="33"/>
      <c r="Y539" s="22"/>
      <c r="Z539" s="22"/>
      <c r="AA539" s="22"/>
      <c r="AB539" s="33"/>
      <c r="AC539" s="22"/>
      <c r="AD539" s="22"/>
      <c r="AE539" s="22"/>
      <c r="AF539" s="22"/>
      <c r="AG539" s="25"/>
      <c r="AH539" s="25"/>
      <c r="AI539" s="25"/>
      <c r="AJ539" s="25"/>
      <c r="AK539" s="25"/>
      <c r="AL539" s="74">
        <f t="shared" si="9"/>
        <v>145756</v>
      </c>
      <c r="AM539" s="25"/>
      <c r="AN539" s="25">
        <f>123967</f>
        <v>123967</v>
      </c>
      <c r="AO539" s="77">
        <f t="shared" si="7"/>
        <v>123967</v>
      </c>
      <c r="AP539" s="22"/>
      <c r="AQ539" s="22"/>
      <c r="AR539" s="22"/>
      <c r="AS539" s="22"/>
      <c r="AT539" s="22"/>
      <c r="AU539" s="26"/>
      <c r="AV539" s="26"/>
      <c r="AW539" s="26"/>
      <c r="AX539" s="26"/>
      <c r="AY539" s="26"/>
      <c r="AZ539" s="26"/>
      <c r="BA539" s="26"/>
      <c r="BB539" s="26"/>
      <c r="BC539" s="60"/>
      <c r="BD539" s="26"/>
      <c r="BE539" s="26"/>
      <c r="BF539" s="26"/>
      <c r="BG539" s="26"/>
      <c r="BH539" s="26"/>
      <c r="BI539" s="26"/>
      <c r="BJ539" s="26"/>
      <c r="BK539" s="26"/>
      <c r="BL539" s="26"/>
      <c r="BM539" s="26"/>
    </row>
    <row r="540" spans="1:65" ht="30" x14ac:dyDescent="0.25">
      <c r="A540" s="163">
        <v>298</v>
      </c>
      <c r="B540" s="155" t="s">
        <v>1760</v>
      </c>
      <c r="C540" s="22" t="s">
        <v>1245</v>
      </c>
      <c r="D540" s="81" t="s">
        <v>128</v>
      </c>
      <c r="E540" s="22" t="s">
        <v>124</v>
      </c>
      <c r="F540" s="33" t="s">
        <v>1761</v>
      </c>
      <c r="G540" s="33" t="s">
        <v>1773</v>
      </c>
      <c r="H540" s="23" t="s">
        <v>1212</v>
      </c>
      <c r="I540" s="35">
        <v>43332</v>
      </c>
      <c r="J540" s="35">
        <v>43697</v>
      </c>
      <c r="K540" s="24" t="s">
        <v>1775</v>
      </c>
      <c r="L540" s="140" t="s">
        <v>1776</v>
      </c>
      <c r="M540" s="43" t="s">
        <v>1777</v>
      </c>
      <c r="N540" s="61">
        <v>43336</v>
      </c>
      <c r="O540" s="77">
        <v>17013.55</v>
      </c>
      <c r="P540" s="76">
        <v>12377</v>
      </c>
      <c r="Q540" s="61">
        <v>43336</v>
      </c>
      <c r="R540" s="61">
        <v>43465</v>
      </c>
      <c r="S540" s="43" t="s">
        <v>1196</v>
      </c>
      <c r="T540" s="22"/>
      <c r="U540" s="25"/>
      <c r="V540" s="25"/>
      <c r="W540" s="33" t="s">
        <v>184</v>
      </c>
      <c r="X540" s="33"/>
      <c r="Y540" s="22"/>
      <c r="Z540" s="22"/>
      <c r="AA540" s="22"/>
      <c r="AB540" s="33"/>
      <c r="AC540" s="22"/>
      <c r="AD540" s="22"/>
      <c r="AE540" s="22"/>
      <c r="AF540" s="22"/>
      <c r="AG540" s="25"/>
      <c r="AH540" s="25"/>
      <c r="AI540" s="25"/>
      <c r="AJ540" s="25"/>
      <c r="AK540" s="25"/>
      <c r="AL540" s="74">
        <f t="shared" si="9"/>
        <v>17013.55</v>
      </c>
      <c r="AM540" s="25"/>
      <c r="AN540" s="25">
        <f>6099.3</f>
        <v>6099.3</v>
      </c>
      <c r="AO540" s="77">
        <f t="shared" si="7"/>
        <v>6099.3</v>
      </c>
      <c r="AP540" s="22"/>
      <c r="AQ540" s="22"/>
      <c r="AR540" s="22"/>
      <c r="AS540" s="22"/>
      <c r="AT540" s="22"/>
      <c r="AU540" s="26"/>
      <c r="AV540" s="26"/>
      <c r="AW540" s="26"/>
      <c r="AX540" s="26"/>
      <c r="AY540" s="26"/>
      <c r="AZ540" s="26"/>
      <c r="BA540" s="26"/>
      <c r="BB540" s="26"/>
      <c r="BC540" s="60"/>
      <c r="BD540" s="26"/>
      <c r="BE540" s="26"/>
      <c r="BF540" s="26"/>
      <c r="BG540" s="26"/>
      <c r="BH540" s="26"/>
      <c r="BI540" s="26"/>
      <c r="BJ540" s="26"/>
      <c r="BK540" s="26"/>
      <c r="BL540" s="26"/>
      <c r="BM540" s="26"/>
    </row>
    <row r="541" spans="1:65" ht="30" x14ac:dyDescent="0.25">
      <c r="A541" s="163">
        <v>299</v>
      </c>
      <c r="B541" s="155" t="s">
        <v>1760</v>
      </c>
      <c r="C541" s="22" t="s">
        <v>1245</v>
      </c>
      <c r="D541" s="81" t="s">
        <v>128</v>
      </c>
      <c r="E541" s="22" t="s">
        <v>124</v>
      </c>
      <c r="F541" s="33" t="s">
        <v>1761</v>
      </c>
      <c r="G541" s="33" t="s">
        <v>1773</v>
      </c>
      <c r="H541" s="23" t="s">
        <v>1212</v>
      </c>
      <c r="I541" s="35">
        <v>43332</v>
      </c>
      <c r="J541" s="35">
        <v>43697</v>
      </c>
      <c r="K541" s="24" t="s">
        <v>1770</v>
      </c>
      <c r="L541" s="140" t="s">
        <v>1771</v>
      </c>
      <c r="M541" s="43" t="s">
        <v>1772</v>
      </c>
      <c r="N541" s="61">
        <v>43336</v>
      </c>
      <c r="O541" s="77">
        <v>88320</v>
      </c>
      <c r="P541" s="76">
        <v>12377</v>
      </c>
      <c r="Q541" s="61">
        <v>43336</v>
      </c>
      <c r="R541" s="61">
        <v>43465</v>
      </c>
      <c r="S541" s="43" t="s">
        <v>1196</v>
      </c>
      <c r="T541" s="22"/>
      <c r="U541" s="25"/>
      <c r="V541" s="25"/>
      <c r="W541" s="33" t="s">
        <v>184</v>
      </c>
      <c r="X541" s="33"/>
      <c r="Y541" s="22"/>
      <c r="Z541" s="22"/>
      <c r="AA541" s="22"/>
      <c r="AB541" s="33"/>
      <c r="AC541" s="22"/>
      <c r="AD541" s="22"/>
      <c r="AE541" s="22"/>
      <c r="AF541" s="22"/>
      <c r="AG541" s="25"/>
      <c r="AH541" s="25"/>
      <c r="AI541" s="25"/>
      <c r="AJ541" s="25"/>
      <c r="AK541" s="25"/>
      <c r="AL541" s="74">
        <f>O541-AH541+AG541</f>
        <v>88320</v>
      </c>
      <c r="AM541" s="25"/>
      <c r="AN541" s="25">
        <f>88320</f>
        <v>88320</v>
      </c>
      <c r="AO541" s="77">
        <f t="shared" si="7"/>
        <v>88320</v>
      </c>
      <c r="AP541" s="22"/>
      <c r="AQ541" s="22"/>
      <c r="AR541" s="22"/>
      <c r="AS541" s="22"/>
      <c r="AT541" s="22"/>
      <c r="AU541" s="26"/>
      <c r="AV541" s="26"/>
      <c r="AW541" s="26"/>
      <c r="AX541" s="26"/>
      <c r="AY541" s="26"/>
      <c r="AZ541" s="26"/>
      <c r="BA541" s="26"/>
      <c r="BB541" s="26"/>
      <c r="BC541" s="60"/>
      <c r="BD541" s="26"/>
      <c r="BE541" s="26"/>
      <c r="BF541" s="26"/>
      <c r="BG541" s="26"/>
      <c r="BH541" s="26"/>
      <c r="BI541" s="26"/>
      <c r="BJ541" s="26"/>
      <c r="BK541" s="26"/>
      <c r="BL541" s="26"/>
      <c r="BM541" s="26"/>
    </row>
    <row r="542" spans="1:65" ht="60" x14ac:dyDescent="0.25">
      <c r="A542" s="163">
        <v>300</v>
      </c>
      <c r="B542" s="155" t="s">
        <v>1780</v>
      </c>
      <c r="C542" s="22" t="s">
        <v>1310</v>
      </c>
      <c r="D542" s="81" t="s">
        <v>128</v>
      </c>
      <c r="E542" s="22" t="s">
        <v>124</v>
      </c>
      <c r="F542" s="33" t="s">
        <v>221</v>
      </c>
      <c r="G542" s="33" t="s">
        <v>1792</v>
      </c>
      <c r="H542" s="23" t="s">
        <v>1210</v>
      </c>
      <c r="I542" s="35">
        <v>43332</v>
      </c>
      <c r="J542" s="35">
        <v>43697</v>
      </c>
      <c r="K542" s="24" t="s">
        <v>1779</v>
      </c>
      <c r="L542" s="140" t="s">
        <v>360</v>
      </c>
      <c r="M542" s="43" t="s">
        <v>229</v>
      </c>
      <c r="N542" s="61">
        <v>43340</v>
      </c>
      <c r="O542" s="77">
        <v>33300</v>
      </c>
      <c r="P542" s="76">
        <v>12378</v>
      </c>
      <c r="Q542" s="61">
        <v>43340</v>
      </c>
      <c r="R542" s="61">
        <v>43465</v>
      </c>
      <c r="S542" s="43" t="s">
        <v>1781</v>
      </c>
      <c r="T542" s="22"/>
      <c r="U542" s="25"/>
      <c r="V542" s="25"/>
      <c r="W542" s="33" t="s">
        <v>292</v>
      </c>
      <c r="X542" s="33"/>
      <c r="Y542" s="22"/>
      <c r="Z542" s="22"/>
      <c r="AA542" s="22"/>
      <c r="AB542" s="33"/>
      <c r="AC542" s="22"/>
      <c r="AD542" s="22"/>
      <c r="AE542" s="22"/>
      <c r="AF542" s="22"/>
      <c r="AG542" s="25"/>
      <c r="AH542" s="25"/>
      <c r="AI542" s="25"/>
      <c r="AJ542" s="25"/>
      <c r="AK542" s="25"/>
      <c r="AL542" s="74">
        <f t="shared" ref="AL542:AL585" si="10">O542-AH542+AG542</f>
        <v>33300</v>
      </c>
      <c r="AM542" s="25"/>
      <c r="AN542" s="25"/>
      <c r="AO542" s="77">
        <f t="shared" si="7"/>
        <v>0</v>
      </c>
      <c r="AP542" s="22"/>
      <c r="AQ542" s="22"/>
      <c r="AR542" s="22"/>
      <c r="AS542" s="22"/>
      <c r="AT542" s="22"/>
      <c r="AU542" s="26"/>
      <c r="AV542" s="26"/>
      <c r="AW542" s="26"/>
      <c r="AX542" s="26"/>
      <c r="AY542" s="26"/>
      <c r="AZ542" s="26"/>
      <c r="BA542" s="26"/>
      <c r="BB542" s="26"/>
      <c r="BC542" s="60"/>
      <c r="BD542" s="26"/>
      <c r="BE542" s="26"/>
      <c r="BF542" s="26"/>
      <c r="BG542" s="26"/>
      <c r="BH542" s="26"/>
      <c r="BI542" s="26"/>
      <c r="BJ542" s="26"/>
      <c r="BK542" s="26"/>
      <c r="BL542" s="26"/>
      <c r="BM542" s="26"/>
    </row>
    <row r="543" spans="1:65" ht="60" x14ac:dyDescent="0.25">
      <c r="A543" s="163">
        <v>301</v>
      </c>
      <c r="B543" s="155" t="s">
        <v>1780</v>
      </c>
      <c r="C543" s="22" t="s">
        <v>1310</v>
      </c>
      <c r="D543" s="81" t="s">
        <v>128</v>
      </c>
      <c r="E543" s="22" t="s">
        <v>124</v>
      </c>
      <c r="F543" s="33" t="s">
        <v>221</v>
      </c>
      <c r="G543" s="33" t="s">
        <v>1792</v>
      </c>
      <c r="H543" s="23" t="s">
        <v>1210</v>
      </c>
      <c r="I543" s="35">
        <v>43332</v>
      </c>
      <c r="J543" s="35">
        <v>43697</v>
      </c>
      <c r="K543" s="24" t="s">
        <v>1782</v>
      </c>
      <c r="L543" s="140" t="s">
        <v>238</v>
      </c>
      <c r="M543" s="43" t="s">
        <v>239</v>
      </c>
      <c r="N543" s="61">
        <v>43340</v>
      </c>
      <c r="O543" s="77">
        <v>14168</v>
      </c>
      <c r="P543" s="76">
        <v>12378</v>
      </c>
      <c r="Q543" s="61">
        <v>43340</v>
      </c>
      <c r="R543" s="61">
        <v>43465</v>
      </c>
      <c r="S543" s="43" t="s">
        <v>1781</v>
      </c>
      <c r="T543" s="22"/>
      <c r="U543" s="25"/>
      <c r="V543" s="25"/>
      <c r="W543" s="33" t="s">
        <v>292</v>
      </c>
      <c r="X543" s="33"/>
      <c r="Y543" s="22"/>
      <c r="Z543" s="22"/>
      <c r="AA543" s="22"/>
      <c r="AB543" s="33"/>
      <c r="AC543" s="22"/>
      <c r="AD543" s="22"/>
      <c r="AE543" s="22"/>
      <c r="AF543" s="22"/>
      <c r="AG543" s="25"/>
      <c r="AH543" s="25"/>
      <c r="AI543" s="25"/>
      <c r="AJ543" s="25"/>
      <c r="AK543" s="25"/>
      <c r="AL543" s="74">
        <f t="shared" si="10"/>
        <v>14168</v>
      </c>
      <c r="AM543" s="25"/>
      <c r="AN543" s="25">
        <v>14168</v>
      </c>
      <c r="AO543" s="77">
        <f t="shared" si="7"/>
        <v>14168</v>
      </c>
      <c r="AP543" s="22"/>
      <c r="AQ543" s="22"/>
      <c r="AR543" s="22"/>
      <c r="AS543" s="22"/>
      <c r="AT543" s="22"/>
      <c r="AU543" s="26"/>
      <c r="AV543" s="26"/>
      <c r="AW543" s="26"/>
      <c r="AX543" s="26"/>
      <c r="AY543" s="26"/>
      <c r="AZ543" s="26"/>
      <c r="BA543" s="26"/>
      <c r="BB543" s="26"/>
      <c r="BC543" s="60"/>
      <c r="BD543" s="26"/>
      <c r="BE543" s="26"/>
      <c r="BF543" s="26"/>
      <c r="BG543" s="26"/>
      <c r="BH543" s="26"/>
      <c r="BI543" s="26"/>
      <c r="BJ543" s="26"/>
      <c r="BK543" s="26"/>
      <c r="BL543" s="26"/>
      <c r="BM543" s="26"/>
    </row>
    <row r="544" spans="1:65" ht="60" x14ac:dyDescent="0.25">
      <c r="A544" s="163">
        <v>302</v>
      </c>
      <c r="B544" s="155" t="s">
        <v>1440</v>
      </c>
      <c r="C544" s="22" t="s">
        <v>1198</v>
      </c>
      <c r="D544" s="81" t="s">
        <v>128</v>
      </c>
      <c r="E544" s="22" t="s">
        <v>124</v>
      </c>
      <c r="F544" s="33" t="s">
        <v>1442</v>
      </c>
      <c r="G544" s="33" t="s">
        <v>1446</v>
      </c>
      <c r="H544" s="23" t="s">
        <v>1177</v>
      </c>
      <c r="I544" s="35">
        <v>43171</v>
      </c>
      <c r="J544" s="35">
        <v>43536</v>
      </c>
      <c r="K544" s="24" t="s">
        <v>1783</v>
      </c>
      <c r="L544" s="140" t="s">
        <v>768</v>
      </c>
      <c r="M544" s="43" t="s">
        <v>769</v>
      </c>
      <c r="N544" s="61">
        <v>43340</v>
      </c>
      <c r="O544" s="77">
        <v>159773.6</v>
      </c>
      <c r="P544" s="76">
        <v>12391</v>
      </c>
      <c r="Q544" s="61">
        <v>43340</v>
      </c>
      <c r="R544" s="61">
        <v>43465</v>
      </c>
      <c r="S544" s="43" t="s">
        <v>1196</v>
      </c>
      <c r="T544" s="22"/>
      <c r="U544" s="25"/>
      <c r="V544" s="25"/>
      <c r="W544" s="33" t="s">
        <v>184</v>
      </c>
      <c r="X544" s="33"/>
      <c r="Y544" s="22"/>
      <c r="Z544" s="22"/>
      <c r="AA544" s="22"/>
      <c r="AB544" s="33"/>
      <c r="AC544" s="22"/>
      <c r="AD544" s="22"/>
      <c r="AE544" s="22"/>
      <c r="AF544" s="22"/>
      <c r="AG544" s="25"/>
      <c r="AH544" s="25"/>
      <c r="AI544" s="25"/>
      <c r="AJ544" s="25"/>
      <c r="AK544" s="25"/>
      <c r="AL544" s="74">
        <f t="shared" si="10"/>
        <v>159773.6</v>
      </c>
      <c r="AM544" s="25"/>
      <c r="AN544" s="25">
        <f>36864.45</f>
        <v>36864.449999999997</v>
      </c>
      <c r="AO544" s="77">
        <f t="shared" si="7"/>
        <v>36864.449999999997</v>
      </c>
      <c r="AP544" s="22"/>
      <c r="AQ544" s="22"/>
      <c r="AR544" s="22"/>
      <c r="AS544" s="22"/>
      <c r="AT544" s="22"/>
      <c r="AU544" s="26"/>
      <c r="AV544" s="26"/>
      <c r="AW544" s="26"/>
      <c r="AX544" s="26"/>
      <c r="AY544" s="26"/>
      <c r="AZ544" s="26"/>
      <c r="BA544" s="26"/>
      <c r="BB544" s="26"/>
      <c r="BC544" s="60"/>
      <c r="BD544" s="26"/>
      <c r="BE544" s="26"/>
      <c r="BF544" s="26"/>
      <c r="BG544" s="26"/>
      <c r="BH544" s="26"/>
      <c r="BI544" s="26"/>
      <c r="BJ544" s="26"/>
      <c r="BK544" s="26"/>
      <c r="BL544" s="26"/>
      <c r="BM544" s="26"/>
    </row>
    <row r="545" spans="1:65" ht="60" x14ac:dyDescent="0.25">
      <c r="A545" s="163">
        <v>303</v>
      </c>
      <c r="B545" s="155" t="s">
        <v>1780</v>
      </c>
      <c r="C545" s="22" t="s">
        <v>1310</v>
      </c>
      <c r="D545" s="81" t="s">
        <v>128</v>
      </c>
      <c r="E545" s="22" t="s">
        <v>124</v>
      </c>
      <c r="F545" s="33" t="s">
        <v>221</v>
      </c>
      <c r="G545" s="33" t="s">
        <v>1792</v>
      </c>
      <c r="H545" s="23" t="s">
        <v>1210</v>
      </c>
      <c r="I545" s="35">
        <v>43332</v>
      </c>
      <c r="J545" s="35">
        <v>43697</v>
      </c>
      <c r="K545" s="24" t="s">
        <v>1784</v>
      </c>
      <c r="L545" s="140" t="s">
        <v>1696</v>
      </c>
      <c r="M545" s="43" t="s">
        <v>1099</v>
      </c>
      <c r="N545" s="61">
        <v>43340</v>
      </c>
      <c r="O545" s="77">
        <v>148053.35</v>
      </c>
      <c r="P545" s="76">
        <v>12384</v>
      </c>
      <c r="Q545" s="61">
        <v>43340</v>
      </c>
      <c r="R545" s="61">
        <v>43465</v>
      </c>
      <c r="S545" s="43" t="s">
        <v>1781</v>
      </c>
      <c r="T545" s="22"/>
      <c r="U545" s="25"/>
      <c r="V545" s="25"/>
      <c r="W545" s="33" t="s">
        <v>292</v>
      </c>
      <c r="X545" s="33"/>
      <c r="Y545" s="22"/>
      <c r="Z545" s="22"/>
      <c r="AA545" s="22"/>
      <c r="AB545" s="33"/>
      <c r="AC545" s="22"/>
      <c r="AD545" s="22"/>
      <c r="AE545" s="22"/>
      <c r="AF545" s="22"/>
      <c r="AG545" s="25"/>
      <c r="AH545" s="25"/>
      <c r="AI545" s="25"/>
      <c r="AJ545" s="25"/>
      <c r="AK545" s="25"/>
      <c r="AL545" s="74">
        <f t="shared" si="10"/>
        <v>148053.35</v>
      </c>
      <c r="AM545" s="25"/>
      <c r="AN545" s="25">
        <f>5021.55</f>
        <v>5021.55</v>
      </c>
      <c r="AO545" s="77">
        <f t="shared" si="7"/>
        <v>5021.55</v>
      </c>
      <c r="AP545" s="22"/>
      <c r="AQ545" s="22"/>
      <c r="AR545" s="22"/>
      <c r="AS545" s="22"/>
      <c r="AT545" s="22"/>
      <c r="AU545" s="26"/>
      <c r="AV545" s="26"/>
      <c r="AW545" s="26"/>
      <c r="AX545" s="26"/>
      <c r="AY545" s="26"/>
      <c r="AZ545" s="26"/>
      <c r="BA545" s="26"/>
      <c r="BB545" s="26"/>
      <c r="BC545" s="60"/>
      <c r="BD545" s="26"/>
      <c r="BE545" s="26"/>
      <c r="BF545" s="26"/>
      <c r="BG545" s="26"/>
      <c r="BH545" s="26"/>
      <c r="BI545" s="26"/>
      <c r="BJ545" s="26"/>
      <c r="BK545" s="26"/>
      <c r="BL545" s="26"/>
      <c r="BM545" s="26"/>
    </row>
    <row r="546" spans="1:65" ht="60" x14ac:dyDescent="0.25">
      <c r="A546" s="163">
        <v>304</v>
      </c>
      <c r="B546" s="155" t="s">
        <v>1780</v>
      </c>
      <c r="C546" s="22" t="s">
        <v>1310</v>
      </c>
      <c r="D546" s="81" t="s">
        <v>128</v>
      </c>
      <c r="E546" s="22" t="s">
        <v>124</v>
      </c>
      <c r="F546" s="33" t="s">
        <v>221</v>
      </c>
      <c r="G546" s="33" t="s">
        <v>1792</v>
      </c>
      <c r="H546" s="23" t="s">
        <v>1210</v>
      </c>
      <c r="I546" s="35">
        <v>43332</v>
      </c>
      <c r="J546" s="35">
        <v>43697</v>
      </c>
      <c r="K546" s="24" t="s">
        <v>1785</v>
      </c>
      <c r="L546" s="140" t="s">
        <v>379</v>
      </c>
      <c r="M546" s="43" t="s">
        <v>222</v>
      </c>
      <c r="N546" s="61">
        <v>43340</v>
      </c>
      <c r="O546" s="77">
        <v>60915</v>
      </c>
      <c r="P546" s="76">
        <v>12378</v>
      </c>
      <c r="Q546" s="61">
        <v>43340</v>
      </c>
      <c r="R546" s="61">
        <v>43465</v>
      </c>
      <c r="S546" s="43" t="s">
        <v>1781</v>
      </c>
      <c r="T546" s="22"/>
      <c r="U546" s="25"/>
      <c r="V546" s="25"/>
      <c r="W546" s="33" t="s">
        <v>292</v>
      </c>
      <c r="X546" s="33"/>
      <c r="Y546" s="22"/>
      <c r="Z546" s="22"/>
      <c r="AA546" s="22"/>
      <c r="AB546" s="33"/>
      <c r="AC546" s="22"/>
      <c r="AD546" s="22"/>
      <c r="AE546" s="22"/>
      <c r="AF546" s="22"/>
      <c r="AG546" s="25"/>
      <c r="AH546" s="25"/>
      <c r="AI546" s="25"/>
      <c r="AJ546" s="25"/>
      <c r="AK546" s="25"/>
      <c r="AL546" s="74">
        <f t="shared" si="10"/>
        <v>60915</v>
      </c>
      <c r="AM546" s="25"/>
      <c r="AN546" s="25">
        <f>46370.1</f>
        <v>46370.1</v>
      </c>
      <c r="AO546" s="77">
        <f>AM546+AN546</f>
        <v>46370.1</v>
      </c>
      <c r="AP546" s="37"/>
      <c r="AQ546" s="22"/>
      <c r="AR546" s="22"/>
      <c r="AS546" s="22"/>
      <c r="AT546" s="22"/>
      <c r="AU546" s="26"/>
      <c r="AV546" s="26"/>
      <c r="AW546" s="26"/>
      <c r="AX546" s="26"/>
      <c r="AY546" s="26"/>
      <c r="AZ546" s="26"/>
      <c r="BA546" s="26"/>
      <c r="BB546" s="26"/>
      <c r="BC546" s="60"/>
      <c r="BD546" s="26"/>
      <c r="BE546" s="26"/>
      <c r="BF546" s="26"/>
      <c r="BG546" s="26"/>
      <c r="BH546" s="26"/>
      <c r="BI546" s="26"/>
      <c r="BJ546" s="26"/>
      <c r="BK546" s="26"/>
      <c r="BL546" s="26"/>
      <c r="BM546" s="26"/>
    </row>
    <row r="547" spans="1:65" ht="60" x14ac:dyDescent="0.25">
      <c r="A547" s="163">
        <v>305</v>
      </c>
      <c r="B547" s="155" t="s">
        <v>1780</v>
      </c>
      <c r="C547" s="22" t="s">
        <v>1310</v>
      </c>
      <c r="D547" s="81" t="s">
        <v>128</v>
      </c>
      <c r="E547" s="22" t="s">
        <v>124</v>
      </c>
      <c r="F547" s="33" t="s">
        <v>221</v>
      </c>
      <c r="G547" s="33" t="s">
        <v>1792</v>
      </c>
      <c r="H547" s="23" t="s">
        <v>1210</v>
      </c>
      <c r="I547" s="35">
        <v>43332</v>
      </c>
      <c r="J547" s="35">
        <v>43697</v>
      </c>
      <c r="K547" s="24" t="s">
        <v>1786</v>
      </c>
      <c r="L547" s="140" t="s">
        <v>656</v>
      </c>
      <c r="M547" s="43" t="s">
        <v>601</v>
      </c>
      <c r="N547" s="61">
        <v>43340</v>
      </c>
      <c r="O547" s="77">
        <v>603800</v>
      </c>
      <c r="P547" s="76">
        <v>12378</v>
      </c>
      <c r="Q547" s="61">
        <v>43340</v>
      </c>
      <c r="R547" s="61">
        <v>43465</v>
      </c>
      <c r="S547" s="43" t="s">
        <v>1781</v>
      </c>
      <c r="T547" s="22"/>
      <c r="U547" s="25"/>
      <c r="V547" s="25"/>
      <c r="W547" s="33" t="s">
        <v>292</v>
      </c>
      <c r="X547" s="33"/>
      <c r="Y547" s="22"/>
      <c r="Z547" s="22"/>
      <c r="AA547" s="22"/>
      <c r="AB547" s="33"/>
      <c r="AC547" s="22"/>
      <c r="AD547" s="22"/>
      <c r="AE547" s="22"/>
      <c r="AF547" s="22"/>
      <c r="AG547" s="25"/>
      <c r="AH547" s="25"/>
      <c r="AI547" s="25"/>
      <c r="AJ547" s="25"/>
      <c r="AK547" s="25"/>
      <c r="AL547" s="74">
        <f t="shared" si="10"/>
        <v>603800</v>
      </c>
      <c r="AM547" s="25"/>
      <c r="AN547" s="25">
        <f>199719.3+142723.2</f>
        <v>342442.5</v>
      </c>
      <c r="AO547" s="77">
        <f t="shared" si="7"/>
        <v>342442.5</v>
      </c>
      <c r="AP547" s="37"/>
      <c r="AQ547" s="22"/>
      <c r="AR547" s="22"/>
      <c r="AS547" s="22"/>
      <c r="AT547" s="22"/>
      <c r="AU547" s="26"/>
      <c r="AV547" s="26"/>
      <c r="AW547" s="26"/>
      <c r="AX547" s="26"/>
      <c r="AY547" s="26"/>
      <c r="AZ547" s="26"/>
      <c r="BA547" s="26"/>
      <c r="BB547" s="26"/>
      <c r="BC547" s="60"/>
      <c r="BD547" s="26"/>
      <c r="BE547" s="26"/>
      <c r="BF547" s="26"/>
      <c r="BG547" s="26"/>
      <c r="BH547" s="26"/>
      <c r="BI547" s="26"/>
      <c r="BJ547" s="26"/>
      <c r="BK547" s="26"/>
      <c r="BL547" s="26"/>
      <c r="BM547" s="26"/>
    </row>
    <row r="548" spans="1:65" ht="60" x14ac:dyDescent="0.25">
      <c r="A548" s="163">
        <v>306</v>
      </c>
      <c r="B548" s="155" t="s">
        <v>1780</v>
      </c>
      <c r="C548" s="22" t="s">
        <v>1310</v>
      </c>
      <c r="D548" s="81" t="s">
        <v>128</v>
      </c>
      <c r="E548" s="22" t="s">
        <v>124</v>
      </c>
      <c r="F548" s="33" t="s">
        <v>221</v>
      </c>
      <c r="G548" s="33" t="s">
        <v>1792</v>
      </c>
      <c r="H548" s="23" t="s">
        <v>1210</v>
      </c>
      <c r="I548" s="35">
        <v>43332</v>
      </c>
      <c r="J548" s="35">
        <v>43697</v>
      </c>
      <c r="K548" s="24" t="s">
        <v>1787</v>
      </c>
      <c r="L548" s="140" t="s">
        <v>377</v>
      </c>
      <c r="M548" s="43" t="s">
        <v>378</v>
      </c>
      <c r="N548" s="61">
        <v>43340</v>
      </c>
      <c r="O548" s="77">
        <v>232170</v>
      </c>
      <c r="P548" s="76">
        <v>12384</v>
      </c>
      <c r="Q548" s="61">
        <v>43340</v>
      </c>
      <c r="R548" s="61">
        <v>43465</v>
      </c>
      <c r="S548" s="43" t="s">
        <v>1781</v>
      </c>
      <c r="T548" s="22"/>
      <c r="U548" s="25"/>
      <c r="V548" s="25"/>
      <c r="W548" s="33" t="s">
        <v>292</v>
      </c>
      <c r="X548" s="33"/>
      <c r="Y548" s="22"/>
      <c r="Z548" s="22"/>
      <c r="AA548" s="22"/>
      <c r="AB548" s="33"/>
      <c r="AC548" s="22"/>
      <c r="AD548" s="22"/>
      <c r="AE548" s="22"/>
      <c r="AF548" s="22"/>
      <c r="AG548" s="25"/>
      <c r="AH548" s="25"/>
      <c r="AI548" s="25"/>
      <c r="AJ548" s="25"/>
      <c r="AK548" s="25"/>
      <c r="AL548" s="74">
        <f t="shared" si="10"/>
        <v>232170</v>
      </c>
      <c r="AM548" s="25"/>
      <c r="AN548" s="25">
        <f>20040</f>
        <v>20040</v>
      </c>
      <c r="AO548" s="77">
        <f t="shared" si="7"/>
        <v>20040</v>
      </c>
      <c r="AP548" s="22"/>
      <c r="AQ548" s="22"/>
      <c r="AR548" s="22"/>
      <c r="AS548" s="22"/>
      <c r="AT548" s="22"/>
      <c r="AU548" s="26"/>
      <c r="AV548" s="26"/>
      <c r="AW548" s="26"/>
      <c r="AX548" s="26"/>
      <c r="AY548" s="26"/>
      <c r="AZ548" s="26"/>
      <c r="BA548" s="26"/>
      <c r="BB548" s="26"/>
      <c r="BC548" s="60"/>
      <c r="BD548" s="26"/>
      <c r="BE548" s="26"/>
      <c r="BF548" s="26"/>
      <c r="BG548" s="26"/>
      <c r="BH548" s="26"/>
      <c r="BI548" s="26"/>
      <c r="BJ548" s="26"/>
      <c r="BK548" s="26"/>
      <c r="BL548" s="26"/>
      <c r="BM548" s="26"/>
    </row>
    <row r="549" spans="1:65" ht="60" x14ac:dyDescent="0.25">
      <c r="A549" s="163">
        <v>307</v>
      </c>
      <c r="B549" s="155" t="s">
        <v>1780</v>
      </c>
      <c r="C549" s="22" t="s">
        <v>1310</v>
      </c>
      <c r="D549" s="81" t="s">
        <v>128</v>
      </c>
      <c r="E549" s="22" t="s">
        <v>124</v>
      </c>
      <c r="F549" s="33" t="s">
        <v>221</v>
      </c>
      <c r="G549" s="33" t="s">
        <v>1792</v>
      </c>
      <c r="H549" s="23" t="s">
        <v>1210</v>
      </c>
      <c r="I549" s="35">
        <v>43332</v>
      </c>
      <c r="J549" s="35">
        <v>43697</v>
      </c>
      <c r="K549" s="24" t="s">
        <v>1788</v>
      </c>
      <c r="L549" s="140" t="s">
        <v>779</v>
      </c>
      <c r="M549" s="43" t="s">
        <v>780</v>
      </c>
      <c r="N549" s="61">
        <v>43340</v>
      </c>
      <c r="O549" s="77">
        <v>20165</v>
      </c>
      <c r="P549" s="76">
        <v>12378</v>
      </c>
      <c r="Q549" s="61">
        <v>43340</v>
      </c>
      <c r="R549" s="61">
        <v>43465</v>
      </c>
      <c r="S549" s="43" t="s">
        <v>1781</v>
      </c>
      <c r="T549" s="22"/>
      <c r="U549" s="25"/>
      <c r="V549" s="25"/>
      <c r="W549" s="33" t="s">
        <v>292</v>
      </c>
      <c r="X549" s="33"/>
      <c r="Y549" s="22"/>
      <c r="Z549" s="22"/>
      <c r="AA549" s="22"/>
      <c r="AB549" s="33"/>
      <c r="AC549" s="22"/>
      <c r="AD549" s="22"/>
      <c r="AE549" s="22"/>
      <c r="AF549" s="22"/>
      <c r="AG549" s="25"/>
      <c r="AH549" s="25"/>
      <c r="AI549" s="25"/>
      <c r="AJ549" s="25"/>
      <c r="AK549" s="25"/>
      <c r="AL549" s="74">
        <f t="shared" si="10"/>
        <v>20165</v>
      </c>
      <c r="AM549" s="25"/>
      <c r="AN549" s="25">
        <f>612+3112.2</f>
        <v>3724.2</v>
      </c>
      <c r="AO549" s="77">
        <f t="shared" si="7"/>
        <v>3724.2</v>
      </c>
      <c r="AP549" s="37"/>
      <c r="AQ549" s="22"/>
      <c r="AR549" s="22"/>
      <c r="AS549" s="22"/>
      <c r="AT549" s="22"/>
      <c r="AU549" s="26"/>
      <c r="AV549" s="26"/>
      <c r="AW549" s="26"/>
      <c r="AX549" s="26"/>
      <c r="AY549" s="26"/>
      <c r="AZ549" s="26"/>
      <c r="BA549" s="26"/>
      <c r="BB549" s="26"/>
      <c r="BC549" s="60"/>
      <c r="BD549" s="26"/>
      <c r="BE549" s="26"/>
      <c r="BF549" s="26"/>
      <c r="BG549" s="26"/>
      <c r="BH549" s="26"/>
      <c r="BI549" s="26"/>
      <c r="BJ549" s="26"/>
      <c r="BK549" s="26"/>
      <c r="BL549" s="26"/>
      <c r="BM549" s="26"/>
    </row>
    <row r="550" spans="1:65" ht="60" x14ac:dyDescent="0.25">
      <c r="A550" s="163">
        <v>308</v>
      </c>
      <c r="B550" s="155" t="s">
        <v>1780</v>
      </c>
      <c r="C550" s="22" t="s">
        <v>1310</v>
      </c>
      <c r="D550" s="81" t="s">
        <v>128</v>
      </c>
      <c r="E550" s="22" t="s">
        <v>124</v>
      </c>
      <c r="F550" s="33" t="s">
        <v>221</v>
      </c>
      <c r="G550" s="33" t="s">
        <v>1792</v>
      </c>
      <c r="H550" s="23" t="s">
        <v>1210</v>
      </c>
      <c r="I550" s="35">
        <v>43332</v>
      </c>
      <c r="J550" s="35">
        <v>43697</v>
      </c>
      <c r="K550" s="24" t="s">
        <v>1789</v>
      </c>
      <c r="L550" s="140" t="s">
        <v>375</v>
      </c>
      <c r="M550" s="43" t="s">
        <v>299</v>
      </c>
      <c r="N550" s="61">
        <v>43340</v>
      </c>
      <c r="O550" s="77">
        <v>996283.5</v>
      </c>
      <c r="P550" s="76">
        <v>12378</v>
      </c>
      <c r="Q550" s="61">
        <v>43340</v>
      </c>
      <c r="R550" s="61">
        <v>43465</v>
      </c>
      <c r="S550" s="43" t="s">
        <v>1781</v>
      </c>
      <c r="T550" s="22"/>
      <c r="U550" s="25"/>
      <c r="V550" s="25"/>
      <c r="W550" s="33" t="s">
        <v>292</v>
      </c>
      <c r="X550" s="33"/>
      <c r="Y550" s="22"/>
      <c r="Z550" s="22"/>
      <c r="AA550" s="22"/>
      <c r="AB550" s="33"/>
      <c r="AC550" s="22"/>
      <c r="AD550" s="22"/>
      <c r="AE550" s="22"/>
      <c r="AF550" s="22"/>
      <c r="AG550" s="25"/>
      <c r="AH550" s="25"/>
      <c r="AI550" s="25"/>
      <c r="AJ550" s="25"/>
      <c r="AK550" s="25"/>
      <c r="AL550" s="74">
        <f t="shared" si="10"/>
        <v>996283.5</v>
      </c>
      <c r="AM550" s="25"/>
      <c r="AN550" s="25">
        <f>528263.48+130986.8</f>
        <v>659250.28</v>
      </c>
      <c r="AO550" s="77">
        <f t="shared" si="7"/>
        <v>659250.28</v>
      </c>
      <c r="AP550" s="37"/>
      <c r="AQ550" s="22"/>
      <c r="AR550" s="22"/>
      <c r="AS550" s="22"/>
      <c r="AT550" s="22"/>
      <c r="AU550" s="26"/>
      <c r="AV550" s="26"/>
      <c r="AW550" s="26"/>
      <c r="AX550" s="26"/>
      <c r="AY550" s="26"/>
      <c r="AZ550" s="26"/>
      <c r="BA550" s="26"/>
      <c r="BB550" s="26"/>
      <c r="BC550" s="60"/>
      <c r="BD550" s="26"/>
      <c r="BE550" s="26"/>
      <c r="BF550" s="26"/>
      <c r="BG550" s="26"/>
      <c r="BH550" s="26"/>
      <c r="BI550" s="26"/>
      <c r="BJ550" s="26"/>
      <c r="BK550" s="26"/>
      <c r="BL550" s="26"/>
      <c r="BM550" s="26"/>
    </row>
    <row r="551" spans="1:65" ht="60" x14ac:dyDescent="0.25">
      <c r="A551" s="163">
        <v>309</v>
      </c>
      <c r="B551" s="155" t="s">
        <v>1780</v>
      </c>
      <c r="C551" s="22" t="s">
        <v>1310</v>
      </c>
      <c r="D551" s="81" t="s">
        <v>128</v>
      </c>
      <c r="E551" s="22" t="s">
        <v>124</v>
      </c>
      <c r="F551" s="33" t="s">
        <v>221</v>
      </c>
      <c r="G551" s="33" t="s">
        <v>1792</v>
      </c>
      <c r="H551" s="23" t="s">
        <v>1210</v>
      </c>
      <c r="I551" s="35">
        <v>43332</v>
      </c>
      <c r="J551" s="35">
        <v>43697</v>
      </c>
      <c r="K551" s="24" t="s">
        <v>1790</v>
      </c>
      <c r="L551" s="140" t="s">
        <v>223</v>
      </c>
      <c r="M551" s="43" t="s">
        <v>224</v>
      </c>
      <c r="N551" s="61">
        <v>43340</v>
      </c>
      <c r="O551" s="77">
        <v>181325</v>
      </c>
      <c r="P551" s="76">
        <v>12378</v>
      </c>
      <c r="Q551" s="61">
        <v>43340</v>
      </c>
      <c r="R551" s="61">
        <v>43465</v>
      </c>
      <c r="S551" s="43" t="s">
        <v>1781</v>
      </c>
      <c r="T551" s="22"/>
      <c r="U551" s="25"/>
      <c r="V551" s="25"/>
      <c r="W551" s="33" t="s">
        <v>292</v>
      </c>
      <c r="X551" s="33"/>
      <c r="Y551" s="22"/>
      <c r="Z551" s="22"/>
      <c r="AA551" s="22"/>
      <c r="AB551" s="33"/>
      <c r="AC551" s="22"/>
      <c r="AD551" s="22"/>
      <c r="AE551" s="22"/>
      <c r="AF551" s="22"/>
      <c r="AG551" s="25"/>
      <c r="AH551" s="25"/>
      <c r="AI551" s="25"/>
      <c r="AJ551" s="25"/>
      <c r="AK551" s="25"/>
      <c r="AL551" s="74">
        <f t="shared" si="10"/>
        <v>181325</v>
      </c>
      <c r="AM551" s="25"/>
      <c r="AN551" s="25">
        <f>21264.71+9440</f>
        <v>30704.71</v>
      </c>
      <c r="AO551" s="77">
        <f t="shared" si="7"/>
        <v>30704.71</v>
      </c>
      <c r="AP551" s="37"/>
      <c r="AQ551" s="22"/>
      <c r="AR551" s="22"/>
      <c r="AS551" s="22"/>
      <c r="AT551" s="22"/>
      <c r="AU551" s="26"/>
      <c r="AV551" s="26"/>
      <c r="AW551" s="26"/>
      <c r="AX551" s="26"/>
      <c r="AY551" s="26"/>
      <c r="AZ551" s="26"/>
      <c r="BA551" s="26"/>
      <c r="BB551" s="26"/>
      <c r="BC551" s="60"/>
      <c r="BD551" s="26"/>
      <c r="BE551" s="26"/>
      <c r="BF551" s="26"/>
      <c r="BG551" s="26"/>
      <c r="BH551" s="26"/>
      <c r="BI551" s="26"/>
      <c r="BJ551" s="26"/>
      <c r="BK551" s="26"/>
      <c r="BL551" s="26"/>
      <c r="BM551" s="26"/>
    </row>
    <row r="552" spans="1:65" ht="45" x14ac:dyDescent="0.25">
      <c r="A552" s="163">
        <v>310</v>
      </c>
      <c r="B552" s="155" t="s">
        <v>1052</v>
      </c>
      <c r="C552" s="22" t="s">
        <v>766</v>
      </c>
      <c r="D552" s="81" t="s">
        <v>128</v>
      </c>
      <c r="E552" s="22" t="s">
        <v>124</v>
      </c>
      <c r="F552" s="33" t="s">
        <v>1053</v>
      </c>
      <c r="G552" s="33" t="s">
        <v>1064</v>
      </c>
      <c r="H552" s="23" t="s">
        <v>709</v>
      </c>
      <c r="I552" s="35">
        <v>42984</v>
      </c>
      <c r="J552" s="35">
        <v>43349</v>
      </c>
      <c r="K552" s="24" t="s">
        <v>1791</v>
      </c>
      <c r="L552" s="140" t="s">
        <v>238</v>
      </c>
      <c r="M552" s="43" t="s">
        <v>239</v>
      </c>
      <c r="N552" s="61">
        <v>43340</v>
      </c>
      <c r="O552" s="77">
        <v>90000</v>
      </c>
      <c r="P552" s="76">
        <v>12378</v>
      </c>
      <c r="Q552" s="61">
        <v>43340</v>
      </c>
      <c r="R552" s="61">
        <v>43465</v>
      </c>
      <c r="S552" s="43" t="s">
        <v>1193</v>
      </c>
      <c r="T552" s="22"/>
      <c r="U552" s="25"/>
      <c r="V552" s="25"/>
      <c r="W552" s="33" t="s">
        <v>787</v>
      </c>
      <c r="X552" s="33"/>
      <c r="Y552" s="22"/>
      <c r="Z552" s="22"/>
      <c r="AA552" s="22"/>
      <c r="AB552" s="33"/>
      <c r="AC552" s="22"/>
      <c r="AD552" s="22"/>
      <c r="AE552" s="22"/>
      <c r="AF552" s="22"/>
      <c r="AG552" s="25"/>
      <c r="AH552" s="25"/>
      <c r="AI552" s="25"/>
      <c r="AJ552" s="25"/>
      <c r="AK552" s="25"/>
      <c r="AL552" s="74">
        <f t="shared" si="10"/>
        <v>90000</v>
      </c>
      <c r="AM552" s="25"/>
      <c r="AN552" s="25">
        <v>90000</v>
      </c>
      <c r="AO552" s="77">
        <f t="shared" si="7"/>
        <v>90000</v>
      </c>
      <c r="AP552" s="22"/>
      <c r="AQ552" s="22"/>
      <c r="AR552" s="22"/>
      <c r="AS552" s="22"/>
      <c r="AT552" s="22"/>
      <c r="AU552" s="26"/>
      <c r="AV552" s="26"/>
      <c r="AW552" s="26"/>
      <c r="AX552" s="26"/>
      <c r="AY552" s="26"/>
      <c r="AZ552" s="26"/>
      <c r="BA552" s="26"/>
      <c r="BB552" s="26"/>
      <c r="BC552" s="60"/>
      <c r="BD552" s="26"/>
      <c r="BE552" s="26"/>
      <c r="BF552" s="26"/>
      <c r="BG552" s="26"/>
      <c r="BH552" s="26"/>
      <c r="BI552" s="26"/>
      <c r="BJ552" s="26"/>
      <c r="BK552" s="26"/>
      <c r="BL552" s="26"/>
      <c r="BM552" s="26"/>
    </row>
    <row r="553" spans="1:65" ht="30" x14ac:dyDescent="0.25">
      <c r="A553" s="163">
        <v>311</v>
      </c>
      <c r="B553" s="155" t="s">
        <v>1458</v>
      </c>
      <c r="C553" s="22" t="s">
        <v>1180</v>
      </c>
      <c r="D553" s="81" t="s">
        <v>128</v>
      </c>
      <c r="E553" s="22" t="s">
        <v>124</v>
      </c>
      <c r="F553" s="33" t="s">
        <v>1461</v>
      </c>
      <c r="G553" s="33" t="s">
        <v>1464</v>
      </c>
      <c r="H553" s="23" t="s">
        <v>1178</v>
      </c>
      <c r="I553" s="35">
        <v>43178</v>
      </c>
      <c r="J553" s="35">
        <v>43543</v>
      </c>
      <c r="K553" s="24" t="s">
        <v>1794</v>
      </c>
      <c r="L553" s="140" t="s">
        <v>1658</v>
      </c>
      <c r="M553" s="43" t="s">
        <v>361</v>
      </c>
      <c r="N553" s="61">
        <v>43340</v>
      </c>
      <c r="O553" s="77">
        <v>6871.36</v>
      </c>
      <c r="P553" s="76">
        <v>12387</v>
      </c>
      <c r="Q553" s="61">
        <v>43340</v>
      </c>
      <c r="R553" s="61">
        <v>43465</v>
      </c>
      <c r="S553" s="43" t="s">
        <v>1244</v>
      </c>
      <c r="T553" s="22"/>
      <c r="U553" s="25"/>
      <c r="V553" s="25"/>
      <c r="W553" s="33" t="s">
        <v>184</v>
      </c>
      <c r="X553" s="33"/>
      <c r="Y553" s="22"/>
      <c r="Z553" s="22"/>
      <c r="AA553" s="22"/>
      <c r="AB553" s="33"/>
      <c r="AC553" s="22"/>
      <c r="AD553" s="22"/>
      <c r="AE553" s="22"/>
      <c r="AF553" s="22"/>
      <c r="AG553" s="25"/>
      <c r="AH553" s="25"/>
      <c r="AI553" s="25"/>
      <c r="AJ553" s="25"/>
      <c r="AK553" s="25"/>
      <c r="AL553" s="74">
        <f t="shared" si="10"/>
        <v>6871.36</v>
      </c>
      <c r="AM553" s="25"/>
      <c r="AN553" s="25">
        <v>6871.36</v>
      </c>
      <c r="AO553" s="77">
        <f t="shared" si="7"/>
        <v>6871.36</v>
      </c>
      <c r="AP553" s="22"/>
      <c r="AQ553" s="22"/>
      <c r="AR553" s="22"/>
      <c r="AS553" s="22"/>
      <c r="AT553" s="22"/>
      <c r="AU553" s="26"/>
      <c r="AV553" s="26"/>
      <c r="AW553" s="26"/>
      <c r="AX553" s="26"/>
      <c r="AY553" s="26"/>
      <c r="AZ553" s="26"/>
      <c r="BA553" s="26"/>
      <c r="BB553" s="26"/>
      <c r="BC553" s="60"/>
      <c r="BD553" s="26"/>
      <c r="BE553" s="26"/>
      <c r="BF553" s="26"/>
      <c r="BG553" s="26"/>
      <c r="BH553" s="26"/>
      <c r="BI553" s="26"/>
      <c r="BJ553" s="26"/>
      <c r="BK553" s="26"/>
      <c r="BL553" s="26"/>
      <c r="BM553" s="26"/>
    </row>
    <row r="554" spans="1:65" ht="30" x14ac:dyDescent="0.25">
      <c r="A554" s="163">
        <v>312</v>
      </c>
      <c r="B554" s="155" t="s">
        <v>1458</v>
      </c>
      <c r="C554" s="22" t="s">
        <v>1180</v>
      </c>
      <c r="D554" s="81" t="s">
        <v>128</v>
      </c>
      <c r="E554" s="22" t="s">
        <v>124</v>
      </c>
      <c r="F554" s="33" t="s">
        <v>1461</v>
      </c>
      <c r="G554" s="33" t="s">
        <v>1464</v>
      </c>
      <c r="H554" s="23" t="s">
        <v>1178</v>
      </c>
      <c r="I554" s="35">
        <v>43178</v>
      </c>
      <c r="J554" s="35">
        <v>43543</v>
      </c>
      <c r="K554" s="24" t="s">
        <v>1795</v>
      </c>
      <c r="L554" s="140" t="s">
        <v>802</v>
      </c>
      <c r="M554" s="43" t="s">
        <v>800</v>
      </c>
      <c r="N554" s="61">
        <v>43340</v>
      </c>
      <c r="O554" s="77">
        <v>7513.8</v>
      </c>
      <c r="P554" s="76">
        <v>12387</v>
      </c>
      <c r="Q554" s="61">
        <v>43340</v>
      </c>
      <c r="R554" s="61">
        <v>43465</v>
      </c>
      <c r="S554" s="43" t="s">
        <v>1244</v>
      </c>
      <c r="T554" s="22"/>
      <c r="U554" s="25"/>
      <c r="V554" s="25"/>
      <c r="W554" s="33" t="s">
        <v>184</v>
      </c>
      <c r="X554" s="33"/>
      <c r="Y554" s="22"/>
      <c r="Z554" s="22"/>
      <c r="AA554" s="22"/>
      <c r="AB554" s="33"/>
      <c r="AC554" s="22"/>
      <c r="AD554" s="22"/>
      <c r="AE554" s="22"/>
      <c r="AF554" s="22"/>
      <c r="AG554" s="25"/>
      <c r="AH554" s="25"/>
      <c r="AI554" s="25"/>
      <c r="AJ554" s="25"/>
      <c r="AK554" s="25"/>
      <c r="AL554" s="74">
        <f t="shared" si="10"/>
        <v>7513.8</v>
      </c>
      <c r="AM554" s="25"/>
      <c r="AN554" s="25"/>
      <c r="AO554" s="77">
        <f t="shared" si="7"/>
        <v>0</v>
      </c>
      <c r="AP554" s="22"/>
      <c r="AQ554" s="22"/>
      <c r="AR554" s="22"/>
      <c r="AS554" s="22"/>
      <c r="AT554" s="22"/>
      <c r="AU554" s="26"/>
      <c r="AV554" s="26"/>
      <c r="AW554" s="26"/>
      <c r="AX554" s="26"/>
      <c r="AY554" s="26"/>
      <c r="AZ554" s="26"/>
      <c r="BA554" s="26"/>
      <c r="BB554" s="26"/>
      <c r="BC554" s="60"/>
      <c r="BD554" s="26"/>
      <c r="BE554" s="26"/>
      <c r="BF554" s="26"/>
      <c r="BG554" s="26"/>
      <c r="BH554" s="26"/>
      <c r="BI554" s="26"/>
      <c r="BJ554" s="26"/>
      <c r="BK554" s="26"/>
      <c r="BL554" s="26"/>
      <c r="BM554" s="26"/>
    </row>
    <row r="555" spans="1:65" ht="30" x14ac:dyDescent="0.25">
      <c r="A555" s="163">
        <v>313</v>
      </c>
      <c r="B555" s="155" t="s">
        <v>1458</v>
      </c>
      <c r="C555" s="22" t="s">
        <v>1180</v>
      </c>
      <c r="D555" s="81" t="s">
        <v>128</v>
      </c>
      <c r="E555" s="22" t="s">
        <v>124</v>
      </c>
      <c r="F555" s="33" t="s">
        <v>1461</v>
      </c>
      <c r="G555" s="33" t="s">
        <v>1464</v>
      </c>
      <c r="H555" s="23" t="s">
        <v>1178</v>
      </c>
      <c r="I555" s="35">
        <v>43178</v>
      </c>
      <c r="J555" s="35">
        <v>43543</v>
      </c>
      <c r="K555" s="24" t="s">
        <v>1796</v>
      </c>
      <c r="L555" s="140" t="s">
        <v>1797</v>
      </c>
      <c r="M555" s="43" t="s">
        <v>1798</v>
      </c>
      <c r="N555" s="61">
        <v>43340</v>
      </c>
      <c r="O555" s="77">
        <v>4781.82</v>
      </c>
      <c r="P555" s="76">
        <v>12387</v>
      </c>
      <c r="Q555" s="61">
        <v>43340</v>
      </c>
      <c r="R555" s="61">
        <v>43465</v>
      </c>
      <c r="S555" s="43" t="s">
        <v>1244</v>
      </c>
      <c r="T555" s="22"/>
      <c r="U555" s="25"/>
      <c r="V555" s="25"/>
      <c r="W555" s="33" t="s">
        <v>184</v>
      </c>
      <c r="X555" s="33"/>
      <c r="Y555" s="22"/>
      <c r="Z555" s="22"/>
      <c r="AA555" s="22"/>
      <c r="AB555" s="33"/>
      <c r="AC555" s="22"/>
      <c r="AD555" s="22"/>
      <c r="AE555" s="22"/>
      <c r="AF555" s="22"/>
      <c r="AG555" s="25"/>
      <c r="AH555" s="25"/>
      <c r="AI555" s="25"/>
      <c r="AJ555" s="25"/>
      <c r="AK555" s="25"/>
      <c r="AL555" s="74">
        <f t="shared" si="10"/>
        <v>4781.82</v>
      </c>
      <c r="AM555" s="25"/>
      <c r="AN555" s="25">
        <v>4781.82</v>
      </c>
      <c r="AO555" s="77">
        <f t="shared" si="7"/>
        <v>4781.82</v>
      </c>
      <c r="AP555" s="22"/>
      <c r="AQ555" s="22"/>
      <c r="AR555" s="22"/>
      <c r="AS555" s="22"/>
      <c r="AT555" s="22"/>
      <c r="AU555" s="26"/>
      <c r="AV555" s="26"/>
      <c r="AW555" s="26"/>
      <c r="AX555" s="26"/>
      <c r="AY555" s="26"/>
      <c r="AZ555" s="26"/>
      <c r="BA555" s="26"/>
      <c r="BB555" s="26"/>
      <c r="BC555" s="60"/>
      <c r="BD555" s="26"/>
      <c r="BE555" s="26"/>
      <c r="BF555" s="26"/>
      <c r="BG555" s="26"/>
      <c r="BH555" s="26"/>
      <c r="BI555" s="26"/>
      <c r="BJ555" s="26"/>
      <c r="BK555" s="26"/>
      <c r="BL555" s="26"/>
      <c r="BM555" s="26"/>
    </row>
    <row r="556" spans="1:65" ht="30" x14ac:dyDescent="0.25">
      <c r="A556" s="163">
        <v>314</v>
      </c>
      <c r="B556" s="155" t="s">
        <v>1458</v>
      </c>
      <c r="C556" s="22" t="s">
        <v>1180</v>
      </c>
      <c r="D556" s="81" t="s">
        <v>128</v>
      </c>
      <c r="E556" s="22" t="s">
        <v>124</v>
      </c>
      <c r="F556" s="33" t="s">
        <v>1461</v>
      </c>
      <c r="G556" s="33" t="s">
        <v>1464</v>
      </c>
      <c r="H556" s="23" t="s">
        <v>1178</v>
      </c>
      <c r="I556" s="35">
        <v>43178</v>
      </c>
      <c r="J556" s="35">
        <v>43543</v>
      </c>
      <c r="K556" s="24" t="s">
        <v>1799</v>
      </c>
      <c r="L556" s="140" t="s">
        <v>1588</v>
      </c>
      <c r="M556" s="43" t="s">
        <v>1589</v>
      </c>
      <c r="N556" s="61">
        <v>43340</v>
      </c>
      <c r="O556" s="77">
        <v>4700</v>
      </c>
      <c r="P556" s="76">
        <v>12388</v>
      </c>
      <c r="Q556" s="61">
        <v>43340</v>
      </c>
      <c r="R556" s="61">
        <v>43465</v>
      </c>
      <c r="S556" s="43" t="s">
        <v>1244</v>
      </c>
      <c r="T556" s="22"/>
      <c r="U556" s="25"/>
      <c r="V556" s="25"/>
      <c r="W556" s="33" t="s">
        <v>184</v>
      </c>
      <c r="X556" s="33"/>
      <c r="Y556" s="22"/>
      <c r="Z556" s="22"/>
      <c r="AA556" s="22"/>
      <c r="AB556" s="33"/>
      <c r="AC556" s="22"/>
      <c r="AD556" s="22"/>
      <c r="AE556" s="22"/>
      <c r="AF556" s="22"/>
      <c r="AG556" s="25"/>
      <c r="AH556" s="25"/>
      <c r="AI556" s="25"/>
      <c r="AJ556" s="25"/>
      <c r="AK556" s="25"/>
      <c r="AL556" s="74">
        <f t="shared" si="10"/>
        <v>4700</v>
      </c>
      <c r="AM556" s="25"/>
      <c r="AN556" s="25">
        <v>4700</v>
      </c>
      <c r="AO556" s="77">
        <f t="shared" si="7"/>
        <v>4700</v>
      </c>
      <c r="AP556" s="22"/>
      <c r="AQ556" s="22"/>
      <c r="AR556" s="22"/>
      <c r="AS556" s="22"/>
      <c r="AT556" s="22"/>
      <c r="AU556" s="26"/>
      <c r="AV556" s="26"/>
      <c r="AW556" s="26"/>
      <c r="AX556" s="26"/>
      <c r="AY556" s="26"/>
      <c r="AZ556" s="26"/>
      <c r="BA556" s="26"/>
      <c r="BB556" s="26"/>
      <c r="BC556" s="60"/>
      <c r="BD556" s="26"/>
      <c r="BE556" s="26"/>
      <c r="BF556" s="26"/>
      <c r="BG556" s="26"/>
      <c r="BH556" s="26"/>
      <c r="BI556" s="26"/>
      <c r="BJ556" s="26"/>
      <c r="BK556" s="26"/>
      <c r="BL556" s="26"/>
      <c r="BM556" s="26"/>
    </row>
    <row r="557" spans="1:65" ht="30" x14ac:dyDescent="0.25">
      <c r="A557" s="163">
        <v>315</v>
      </c>
      <c r="B557" s="155" t="s">
        <v>1458</v>
      </c>
      <c r="C557" s="22" t="s">
        <v>1180</v>
      </c>
      <c r="D557" s="81" t="s">
        <v>128</v>
      </c>
      <c r="E557" s="22" t="s">
        <v>124</v>
      </c>
      <c r="F557" s="33" t="s">
        <v>1461</v>
      </c>
      <c r="G557" s="33" t="s">
        <v>1464</v>
      </c>
      <c r="H557" s="23" t="s">
        <v>1178</v>
      </c>
      <c r="I557" s="35">
        <v>43178</v>
      </c>
      <c r="J557" s="35">
        <v>43543</v>
      </c>
      <c r="K557" s="24" t="s">
        <v>1800</v>
      </c>
      <c r="L557" s="140" t="s">
        <v>246</v>
      </c>
      <c r="M557" s="43" t="s">
        <v>920</v>
      </c>
      <c r="N557" s="61">
        <v>43340</v>
      </c>
      <c r="O557" s="77">
        <v>4008.05</v>
      </c>
      <c r="P557" s="76">
        <v>12387</v>
      </c>
      <c r="Q557" s="61">
        <v>43340</v>
      </c>
      <c r="R557" s="61">
        <v>43465</v>
      </c>
      <c r="S557" s="43" t="s">
        <v>1244</v>
      </c>
      <c r="T557" s="22"/>
      <c r="U557" s="25"/>
      <c r="V557" s="25"/>
      <c r="W557" s="33" t="s">
        <v>184</v>
      </c>
      <c r="X557" s="33"/>
      <c r="Y557" s="22"/>
      <c r="Z557" s="22"/>
      <c r="AA557" s="22"/>
      <c r="AB557" s="33"/>
      <c r="AC557" s="22"/>
      <c r="AD557" s="22"/>
      <c r="AE557" s="22"/>
      <c r="AF557" s="22"/>
      <c r="AG557" s="25"/>
      <c r="AH557" s="25"/>
      <c r="AI557" s="25"/>
      <c r="AJ557" s="25"/>
      <c r="AK557" s="25"/>
      <c r="AL557" s="74">
        <f t="shared" si="10"/>
        <v>4008.05</v>
      </c>
      <c r="AM557" s="25"/>
      <c r="AN557" s="25"/>
      <c r="AO557" s="77">
        <f t="shared" si="7"/>
        <v>0</v>
      </c>
      <c r="AP557" s="22"/>
      <c r="AQ557" s="22"/>
      <c r="AR557" s="22"/>
      <c r="AS557" s="22"/>
      <c r="AT557" s="22"/>
      <c r="AU557" s="26"/>
      <c r="AV557" s="26"/>
      <c r="AW557" s="26"/>
      <c r="AX557" s="26"/>
      <c r="AY557" s="26"/>
      <c r="AZ557" s="26"/>
      <c r="BA557" s="26"/>
      <c r="BB557" s="26"/>
      <c r="BC557" s="60"/>
      <c r="BD557" s="26"/>
      <c r="BE557" s="26"/>
      <c r="BF557" s="26"/>
      <c r="BG557" s="26"/>
      <c r="BH557" s="26"/>
      <c r="BI557" s="26"/>
      <c r="BJ557" s="26"/>
      <c r="BK557" s="26"/>
      <c r="BL557" s="26"/>
      <c r="BM557" s="26"/>
    </row>
    <row r="558" spans="1:65" ht="45" x14ac:dyDescent="0.25">
      <c r="A558" s="163">
        <v>316</v>
      </c>
      <c r="B558" s="155" t="s">
        <v>1802</v>
      </c>
      <c r="C558" s="22" t="s">
        <v>1354</v>
      </c>
      <c r="D558" s="81" t="s">
        <v>128</v>
      </c>
      <c r="E558" s="22" t="s">
        <v>124</v>
      </c>
      <c r="F558" s="33" t="s">
        <v>1803</v>
      </c>
      <c r="G558" s="33" t="s">
        <v>1806</v>
      </c>
      <c r="H558" s="23" t="s">
        <v>1209</v>
      </c>
      <c r="I558" s="35">
        <v>43326</v>
      </c>
      <c r="J558" s="35">
        <v>43691</v>
      </c>
      <c r="K558" s="24" t="s">
        <v>1801</v>
      </c>
      <c r="L558" s="140" t="s">
        <v>223</v>
      </c>
      <c r="M558" s="43" t="s">
        <v>776</v>
      </c>
      <c r="N558" s="61">
        <v>43347</v>
      </c>
      <c r="O558" s="77">
        <v>6990</v>
      </c>
      <c r="P558" s="76">
        <v>12385</v>
      </c>
      <c r="Q558" s="61">
        <v>43347</v>
      </c>
      <c r="R558" s="61">
        <v>43465</v>
      </c>
      <c r="S558" s="43" t="s">
        <v>1804</v>
      </c>
      <c r="T558" s="22"/>
      <c r="U558" s="25"/>
      <c r="V558" s="25"/>
      <c r="W558" s="33" t="s">
        <v>787</v>
      </c>
      <c r="X558" s="33"/>
      <c r="Y558" s="22"/>
      <c r="Z558" s="22"/>
      <c r="AA558" s="22"/>
      <c r="AB558" s="33"/>
      <c r="AC558" s="22"/>
      <c r="AD558" s="22"/>
      <c r="AE558" s="22"/>
      <c r="AF558" s="22"/>
      <c r="AG558" s="25"/>
      <c r="AH558" s="25"/>
      <c r="AI558" s="25"/>
      <c r="AJ558" s="25"/>
      <c r="AK558" s="25"/>
      <c r="AL558" s="74">
        <f t="shared" si="10"/>
        <v>6990</v>
      </c>
      <c r="AM558" s="25"/>
      <c r="AN558" s="25">
        <f>756</f>
        <v>756</v>
      </c>
      <c r="AO558" s="77">
        <f t="shared" si="7"/>
        <v>756</v>
      </c>
      <c r="AP558" s="37"/>
      <c r="AQ558" s="22"/>
      <c r="AR558" s="22"/>
      <c r="AS558" s="22"/>
      <c r="AT558" s="22"/>
      <c r="AU558" s="26"/>
      <c r="AV558" s="26"/>
      <c r="AW558" s="26"/>
      <c r="AX558" s="26"/>
      <c r="AY558" s="26"/>
      <c r="AZ558" s="26"/>
      <c r="BA558" s="26"/>
      <c r="BB558" s="26"/>
      <c r="BC558" s="60"/>
      <c r="BD558" s="26"/>
      <c r="BE558" s="26"/>
      <c r="BF558" s="26"/>
      <c r="BG558" s="26"/>
      <c r="BH558" s="26"/>
      <c r="BI558" s="26"/>
      <c r="BJ558" s="26"/>
      <c r="BK558" s="26"/>
      <c r="BL558" s="26"/>
      <c r="BM558" s="26"/>
    </row>
    <row r="559" spans="1:65" ht="45" x14ac:dyDescent="0.25">
      <c r="A559" s="163">
        <v>317</v>
      </c>
      <c r="B559" s="155" t="s">
        <v>1802</v>
      </c>
      <c r="C559" s="22" t="s">
        <v>1354</v>
      </c>
      <c r="D559" s="81" t="s">
        <v>128</v>
      </c>
      <c r="E559" s="22" t="s">
        <v>124</v>
      </c>
      <c r="F559" s="33" t="s">
        <v>1803</v>
      </c>
      <c r="G559" s="33" t="s">
        <v>1806</v>
      </c>
      <c r="H559" s="23" t="s">
        <v>1209</v>
      </c>
      <c r="I559" s="35">
        <v>43326</v>
      </c>
      <c r="J559" s="35">
        <v>43691</v>
      </c>
      <c r="K559" s="24" t="s">
        <v>1805</v>
      </c>
      <c r="L559" s="140" t="s">
        <v>360</v>
      </c>
      <c r="M559" s="43" t="s">
        <v>229</v>
      </c>
      <c r="N559" s="61">
        <v>43347</v>
      </c>
      <c r="O559" s="77">
        <v>43450</v>
      </c>
      <c r="P559" s="76">
        <v>12385</v>
      </c>
      <c r="Q559" s="61">
        <v>43347</v>
      </c>
      <c r="R559" s="61">
        <v>43465</v>
      </c>
      <c r="S559" s="43" t="s">
        <v>1804</v>
      </c>
      <c r="T559" s="22"/>
      <c r="U559" s="25"/>
      <c r="V559" s="25"/>
      <c r="W559" s="33" t="s">
        <v>787</v>
      </c>
      <c r="X559" s="33"/>
      <c r="Y559" s="22"/>
      <c r="Z559" s="22"/>
      <c r="AA559" s="22"/>
      <c r="AB559" s="33"/>
      <c r="AC559" s="22"/>
      <c r="AD559" s="22"/>
      <c r="AE559" s="22"/>
      <c r="AF559" s="22"/>
      <c r="AG559" s="25"/>
      <c r="AH559" s="25"/>
      <c r="AI559" s="25"/>
      <c r="AJ559" s="25"/>
      <c r="AK559" s="25"/>
      <c r="AL559" s="74">
        <f t="shared" si="10"/>
        <v>43450</v>
      </c>
      <c r="AM559" s="25"/>
      <c r="AN559" s="25"/>
      <c r="AO559" s="77">
        <f t="shared" si="7"/>
        <v>0</v>
      </c>
      <c r="AP559" s="22"/>
      <c r="AQ559" s="22"/>
      <c r="AR559" s="22"/>
      <c r="AS559" s="22"/>
      <c r="AT559" s="22"/>
      <c r="AU559" s="26"/>
      <c r="AV559" s="26"/>
      <c r="AW559" s="26"/>
      <c r="AX559" s="26"/>
      <c r="AY559" s="26"/>
      <c r="AZ559" s="26"/>
      <c r="BA559" s="26"/>
      <c r="BB559" s="26"/>
      <c r="BC559" s="60"/>
      <c r="BD559" s="26"/>
      <c r="BE559" s="26"/>
      <c r="BF559" s="26"/>
      <c r="BG559" s="26"/>
      <c r="BH559" s="26"/>
      <c r="BI559" s="26"/>
      <c r="BJ559" s="26"/>
      <c r="BK559" s="26"/>
      <c r="BL559" s="26"/>
      <c r="BM559" s="26"/>
    </row>
    <row r="560" spans="1:65" ht="60" x14ac:dyDescent="0.25">
      <c r="A560" s="163">
        <v>318</v>
      </c>
      <c r="B560" s="155" t="s">
        <v>1780</v>
      </c>
      <c r="C560" s="22" t="s">
        <v>1310</v>
      </c>
      <c r="D560" s="81" t="s">
        <v>128</v>
      </c>
      <c r="E560" s="22" t="s">
        <v>124</v>
      </c>
      <c r="F560" s="33" t="s">
        <v>221</v>
      </c>
      <c r="G560" s="33" t="s">
        <v>1792</v>
      </c>
      <c r="H560" s="23" t="s">
        <v>1210</v>
      </c>
      <c r="I560" s="35">
        <v>43332</v>
      </c>
      <c r="J560" s="35">
        <v>43697</v>
      </c>
      <c r="K560" s="24" t="s">
        <v>1810</v>
      </c>
      <c r="L560" s="140" t="s">
        <v>1096</v>
      </c>
      <c r="M560" s="43" t="s">
        <v>1097</v>
      </c>
      <c r="N560" s="61">
        <v>43354</v>
      </c>
      <c r="O560" s="77">
        <v>451615</v>
      </c>
      <c r="P560" s="76">
        <v>12386</v>
      </c>
      <c r="Q560" s="61">
        <v>43354</v>
      </c>
      <c r="R560" s="61">
        <v>43465</v>
      </c>
      <c r="S560" s="43" t="s">
        <v>1781</v>
      </c>
      <c r="T560" s="22"/>
      <c r="U560" s="25"/>
      <c r="V560" s="25"/>
      <c r="W560" s="33" t="s">
        <v>292</v>
      </c>
      <c r="X560" s="33"/>
      <c r="Y560" s="22"/>
      <c r="Z560" s="22"/>
      <c r="AA560" s="22"/>
      <c r="AB560" s="33"/>
      <c r="AC560" s="22"/>
      <c r="AD560" s="22"/>
      <c r="AE560" s="22"/>
      <c r="AF560" s="22"/>
      <c r="AG560" s="25"/>
      <c r="AH560" s="25"/>
      <c r="AI560" s="25"/>
      <c r="AJ560" s="25"/>
      <c r="AK560" s="25"/>
      <c r="AL560" s="74">
        <f t="shared" si="10"/>
        <v>451615</v>
      </c>
      <c r="AM560" s="25"/>
      <c r="AN560" s="25">
        <f>281288.6</f>
        <v>281288.59999999998</v>
      </c>
      <c r="AO560" s="77">
        <f t="shared" si="7"/>
        <v>281288.59999999998</v>
      </c>
      <c r="AP560" s="37"/>
      <c r="AQ560" s="22"/>
      <c r="AR560" s="22"/>
      <c r="AS560" s="22"/>
      <c r="AT560" s="22"/>
      <c r="AU560" s="26"/>
      <c r="AV560" s="26"/>
      <c r="AW560" s="26"/>
      <c r="AX560" s="26"/>
      <c r="AY560" s="26"/>
      <c r="AZ560" s="26"/>
      <c r="BA560" s="26"/>
      <c r="BB560" s="26"/>
      <c r="BC560" s="60"/>
      <c r="BD560" s="26"/>
      <c r="BE560" s="26"/>
      <c r="BF560" s="26"/>
      <c r="BG560" s="26"/>
      <c r="BH560" s="26"/>
      <c r="BI560" s="26"/>
      <c r="BJ560" s="26"/>
      <c r="BK560" s="26"/>
      <c r="BL560" s="26"/>
      <c r="BM560" s="26"/>
    </row>
    <row r="561" spans="1:65" ht="45" x14ac:dyDescent="0.25">
      <c r="A561" s="163">
        <v>319</v>
      </c>
      <c r="B561" s="155" t="s">
        <v>1052</v>
      </c>
      <c r="C561" s="22" t="s">
        <v>766</v>
      </c>
      <c r="D561" s="81" t="s">
        <v>128</v>
      </c>
      <c r="E561" s="22" t="s">
        <v>124</v>
      </c>
      <c r="F561" s="33" t="s">
        <v>1053</v>
      </c>
      <c r="G561" s="33" t="s">
        <v>1064</v>
      </c>
      <c r="H561" s="23" t="s">
        <v>709</v>
      </c>
      <c r="I561" s="35">
        <v>42984</v>
      </c>
      <c r="J561" s="35">
        <v>43349</v>
      </c>
      <c r="K561" s="24" t="s">
        <v>1814</v>
      </c>
      <c r="L561" s="140" t="s">
        <v>238</v>
      </c>
      <c r="M561" s="43" t="s">
        <v>239</v>
      </c>
      <c r="N561" s="61">
        <v>43348</v>
      </c>
      <c r="O561" s="77">
        <v>48750</v>
      </c>
      <c r="P561" s="76">
        <v>12400</v>
      </c>
      <c r="Q561" s="61">
        <v>43348</v>
      </c>
      <c r="R561" s="61">
        <v>43465</v>
      </c>
      <c r="S561" s="43" t="s">
        <v>1196</v>
      </c>
      <c r="T561" s="22"/>
      <c r="U561" s="25"/>
      <c r="V561" s="25"/>
      <c r="W561" s="33" t="s">
        <v>787</v>
      </c>
      <c r="X561" s="33"/>
      <c r="Y561" s="22"/>
      <c r="Z561" s="22"/>
      <c r="AA561" s="22"/>
      <c r="AB561" s="33"/>
      <c r="AC561" s="22"/>
      <c r="AD561" s="22"/>
      <c r="AE561" s="22"/>
      <c r="AF561" s="22"/>
      <c r="AG561" s="25"/>
      <c r="AH561" s="25"/>
      <c r="AI561" s="25"/>
      <c r="AJ561" s="25"/>
      <c r="AK561" s="25"/>
      <c r="AL561" s="74">
        <f t="shared" si="10"/>
        <v>48750</v>
      </c>
      <c r="AM561" s="25"/>
      <c r="AN561" s="25">
        <v>48750</v>
      </c>
      <c r="AO561" s="77">
        <f t="shared" si="7"/>
        <v>48750</v>
      </c>
      <c r="AP561" s="22"/>
      <c r="AQ561" s="22"/>
      <c r="AR561" s="22"/>
      <c r="AS561" s="22"/>
      <c r="AT561" s="22"/>
      <c r="AU561" s="26"/>
      <c r="AV561" s="26"/>
      <c r="AW561" s="26"/>
      <c r="AX561" s="26"/>
      <c r="AY561" s="26"/>
      <c r="AZ561" s="26"/>
      <c r="BA561" s="26"/>
      <c r="BB561" s="26"/>
      <c r="BC561" s="60"/>
      <c r="BD561" s="26"/>
      <c r="BE561" s="26"/>
      <c r="BF561" s="26"/>
      <c r="BG561" s="26"/>
      <c r="BH561" s="26"/>
      <c r="BI561" s="26"/>
      <c r="BJ561" s="26"/>
      <c r="BK561" s="26"/>
      <c r="BL561" s="26"/>
      <c r="BM561" s="26"/>
    </row>
    <row r="562" spans="1:65" ht="45" x14ac:dyDescent="0.25">
      <c r="A562" s="163">
        <v>320</v>
      </c>
      <c r="B562" s="155" t="s">
        <v>1223</v>
      </c>
      <c r="C562" s="22" t="s">
        <v>770</v>
      </c>
      <c r="D562" s="81" t="s">
        <v>128</v>
      </c>
      <c r="E562" s="22" t="s">
        <v>124</v>
      </c>
      <c r="F562" s="33" t="s">
        <v>1224</v>
      </c>
      <c r="G562" s="33" t="s">
        <v>1225</v>
      </c>
      <c r="H562" s="23" t="s">
        <v>710</v>
      </c>
      <c r="I562" s="35">
        <v>42990</v>
      </c>
      <c r="J562" s="35">
        <v>43355</v>
      </c>
      <c r="K562" s="24" t="s">
        <v>1815</v>
      </c>
      <c r="L562" s="140" t="s">
        <v>360</v>
      </c>
      <c r="M562" s="43" t="s">
        <v>229</v>
      </c>
      <c r="N562" s="61">
        <v>43354</v>
      </c>
      <c r="O562" s="77">
        <v>45576</v>
      </c>
      <c r="P562" s="76">
        <v>12395</v>
      </c>
      <c r="Q562" s="61">
        <v>43354</v>
      </c>
      <c r="R562" s="61">
        <v>43465</v>
      </c>
      <c r="S562" s="43" t="s">
        <v>1196</v>
      </c>
      <c r="T562" s="22"/>
      <c r="U562" s="25"/>
      <c r="V562" s="25"/>
      <c r="W562" s="33" t="s">
        <v>787</v>
      </c>
      <c r="X562" s="33"/>
      <c r="Y562" s="22"/>
      <c r="Z562" s="22"/>
      <c r="AA562" s="22"/>
      <c r="AB562" s="33"/>
      <c r="AC562" s="22"/>
      <c r="AD562" s="22"/>
      <c r="AE562" s="22"/>
      <c r="AF562" s="22"/>
      <c r="AG562" s="25"/>
      <c r="AH562" s="25"/>
      <c r="AI562" s="25"/>
      <c r="AJ562" s="25"/>
      <c r="AK562" s="25"/>
      <c r="AL562" s="74">
        <f t="shared" si="10"/>
        <v>45576</v>
      </c>
      <c r="AM562" s="25"/>
      <c r="AN562" s="25"/>
      <c r="AO562" s="77">
        <f t="shared" si="7"/>
        <v>0</v>
      </c>
      <c r="AP562" s="22"/>
      <c r="AQ562" s="22"/>
      <c r="AR562" s="22"/>
      <c r="AS562" s="22"/>
      <c r="AT562" s="22"/>
      <c r="AU562" s="26"/>
      <c r="AV562" s="26"/>
      <c r="AW562" s="26"/>
      <c r="AX562" s="26"/>
      <c r="AY562" s="26"/>
      <c r="AZ562" s="26"/>
      <c r="BA562" s="26"/>
      <c r="BB562" s="26"/>
      <c r="BC562" s="60"/>
      <c r="BD562" s="26"/>
      <c r="BE562" s="26"/>
      <c r="BF562" s="26"/>
      <c r="BG562" s="26"/>
      <c r="BH562" s="26"/>
      <c r="BI562" s="26"/>
      <c r="BJ562" s="26"/>
      <c r="BK562" s="26"/>
      <c r="BL562" s="26"/>
      <c r="BM562" s="26"/>
    </row>
    <row r="563" spans="1:65" ht="45" x14ac:dyDescent="0.25">
      <c r="A563" s="163">
        <v>321</v>
      </c>
      <c r="B563" s="155" t="s">
        <v>1223</v>
      </c>
      <c r="C563" s="22" t="s">
        <v>770</v>
      </c>
      <c r="D563" s="81" t="s">
        <v>128</v>
      </c>
      <c r="E563" s="22" t="s">
        <v>124</v>
      </c>
      <c r="F563" s="33" t="s">
        <v>1224</v>
      </c>
      <c r="G563" s="33" t="s">
        <v>1225</v>
      </c>
      <c r="H563" s="23" t="s">
        <v>710</v>
      </c>
      <c r="I563" s="35">
        <v>42990</v>
      </c>
      <c r="J563" s="35">
        <v>43355</v>
      </c>
      <c r="K563" s="24" t="s">
        <v>1816</v>
      </c>
      <c r="L563" s="140" t="s">
        <v>238</v>
      </c>
      <c r="M563" s="43" t="s">
        <v>239</v>
      </c>
      <c r="N563" s="61">
        <v>43354</v>
      </c>
      <c r="O563" s="77">
        <v>4863</v>
      </c>
      <c r="P563" s="76">
        <v>12400</v>
      </c>
      <c r="Q563" s="61">
        <v>43354</v>
      </c>
      <c r="R563" s="61">
        <v>43465</v>
      </c>
      <c r="S563" s="43" t="s">
        <v>1196</v>
      </c>
      <c r="T563" s="22"/>
      <c r="U563" s="25"/>
      <c r="V563" s="25"/>
      <c r="W563" s="33" t="s">
        <v>787</v>
      </c>
      <c r="X563" s="33"/>
      <c r="Y563" s="22"/>
      <c r="Z563" s="22"/>
      <c r="AA563" s="22"/>
      <c r="AB563" s="33"/>
      <c r="AC563" s="22"/>
      <c r="AD563" s="22"/>
      <c r="AE563" s="22"/>
      <c r="AF563" s="22"/>
      <c r="AG563" s="25"/>
      <c r="AH563" s="25"/>
      <c r="AI563" s="25"/>
      <c r="AJ563" s="25"/>
      <c r="AK563" s="25"/>
      <c r="AL563" s="74">
        <f t="shared" si="10"/>
        <v>4863</v>
      </c>
      <c r="AM563" s="25"/>
      <c r="AN563" s="25">
        <v>4863</v>
      </c>
      <c r="AO563" s="77">
        <f t="shared" si="7"/>
        <v>4863</v>
      </c>
      <c r="AP563" s="22"/>
      <c r="AQ563" s="22"/>
      <c r="AR563" s="22"/>
      <c r="AS563" s="22"/>
      <c r="AT563" s="22"/>
      <c r="AU563" s="26"/>
      <c r="AV563" s="26"/>
      <c r="AW563" s="26"/>
      <c r="AX563" s="26"/>
      <c r="AY563" s="26"/>
      <c r="AZ563" s="26"/>
      <c r="BA563" s="26"/>
      <c r="BB563" s="26"/>
      <c r="BC563" s="60"/>
      <c r="BD563" s="26"/>
      <c r="BE563" s="26"/>
      <c r="BF563" s="26"/>
      <c r="BG563" s="26"/>
      <c r="BH563" s="26"/>
      <c r="BI563" s="26"/>
      <c r="BJ563" s="26"/>
      <c r="BK563" s="26"/>
      <c r="BL563" s="26"/>
      <c r="BM563" s="26"/>
    </row>
    <row r="564" spans="1:65" ht="60" x14ac:dyDescent="0.25">
      <c r="A564" s="163">
        <v>322</v>
      </c>
      <c r="B564" s="155" t="s">
        <v>1818</v>
      </c>
      <c r="C564" s="22" t="s">
        <v>1345</v>
      </c>
      <c r="D564" s="81" t="s">
        <v>128</v>
      </c>
      <c r="E564" s="22" t="s">
        <v>124</v>
      </c>
      <c r="F564" s="33" t="s">
        <v>1821</v>
      </c>
      <c r="G564" s="33" t="s">
        <v>1828</v>
      </c>
      <c r="H564" s="23" t="s">
        <v>1213</v>
      </c>
      <c r="I564" s="35">
        <v>43334</v>
      </c>
      <c r="J564" s="35">
        <v>43699</v>
      </c>
      <c r="K564" s="24" t="s">
        <v>1817</v>
      </c>
      <c r="L564" s="140" t="s">
        <v>1819</v>
      </c>
      <c r="M564" s="43" t="s">
        <v>1820</v>
      </c>
      <c r="N564" s="61">
        <v>43367</v>
      </c>
      <c r="O564" s="77">
        <v>193500</v>
      </c>
      <c r="P564" s="76">
        <v>12395</v>
      </c>
      <c r="Q564" s="61">
        <v>43367</v>
      </c>
      <c r="R564" s="61">
        <v>43465</v>
      </c>
      <c r="S564" s="43" t="s">
        <v>243</v>
      </c>
      <c r="T564" s="22"/>
      <c r="U564" s="25"/>
      <c r="V564" s="25"/>
      <c r="W564" s="33" t="s">
        <v>135</v>
      </c>
      <c r="X564" s="33"/>
      <c r="Y564" s="22"/>
      <c r="Z564" s="22"/>
      <c r="AA564" s="22"/>
      <c r="AB564" s="33"/>
      <c r="AC564" s="22"/>
      <c r="AD564" s="22"/>
      <c r="AE564" s="22"/>
      <c r="AF564" s="22"/>
      <c r="AG564" s="25"/>
      <c r="AH564" s="25"/>
      <c r="AI564" s="25"/>
      <c r="AJ564" s="25"/>
      <c r="AK564" s="25"/>
      <c r="AL564" s="74">
        <f t="shared" si="10"/>
        <v>193500</v>
      </c>
      <c r="AM564" s="25"/>
      <c r="AN564" s="25"/>
      <c r="AO564" s="77">
        <f t="shared" si="7"/>
        <v>0</v>
      </c>
      <c r="AP564" s="22"/>
      <c r="AQ564" s="22"/>
      <c r="AR564" s="22"/>
      <c r="AS564" s="22"/>
      <c r="AT564" s="22"/>
      <c r="AU564" s="26"/>
      <c r="AV564" s="26"/>
      <c r="AW564" s="26"/>
      <c r="AX564" s="26"/>
      <c r="AY564" s="26"/>
      <c r="AZ564" s="26"/>
      <c r="BA564" s="26"/>
      <c r="BB564" s="26"/>
      <c r="BC564" s="60"/>
      <c r="BD564" s="26"/>
      <c r="BE564" s="26"/>
      <c r="BF564" s="26"/>
      <c r="BG564" s="26"/>
      <c r="BH564" s="26"/>
      <c r="BI564" s="26"/>
      <c r="BJ564" s="26"/>
      <c r="BK564" s="26"/>
      <c r="BL564" s="26"/>
      <c r="BM564" s="26"/>
    </row>
    <row r="565" spans="1:65" ht="45" x14ac:dyDescent="0.25">
      <c r="A565" s="163">
        <v>323</v>
      </c>
      <c r="B565" s="155" t="s">
        <v>1823</v>
      </c>
      <c r="C565" s="22" t="s">
        <v>1340</v>
      </c>
      <c r="D565" s="81" t="s">
        <v>128</v>
      </c>
      <c r="E565" s="22" t="s">
        <v>124</v>
      </c>
      <c r="F565" s="33" t="s">
        <v>1824</v>
      </c>
      <c r="G565" s="33" t="s">
        <v>1830</v>
      </c>
      <c r="H565" s="23" t="s">
        <v>1207</v>
      </c>
      <c r="I565" s="35">
        <v>43319</v>
      </c>
      <c r="J565" s="35">
        <v>43684</v>
      </c>
      <c r="K565" s="24" t="s">
        <v>1822</v>
      </c>
      <c r="L565" s="140" t="s">
        <v>1825</v>
      </c>
      <c r="M565" s="43" t="s">
        <v>1826</v>
      </c>
      <c r="N565" s="61">
        <v>43367</v>
      </c>
      <c r="O565" s="77">
        <v>98700</v>
      </c>
      <c r="P565" s="76">
        <v>12395</v>
      </c>
      <c r="Q565" s="61">
        <v>43367</v>
      </c>
      <c r="R565" s="61">
        <v>43465</v>
      </c>
      <c r="S565" s="43" t="s">
        <v>1196</v>
      </c>
      <c r="T565" s="22"/>
      <c r="U565" s="25"/>
      <c r="V565" s="25"/>
      <c r="W565" s="33" t="s">
        <v>487</v>
      </c>
      <c r="X565" s="33"/>
      <c r="Y565" s="22"/>
      <c r="Z565" s="22"/>
      <c r="AA565" s="22"/>
      <c r="AB565" s="33"/>
      <c r="AC565" s="22"/>
      <c r="AD565" s="22"/>
      <c r="AE565" s="22"/>
      <c r="AF565" s="22"/>
      <c r="AG565" s="25"/>
      <c r="AH565" s="25"/>
      <c r="AI565" s="25"/>
      <c r="AJ565" s="25"/>
      <c r="AK565" s="25"/>
      <c r="AL565" s="74">
        <f t="shared" si="10"/>
        <v>98700</v>
      </c>
      <c r="AM565" s="25"/>
      <c r="AN565" s="25"/>
      <c r="AO565" s="77">
        <f t="shared" si="7"/>
        <v>0</v>
      </c>
      <c r="AP565" s="22"/>
      <c r="AQ565" s="22"/>
      <c r="AR565" s="22"/>
      <c r="AS565" s="22"/>
      <c r="AT565" s="22"/>
      <c r="AU565" s="26"/>
      <c r="AV565" s="26"/>
      <c r="AW565" s="26"/>
      <c r="AX565" s="26"/>
      <c r="AY565" s="26"/>
      <c r="AZ565" s="26"/>
      <c r="BA565" s="26"/>
      <c r="BB565" s="26"/>
      <c r="BC565" s="60"/>
      <c r="BD565" s="26"/>
      <c r="BE565" s="26"/>
      <c r="BF565" s="26"/>
      <c r="BG565" s="26"/>
      <c r="BH565" s="26"/>
      <c r="BI565" s="26"/>
      <c r="BJ565" s="26"/>
      <c r="BK565" s="26"/>
      <c r="BL565" s="26"/>
      <c r="BM565" s="26"/>
    </row>
    <row r="566" spans="1:65" ht="60" x14ac:dyDescent="0.25">
      <c r="A566" s="163">
        <v>324</v>
      </c>
      <c r="B566" s="155" t="s">
        <v>1221</v>
      </c>
      <c r="C566" s="22" t="s">
        <v>778</v>
      </c>
      <c r="D566" s="81" t="s">
        <v>128</v>
      </c>
      <c r="E566" s="22" t="s">
        <v>124</v>
      </c>
      <c r="F566" s="33" t="s">
        <v>1222</v>
      </c>
      <c r="G566" s="33" t="s">
        <v>1226</v>
      </c>
      <c r="H566" s="23" t="s">
        <v>778</v>
      </c>
      <c r="I566" s="35">
        <v>43047</v>
      </c>
      <c r="J566" s="35">
        <v>43412</v>
      </c>
      <c r="K566" s="24" t="s">
        <v>1827</v>
      </c>
      <c r="L566" s="140" t="s">
        <v>360</v>
      </c>
      <c r="M566" s="43" t="s">
        <v>229</v>
      </c>
      <c r="N566" s="61">
        <v>43367</v>
      </c>
      <c r="O566" s="77">
        <v>71855.199999999997</v>
      </c>
      <c r="P566" s="76">
        <v>12395</v>
      </c>
      <c r="Q566" s="61">
        <v>43367</v>
      </c>
      <c r="R566" s="61">
        <v>43465</v>
      </c>
      <c r="S566" s="43" t="s">
        <v>1196</v>
      </c>
      <c r="T566" s="22"/>
      <c r="U566" s="25"/>
      <c r="V566" s="25"/>
      <c r="W566" s="33" t="s">
        <v>787</v>
      </c>
      <c r="X566" s="33"/>
      <c r="Y566" s="22"/>
      <c r="Z566" s="22"/>
      <c r="AA566" s="22"/>
      <c r="AB566" s="33"/>
      <c r="AC566" s="22"/>
      <c r="AD566" s="22"/>
      <c r="AE566" s="22"/>
      <c r="AF566" s="22"/>
      <c r="AG566" s="25"/>
      <c r="AH566" s="25"/>
      <c r="AI566" s="25"/>
      <c r="AJ566" s="25"/>
      <c r="AK566" s="25"/>
      <c r="AL566" s="74">
        <f t="shared" si="10"/>
        <v>71855.199999999997</v>
      </c>
      <c r="AM566" s="25"/>
      <c r="AN566" s="25">
        <f>25447.08</f>
        <v>25447.08</v>
      </c>
      <c r="AO566" s="77">
        <f t="shared" si="7"/>
        <v>25447.08</v>
      </c>
      <c r="AP566" s="22"/>
      <c r="AQ566" s="22"/>
      <c r="AR566" s="22"/>
      <c r="AS566" s="22"/>
      <c r="AT566" s="22"/>
      <c r="AU566" s="26"/>
      <c r="AV566" s="26"/>
      <c r="AW566" s="26"/>
      <c r="AX566" s="26"/>
      <c r="AY566" s="26"/>
      <c r="AZ566" s="26"/>
      <c r="BA566" s="26"/>
      <c r="BB566" s="26"/>
      <c r="BC566" s="60"/>
      <c r="BD566" s="26"/>
      <c r="BE566" s="26"/>
      <c r="BF566" s="26"/>
      <c r="BG566" s="26"/>
      <c r="BH566" s="26"/>
      <c r="BI566" s="26"/>
      <c r="BJ566" s="26"/>
      <c r="BK566" s="26"/>
      <c r="BL566" s="26"/>
      <c r="BM566" s="26"/>
    </row>
    <row r="567" spans="1:65" ht="45" x14ac:dyDescent="0.25">
      <c r="A567" s="163">
        <v>325</v>
      </c>
      <c r="B567" s="155" t="s">
        <v>1141</v>
      </c>
      <c r="C567" s="22" t="s">
        <v>782</v>
      </c>
      <c r="D567" s="81" t="s">
        <v>128</v>
      </c>
      <c r="E567" s="22" t="s">
        <v>124</v>
      </c>
      <c r="F567" s="33" t="s">
        <v>1142</v>
      </c>
      <c r="G567" s="33" t="s">
        <v>1143</v>
      </c>
      <c r="H567" s="23" t="s">
        <v>773</v>
      </c>
      <c r="I567" s="35">
        <v>43031</v>
      </c>
      <c r="J567" s="35">
        <v>43396</v>
      </c>
      <c r="K567" s="24" t="s">
        <v>1829</v>
      </c>
      <c r="L567" s="140" t="s">
        <v>360</v>
      </c>
      <c r="M567" s="43" t="s">
        <v>229</v>
      </c>
      <c r="N567" s="61">
        <v>43367</v>
      </c>
      <c r="O567" s="77">
        <v>815176.78</v>
      </c>
      <c r="P567" s="76">
        <v>12397</v>
      </c>
      <c r="Q567" s="61">
        <v>43367</v>
      </c>
      <c r="R567" s="61">
        <v>43465</v>
      </c>
      <c r="S567" s="43" t="s">
        <v>1196</v>
      </c>
      <c r="T567" s="22"/>
      <c r="U567" s="25"/>
      <c r="V567" s="25"/>
      <c r="W567" s="33" t="s">
        <v>787</v>
      </c>
      <c r="X567" s="33"/>
      <c r="Y567" s="22"/>
      <c r="Z567" s="22"/>
      <c r="AA567" s="22"/>
      <c r="AB567" s="33"/>
      <c r="AC567" s="22"/>
      <c r="AD567" s="22"/>
      <c r="AE567" s="22"/>
      <c r="AF567" s="22"/>
      <c r="AG567" s="25"/>
      <c r="AH567" s="25"/>
      <c r="AI567" s="25"/>
      <c r="AJ567" s="25"/>
      <c r="AK567" s="25"/>
      <c r="AL567" s="74">
        <f t="shared" si="10"/>
        <v>815176.78</v>
      </c>
      <c r="AM567" s="25"/>
      <c r="AN567" s="25">
        <f>302010.58</f>
        <v>302010.58</v>
      </c>
      <c r="AO567" s="77">
        <f t="shared" si="7"/>
        <v>302010.58</v>
      </c>
      <c r="AP567" s="22"/>
      <c r="AQ567" s="22"/>
      <c r="AR567" s="22"/>
      <c r="AS567" s="22"/>
      <c r="AT567" s="22"/>
      <c r="AU567" s="26"/>
      <c r="AV567" s="26"/>
      <c r="AW567" s="26"/>
      <c r="AX567" s="26"/>
      <c r="AY567" s="26"/>
      <c r="AZ567" s="26"/>
      <c r="BA567" s="26"/>
      <c r="BB567" s="26"/>
      <c r="BC567" s="60"/>
      <c r="BD567" s="26"/>
      <c r="BE567" s="26"/>
      <c r="BF567" s="26"/>
      <c r="BG567" s="26"/>
      <c r="BH567" s="26"/>
      <c r="BI567" s="26"/>
      <c r="BJ567" s="26"/>
      <c r="BK567" s="26"/>
      <c r="BL567" s="26"/>
      <c r="BM567" s="26"/>
    </row>
    <row r="568" spans="1:65" ht="30" x14ac:dyDescent="0.25">
      <c r="A568" s="163">
        <v>326</v>
      </c>
      <c r="B568" s="155" t="s">
        <v>1760</v>
      </c>
      <c r="C568" s="22" t="s">
        <v>1245</v>
      </c>
      <c r="D568" s="81" t="s">
        <v>128</v>
      </c>
      <c r="E568" s="22" t="s">
        <v>124</v>
      </c>
      <c r="F568" s="33" t="s">
        <v>1761</v>
      </c>
      <c r="G568" s="33" t="s">
        <v>1773</v>
      </c>
      <c r="H568" s="23" t="s">
        <v>1212</v>
      </c>
      <c r="I568" s="35">
        <v>43332</v>
      </c>
      <c r="J568" s="35">
        <v>43697</v>
      </c>
      <c r="K568" s="24" t="s">
        <v>1836</v>
      </c>
      <c r="L568" s="140" t="s">
        <v>1771</v>
      </c>
      <c r="M568" s="43" t="s">
        <v>1772</v>
      </c>
      <c r="N568" s="61">
        <v>43374</v>
      </c>
      <c r="O568" s="77">
        <v>5750</v>
      </c>
      <c r="P568" s="76">
        <v>12408</v>
      </c>
      <c r="Q568" s="61">
        <v>43374</v>
      </c>
      <c r="R568" s="61">
        <v>43465</v>
      </c>
      <c r="S568" s="43" t="s">
        <v>1196</v>
      </c>
      <c r="T568" s="22"/>
      <c r="U568" s="25"/>
      <c r="V568" s="25"/>
      <c r="W568" s="33" t="s">
        <v>184</v>
      </c>
      <c r="X568" s="33"/>
      <c r="Y568" s="22"/>
      <c r="Z568" s="22"/>
      <c r="AA568" s="22"/>
      <c r="AB568" s="33"/>
      <c r="AC568" s="22"/>
      <c r="AD568" s="22"/>
      <c r="AE568" s="22"/>
      <c r="AF568" s="22"/>
      <c r="AG568" s="25"/>
      <c r="AH568" s="25"/>
      <c r="AI568" s="25"/>
      <c r="AJ568" s="25"/>
      <c r="AK568" s="25"/>
      <c r="AL568" s="74">
        <f t="shared" si="10"/>
        <v>5750</v>
      </c>
      <c r="AM568" s="25"/>
      <c r="AN568" s="25"/>
      <c r="AO568" s="77">
        <f t="shared" si="7"/>
        <v>0</v>
      </c>
      <c r="AP568" s="22"/>
      <c r="AQ568" s="22"/>
      <c r="AR568" s="22"/>
      <c r="AS568" s="22"/>
      <c r="AT568" s="22"/>
      <c r="AU568" s="26"/>
      <c r="AV568" s="26"/>
      <c r="AW568" s="26"/>
      <c r="AX568" s="26"/>
      <c r="AY568" s="26"/>
      <c r="AZ568" s="26"/>
      <c r="BA568" s="26"/>
      <c r="BB568" s="26"/>
      <c r="BC568" s="60"/>
      <c r="BD568" s="26"/>
      <c r="BE568" s="26"/>
      <c r="BF568" s="26"/>
      <c r="BG568" s="26"/>
      <c r="BH568" s="26"/>
      <c r="BI568" s="26"/>
      <c r="BJ568" s="26"/>
      <c r="BK568" s="26"/>
      <c r="BL568" s="26"/>
      <c r="BM568" s="26"/>
    </row>
    <row r="569" spans="1:65" ht="45" x14ac:dyDescent="0.25">
      <c r="A569" s="163">
        <v>327</v>
      </c>
      <c r="B569" s="155" t="s">
        <v>1720</v>
      </c>
      <c r="C569" s="22" t="s">
        <v>1199</v>
      </c>
      <c r="D569" s="81" t="s">
        <v>128</v>
      </c>
      <c r="E569" s="22" t="s">
        <v>124</v>
      </c>
      <c r="F569" s="33" t="s">
        <v>1721</v>
      </c>
      <c r="G569" s="33" t="s">
        <v>1722</v>
      </c>
      <c r="H569" s="23" t="s">
        <v>1200</v>
      </c>
      <c r="I569" s="35">
        <v>43243</v>
      </c>
      <c r="J569" s="35">
        <v>43608</v>
      </c>
      <c r="K569" s="24" t="s">
        <v>1837</v>
      </c>
      <c r="L569" s="140" t="s">
        <v>1756</v>
      </c>
      <c r="M569" s="43" t="s">
        <v>1757</v>
      </c>
      <c r="N569" s="61">
        <v>43374</v>
      </c>
      <c r="O569" s="77">
        <v>5600</v>
      </c>
      <c r="P569" s="76">
        <v>12404</v>
      </c>
      <c r="Q569" s="61">
        <v>43374</v>
      </c>
      <c r="R569" s="61">
        <v>43465</v>
      </c>
      <c r="S569" s="43" t="s">
        <v>1196</v>
      </c>
      <c r="T569" s="22"/>
      <c r="U569" s="25"/>
      <c r="V569" s="25"/>
      <c r="W569" s="33" t="s">
        <v>184</v>
      </c>
      <c r="X569" s="33"/>
      <c r="Y569" s="22"/>
      <c r="Z569" s="22"/>
      <c r="AA569" s="22"/>
      <c r="AB569" s="33"/>
      <c r="AC569" s="22"/>
      <c r="AD569" s="22"/>
      <c r="AE569" s="22"/>
      <c r="AF569" s="22"/>
      <c r="AG569" s="25"/>
      <c r="AH569" s="25"/>
      <c r="AI569" s="25"/>
      <c r="AJ569" s="25"/>
      <c r="AK569" s="25"/>
      <c r="AL569" s="74">
        <f t="shared" si="10"/>
        <v>5600</v>
      </c>
      <c r="AM569" s="25"/>
      <c r="AN569" s="25"/>
      <c r="AO569" s="77">
        <f t="shared" si="7"/>
        <v>0</v>
      </c>
      <c r="AP569" s="22"/>
      <c r="AQ569" s="22"/>
      <c r="AR569" s="22"/>
      <c r="AS569" s="22"/>
      <c r="AT569" s="22"/>
      <c r="AU569" s="26"/>
      <c r="AV569" s="26"/>
      <c r="AW569" s="26"/>
      <c r="AX569" s="26"/>
      <c r="AY569" s="26"/>
      <c r="AZ569" s="26"/>
      <c r="BA569" s="26"/>
      <c r="BB569" s="26"/>
      <c r="BC569" s="60"/>
      <c r="BD569" s="26"/>
      <c r="BE569" s="26"/>
      <c r="BF569" s="26"/>
      <c r="BG569" s="26"/>
      <c r="BH569" s="26"/>
      <c r="BI569" s="26"/>
      <c r="BJ569" s="26"/>
      <c r="BK569" s="26"/>
      <c r="BL569" s="26"/>
      <c r="BM569" s="26"/>
    </row>
    <row r="570" spans="1:65" ht="45" x14ac:dyDescent="0.25">
      <c r="A570" s="163">
        <v>328</v>
      </c>
      <c r="B570" s="155" t="s">
        <v>1236</v>
      </c>
      <c r="C570" s="22" t="s">
        <v>794</v>
      </c>
      <c r="D570" s="81" t="s">
        <v>128</v>
      </c>
      <c r="E570" s="22" t="s">
        <v>124</v>
      </c>
      <c r="F570" s="33" t="s">
        <v>1238</v>
      </c>
      <c r="G570" s="33" t="s">
        <v>1242</v>
      </c>
      <c r="H570" s="23" t="s">
        <v>785</v>
      </c>
      <c r="I570" s="35">
        <v>43077</v>
      </c>
      <c r="J570" s="35">
        <v>43442</v>
      </c>
      <c r="K570" s="24" t="s">
        <v>1838</v>
      </c>
      <c r="L570" s="140" t="s">
        <v>970</v>
      </c>
      <c r="M570" s="43" t="s">
        <v>971</v>
      </c>
      <c r="N570" s="61">
        <v>43374</v>
      </c>
      <c r="O570" s="77">
        <v>5500</v>
      </c>
      <c r="P570" s="76">
        <v>12404</v>
      </c>
      <c r="Q570" s="61">
        <v>43374</v>
      </c>
      <c r="R570" s="61">
        <v>43465</v>
      </c>
      <c r="S570" s="43" t="s">
        <v>243</v>
      </c>
      <c r="T570" s="22"/>
      <c r="U570" s="25"/>
      <c r="V570" s="25"/>
      <c r="W570" s="33" t="s">
        <v>787</v>
      </c>
      <c r="X570" s="33"/>
      <c r="Y570" s="22"/>
      <c r="Z570" s="22"/>
      <c r="AA570" s="22"/>
      <c r="AB570" s="33"/>
      <c r="AC570" s="22"/>
      <c r="AD570" s="22"/>
      <c r="AE570" s="22"/>
      <c r="AF570" s="22"/>
      <c r="AG570" s="25"/>
      <c r="AH570" s="25"/>
      <c r="AI570" s="25"/>
      <c r="AJ570" s="25"/>
      <c r="AK570" s="25"/>
      <c r="AL570" s="74">
        <f t="shared" si="10"/>
        <v>5500</v>
      </c>
      <c r="AM570" s="25"/>
      <c r="AN570" s="25"/>
      <c r="AO570" s="77">
        <f t="shared" si="7"/>
        <v>0</v>
      </c>
      <c r="AP570" s="22"/>
      <c r="AQ570" s="22"/>
      <c r="AR570" s="22"/>
      <c r="AS570" s="22"/>
      <c r="AT570" s="22"/>
      <c r="AU570" s="26"/>
      <c r="AV570" s="26"/>
      <c r="AW570" s="26"/>
      <c r="AX570" s="26"/>
      <c r="AY570" s="26"/>
      <c r="AZ570" s="26"/>
      <c r="BA570" s="26"/>
      <c r="BB570" s="26"/>
      <c r="BC570" s="60"/>
      <c r="BD570" s="26"/>
      <c r="BE570" s="26"/>
      <c r="BF570" s="26"/>
      <c r="BG570" s="26"/>
      <c r="BH570" s="26"/>
      <c r="BI570" s="26"/>
      <c r="BJ570" s="26"/>
      <c r="BK570" s="26"/>
      <c r="BL570" s="26"/>
      <c r="BM570" s="26"/>
    </row>
    <row r="571" spans="1:65" ht="45" x14ac:dyDescent="0.25">
      <c r="A571" s="163">
        <v>329</v>
      </c>
      <c r="B571" s="155" t="s">
        <v>1236</v>
      </c>
      <c r="C571" s="22" t="s">
        <v>794</v>
      </c>
      <c r="D571" s="81" t="s">
        <v>128</v>
      </c>
      <c r="E571" s="22" t="s">
        <v>124</v>
      </c>
      <c r="F571" s="33" t="s">
        <v>1238</v>
      </c>
      <c r="G571" s="33" t="s">
        <v>1242</v>
      </c>
      <c r="H571" s="23" t="s">
        <v>785</v>
      </c>
      <c r="I571" s="35">
        <v>43077</v>
      </c>
      <c r="J571" s="35">
        <v>43442</v>
      </c>
      <c r="K571" s="24" t="s">
        <v>1839</v>
      </c>
      <c r="L571" s="140" t="s">
        <v>1240</v>
      </c>
      <c r="M571" s="43" t="s">
        <v>1840</v>
      </c>
      <c r="N571" s="61">
        <v>43374</v>
      </c>
      <c r="O571" s="77">
        <v>5170</v>
      </c>
      <c r="P571" s="76">
        <v>12405</v>
      </c>
      <c r="Q571" s="61">
        <v>43374</v>
      </c>
      <c r="R571" s="61">
        <v>43465</v>
      </c>
      <c r="S571" s="43" t="s">
        <v>243</v>
      </c>
      <c r="T571" s="22"/>
      <c r="U571" s="25"/>
      <c r="V571" s="25"/>
      <c r="W571" s="33" t="s">
        <v>787</v>
      </c>
      <c r="X571" s="33"/>
      <c r="Y571" s="22"/>
      <c r="Z571" s="22"/>
      <c r="AA571" s="22"/>
      <c r="AB571" s="33"/>
      <c r="AC571" s="22"/>
      <c r="AD571" s="22"/>
      <c r="AE571" s="22"/>
      <c r="AF571" s="22"/>
      <c r="AG571" s="25"/>
      <c r="AH571" s="25"/>
      <c r="AI571" s="25"/>
      <c r="AJ571" s="25"/>
      <c r="AK571" s="25"/>
      <c r="AL571" s="74">
        <f t="shared" si="10"/>
        <v>5170</v>
      </c>
      <c r="AM571" s="25"/>
      <c r="AN571" s="25"/>
      <c r="AO571" s="77">
        <f t="shared" si="7"/>
        <v>0</v>
      </c>
      <c r="AP571" s="22"/>
      <c r="AQ571" s="22"/>
      <c r="AR571" s="22"/>
      <c r="AS571" s="22"/>
      <c r="AT571" s="22"/>
      <c r="AU571" s="26"/>
      <c r="AV571" s="26"/>
      <c r="AW571" s="26"/>
      <c r="AX571" s="26"/>
      <c r="AY571" s="26"/>
      <c r="AZ571" s="26"/>
      <c r="BA571" s="26"/>
      <c r="BB571" s="26"/>
      <c r="BC571" s="60"/>
      <c r="BD571" s="26"/>
      <c r="BE571" s="26"/>
      <c r="BF571" s="26"/>
      <c r="BG571" s="26"/>
      <c r="BH571" s="26"/>
      <c r="BI571" s="26"/>
      <c r="BJ571" s="26"/>
      <c r="BK571" s="26"/>
      <c r="BL571" s="26"/>
      <c r="BM571" s="26"/>
    </row>
    <row r="572" spans="1:65" ht="45" x14ac:dyDescent="0.25">
      <c r="A572" s="163">
        <v>330</v>
      </c>
      <c r="B572" s="155" t="s">
        <v>1842</v>
      </c>
      <c r="C572" s="22" t="s">
        <v>1343</v>
      </c>
      <c r="D572" s="81" t="s">
        <v>128</v>
      </c>
      <c r="E572" s="22" t="s">
        <v>124</v>
      </c>
      <c r="F572" s="33" t="s">
        <v>1843</v>
      </c>
      <c r="G572" s="33" t="s">
        <v>1844</v>
      </c>
      <c r="H572" s="23" t="s">
        <v>1208</v>
      </c>
      <c r="I572" s="35">
        <v>43319</v>
      </c>
      <c r="J572" s="35">
        <v>43684</v>
      </c>
      <c r="K572" s="24" t="s">
        <v>1841</v>
      </c>
      <c r="L572" s="140" t="s">
        <v>970</v>
      </c>
      <c r="M572" s="43" t="s">
        <v>971</v>
      </c>
      <c r="N572" s="61">
        <v>43374</v>
      </c>
      <c r="O572" s="77">
        <v>6863.4</v>
      </c>
      <c r="P572" s="76">
        <v>12405</v>
      </c>
      <c r="Q572" s="61">
        <v>43374</v>
      </c>
      <c r="R572" s="61">
        <v>43465</v>
      </c>
      <c r="S572" s="43" t="s">
        <v>1196</v>
      </c>
      <c r="T572" s="22"/>
      <c r="U572" s="25"/>
      <c r="V572" s="25"/>
      <c r="W572" s="33" t="s">
        <v>787</v>
      </c>
      <c r="X572" s="33"/>
      <c r="Y572" s="22"/>
      <c r="Z572" s="22"/>
      <c r="AA572" s="22"/>
      <c r="AB572" s="33"/>
      <c r="AC572" s="22"/>
      <c r="AD572" s="22"/>
      <c r="AE572" s="22"/>
      <c r="AF572" s="22"/>
      <c r="AG572" s="25"/>
      <c r="AH572" s="25"/>
      <c r="AI572" s="25"/>
      <c r="AJ572" s="25"/>
      <c r="AK572" s="25"/>
      <c r="AL572" s="74">
        <f t="shared" si="10"/>
        <v>6863.4</v>
      </c>
      <c r="AM572" s="25"/>
      <c r="AN572" s="25"/>
      <c r="AO572" s="77">
        <f t="shared" si="7"/>
        <v>0</v>
      </c>
      <c r="AP572" s="22"/>
      <c r="AQ572" s="22"/>
      <c r="AR572" s="22"/>
      <c r="AS572" s="22"/>
      <c r="AT572" s="22"/>
      <c r="AU572" s="26"/>
      <c r="AV572" s="26"/>
      <c r="AW572" s="26"/>
      <c r="AX572" s="26"/>
      <c r="AY572" s="26"/>
      <c r="AZ572" s="26"/>
      <c r="BA572" s="26"/>
      <c r="BB572" s="26"/>
      <c r="BC572" s="60"/>
      <c r="BD572" s="26"/>
      <c r="BE572" s="26"/>
      <c r="BF572" s="26"/>
      <c r="BG572" s="26"/>
      <c r="BH572" s="26"/>
      <c r="BI572" s="26"/>
      <c r="BJ572" s="26"/>
      <c r="BK572" s="26"/>
      <c r="BL572" s="26"/>
      <c r="BM572" s="26"/>
    </row>
    <row r="573" spans="1:65" ht="45" x14ac:dyDescent="0.25">
      <c r="A573" s="163">
        <v>331</v>
      </c>
      <c r="B573" s="155" t="s">
        <v>1842</v>
      </c>
      <c r="C573" s="22" t="s">
        <v>1343</v>
      </c>
      <c r="D573" s="81" t="s">
        <v>128</v>
      </c>
      <c r="E573" s="22" t="s">
        <v>124</v>
      </c>
      <c r="F573" s="33" t="s">
        <v>1843</v>
      </c>
      <c r="G573" s="33" t="s">
        <v>1844</v>
      </c>
      <c r="H573" s="23" t="s">
        <v>1208</v>
      </c>
      <c r="I573" s="35">
        <v>43319</v>
      </c>
      <c r="J573" s="35">
        <v>43684</v>
      </c>
      <c r="K573" s="24" t="s">
        <v>1845</v>
      </c>
      <c r="L573" s="140" t="s">
        <v>1846</v>
      </c>
      <c r="M573" s="43" t="s">
        <v>1847</v>
      </c>
      <c r="N573" s="61">
        <v>43374</v>
      </c>
      <c r="O573" s="77">
        <v>12859</v>
      </c>
      <c r="P573" s="76">
        <v>12405</v>
      </c>
      <c r="Q573" s="61">
        <v>43374</v>
      </c>
      <c r="R573" s="61">
        <v>43465</v>
      </c>
      <c r="S573" s="43" t="s">
        <v>1196</v>
      </c>
      <c r="T573" s="22"/>
      <c r="U573" s="25"/>
      <c r="V573" s="25"/>
      <c r="W573" s="33" t="s">
        <v>787</v>
      </c>
      <c r="X573" s="33"/>
      <c r="Y573" s="22"/>
      <c r="Z573" s="22"/>
      <c r="AA573" s="22"/>
      <c r="AB573" s="33"/>
      <c r="AC573" s="22"/>
      <c r="AD573" s="22"/>
      <c r="AE573" s="22"/>
      <c r="AF573" s="22"/>
      <c r="AG573" s="25"/>
      <c r="AH573" s="25"/>
      <c r="AI573" s="25"/>
      <c r="AJ573" s="25"/>
      <c r="AK573" s="25"/>
      <c r="AL573" s="74">
        <f t="shared" si="10"/>
        <v>12859</v>
      </c>
      <c r="AM573" s="25"/>
      <c r="AN573" s="25"/>
      <c r="AO573" s="77">
        <f t="shared" si="7"/>
        <v>0</v>
      </c>
      <c r="AP573" s="22"/>
      <c r="AQ573" s="22"/>
      <c r="AR573" s="22"/>
      <c r="AS573" s="22"/>
      <c r="AT573" s="22"/>
      <c r="AU573" s="26"/>
      <c r="AV573" s="26"/>
      <c r="AW573" s="26"/>
      <c r="AX573" s="26"/>
      <c r="AY573" s="26"/>
      <c r="AZ573" s="26"/>
      <c r="BA573" s="26"/>
      <c r="BB573" s="26"/>
      <c r="BC573" s="60"/>
      <c r="BD573" s="26"/>
      <c r="BE573" s="26"/>
      <c r="BF573" s="26"/>
      <c r="BG573" s="26"/>
      <c r="BH573" s="26"/>
      <c r="BI573" s="26"/>
      <c r="BJ573" s="26"/>
      <c r="BK573" s="26"/>
      <c r="BL573" s="26"/>
      <c r="BM573" s="26"/>
    </row>
    <row r="574" spans="1:65" ht="30" x14ac:dyDescent="0.25">
      <c r="A574" s="163">
        <v>332</v>
      </c>
      <c r="B574" s="155" t="s">
        <v>1849</v>
      </c>
      <c r="C574" s="22" t="s">
        <v>1339</v>
      </c>
      <c r="D574" s="81" t="s">
        <v>128</v>
      </c>
      <c r="E574" s="22" t="s">
        <v>124</v>
      </c>
      <c r="F574" s="33" t="s">
        <v>1850</v>
      </c>
      <c r="G574" s="33" t="s">
        <v>1851</v>
      </c>
      <c r="H574" s="23" t="s">
        <v>1234</v>
      </c>
      <c r="I574" s="35">
        <v>43371</v>
      </c>
      <c r="J574" s="35">
        <v>43736</v>
      </c>
      <c r="K574" s="24" t="s">
        <v>1848</v>
      </c>
      <c r="L574" s="140" t="s">
        <v>223</v>
      </c>
      <c r="M574" s="43" t="s">
        <v>224</v>
      </c>
      <c r="N574" s="61">
        <v>43376</v>
      </c>
      <c r="O574" s="77">
        <v>105190</v>
      </c>
      <c r="P574" s="76">
        <v>12402</v>
      </c>
      <c r="Q574" s="61">
        <v>43376</v>
      </c>
      <c r="R574" s="61">
        <v>43465</v>
      </c>
      <c r="S574" s="43" t="s">
        <v>243</v>
      </c>
      <c r="T574" s="22"/>
      <c r="U574" s="25"/>
      <c r="V574" s="25"/>
      <c r="W574" s="33" t="s">
        <v>184</v>
      </c>
      <c r="X574" s="33"/>
      <c r="Y574" s="22"/>
      <c r="Z574" s="22"/>
      <c r="AA574" s="22"/>
      <c r="AB574" s="33"/>
      <c r="AC574" s="22"/>
      <c r="AD574" s="22"/>
      <c r="AE574" s="22"/>
      <c r="AF574" s="22"/>
      <c r="AG574" s="25"/>
      <c r="AH574" s="25"/>
      <c r="AI574" s="25"/>
      <c r="AJ574" s="25"/>
      <c r="AK574" s="25"/>
      <c r="AL574" s="74">
        <f t="shared" si="10"/>
        <v>105190</v>
      </c>
      <c r="AM574" s="25"/>
      <c r="AN574" s="25">
        <v>105190</v>
      </c>
      <c r="AO574" s="77">
        <f t="shared" si="7"/>
        <v>105190</v>
      </c>
      <c r="AP574" s="22"/>
      <c r="AQ574" s="22"/>
      <c r="AR574" s="22"/>
      <c r="AS574" s="22"/>
      <c r="AT574" s="22"/>
      <c r="AU574" s="26"/>
      <c r="AV574" s="26"/>
      <c r="AW574" s="26"/>
      <c r="AX574" s="26"/>
      <c r="AY574" s="26"/>
      <c r="AZ574" s="26"/>
      <c r="BA574" s="26"/>
      <c r="BB574" s="26"/>
      <c r="BC574" s="60"/>
      <c r="BD574" s="26"/>
      <c r="BE574" s="26"/>
      <c r="BF574" s="26"/>
      <c r="BG574" s="26"/>
      <c r="BH574" s="26"/>
      <c r="BI574" s="26"/>
      <c r="BJ574" s="26"/>
      <c r="BK574" s="26"/>
      <c r="BL574" s="26"/>
      <c r="BM574" s="26"/>
    </row>
    <row r="575" spans="1:65" ht="90" x14ac:dyDescent="0.25">
      <c r="A575" s="163">
        <v>333</v>
      </c>
      <c r="B575" s="155" t="s">
        <v>1855</v>
      </c>
      <c r="C575" s="22" t="s">
        <v>1366</v>
      </c>
      <c r="D575" s="81" t="s">
        <v>128</v>
      </c>
      <c r="E575" s="22" t="s">
        <v>124</v>
      </c>
      <c r="F575" s="33" t="s">
        <v>1857</v>
      </c>
      <c r="G575" s="33" t="s">
        <v>1861</v>
      </c>
      <c r="H575" s="23" t="s">
        <v>1235</v>
      </c>
      <c r="I575" s="35">
        <v>43377</v>
      </c>
      <c r="J575" s="35">
        <v>43742</v>
      </c>
      <c r="K575" s="24" t="s">
        <v>1856</v>
      </c>
      <c r="L575" s="140" t="s">
        <v>1858</v>
      </c>
      <c r="M575" s="43" t="s">
        <v>1859</v>
      </c>
      <c r="N575" s="61">
        <v>43389</v>
      </c>
      <c r="O575" s="77">
        <v>318522.3</v>
      </c>
      <c r="P575" s="76">
        <v>12410</v>
      </c>
      <c r="Q575" s="61">
        <v>43389</v>
      </c>
      <c r="R575" s="61">
        <v>43465</v>
      </c>
      <c r="S575" s="43" t="s">
        <v>1860</v>
      </c>
      <c r="T575" s="22"/>
      <c r="U575" s="25"/>
      <c r="V575" s="25"/>
      <c r="W575" s="33" t="s">
        <v>1130</v>
      </c>
      <c r="X575" s="33"/>
      <c r="Y575" s="22"/>
      <c r="Z575" s="22"/>
      <c r="AA575" s="22"/>
      <c r="AB575" s="33"/>
      <c r="AC575" s="22"/>
      <c r="AD575" s="22"/>
      <c r="AE575" s="22"/>
      <c r="AF575" s="22"/>
      <c r="AG575" s="25"/>
      <c r="AH575" s="25"/>
      <c r="AI575" s="25"/>
      <c r="AJ575" s="25"/>
      <c r="AK575" s="25"/>
      <c r="AL575" s="74">
        <f t="shared" si="10"/>
        <v>318522.3</v>
      </c>
      <c r="AM575" s="25"/>
      <c r="AN575" s="25"/>
      <c r="AO575" s="77">
        <f t="shared" si="7"/>
        <v>0</v>
      </c>
      <c r="AP575" s="22"/>
      <c r="AQ575" s="22"/>
      <c r="AR575" s="22"/>
      <c r="AS575" s="22"/>
      <c r="AT575" s="22"/>
      <c r="AU575" s="26"/>
      <c r="AV575" s="26"/>
      <c r="AW575" s="26"/>
      <c r="AX575" s="26"/>
      <c r="AY575" s="26"/>
      <c r="AZ575" s="26"/>
      <c r="BA575" s="26"/>
      <c r="BB575" s="26"/>
      <c r="BC575" s="60"/>
      <c r="BD575" s="26"/>
      <c r="BE575" s="26"/>
      <c r="BF575" s="26"/>
      <c r="BG575" s="26"/>
      <c r="BH575" s="26"/>
      <c r="BI575" s="26"/>
      <c r="BJ575" s="26"/>
      <c r="BK575" s="26"/>
      <c r="BL575" s="26"/>
      <c r="BM575" s="26"/>
    </row>
    <row r="576" spans="1:65" ht="60" x14ac:dyDescent="0.25">
      <c r="A576" s="163">
        <v>334</v>
      </c>
      <c r="B576" s="155" t="s">
        <v>1073</v>
      </c>
      <c r="C576" s="22" t="s">
        <v>772</v>
      </c>
      <c r="D576" s="81" t="s">
        <v>128</v>
      </c>
      <c r="E576" s="22" t="s">
        <v>124</v>
      </c>
      <c r="F576" s="33" t="s">
        <v>221</v>
      </c>
      <c r="G576" s="33" t="s">
        <v>1093</v>
      </c>
      <c r="H576" s="23" t="s">
        <v>765</v>
      </c>
      <c r="I576" s="35">
        <v>43014</v>
      </c>
      <c r="J576" s="35">
        <v>43379</v>
      </c>
      <c r="K576" s="24" t="s">
        <v>1866</v>
      </c>
      <c r="L576" s="140" t="s">
        <v>375</v>
      </c>
      <c r="M576" s="43" t="s">
        <v>299</v>
      </c>
      <c r="N576" s="61">
        <v>43378</v>
      </c>
      <c r="O576" s="77">
        <v>21989</v>
      </c>
      <c r="P576" s="76">
        <v>12417</v>
      </c>
      <c r="Q576" s="61">
        <v>43378</v>
      </c>
      <c r="R576" s="61">
        <v>43465</v>
      </c>
      <c r="S576" s="43" t="s">
        <v>1195</v>
      </c>
      <c r="T576" s="22"/>
      <c r="U576" s="25"/>
      <c r="V576" s="25"/>
      <c r="W576" s="33" t="s">
        <v>292</v>
      </c>
      <c r="X576" s="33"/>
      <c r="Y576" s="22"/>
      <c r="Z576" s="22"/>
      <c r="AA576" s="22"/>
      <c r="AB576" s="33"/>
      <c r="AC576" s="22"/>
      <c r="AD576" s="22"/>
      <c r="AE576" s="22"/>
      <c r="AF576" s="22"/>
      <c r="AG576" s="25"/>
      <c r="AH576" s="25"/>
      <c r="AI576" s="25"/>
      <c r="AJ576" s="25"/>
      <c r="AK576" s="25"/>
      <c r="AL576" s="74">
        <f t="shared" si="10"/>
        <v>21989</v>
      </c>
      <c r="AM576" s="25"/>
      <c r="AN576" s="25"/>
      <c r="AO576" s="77">
        <f t="shared" si="7"/>
        <v>0</v>
      </c>
      <c r="AP576" s="22"/>
      <c r="AQ576" s="22"/>
      <c r="AR576" s="22"/>
      <c r="AS576" s="22"/>
      <c r="AT576" s="22"/>
      <c r="AU576" s="26"/>
      <c r="AV576" s="26"/>
      <c r="AW576" s="26"/>
      <c r="AX576" s="26"/>
      <c r="AY576" s="26"/>
      <c r="AZ576" s="26"/>
      <c r="BA576" s="26"/>
      <c r="BB576" s="26"/>
      <c r="BC576" s="60"/>
      <c r="BD576" s="26"/>
      <c r="BE576" s="26"/>
      <c r="BF576" s="26"/>
      <c r="BG576" s="26"/>
      <c r="BH576" s="26"/>
      <c r="BI576" s="26"/>
      <c r="BJ576" s="26"/>
      <c r="BK576" s="26"/>
      <c r="BL576" s="26"/>
      <c r="BM576" s="26"/>
    </row>
    <row r="577" spans="1:65" ht="60" x14ac:dyDescent="0.25">
      <c r="A577" s="163">
        <v>335</v>
      </c>
      <c r="B577" s="155" t="s">
        <v>1073</v>
      </c>
      <c r="C577" s="22" t="s">
        <v>772</v>
      </c>
      <c r="D577" s="81" t="s">
        <v>128</v>
      </c>
      <c r="E577" s="22" t="s">
        <v>124</v>
      </c>
      <c r="F577" s="33" t="s">
        <v>221</v>
      </c>
      <c r="G577" s="33" t="s">
        <v>1093</v>
      </c>
      <c r="H577" s="23" t="s">
        <v>765</v>
      </c>
      <c r="I577" s="35">
        <v>43014</v>
      </c>
      <c r="J577" s="35">
        <v>43379</v>
      </c>
      <c r="K577" s="24" t="s">
        <v>1867</v>
      </c>
      <c r="L577" s="140" t="s">
        <v>377</v>
      </c>
      <c r="M577" s="43" t="s">
        <v>378</v>
      </c>
      <c r="N577" s="61">
        <v>43378</v>
      </c>
      <c r="O577" s="77">
        <v>18500</v>
      </c>
      <c r="P577" s="76">
        <v>12417</v>
      </c>
      <c r="Q577" s="61">
        <v>43378</v>
      </c>
      <c r="R577" s="61">
        <v>43465</v>
      </c>
      <c r="S577" s="43" t="s">
        <v>1195</v>
      </c>
      <c r="T577" s="22"/>
      <c r="U577" s="25"/>
      <c r="V577" s="25"/>
      <c r="W577" s="33" t="s">
        <v>292</v>
      </c>
      <c r="X577" s="33"/>
      <c r="Y577" s="22"/>
      <c r="Z577" s="22"/>
      <c r="AA577" s="22"/>
      <c r="AB577" s="33"/>
      <c r="AC577" s="22"/>
      <c r="AD577" s="22"/>
      <c r="AE577" s="22"/>
      <c r="AF577" s="22"/>
      <c r="AG577" s="25"/>
      <c r="AH577" s="25"/>
      <c r="AI577" s="25"/>
      <c r="AJ577" s="25"/>
      <c r="AK577" s="25"/>
      <c r="AL577" s="74">
        <f t="shared" si="10"/>
        <v>18500</v>
      </c>
      <c r="AM577" s="25"/>
      <c r="AN577" s="25"/>
      <c r="AO577" s="77">
        <f t="shared" si="7"/>
        <v>0</v>
      </c>
      <c r="AP577" s="22"/>
      <c r="AQ577" s="22"/>
      <c r="AR577" s="22"/>
      <c r="AS577" s="22"/>
      <c r="AT577" s="22"/>
      <c r="AU577" s="26"/>
      <c r="AV577" s="26"/>
      <c r="AW577" s="26"/>
      <c r="AX577" s="26"/>
      <c r="AY577" s="26"/>
      <c r="AZ577" s="26"/>
      <c r="BA577" s="26"/>
      <c r="BB577" s="26"/>
      <c r="BC577" s="60"/>
      <c r="BD577" s="26"/>
      <c r="BE577" s="26"/>
      <c r="BF577" s="26"/>
      <c r="BG577" s="26"/>
      <c r="BH577" s="26"/>
      <c r="BI577" s="26"/>
      <c r="BJ577" s="26"/>
      <c r="BK577" s="26"/>
      <c r="BL577" s="26"/>
      <c r="BM577" s="26"/>
    </row>
    <row r="578" spans="1:65" ht="45" x14ac:dyDescent="0.25">
      <c r="A578" s="163">
        <v>336</v>
      </c>
      <c r="B578" s="155" t="s">
        <v>1622</v>
      </c>
      <c r="C578" s="22" t="s">
        <v>1205</v>
      </c>
      <c r="D578" s="81" t="s">
        <v>128</v>
      </c>
      <c r="E578" s="22" t="s">
        <v>124</v>
      </c>
      <c r="F578" s="33" t="s">
        <v>1880</v>
      </c>
      <c r="G578" s="33" t="s">
        <v>1633</v>
      </c>
      <c r="H578" s="23" t="s">
        <v>1203</v>
      </c>
      <c r="I578" s="35">
        <v>43270</v>
      </c>
      <c r="J578" s="35">
        <v>43635</v>
      </c>
      <c r="K578" s="24" t="s">
        <v>1879</v>
      </c>
      <c r="L578" s="140" t="s">
        <v>1627</v>
      </c>
      <c r="M578" s="43" t="s">
        <v>1628</v>
      </c>
      <c r="N578" s="61">
        <v>43397</v>
      </c>
      <c r="O578" s="77">
        <v>25800</v>
      </c>
      <c r="P578" s="76">
        <v>12420</v>
      </c>
      <c r="Q578" s="61">
        <v>43397</v>
      </c>
      <c r="R578" s="61">
        <v>43465</v>
      </c>
      <c r="S578" s="43" t="s">
        <v>1804</v>
      </c>
      <c r="T578" s="22"/>
      <c r="U578" s="25"/>
      <c r="V578" s="25"/>
      <c r="W578" s="33" t="s">
        <v>787</v>
      </c>
      <c r="X578" s="33"/>
      <c r="Y578" s="22"/>
      <c r="Z578" s="22"/>
      <c r="AA578" s="22"/>
      <c r="AB578" s="33"/>
      <c r="AC578" s="22"/>
      <c r="AD578" s="22"/>
      <c r="AE578" s="22"/>
      <c r="AF578" s="22"/>
      <c r="AG578" s="25"/>
      <c r="AH578" s="25"/>
      <c r="AI578" s="25"/>
      <c r="AJ578" s="25"/>
      <c r="AK578" s="25"/>
      <c r="AL578" s="74">
        <f t="shared" si="10"/>
        <v>25800</v>
      </c>
      <c r="AM578" s="25"/>
      <c r="AN578" s="25"/>
      <c r="AO578" s="77">
        <f t="shared" si="7"/>
        <v>0</v>
      </c>
      <c r="AP578" s="22"/>
      <c r="AQ578" s="22"/>
      <c r="AR578" s="22"/>
      <c r="AS578" s="22"/>
      <c r="AT578" s="22"/>
      <c r="AU578" s="26"/>
      <c r="AV578" s="26"/>
      <c r="AW578" s="26"/>
      <c r="AX578" s="26"/>
      <c r="AY578" s="26"/>
      <c r="AZ578" s="26"/>
      <c r="BA578" s="26"/>
      <c r="BB578" s="26"/>
      <c r="BC578" s="60"/>
      <c r="BD578" s="26"/>
      <c r="BE578" s="26"/>
      <c r="BF578" s="26"/>
      <c r="BG578" s="26"/>
      <c r="BH578" s="26"/>
      <c r="BI578" s="26"/>
      <c r="BJ578" s="26"/>
      <c r="BK578" s="26"/>
      <c r="BL578" s="26"/>
      <c r="BM578" s="26"/>
    </row>
    <row r="579" spans="1:65" ht="45" x14ac:dyDescent="0.25">
      <c r="A579" s="163">
        <v>337</v>
      </c>
      <c r="B579" s="155" t="s">
        <v>1622</v>
      </c>
      <c r="C579" s="22" t="s">
        <v>1205</v>
      </c>
      <c r="D579" s="81" t="s">
        <v>128</v>
      </c>
      <c r="E579" s="22" t="s">
        <v>124</v>
      </c>
      <c r="F579" s="33" t="s">
        <v>1880</v>
      </c>
      <c r="G579" s="33" t="s">
        <v>1633</v>
      </c>
      <c r="H579" s="23" t="s">
        <v>1203</v>
      </c>
      <c r="I579" s="35">
        <v>43270</v>
      </c>
      <c r="J579" s="35">
        <v>43635</v>
      </c>
      <c r="K579" s="24" t="s">
        <v>1881</v>
      </c>
      <c r="L579" s="140" t="s">
        <v>360</v>
      </c>
      <c r="M579" s="43" t="s">
        <v>229</v>
      </c>
      <c r="N579" s="61">
        <v>43397</v>
      </c>
      <c r="O579" s="77">
        <v>5180</v>
      </c>
      <c r="P579" s="76">
        <v>12420</v>
      </c>
      <c r="Q579" s="61">
        <v>43397</v>
      </c>
      <c r="R579" s="61">
        <v>43465</v>
      </c>
      <c r="S579" s="43" t="s">
        <v>1804</v>
      </c>
      <c r="T579" s="22"/>
      <c r="U579" s="25"/>
      <c r="V579" s="25"/>
      <c r="W579" s="33" t="s">
        <v>787</v>
      </c>
      <c r="X579" s="33"/>
      <c r="Y579" s="22"/>
      <c r="Z579" s="22"/>
      <c r="AA579" s="22"/>
      <c r="AB579" s="33"/>
      <c r="AC579" s="22"/>
      <c r="AD579" s="22"/>
      <c r="AE579" s="22"/>
      <c r="AF579" s="22"/>
      <c r="AG579" s="25"/>
      <c r="AH579" s="25"/>
      <c r="AI579" s="25"/>
      <c r="AJ579" s="25"/>
      <c r="AK579" s="25"/>
      <c r="AL579" s="74">
        <f t="shared" si="10"/>
        <v>5180</v>
      </c>
      <c r="AM579" s="25"/>
      <c r="AN579" s="25"/>
      <c r="AO579" s="77">
        <f t="shared" si="7"/>
        <v>0</v>
      </c>
      <c r="AP579" s="22"/>
      <c r="AQ579" s="22"/>
      <c r="AR579" s="22"/>
      <c r="AS579" s="22"/>
      <c r="AT579" s="22"/>
      <c r="AU579" s="26"/>
      <c r="AV579" s="26"/>
      <c r="AW579" s="26"/>
      <c r="AX579" s="26"/>
      <c r="AY579" s="26"/>
      <c r="AZ579" s="26"/>
      <c r="BA579" s="26"/>
      <c r="BB579" s="26"/>
      <c r="BC579" s="60"/>
      <c r="BD579" s="26"/>
      <c r="BE579" s="26"/>
      <c r="BF579" s="26"/>
      <c r="BG579" s="26"/>
      <c r="BH579" s="26"/>
      <c r="BI579" s="26"/>
      <c r="BJ579" s="26"/>
      <c r="BK579" s="26"/>
      <c r="BL579" s="26"/>
      <c r="BM579" s="26"/>
    </row>
    <row r="580" spans="1:65" ht="45" x14ac:dyDescent="0.25">
      <c r="A580" s="163">
        <v>338</v>
      </c>
      <c r="B580" s="155" t="s">
        <v>1622</v>
      </c>
      <c r="C580" s="22" t="s">
        <v>1205</v>
      </c>
      <c r="D580" s="81" t="s">
        <v>128</v>
      </c>
      <c r="E580" s="22" t="s">
        <v>124</v>
      </c>
      <c r="F580" s="33" t="s">
        <v>1880</v>
      </c>
      <c r="G580" s="33" t="s">
        <v>1633</v>
      </c>
      <c r="H580" s="23" t="s">
        <v>1203</v>
      </c>
      <c r="I580" s="35">
        <v>43270</v>
      </c>
      <c r="J580" s="35">
        <v>43635</v>
      </c>
      <c r="K580" s="24" t="s">
        <v>1882</v>
      </c>
      <c r="L580" s="140" t="s">
        <v>238</v>
      </c>
      <c r="M580" s="43" t="s">
        <v>239</v>
      </c>
      <c r="N580" s="61">
        <v>43397</v>
      </c>
      <c r="O580" s="77">
        <v>116085</v>
      </c>
      <c r="P580" s="76">
        <v>12420</v>
      </c>
      <c r="Q580" s="61">
        <v>43397</v>
      </c>
      <c r="R580" s="61">
        <v>43465</v>
      </c>
      <c r="S580" s="43" t="s">
        <v>1804</v>
      </c>
      <c r="T580" s="22"/>
      <c r="U580" s="25"/>
      <c r="V580" s="25"/>
      <c r="W580" s="33" t="s">
        <v>787</v>
      </c>
      <c r="X580" s="33"/>
      <c r="Y580" s="22"/>
      <c r="Z580" s="22"/>
      <c r="AA580" s="22"/>
      <c r="AB580" s="33"/>
      <c r="AC580" s="22"/>
      <c r="AD580" s="22"/>
      <c r="AE580" s="22"/>
      <c r="AF580" s="22"/>
      <c r="AG580" s="25"/>
      <c r="AH580" s="25"/>
      <c r="AI580" s="25"/>
      <c r="AJ580" s="25"/>
      <c r="AK580" s="25"/>
      <c r="AL580" s="74">
        <f t="shared" si="10"/>
        <v>116085</v>
      </c>
      <c r="AM580" s="25"/>
      <c r="AN580" s="25"/>
      <c r="AO580" s="77">
        <f t="shared" si="7"/>
        <v>0</v>
      </c>
      <c r="AP580" s="22"/>
      <c r="AQ580" s="22"/>
      <c r="AR580" s="22"/>
      <c r="AS580" s="22"/>
      <c r="AT580" s="22"/>
      <c r="AU580" s="26"/>
      <c r="AV580" s="26"/>
      <c r="AW580" s="26"/>
      <c r="AX580" s="26"/>
      <c r="AY580" s="26"/>
      <c r="AZ580" s="26"/>
      <c r="BA580" s="26"/>
      <c r="BB580" s="26"/>
      <c r="BC580" s="60"/>
      <c r="BD580" s="26"/>
      <c r="BE580" s="26"/>
      <c r="BF580" s="26"/>
      <c r="BG580" s="26"/>
      <c r="BH580" s="26"/>
      <c r="BI580" s="26"/>
      <c r="BJ580" s="26"/>
      <c r="BK580" s="26"/>
      <c r="BL580" s="26"/>
      <c r="BM580" s="26"/>
    </row>
    <row r="581" spans="1:65" ht="45" x14ac:dyDescent="0.25">
      <c r="A581" s="163">
        <v>339</v>
      </c>
      <c r="B581" s="155" t="s">
        <v>1622</v>
      </c>
      <c r="C581" s="22" t="s">
        <v>1205</v>
      </c>
      <c r="D581" s="81" t="s">
        <v>128</v>
      </c>
      <c r="E581" s="22" t="s">
        <v>124</v>
      </c>
      <c r="F581" s="33" t="s">
        <v>1880</v>
      </c>
      <c r="G581" s="33" t="s">
        <v>1633</v>
      </c>
      <c r="H581" s="23" t="s">
        <v>1203</v>
      </c>
      <c r="I581" s="35">
        <v>43270</v>
      </c>
      <c r="J581" s="35">
        <v>43635</v>
      </c>
      <c r="K581" s="24" t="s">
        <v>1883</v>
      </c>
      <c r="L581" s="140" t="s">
        <v>645</v>
      </c>
      <c r="M581" s="43" t="s">
        <v>646</v>
      </c>
      <c r="N581" s="61">
        <v>43397</v>
      </c>
      <c r="O581" s="77">
        <v>9000</v>
      </c>
      <c r="P581" s="76">
        <v>12420</v>
      </c>
      <c r="Q581" s="61">
        <v>43397</v>
      </c>
      <c r="R581" s="61">
        <v>43465</v>
      </c>
      <c r="S581" s="43" t="s">
        <v>1804</v>
      </c>
      <c r="T581" s="22"/>
      <c r="U581" s="25"/>
      <c r="V581" s="25"/>
      <c r="W581" s="33" t="s">
        <v>787</v>
      </c>
      <c r="X581" s="33"/>
      <c r="Y581" s="22"/>
      <c r="Z581" s="22"/>
      <c r="AA581" s="22"/>
      <c r="AB581" s="33"/>
      <c r="AC581" s="22"/>
      <c r="AD581" s="22"/>
      <c r="AE581" s="22"/>
      <c r="AF581" s="22"/>
      <c r="AG581" s="25"/>
      <c r="AH581" s="25"/>
      <c r="AI581" s="25"/>
      <c r="AJ581" s="25"/>
      <c r="AK581" s="25"/>
      <c r="AL581" s="74">
        <f t="shared" si="10"/>
        <v>9000</v>
      </c>
      <c r="AM581" s="25"/>
      <c r="AN581" s="25"/>
      <c r="AO581" s="77">
        <f t="shared" si="7"/>
        <v>0</v>
      </c>
      <c r="AP581" s="22"/>
      <c r="AQ581" s="22"/>
      <c r="AR581" s="22"/>
      <c r="AS581" s="22"/>
      <c r="AT581" s="22"/>
      <c r="AU581" s="26"/>
      <c r="AV581" s="26"/>
      <c r="AW581" s="26"/>
      <c r="AX581" s="26"/>
      <c r="AY581" s="26"/>
      <c r="AZ581" s="26"/>
      <c r="BA581" s="26"/>
      <c r="BB581" s="26"/>
      <c r="BC581" s="60"/>
      <c r="BD581" s="26"/>
      <c r="BE581" s="26"/>
      <c r="BF581" s="26"/>
      <c r="BG581" s="26"/>
      <c r="BH581" s="26"/>
      <c r="BI581" s="26"/>
      <c r="BJ581" s="26"/>
      <c r="BK581" s="26"/>
      <c r="BL581" s="26"/>
      <c r="BM581" s="26"/>
    </row>
    <row r="582" spans="1:65" ht="45" x14ac:dyDescent="0.25">
      <c r="A582" s="163">
        <v>340</v>
      </c>
      <c r="B582" s="155" t="s">
        <v>1129</v>
      </c>
      <c r="C582" s="22" t="s">
        <v>773</v>
      </c>
      <c r="D582" s="81" t="s">
        <v>128</v>
      </c>
      <c r="E582" s="22" t="s">
        <v>124</v>
      </c>
      <c r="F582" s="33" t="s">
        <v>1038</v>
      </c>
      <c r="G582" s="33" t="s">
        <v>1131</v>
      </c>
      <c r="H582" s="23" t="s">
        <v>777</v>
      </c>
      <c r="I582" s="35">
        <v>43038</v>
      </c>
      <c r="J582" s="35">
        <v>43403</v>
      </c>
      <c r="K582" s="24" t="s">
        <v>1884</v>
      </c>
      <c r="L582" s="140" t="s">
        <v>238</v>
      </c>
      <c r="M582" s="43" t="s">
        <v>239</v>
      </c>
      <c r="N582" s="61">
        <v>43397</v>
      </c>
      <c r="O582" s="77">
        <v>482400</v>
      </c>
      <c r="P582" s="76">
        <v>12420</v>
      </c>
      <c r="Q582" s="61">
        <v>43397</v>
      </c>
      <c r="R582" s="61">
        <v>43465</v>
      </c>
      <c r="S582" s="43" t="s">
        <v>1196</v>
      </c>
      <c r="T582" s="22"/>
      <c r="U582" s="25"/>
      <c r="V582" s="25"/>
      <c r="W582" s="33" t="s">
        <v>787</v>
      </c>
      <c r="X582" s="33"/>
      <c r="Y582" s="22"/>
      <c r="Z582" s="22"/>
      <c r="AA582" s="22"/>
      <c r="AB582" s="33"/>
      <c r="AC582" s="22"/>
      <c r="AD582" s="22"/>
      <c r="AE582" s="22"/>
      <c r="AF582" s="22"/>
      <c r="AG582" s="25"/>
      <c r="AH582" s="25"/>
      <c r="AI582" s="25"/>
      <c r="AJ582" s="25"/>
      <c r="AK582" s="25"/>
      <c r="AL582" s="74">
        <f t="shared" si="10"/>
        <v>482400</v>
      </c>
      <c r="AM582" s="25"/>
      <c r="AN582" s="25"/>
      <c r="AO582" s="77">
        <f t="shared" si="7"/>
        <v>0</v>
      </c>
      <c r="AP582" s="22"/>
      <c r="AQ582" s="22"/>
      <c r="AR582" s="22"/>
      <c r="AS582" s="22"/>
      <c r="AT582" s="22"/>
      <c r="AU582" s="26"/>
      <c r="AV582" s="26"/>
      <c r="AW582" s="26"/>
      <c r="AX582" s="26"/>
      <c r="AY582" s="26"/>
      <c r="AZ582" s="26"/>
      <c r="BA582" s="26"/>
      <c r="BB582" s="26"/>
      <c r="BC582" s="60"/>
      <c r="BD582" s="26"/>
      <c r="BE582" s="26"/>
      <c r="BF582" s="26"/>
      <c r="BG582" s="26"/>
      <c r="BH582" s="26"/>
      <c r="BI582" s="26"/>
      <c r="BJ582" s="26"/>
      <c r="BK582" s="26"/>
      <c r="BL582" s="26"/>
      <c r="BM582" s="26"/>
    </row>
    <row r="583" spans="1:65" ht="45" x14ac:dyDescent="0.25">
      <c r="A583" s="163">
        <v>341</v>
      </c>
      <c r="B583" s="155" t="s">
        <v>1629</v>
      </c>
      <c r="C583" s="22" t="s">
        <v>1207</v>
      </c>
      <c r="D583" s="81" t="s">
        <v>128</v>
      </c>
      <c r="E583" s="22" t="s">
        <v>124</v>
      </c>
      <c r="F583" s="33" t="s">
        <v>1631</v>
      </c>
      <c r="G583" s="33" t="s">
        <v>1634</v>
      </c>
      <c r="H583" s="23" t="s">
        <v>1198</v>
      </c>
      <c r="I583" s="35">
        <v>43230</v>
      </c>
      <c r="J583" s="35">
        <v>43595</v>
      </c>
      <c r="K583" s="24" t="s">
        <v>1885</v>
      </c>
      <c r="L583" s="140" t="s">
        <v>238</v>
      </c>
      <c r="M583" s="43" t="s">
        <v>239</v>
      </c>
      <c r="N583" s="61">
        <v>43397</v>
      </c>
      <c r="O583" s="77">
        <v>79300</v>
      </c>
      <c r="P583" s="76">
        <v>12420</v>
      </c>
      <c r="Q583" s="61">
        <v>43397</v>
      </c>
      <c r="R583" s="61">
        <v>43465</v>
      </c>
      <c r="S583" s="43" t="s">
        <v>1804</v>
      </c>
      <c r="T583" s="22"/>
      <c r="U583" s="25"/>
      <c r="V583" s="25"/>
      <c r="W583" s="33" t="s">
        <v>787</v>
      </c>
      <c r="X583" s="33"/>
      <c r="Y583" s="22"/>
      <c r="Z583" s="22"/>
      <c r="AA583" s="22"/>
      <c r="AB583" s="33"/>
      <c r="AC583" s="22"/>
      <c r="AD583" s="22"/>
      <c r="AE583" s="22"/>
      <c r="AF583" s="22"/>
      <c r="AG583" s="25"/>
      <c r="AH583" s="25"/>
      <c r="AI583" s="25"/>
      <c r="AJ583" s="25"/>
      <c r="AK583" s="25"/>
      <c r="AL583" s="74">
        <f t="shared" si="10"/>
        <v>79300</v>
      </c>
      <c r="AM583" s="25"/>
      <c r="AN583" s="25"/>
      <c r="AO583" s="77">
        <f t="shared" si="7"/>
        <v>0</v>
      </c>
      <c r="AP583" s="22"/>
      <c r="AQ583" s="22"/>
      <c r="AR583" s="22"/>
      <c r="AS583" s="22"/>
      <c r="AT583" s="22"/>
      <c r="AU583" s="26"/>
      <c r="AV583" s="26"/>
      <c r="AW583" s="26"/>
      <c r="AX583" s="26"/>
      <c r="AY583" s="26"/>
      <c r="AZ583" s="26"/>
      <c r="BA583" s="26"/>
      <c r="BB583" s="26"/>
      <c r="BC583" s="60"/>
      <c r="BD583" s="26"/>
      <c r="BE583" s="26"/>
      <c r="BF583" s="26"/>
      <c r="BG583" s="26"/>
      <c r="BH583" s="26"/>
      <c r="BI583" s="26"/>
      <c r="BJ583" s="26"/>
      <c r="BK583" s="26"/>
      <c r="BL583" s="26"/>
      <c r="BM583" s="26"/>
    </row>
    <row r="584" spans="1:65" ht="45" x14ac:dyDescent="0.25">
      <c r="A584" s="163">
        <v>342</v>
      </c>
      <c r="B584" s="155" t="s">
        <v>1629</v>
      </c>
      <c r="C584" s="22" t="s">
        <v>1207</v>
      </c>
      <c r="D584" s="81" t="s">
        <v>128</v>
      </c>
      <c r="E584" s="22" t="s">
        <v>124</v>
      </c>
      <c r="F584" s="33" t="s">
        <v>1631</v>
      </c>
      <c r="G584" s="33" t="s">
        <v>1634</v>
      </c>
      <c r="H584" s="23" t="s">
        <v>1198</v>
      </c>
      <c r="I584" s="35">
        <v>43230</v>
      </c>
      <c r="J584" s="35">
        <v>43595</v>
      </c>
      <c r="K584" s="24" t="s">
        <v>1886</v>
      </c>
      <c r="L584" s="140" t="s">
        <v>645</v>
      </c>
      <c r="M584" s="43" t="s">
        <v>646</v>
      </c>
      <c r="N584" s="61">
        <v>43397</v>
      </c>
      <c r="O584" s="77">
        <v>24500</v>
      </c>
      <c r="P584" s="76">
        <v>12420</v>
      </c>
      <c r="Q584" s="61">
        <v>43397</v>
      </c>
      <c r="R584" s="61">
        <v>43465</v>
      </c>
      <c r="S584" s="43" t="s">
        <v>1804</v>
      </c>
      <c r="T584" s="22"/>
      <c r="U584" s="25"/>
      <c r="V584" s="25"/>
      <c r="W584" s="33" t="s">
        <v>787</v>
      </c>
      <c r="X584" s="33"/>
      <c r="Y584" s="22"/>
      <c r="Z584" s="22"/>
      <c r="AA584" s="22"/>
      <c r="AB584" s="33"/>
      <c r="AC584" s="22"/>
      <c r="AD584" s="22"/>
      <c r="AE584" s="22"/>
      <c r="AF584" s="22"/>
      <c r="AG584" s="25"/>
      <c r="AH584" s="25"/>
      <c r="AI584" s="25"/>
      <c r="AJ584" s="25"/>
      <c r="AK584" s="25"/>
      <c r="AL584" s="74">
        <f t="shared" si="10"/>
        <v>24500</v>
      </c>
      <c r="AM584" s="25"/>
      <c r="AN584" s="25"/>
      <c r="AO584" s="77">
        <f t="shared" si="7"/>
        <v>0</v>
      </c>
      <c r="AP584" s="22"/>
      <c r="AQ584" s="22"/>
      <c r="AR584" s="22"/>
      <c r="AS584" s="22"/>
      <c r="AT584" s="22"/>
      <c r="AU584" s="26"/>
      <c r="AV584" s="26"/>
      <c r="AW584" s="26"/>
      <c r="AX584" s="26"/>
      <c r="AY584" s="26"/>
      <c r="AZ584" s="26"/>
      <c r="BA584" s="26"/>
      <c r="BB584" s="26"/>
      <c r="BC584" s="60"/>
      <c r="BD584" s="26"/>
      <c r="BE584" s="26"/>
      <c r="BF584" s="26"/>
      <c r="BG584" s="26"/>
      <c r="BH584" s="26"/>
      <c r="BI584" s="26"/>
      <c r="BJ584" s="26"/>
      <c r="BK584" s="26"/>
      <c r="BL584" s="26"/>
      <c r="BM584" s="26"/>
    </row>
    <row r="585" spans="1:65" ht="45" x14ac:dyDescent="0.25">
      <c r="A585" s="163">
        <v>343</v>
      </c>
      <c r="B585" s="155" t="s">
        <v>1629</v>
      </c>
      <c r="C585" s="22" t="s">
        <v>1207</v>
      </c>
      <c r="D585" s="81" t="s">
        <v>128</v>
      </c>
      <c r="E585" s="22" t="s">
        <v>124</v>
      </c>
      <c r="F585" s="33" t="s">
        <v>1631</v>
      </c>
      <c r="G585" s="33" t="s">
        <v>1634</v>
      </c>
      <c r="H585" s="23" t="s">
        <v>1198</v>
      </c>
      <c r="I585" s="35">
        <v>43230</v>
      </c>
      <c r="J585" s="35">
        <v>43595</v>
      </c>
      <c r="K585" s="24" t="s">
        <v>1887</v>
      </c>
      <c r="L585" s="140" t="s">
        <v>360</v>
      </c>
      <c r="M585" s="43" t="s">
        <v>229</v>
      </c>
      <c r="N585" s="61">
        <v>43397</v>
      </c>
      <c r="O585" s="77">
        <v>77550</v>
      </c>
      <c r="P585" s="76">
        <v>12420</v>
      </c>
      <c r="Q585" s="61">
        <v>43397</v>
      </c>
      <c r="R585" s="61">
        <v>43465</v>
      </c>
      <c r="S585" s="43" t="s">
        <v>1804</v>
      </c>
      <c r="T585" s="22"/>
      <c r="U585" s="25"/>
      <c r="V585" s="25"/>
      <c r="W585" s="33" t="s">
        <v>787</v>
      </c>
      <c r="X585" s="33"/>
      <c r="Y585" s="22"/>
      <c r="Z585" s="22"/>
      <c r="AA585" s="22"/>
      <c r="AB585" s="33"/>
      <c r="AC585" s="22"/>
      <c r="AD585" s="22"/>
      <c r="AE585" s="22"/>
      <c r="AF585" s="22"/>
      <c r="AG585" s="25"/>
      <c r="AH585" s="25"/>
      <c r="AI585" s="25"/>
      <c r="AJ585" s="25"/>
      <c r="AK585" s="25"/>
      <c r="AL585" s="74">
        <f t="shared" si="10"/>
        <v>77550</v>
      </c>
      <c r="AM585" s="25"/>
      <c r="AN585" s="25"/>
      <c r="AO585" s="77">
        <f t="shared" si="7"/>
        <v>0</v>
      </c>
      <c r="AP585" s="22"/>
      <c r="AQ585" s="22"/>
      <c r="AR585" s="22"/>
      <c r="AS585" s="22"/>
      <c r="AT585" s="22"/>
      <c r="AU585" s="26"/>
      <c r="AV585" s="26"/>
      <c r="AW585" s="26"/>
      <c r="AX585" s="26"/>
      <c r="AY585" s="26"/>
      <c r="AZ585" s="26"/>
      <c r="BA585" s="26"/>
      <c r="BB585" s="26"/>
      <c r="BC585" s="60"/>
      <c r="BD585" s="26"/>
      <c r="BE585" s="26"/>
      <c r="BF585" s="26"/>
      <c r="BG585" s="26"/>
      <c r="BH585" s="26"/>
      <c r="BI585" s="26"/>
      <c r="BJ585" s="26"/>
      <c r="BK585" s="26"/>
      <c r="BL585" s="26"/>
      <c r="BM585" s="26"/>
    </row>
    <row r="586" spans="1:65" ht="30" x14ac:dyDescent="0.25">
      <c r="A586" s="159">
        <v>344</v>
      </c>
      <c r="B586" s="154" t="s">
        <v>122</v>
      </c>
      <c r="C586" s="19"/>
      <c r="D586" s="27" t="s">
        <v>138</v>
      </c>
      <c r="E586" s="19"/>
      <c r="F586" s="32" t="s">
        <v>813</v>
      </c>
      <c r="G586" s="28" t="s">
        <v>275</v>
      </c>
      <c r="H586" s="23"/>
      <c r="I586" s="23"/>
      <c r="J586" s="23"/>
      <c r="K586" s="45" t="s">
        <v>110</v>
      </c>
      <c r="L586" s="143" t="s">
        <v>111</v>
      </c>
      <c r="M586" s="27" t="s">
        <v>112</v>
      </c>
      <c r="N586" s="85" t="s">
        <v>114</v>
      </c>
      <c r="O586" s="78">
        <v>31888.799999999999</v>
      </c>
      <c r="P586" s="30" t="s">
        <v>538</v>
      </c>
      <c r="Q586" s="27" t="s">
        <v>114</v>
      </c>
      <c r="R586" s="27" t="s">
        <v>115</v>
      </c>
      <c r="S586" s="27" t="s">
        <v>134</v>
      </c>
      <c r="T586" s="32"/>
      <c r="U586" s="148"/>
      <c r="V586" s="148"/>
      <c r="W586" s="32" t="s">
        <v>116</v>
      </c>
      <c r="X586" s="33" t="s">
        <v>1261</v>
      </c>
      <c r="Y586" s="22" t="s">
        <v>136</v>
      </c>
      <c r="Z586" s="35">
        <v>39813</v>
      </c>
      <c r="AA586" s="34">
        <v>9987</v>
      </c>
      <c r="AB586" s="33" t="s">
        <v>283</v>
      </c>
      <c r="AC586" s="61">
        <v>39813</v>
      </c>
      <c r="AD586" s="61">
        <v>40178</v>
      </c>
      <c r="AE586" s="36"/>
      <c r="AF586" s="43"/>
      <c r="AG586" s="77">
        <v>111456</v>
      </c>
      <c r="AH586" s="77"/>
      <c r="AI586" s="77"/>
      <c r="AJ586" s="77"/>
      <c r="AK586" s="77"/>
      <c r="AL586" s="87">
        <f>O586-AH586+AG586-AH587+AG587-AH588+AG588-AH589+AG589-AH590+AG590-AH591+AG591-AH592+AG592-AH593+AG593-AH594+AG594-AH595+AG595</f>
        <v>1332581.04</v>
      </c>
      <c r="AM586" s="38">
        <f>752104.8+140082.6+11673.55+11673.55+11673.55+11673.55+11673.55+11673.55+11673.55+11673.55+11673.55+11673.55+11673.55+11673.55+12512.96+12512.96+12512.96+12512.96+12512.96+12512.96+12512.96+12512.96+12512.96+12512.96+12512.96+12512.96</f>
        <v>1182425.5200000003</v>
      </c>
      <c r="AN586" s="38">
        <f>12512.96+12512.96+12512.96+12512.96+12512.96+12512.96+12512.96+12512.96+12512.96+12512.96</f>
        <v>125129.59999999998</v>
      </c>
      <c r="AO586" s="38">
        <f t="shared" si="7"/>
        <v>1307555.1200000001</v>
      </c>
      <c r="AP586" s="39"/>
      <c r="AQ586" s="22"/>
      <c r="AR586" s="22"/>
      <c r="AS586" s="19"/>
      <c r="AT586" s="19"/>
      <c r="AU586" s="19"/>
      <c r="AV586" s="19" t="s">
        <v>121</v>
      </c>
      <c r="AW586" s="19" t="s">
        <v>280</v>
      </c>
      <c r="AX586" s="50" t="s">
        <v>538</v>
      </c>
      <c r="AY586" s="29">
        <v>39738</v>
      </c>
      <c r="AZ586" s="50" t="s">
        <v>538</v>
      </c>
      <c r="BA586" s="29">
        <v>39738</v>
      </c>
      <c r="BB586" s="19"/>
      <c r="BC586" s="27"/>
      <c r="BD586" s="19"/>
      <c r="BE586" s="19"/>
      <c r="BF586" s="19"/>
      <c r="BG586" s="19"/>
      <c r="BH586" s="19"/>
      <c r="BI586" s="19"/>
      <c r="BJ586" s="19"/>
      <c r="BK586" s="19"/>
      <c r="BL586" s="19"/>
      <c r="BM586" s="19"/>
    </row>
    <row r="587" spans="1:65" ht="30" x14ac:dyDescent="0.25">
      <c r="A587" s="159"/>
      <c r="B587" s="154"/>
      <c r="C587" s="19"/>
      <c r="D587" s="27"/>
      <c r="E587" s="19"/>
      <c r="F587" s="32"/>
      <c r="G587" s="28"/>
      <c r="H587" s="23"/>
      <c r="I587" s="23"/>
      <c r="J587" s="23"/>
      <c r="K587" s="45"/>
      <c r="L587" s="143"/>
      <c r="M587" s="27"/>
      <c r="N587" s="85"/>
      <c r="O587" s="78"/>
      <c r="P587" s="30"/>
      <c r="Q587" s="27"/>
      <c r="R587" s="27"/>
      <c r="S587" s="27"/>
      <c r="T587" s="32"/>
      <c r="U587" s="148"/>
      <c r="V587" s="148"/>
      <c r="W587" s="32"/>
      <c r="X587" s="33" t="s">
        <v>1261</v>
      </c>
      <c r="Y587" s="22" t="s">
        <v>140</v>
      </c>
      <c r="Z587" s="35">
        <v>40178</v>
      </c>
      <c r="AA587" s="34">
        <v>10207</v>
      </c>
      <c r="AB587" s="33" t="s">
        <v>283</v>
      </c>
      <c r="AC587" s="61">
        <v>40178</v>
      </c>
      <c r="AD587" s="61">
        <v>40543</v>
      </c>
      <c r="AE587" s="36">
        <v>1.31352</v>
      </c>
      <c r="AF587" s="43"/>
      <c r="AG587" s="25">
        <v>112920</v>
      </c>
      <c r="AH587" s="77"/>
      <c r="AI587" s="77"/>
      <c r="AJ587" s="77"/>
      <c r="AK587" s="77"/>
      <c r="AL587" s="87"/>
      <c r="AM587" s="38"/>
      <c r="AN587" s="38"/>
      <c r="AO587" s="38"/>
      <c r="AP587" s="19"/>
      <c r="AQ587" s="22"/>
      <c r="AR587" s="22"/>
      <c r="AS587" s="19"/>
      <c r="AT587" s="19"/>
      <c r="AU587" s="19"/>
      <c r="AV587" s="19"/>
      <c r="AW587" s="19"/>
      <c r="AX587" s="50"/>
      <c r="AY587" s="29"/>
      <c r="AZ587" s="50"/>
      <c r="BA587" s="29"/>
      <c r="BB587" s="19"/>
      <c r="BC587" s="27"/>
      <c r="BD587" s="19"/>
      <c r="BE587" s="19"/>
      <c r="BF587" s="19"/>
      <c r="BG587" s="19"/>
      <c r="BH587" s="19"/>
      <c r="BI587" s="19"/>
      <c r="BJ587" s="19"/>
      <c r="BK587" s="19"/>
      <c r="BL587" s="19"/>
      <c r="BM587" s="19"/>
    </row>
    <row r="588" spans="1:65" ht="30" x14ac:dyDescent="0.25">
      <c r="A588" s="159"/>
      <c r="B588" s="154"/>
      <c r="C588" s="19"/>
      <c r="D588" s="27"/>
      <c r="E588" s="19"/>
      <c r="F588" s="32"/>
      <c r="G588" s="28"/>
      <c r="H588" s="23"/>
      <c r="I588" s="23"/>
      <c r="J588" s="23"/>
      <c r="K588" s="45"/>
      <c r="L588" s="143"/>
      <c r="M588" s="27"/>
      <c r="N588" s="85"/>
      <c r="O588" s="78"/>
      <c r="P588" s="30"/>
      <c r="Q588" s="27"/>
      <c r="R588" s="27"/>
      <c r="S588" s="27"/>
      <c r="T588" s="32"/>
      <c r="U588" s="148"/>
      <c r="V588" s="148"/>
      <c r="W588" s="32"/>
      <c r="X588" s="33" t="s">
        <v>1261</v>
      </c>
      <c r="Y588" s="22" t="s">
        <v>185</v>
      </c>
      <c r="Z588" s="35">
        <v>40543</v>
      </c>
      <c r="AA588" s="34">
        <v>10441</v>
      </c>
      <c r="AB588" s="33" t="s">
        <v>283</v>
      </c>
      <c r="AC588" s="61">
        <v>40543</v>
      </c>
      <c r="AD588" s="61">
        <v>40908</v>
      </c>
      <c r="AE588" s="36"/>
      <c r="AF588" s="43"/>
      <c r="AG588" s="25">
        <v>112920</v>
      </c>
      <c r="AH588" s="77"/>
      <c r="AI588" s="77"/>
      <c r="AJ588" s="77"/>
      <c r="AK588" s="77"/>
      <c r="AL588" s="87"/>
      <c r="AM588" s="38"/>
      <c r="AN588" s="38"/>
      <c r="AO588" s="38"/>
      <c r="AP588" s="19"/>
      <c r="AQ588" s="22"/>
      <c r="AR588" s="22"/>
      <c r="AS588" s="19"/>
      <c r="AT588" s="19"/>
      <c r="AU588" s="19"/>
      <c r="AV588" s="19"/>
      <c r="AW588" s="19"/>
      <c r="AX588" s="50"/>
      <c r="AY588" s="29"/>
      <c r="AZ588" s="50"/>
      <c r="BA588" s="29"/>
      <c r="BB588" s="19"/>
      <c r="BC588" s="27"/>
      <c r="BD588" s="19"/>
      <c r="BE588" s="19"/>
      <c r="BF588" s="19"/>
      <c r="BG588" s="19"/>
      <c r="BH588" s="19"/>
      <c r="BI588" s="19"/>
      <c r="BJ588" s="19"/>
      <c r="BK588" s="19"/>
      <c r="BL588" s="19"/>
      <c r="BM588" s="19"/>
    </row>
    <row r="589" spans="1:65" ht="30" x14ac:dyDescent="0.25">
      <c r="A589" s="159"/>
      <c r="B589" s="154"/>
      <c r="C589" s="19"/>
      <c r="D589" s="27"/>
      <c r="E589" s="19"/>
      <c r="F589" s="32"/>
      <c r="G589" s="28"/>
      <c r="H589" s="23"/>
      <c r="I589" s="23"/>
      <c r="J589" s="23"/>
      <c r="K589" s="45"/>
      <c r="L589" s="143"/>
      <c r="M589" s="27"/>
      <c r="N589" s="85"/>
      <c r="O589" s="78"/>
      <c r="P589" s="30"/>
      <c r="Q589" s="27"/>
      <c r="R589" s="27"/>
      <c r="S589" s="27"/>
      <c r="T589" s="32"/>
      <c r="U589" s="148"/>
      <c r="V589" s="148"/>
      <c r="W589" s="32"/>
      <c r="X589" s="33" t="s">
        <v>1261</v>
      </c>
      <c r="Y589" s="22" t="s">
        <v>186</v>
      </c>
      <c r="Z589" s="35">
        <v>40908</v>
      </c>
      <c r="AA589" s="34">
        <v>10734</v>
      </c>
      <c r="AB589" s="33" t="s">
        <v>283</v>
      </c>
      <c r="AC589" s="61">
        <v>40908</v>
      </c>
      <c r="AD589" s="61">
        <v>41274</v>
      </c>
      <c r="AE589" s="36">
        <v>5.7385700000000002</v>
      </c>
      <c r="AF589" s="43"/>
      <c r="AG589" s="25">
        <v>119400</v>
      </c>
      <c r="AH589" s="77"/>
      <c r="AI589" s="77"/>
      <c r="AJ589" s="77"/>
      <c r="AK589" s="77"/>
      <c r="AL589" s="87"/>
      <c r="AM589" s="38"/>
      <c r="AN589" s="38"/>
      <c r="AO589" s="38"/>
      <c r="AP589" s="19"/>
      <c r="AQ589" s="22"/>
      <c r="AR589" s="22"/>
      <c r="AS589" s="19"/>
      <c r="AT589" s="19"/>
      <c r="AU589" s="19"/>
      <c r="AV589" s="19"/>
      <c r="AW589" s="19"/>
      <c r="AX589" s="50"/>
      <c r="AY589" s="29"/>
      <c r="AZ589" s="50"/>
      <c r="BA589" s="29"/>
      <c r="BB589" s="19"/>
      <c r="BC589" s="27"/>
      <c r="BD589" s="19"/>
      <c r="BE589" s="19"/>
      <c r="BF589" s="19"/>
      <c r="BG589" s="19"/>
      <c r="BH589" s="19"/>
      <c r="BI589" s="19"/>
      <c r="BJ589" s="19"/>
      <c r="BK589" s="19"/>
      <c r="BL589" s="19"/>
      <c r="BM589" s="19"/>
    </row>
    <row r="590" spans="1:65" ht="30" x14ac:dyDescent="0.25">
      <c r="A590" s="159"/>
      <c r="B590" s="154"/>
      <c r="C590" s="19"/>
      <c r="D590" s="27"/>
      <c r="E590" s="19"/>
      <c r="F590" s="32"/>
      <c r="G590" s="28"/>
      <c r="H590" s="23"/>
      <c r="I590" s="23"/>
      <c r="J590" s="23"/>
      <c r="K590" s="45"/>
      <c r="L590" s="143"/>
      <c r="M590" s="27"/>
      <c r="N590" s="85"/>
      <c r="O590" s="78"/>
      <c r="P590" s="30"/>
      <c r="Q590" s="27"/>
      <c r="R590" s="27"/>
      <c r="S590" s="27"/>
      <c r="T590" s="32"/>
      <c r="U590" s="148"/>
      <c r="V590" s="148"/>
      <c r="W590" s="32"/>
      <c r="X590" s="33" t="s">
        <v>1261</v>
      </c>
      <c r="Y590" s="22" t="s">
        <v>187</v>
      </c>
      <c r="Z590" s="35">
        <v>41274</v>
      </c>
      <c r="AA590" s="34">
        <v>10963</v>
      </c>
      <c r="AB590" s="33" t="s">
        <v>283</v>
      </c>
      <c r="AC590" s="61">
        <v>41274</v>
      </c>
      <c r="AD590" s="61">
        <v>41639</v>
      </c>
      <c r="AE590" s="36">
        <v>7.5175799999999997</v>
      </c>
      <c r="AF590" s="43"/>
      <c r="AG590" s="25">
        <v>128376</v>
      </c>
      <c r="AH590" s="77"/>
      <c r="AI590" s="77"/>
      <c r="AJ590" s="77"/>
      <c r="AK590" s="77"/>
      <c r="AL590" s="87"/>
      <c r="AM590" s="38"/>
      <c r="AN590" s="38"/>
      <c r="AO590" s="38"/>
      <c r="AP590" s="19"/>
      <c r="AQ590" s="22"/>
      <c r="AR590" s="22"/>
      <c r="AS590" s="19"/>
      <c r="AT590" s="19"/>
      <c r="AU590" s="19"/>
      <c r="AV590" s="19"/>
      <c r="AW590" s="19"/>
      <c r="AX590" s="50"/>
      <c r="AY590" s="29"/>
      <c r="AZ590" s="50"/>
      <c r="BA590" s="29"/>
      <c r="BB590" s="19"/>
      <c r="BC590" s="27"/>
      <c r="BD590" s="19"/>
      <c r="BE590" s="19"/>
      <c r="BF590" s="19"/>
      <c r="BG590" s="19"/>
      <c r="BH590" s="19"/>
      <c r="BI590" s="19"/>
      <c r="BJ590" s="19"/>
      <c r="BK590" s="19"/>
      <c r="BL590" s="19"/>
      <c r="BM590" s="19"/>
    </row>
    <row r="591" spans="1:65" ht="30" x14ac:dyDescent="0.25">
      <c r="A591" s="159"/>
      <c r="B591" s="154"/>
      <c r="C591" s="19"/>
      <c r="D591" s="27"/>
      <c r="E591" s="19"/>
      <c r="F591" s="32"/>
      <c r="G591" s="28"/>
      <c r="H591" s="23"/>
      <c r="I591" s="23"/>
      <c r="J591" s="23"/>
      <c r="K591" s="45"/>
      <c r="L591" s="143"/>
      <c r="M591" s="27"/>
      <c r="N591" s="85"/>
      <c r="O591" s="78"/>
      <c r="P591" s="30"/>
      <c r="Q591" s="27"/>
      <c r="R591" s="27"/>
      <c r="S591" s="27"/>
      <c r="T591" s="32"/>
      <c r="U591" s="148"/>
      <c r="V591" s="148"/>
      <c r="W591" s="32"/>
      <c r="X591" s="33" t="s">
        <v>1261</v>
      </c>
      <c r="Y591" s="22" t="s">
        <v>117</v>
      </c>
      <c r="Z591" s="35">
        <v>41639</v>
      </c>
      <c r="AA591" s="34">
        <v>11215</v>
      </c>
      <c r="AB591" s="33" t="s">
        <v>283</v>
      </c>
      <c r="AC591" s="35">
        <v>41639</v>
      </c>
      <c r="AD591" s="35">
        <v>42004</v>
      </c>
      <c r="AE591" s="36">
        <v>5.2720099999999999</v>
      </c>
      <c r="AF591" s="43"/>
      <c r="AG591" s="25">
        <v>135144</v>
      </c>
      <c r="AH591" s="77"/>
      <c r="AI591" s="77"/>
      <c r="AJ591" s="77"/>
      <c r="AK591" s="77"/>
      <c r="AL591" s="87"/>
      <c r="AM591" s="38"/>
      <c r="AN591" s="38"/>
      <c r="AO591" s="38"/>
      <c r="AP591" s="19"/>
      <c r="AQ591" s="22"/>
      <c r="AR591" s="22"/>
      <c r="AS591" s="19"/>
      <c r="AT591" s="19"/>
      <c r="AU591" s="19"/>
      <c r="AV591" s="19"/>
      <c r="AW591" s="19"/>
      <c r="AX591" s="50"/>
      <c r="AY591" s="29"/>
      <c r="AZ591" s="50"/>
      <c r="BA591" s="29"/>
      <c r="BB591" s="19"/>
      <c r="BC591" s="27"/>
      <c r="BD591" s="19"/>
      <c r="BE591" s="19"/>
      <c r="BF591" s="19"/>
      <c r="BG591" s="19"/>
      <c r="BH591" s="19"/>
      <c r="BI591" s="19"/>
      <c r="BJ591" s="19"/>
      <c r="BK591" s="19"/>
      <c r="BL591" s="19"/>
      <c r="BM591" s="19"/>
    </row>
    <row r="592" spans="1:65" ht="90" x14ac:dyDescent="0.25">
      <c r="A592" s="159"/>
      <c r="B592" s="154"/>
      <c r="C592" s="19"/>
      <c r="D592" s="27"/>
      <c r="E592" s="19"/>
      <c r="F592" s="32"/>
      <c r="G592" s="28"/>
      <c r="H592" s="23"/>
      <c r="I592" s="23"/>
      <c r="J592" s="23"/>
      <c r="K592" s="45"/>
      <c r="L592" s="143"/>
      <c r="M592" s="27"/>
      <c r="N592" s="85"/>
      <c r="O592" s="78"/>
      <c r="P592" s="30"/>
      <c r="Q592" s="27"/>
      <c r="R592" s="27"/>
      <c r="S592" s="27"/>
      <c r="T592" s="32"/>
      <c r="U592" s="148"/>
      <c r="V592" s="148"/>
      <c r="W592" s="32"/>
      <c r="X592" s="33" t="s">
        <v>1261</v>
      </c>
      <c r="Y592" s="22" t="s">
        <v>120</v>
      </c>
      <c r="Z592" s="35">
        <v>41988</v>
      </c>
      <c r="AA592" s="34">
        <v>11459</v>
      </c>
      <c r="AB592" s="33" t="s">
        <v>448</v>
      </c>
      <c r="AC592" s="35">
        <v>42004</v>
      </c>
      <c r="AD592" s="35">
        <v>42369</v>
      </c>
      <c r="AE592" s="36">
        <v>3.6543000000000001</v>
      </c>
      <c r="AF592" s="43"/>
      <c r="AG592" s="25">
        <v>140082.6</v>
      </c>
      <c r="AH592" s="77"/>
      <c r="AI592" s="77"/>
      <c r="AJ592" s="77"/>
      <c r="AK592" s="77"/>
      <c r="AL592" s="87"/>
      <c r="AM592" s="38"/>
      <c r="AN592" s="38"/>
      <c r="AO592" s="38"/>
      <c r="AP592" s="19"/>
      <c r="AQ592" s="22"/>
      <c r="AR592" s="22"/>
      <c r="AS592" s="19"/>
      <c r="AT592" s="19"/>
      <c r="AU592" s="19"/>
      <c r="AV592" s="19"/>
      <c r="AW592" s="19"/>
      <c r="AX592" s="50"/>
      <c r="AY592" s="29"/>
      <c r="AZ592" s="50"/>
      <c r="BA592" s="29"/>
      <c r="BB592" s="19"/>
      <c r="BC592" s="27"/>
      <c r="BD592" s="19"/>
      <c r="BE592" s="19"/>
      <c r="BF592" s="19"/>
      <c r="BG592" s="19"/>
      <c r="BH592" s="19"/>
      <c r="BI592" s="19"/>
      <c r="BJ592" s="19"/>
      <c r="BK592" s="19"/>
      <c r="BL592" s="19"/>
      <c r="BM592" s="19"/>
    </row>
    <row r="593" spans="1:65" ht="90" x14ac:dyDescent="0.25">
      <c r="A593" s="159"/>
      <c r="B593" s="154"/>
      <c r="C593" s="19"/>
      <c r="D593" s="27"/>
      <c r="E593" s="19"/>
      <c r="F593" s="32"/>
      <c r="G593" s="28"/>
      <c r="H593" s="20"/>
      <c r="I593" s="20"/>
      <c r="J593" s="20"/>
      <c r="K593" s="45"/>
      <c r="L593" s="143"/>
      <c r="M593" s="27"/>
      <c r="N593" s="85"/>
      <c r="O593" s="78"/>
      <c r="P593" s="30"/>
      <c r="Q593" s="27"/>
      <c r="R593" s="27"/>
      <c r="S593" s="27"/>
      <c r="T593" s="32"/>
      <c r="U593" s="148"/>
      <c r="V593" s="148"/>
      <c r="W593" s="32"/>
      <c r="X593" s="33" t="s">
        <v>1261</v>
      </c>
      <c r="Y593" s="22" t="s">
        <v>118</v>
      </c>
      <c r="Z593" s="35">
        <v>42352</v>
      </c>
      <c r="AA593" s="34">
        <v>11715</v>
      </c>
      <c r="AB593" s="33" t="s">
        <v>462</v>
      </c>
      <c r="AC593" s="35">
        <v>42369</v>
      </c>
      <c r="AD593" s="35">
        <v>42735</v>
      </c>
      <c r="AE593" s="36"/>
      <c r="AF593" s="43"/>
      <c r="AG593" s="25">
        <v>140082.6</v>
      </c>
      <c r="AH593" s="77"/>
      <c r="AI593" s="77"/>
      <c r="AJ593" s="77"/>
      <c r="AK593" s="77"/>
      <c r="AL593" s="87"/>
      <c r="AM593" s="38"/>
      <c r="AN593" s="38"/>
      <c r="AO593" s="38"/>
      <c r="AP593" s="19"/>
      <c r="AQ593" s="22"/>
      <c r="AR593" s="22"/>
      <c r="AS593" s="19"/>
      <c r="AT593" s="19"/>
      <c r="AU593" s="19"/>
      <c r="AV593" s="19"/>
      <c r="AW593" s="19"/>
      <c r="AX593" s="50"/>
      <c r="AY593" s="29"/>
      <c r="AZ593" s="50"/>
      <c r="BA593" s="29"/>
      <c r="BB593" s="19"/>
      <c r="BC593" s="27"/>
      <c r="BD593" s="19"/>
      <c r="BE593" s="19"/>
      <c r="BF593" s="19"/>
      <c r="BG593" s="19"/>
      <c r="BH593" s="19"/>
      <c r="BI593" s="19"/>
      <c r="BJ593" s="19"/>
      <c r="BK593" s="19"/>
      <c r="BL593" s="19"/>
      <c r="BM593" s="19"/>
    </row>
    <row r="594" spans="1:65" ht="135" x14ac:dyDescent="0.25">
      <c r="A594" s="159"/>
      <c r="B594" s="154"/>
      <c r="C594" s="19"/>
      <c r="D594" s="27"/>
      <c r="E594" s="19"/>
      <c r="F594" s="32"/>
      <c r="G594" s="32"/>
      <c r="H594" s="19"/>
      <c r="I594" s="19"/>
      <c r="J594" s="19"/>
      <c r="K594" s="19"/>
      <c r="L594" s="143"/>
      <c r="M594" s="27"/>
      <c r="N594" s="27"/>
      <c r="O594" s="78"/>
      <c r="P594" s="27"/>
      <c r="Q594" s="27"/>
      <c r="R594" s="27"/>
      <c r="S594" s="27"/>
      <c r="T594" s="32"/>
      <c r="U594" s="148"/>
      <c r="V594" s="148"/>
      <c r="W594" s="32"/>
      <c r="X594" s="33" t="s">
        <v>1261</v>
      </c>
      <c r="Y594" s="22" t="s">
        <v>279</v>
      </c>
      <c r="Z594" s="35">
        <v>42731</v>
      </c>
      <c r="AA594" s="34">
        <v>11975</v>
      </c>
      <c r="AB594" s="33" t="s">
        <v>707</v>
      </c>
      <c r="AC594" s="35">
        <v>42735</v>
      </c>
      <c r="AD594" s="35">
        <v>43100</v>
      </c>
      <c r="AE594" s="36"/>
      <c r="AF594" s="43"/>
      <c r="AG594" s="25">
        <v>150155.51999999999</v>
      </c>
      <c r="AH594" s="77"/>
      <c r="AI594" s="77"/>
      <c r="AJ594" s="77"/>
      <c r="AK594" s="77"/>
      <c r="AL594" s="87"/>
      <c r="AM594" s="38"/>
      <c r="AN594" s="38"/>
      <c r="AO594" s="38"/>
      <c r="AP594" s="22"/>
      <c r="AQ594" s="22"/>
      <c r="AR594" s="22"/>
      <c r="AS594" s="22"/>
      <c r="AT594" s="22"/>
      <c r="AU594" s="22"/>
      <c r="AV594" s="22"/>
      <c r="AW594" s="22"/>
      <c r="AX594" s="34"/>
      <c r="AY594" s="35"/>
      <c r="AZ594" s="34"/>
      <c r="BA594" s="35"/>
      <c r="BB594" s="22"/>
      <c r="BC594" s="43"/>
      <c r="BD594" s="22"/>
      <c r="BE594" s="22"/>
      <c r="BF594" s="22"/>
      <c r="BG594" s="22"/>
      <c r="BH594" s="22"/>
      <c r="BI594" s="22"/>
      <c r="BJ594" s="22"/>
      <c r="BK594" s="22"/>
      <c r="BL594" s="22"/>
      <c r="BM594" s="22"/>
    </row>
    <row r="595" spans="1:65" ht="120" x14ac:dyDescent="0.25">
      <c r="A595" s="159"/>
      <c r="B595" s="154"/>
      <c r="C595" s="19"/>
      <c r="D595" s="27"/>
      <c r="E595" s="19"/>
      <c r="F595" s="32"/>
      <c r="G595" s="32"/>
      <c r="H595" s="19"/>
      <c r="I595" s="19"/>
      <c r="J595" s="19"/>
      <c r="K595" s="19"/>
      <c r="L595" s="143"/>
      <c r="M595" s="27"/>
      <c r="N595" s="27"/>
      <c r="O595" s="78"/>
      <c r="P595" s="27"/>
      <c r="Q595" s="27"/>
      <c r="R595" s="27"/>
      <c r="S595" s="27"/>
      <c r="T595" s="32"/>
      <c r="U595" s="148"/>
      <c r="V595" s="148"/>
      <c r="W595" s="32"/>
      <c r="X595" s="33" t="s">
        <v>1261</v>
      </c>
      <c r="Y595" s="22" t="s">
        <v>376</v>
      </c>
      <c r="Z595" s="35">
        <v>43077</v>
      </c>
      <c r="AA595" s="34">
        <v>12203</v>
      </c>
      <c r="AB595" s="33" t="s">
        <v>1157</v>
      </c>
      <c r="AC595" s="35">
        <v>43100</v>
      </c>
      <c r="AD595" s="35">
        <v>43465</v>
      </c>
      <c r="AE595" s="36"/>
      <c r="AF595" s="43"/>
      <c r="AG595" s="25">
        <v>150155.51999999999</v>
      </c>
      <c r="AH595" s="77"/>
      <c r="AI595" s="77"/>
      <c r="AJ595" s="77"/>
      <c r="AK595" s="77"/>
      <c r="AL595" s="87"/>
      <c r="AM595" s="38"/>
      <c r="AN595" s="38"/>
      <c r="AO595" s="38"/>
      <c r="AP595" s="22"/>
      <c r="AQ595" s="22"/>
      <c r="AR595" s="22"/>
      <c r="AS595" s="22"/>
      <c r="AT595" s="22"/>
      <c r="AU595" s="22"/>
      <c r="AV595" s="22"/>
      <c r="AW595" s="22"/>
      <c r="AX595" s="34"/>
      <c r="AY595" s="35"/>
      <c r="AZ595" s="34"/>
      <c r="BA595" s="35"/>
      <c r="BB595" s="22"/>
      <c r="BC595" s="43"/>
      <c r="BD595" s="22"/>
      <c r="BE595" s="22"/>
      <c r="BF595" s="22"/>
      <c r="BG595" s="22"/>
      <c r="BH595" s="22"/>
      <c r="BI595" s="22"/>
      <c r="BJ595" s="22"/>
      <c r="BK595" s="22"/>
      <c r="BL595" s="22"/>
      <c r="BM595" s="22"/>
    </row>
    <row r="596" spans="1:65" ht="30" x14ac:dyDescent="0.25">
      <c r="A596" s="159">
        <v>345</v>
      </c>
      <c r="B596" s="154">
        <v>123180220</v>
      </c>
      <c r="C596" s="19"/>
      <c r="D596" s="27" t="s">
        <v>138</v>
      </c>
      <c r="E596" s="19"/>
      <c r="F596" s="32" t="s">
        <v>814</v>
      </c>
      <c r="G596" s="28" t="s">
        <v>275</v>
      </c>
      <c r="H596" s="23"/>
      <c r="I596" s="23"/>
      <c r="J596" s="23"/>
      <c r="K596" s="45" t="s">
        <v>251</v>
      </c>
      <c r="L596" s="143" t="s">
        <v>265</v>
      </c>
      <c r="M596" s="27" t="s">
        <v>197</v>
      </c>
      <c r="N596" s="31">
        <v>39818</v>
      </c>
      <c r="O596" s="78">
        <v>59500</v>
      </c>
      <c r="P596" s="30" t="s">
        <v>539</v>
      </c>
      <c r="Q596" s="31">
        <v>39818</v>
      </c>
      <c r="R596" s="31">
        <v>40178</v>
      </c>
      <c r="S596" s="27" t="s">
        <v>142</v>
      </c>
      <c r="T596" s="32"/>
      <c r="U596" s="148"/>
      <c r="V596" s="148"/>
      <c r="W596" s="86" t="s">
        <v>262</v>
      </c>
      <c r="X596" s="33" t="s">
        <v>1261</v>
      </c>
      <c r="Y596" s="22" t="s">
        <v>136</v>
      </c>
      <c r="Z596" s="35">
        <v>40178</v>
      </c>
      <c r="AA596" s="34">
        <v>10207</v>
      </c>
      <c r="AB596" s="33" t="s">
        <v>285</v>
      </c>
      <c r="AC596" s="35">
        <v>40178</v>
      </c>
      <c r="AD596" s="35">
        <v>40543</v>
      </c>
      <c r="AE596" s="36"/>
      <c r="AF596" s="43"/>
      <c r="AG596" s="25">
        <v>60960</v>
      </c>
      <c r="AH596" s="77"/>
      <c r="AI596" s="77"/>
      <c r="AJ596" s="77"/>
      <c r="AK596" s="77"/>
      <c r="AL596" s="87">
        <f>O596-AH596+AG596-AH597+AG597-AH598+AG598-AH599+AG599-AH600+AG600-AH601+AG601-AH602+AG602-AH603+AG603-AH604+AG604-AH605+AG605</f>
        <v>695094.1100000001</v>
      </c>
      <c r="AM596" s="87">
        <f>386676.83+77104.32+6425.36+6425.36+6425.36+6425.36+6425.36+6425.36+6425.36+6425.364+6425.36+6425.36+6425.36+6425.36+6425.36+6425.36+6425.36+6425.36+6425.36+6425.36+6425.36+6425.36+6425.36+6425.36+6425.36+6425.36</f>
        <v>617989.79399999976</v>
      </c>
      <c r="AN596" s="38">
        <f>6425.36+6425.36+6425.36+6425.36+6425.36+6425.36+6425.36+6425.36+6425.36+6425.36</f>
        <v>64253.599999999999</v>
      </c>
      <c r="AO596" s="38">
        <f>AM596+AN596</f>
        <v>682243.39399999974</v>
      </c>
      <c r="AP596" s="39"/>
      <c r="AQ596" s="22"/>
      <c r="AR596" s="22"/>
      <c r="AS596" s="19"/>
      <c r="AT596" s="19"/>
      <c r="AU596" s="19"/>
      <c r="AV596" s="19" t="s">
        <v>121</v>
      </c>
      <c r="AW596" s="45" t="s">
        <v>119</v>
      </c>
      <c r="AX596" s="45" t="s">
        <v>562</v>
      </c>
      <c r="AY596" s="29">
        <v>39860</v>
      </c>
      <c r="AZ596" s="45" t="s">
        <v>562</v>
      </c>
      <c r="BA596" s="29">
        <v>39860</v>
      </c>
      <c r="BB596" s="19"/>
      <c r="BC596" s="27"/>
      <c r="BD596" s="19"/>
      <c r="BE596" s="19"/>
      <c r="BF596" s="19"/>
      <c r="BG596" s="19"/>
      <c r="BH596" s="19"/>
      <c r="BI596" s="19"/>
      <c r="BJ596" s="19"/>
      <c r="BK596" s="19"/>
      <c r="BL596" s="19"/>
      <c r="BM596" s="19"/>
    </row>
    <row r="597" spans="1:65" ht="30" x14ac:dyDescent="0.25">
      <c r="A597" s="159"/>
      <c r="B597" s="154"/>
      <c r="C597" s="19"/>
      <c r="D597" s="27"/>
      <c r="E597" s="19"/>
      <c r="F597" s="32"/>
      <c r="G597" s="28"/>
      <c r="H597" s="23"/>
      <c r="I597" s="23"/>
      <c r="J597" s="23"/>
      <c r="K597" s="45"/>
      <c r="L597" s="143"/>
      <c r="M597" s="27"/>
      <c r="N597" s="31"/>
      <c r="O597" s="78"/>
      <c r="P597" s="30"/>
      <c r="Q597" s="31"/>
      <c r="R597" s="31"/>
      <c r="S597" s="27"/>
      <c r="T597" s="32"/>
      <c r="U597" s="148"/>
      <c r="V597" s="148"/>
      <c r="W597" s="86"/>
      <c r="X597" s="33" t="s">
        <v>1261</v>
      </c>
      <c r="Y597" s="22" t="s">
        <v>140</v>
      </c>
      <c r="Z597" s="35">
        <v>40543</v>
      </c>
      <c r="AA597" s="34">
        <v>10445</v>
      </c>
      <c r="AB597" s="33" t="s">
        <v>285</v>
      </c>
      <c r="AC597" s="61">
        <v>40543</v>
      </c>
      <c r="AD597" s="61">
        <v>40908</v>
      </c>
      <c r="AE597" s="36"/>
      <c r="AF597" s="43"/>
      <c r="AG597" s="25">
        <v>60960</v>
      </c>
      <c r="AH597" s="77"/>
      <c r="AI597" s="77"/>
      <c r="AJ597" s="77"/>
      <c r="AK597" s="77"/>
      <c r="AL597" s="87"/>
      <c r="AM597" s="87"/>
      <c r="AN597" s="38"/>
      <c r="AO597" s="38"/>
      <c r="AP597" s="19"/>
      <c r="AQ597" s="22"/>
      <c r="AR597" s="22"/>
      <c r="AS597" s="19"/>
      <c r="AT597" s="19"/>
      <c r="AU597" s="19"/>
      <c r="AV597" s="19"/>
      <c r="AW597" s="45"/>
      <c r="AX597" s="45"/>
      <c r="AY597" s="29"/>
      <c r="AZ597" s="45"/>
      <c r="BA597" s="29"/>
      <c r="BB597" s="19"/>
      <c r="BC597" s="27"/>
      <c r="BD597" s="19"/>
      <c r="BE597" s="19"/>
      <c r="BF597" s="19"/>
      <c r="BG597" s="19"/>
      <c r="BH597" s="19"/>
      <c r="BI597" s="19"/>
      <c r="BJ597" s="19"/>
      <c r="BK597" s="19"/>
      <c r="BL597" s="19"/>
      <c r="BM597" s="19"/>
    </row>
    <row r="598" spans="1:65" ht="30" x14ac:dyDescent="0.25">
      <c r="A598" s="159"/>
      <c r="B598" s="154"/>
      <c r="C598" s="19"/>
      <c r="D598" s="27"/>
      <c r="E598" s="19"/>
      <c r="F598" s="32"/>
      <c r="G598" s="28"/>
      <c r="H598" s="23"/>
      <c r="I598" s="23"/>
      <c r="J598" s="23"/>
      <c r="K598" s="45"/>
      <c r="L598" s="143"/>
      <c r="M598" s="27"/>
      <c r="N598" s="31"/>
      <c r="O598" s="78"/>
      <c r="P598" s="30"/>
      <c r="Q598" s="31"/>
      <c r="R598" s="31"/>
      <c r="S598" s="27"/>
      <c r="T598" s="32"/>
      <c r="U598" s="148"/>
      <c r="V598" s="148"/>
      <c r="W598" s="86"/>
      <c r="X598" s="33" t="s">
        <v>1261</v>
      </c>
      <c r="Y598" s="22" t="s">
        <v>185</v>
      </c>
      <c r="Z598" s="35">
        <v>40908</v>
      </c>
      <c r="AA598" s="34">
        <v>10738</v>
      </c>
      <c r="AB598" s="33" t="s">
        <v>285</v>
      </c>
      <c r="AC598" s="61">
        <v>40908</v>
      </c>
      <c r="AD598" s="61">
        <v>41274</v>
      </c>
      <c r="AE598" s="36"/>
      <c r="AF598" s="43"/>
      <c r="AG598" s="25">
        <v>60960</v>
      </c>
      <c r="AH598" s="77"/>
      <c r="AI598" s="77"/>
      <c r="AJ598" s="77"/>
      <c r="AK598" s="77"/>
      <c r="AL598" s="87"/>
      <c r="AM598" s="87"/>
      <c r="AN598" s="38"/>
      <c r="AO598" s="38"/>
      <c r="AP598" s="19"/>
      <c r="AQ598" s="22"/>
      <c r="AR598" s="22"/>
      <c r="AS598" s="19"/>
      <c r="AT598" s="19"/>
      <c r="AU598" s="19"/>
      <c r="AV598" s="19"/>
      <c r="AW598" s="45"/>
      <c r="AX598" s="45"/>
      <c r="AY598" s="29"/>
      <c r="AZ598" s="45"/>
      <c r="BA598" s="29"/>
      <c r="BB598" s="19"/>
      <c r="BC598" s="27"/>
      <c r="BD598" s="19"/>
      <c r="BE598" s="19"/>
      <c r="BF598" s="19"/>
      <c r="BG598" s="19"/>
      <c r="BH598" s="19"/>
      <c r="BI598" s="19"/>
      <c r="BJ598" s="19"/>
      <c r="BK598" s="19"/>
      <c r="BL598" s="19"/>
      <c r="BM598" s="19"/>
    </row>
    <row r="599" spans="1:65" ht="30" x14ac:dyDescent="0.25">
      <c r="A599" s="159"/>
      <c r="B599" s="154"/>
      <c r="C599" s="19"/>
      <c r="D599" s="27"/>
      <c r="E599" s="19"/>
      <c r="F599" s="32"/>
      <c r="G599" s="28"/>
      <c r="H599" s="23"/>
      <c r="I599" s="23"/>
      <c r="J599" s="23"/>
      <c r="K599" s="45"/>
      <c r="L599" s="143"/>
      <c r="M599" s="27"/>
      <c r="N599" s="31"/>
      <c r="O599" s="78"/>
      <c r="P599" s="30"/>
      <c r="Q599" s="31"/>
      <c r="R599" s="31"/>
      <c r="S599" s="27"/>
      <c r="T599" s="32"/>
      <c r="U599" s="148"/>
      <c r="V599" s="148"/>
      <c r="W599" s="86"/>
      <c r="X599" s="33" t="s">
        <v>1261</v>
      </c>
      <c r="Y599" s="22" t="s">
        <v>186</v>
      </c>
      <c r="Z599" s="35">
        <v>41274</v>
      </c>
      <c r="AA599" s="34">
        <v>10970</v>
      </c>
      <c r="AB599" s="33" t="s">
        <v>285</v>
      </c>
      <c r="AC599" s="61">
        <v>41274</v>
      </c>
      <c r="AD599" s="61">
        <v>41639</v>
      </c>
      <c r="AE599" s="36"/>
      <c r="AF599" s="43"/>
      <c r="AG599" s="25">
        <v>60960</v>
      </c>
      <c r="AH599" s="77"/>
      <c r="AI599" s="77"/>
      <c r="AJ599" s="77"/>
      <c r="AK599" s="77"/>
      <c r="AL599" s="87"/>
      <c r="AM599" s="87"/>
      <c r="AN599" s="38"/>
      <c r="AO599" s="38"/>
      <c r="AP599" s="19"/>
      <c r="AQ599" s="22"/>
      <c r="AR599" s="22"/>
      <c r="AS599" s="19"/>
      <c r="AT599" s="19"/>
      <c r="AU599" s="19"/>
      <c r="AV599" s="19"/>
      <c r="AW599" s="45"/>
      <c r="AX599" s="45"/>
      <c r="AY599" s="29"/>
      <c r="AZ599" s="45"/>
      <c r="BA599" s="29"/>
      <c r="BB599" s="19"/>
      <c r="BC599" s="27"/>
      <c r="BD599" s="19"/>
      <c r="BE599" s="19"/>
      <c r="BF599" s="19"/>
      <c r="BG599" s="19"/>
      <c r="BH599" s="19"/>
      <c r="BI599" s="19"/>
      <c r="BJ599" s="19"/>
      <c r="BK599" s="19"/>
      <c r="BL599" s="19"/>
      <c r="BM599" s="19"/>
    </row>
    <row r="600" spans="1:65" ht="30" x14ac:dyDescent="0.25">
      <c r="A600" s="159"/>
      <c r="B600" s="154"/>
      <c r="C600" s="19"/>
      <c r="D600" s="27"/>
      <c r="E600" s="19"/>
      <c r="F600" s="32"/>
      <c r="G600" s="28"/>
      <c r="H600" s="23"/>
      <c r="I600" s="23"/>
      <c r="J600" s="23"/>
      <c r="K600" s="45"/>
      <c r="L600" s="143"/>
      <c r="M600" s="27"/>
      <c r="N600" s="31"/>
      <c r="O600" s="78"/>
      <c r="P600" s="30"/>
      <c r="Q600" s="31"/>
      <c r="R600" s="31"/>
      <c r="S600" s="27"/>
      <c r="T600" s="32"/>
      <c r="U600" s="148"/>
      <c r="V600" s="148"/>
      <c r="W600" s="86"/>
      <c r="X600" s="33" t="s">
        <v>1261</v>
      </c>
      <c r="Y600" s="22" t="s">
        <v>187</v>
      </c>
      <c r="Z600" s="35">
        <v>41394</v>
      </c>
      <c r="AA600" s="34">
        <v>11045</v>
      </c>
      <c r="AB600" s="33" t="s">
        <v>286</v>
      </c>
      <c r="AC600" s="35">
        <v>41395</v>
      </c>
      <c r="AD600" s="22" t="s">
        <v>113</v>
      </c>
      <c r="AE600" s="36">
        <v>22.0244</v>
      </c>
      <c r="AF600" s="43"/>
      <c r="AG600" s="25">
        <v>8950.75</v>
      </c>
      <c r="AH600" s="77"/>
      <c r="AI600" s="77"/>
      <c r="AJ600" s="77"/>
      <c r="AK600" s="77"/>
      <c r="AL600" s="87"/>
      <c r="AM600" s="87"/>
      <c r="AN600" s="38"/>
      <c r="AO600" s="38"/>
      <c r="AP600" s="19"/>
      <c r="AQ600" s="22"/>
      <c r="AR600" s="22"/>
      <c r="AS600" s="19"/>
      <c r="AT600" s="19"/>
      <c r="AU600" s="19"/>
      <c r="AV600" s="19"/>
      <c r="AW600" s="45"/>
      <c r="AX600" s="45"/>
      <c r="AY600" s="29"/>
      <c r="AZ600" s="45"/>
      <c r="BA600" s="29"/>
      <c r="BB600" s="19"/>
      <c r="BC600" s="27"/>
      <c r="BD600" s="19"/>
      <c r="BE600" s="19"/>
      <c r="BF600" s="19"/>
      <c r="BG600" s="19"/>
      <c r="BH600" s="19"/>
      <c r="BI600" s="19"/>
      <c r="BJ600" s="19"/>
      <c r="BK600" s="19"/>
      <c r="BL600" s="19"/>
      <c r="BM600" s="19"/>
    </row>
    <row r="601" spans="1:65" ht="30" x14ac:dyDescent="0.25">
      <c r="A601" s="159"/>
      <c r="B601" s="154"/>
      <c r="C601" s="19"/>
      <c r="D601" s="27"/>
      <c r="E601" s="19"/>
      <c r="F601" s="32"/>
      <c r="G601" s="28"/>
      <c r="H601" s="23"/>
      <c r="I601" s="23"/>
      <c r="J601" s="23"/>
      <c r="K601" s="45"/>
      <c r="L601" s="143"/>
      <c r="M601" s="27"/>
      <c r="N601" s="31"/>
      <c r="O601" s="78"/>
      <c r="P601" s="30"/>
      <c r="Q601" s="31"/>
      <c r="R601" s="31"/>
      <c r="S601" s="27"/>
      <c r="T601" s="32"/>
      <c r="U601" s="148"/>
      <c r="V601" s="148"/>
      <c r="W601" s="86"/>
      <c r="X601" s="33" t="s">
        <v>1261</v>
      </c>
      <c r="Y601" s="22" t="s">
        <v>117</v>
      </c>
      <c r="Z601" s="35">
        <v>41639</v>
      </c>
      <c r="AA601" s="34">
        <v>11214</v>
      </c>
      <c r="AB601" s="33" t="s">
        <v>283</v>
      </c>
      <c r="AC601" s="35">
        <v>41639</v>
      </c>
      <c r="AD601" s="35">
        <v>42004</v>
      </c>
      <c r="AE601" s="36"/>
      <c r="AF601" s="43"/>
      <c r="AG601" s="25">
        <v>74386.080000000002</v>
      </c>
      <c r="AH601" s="77"/>
      <c r="AI601" s="77"/>
      <c r="AJ601" s="77"/>
      <c r="AK601" s="77"/>
      <c r="AL601" s="87"/>
      <c r="AM601" s="87"/>
      <c r="AN601" s="38"/>
      <c r="AO601" s="38"/>
      <c r="AP601" s="19"/>
      <c r="AQ601" s="22"/>
      <c r="AR601" s="22"/>
      <c r="AS601" s="19"/>
      <c r="AT601" s="19"/>
      <c r="AU601" s="19"/>
      <c r="AV601" s="19"/>
      <c r="AW601" s="45"/>
      <c r="AX601" s="45"/>
      <c r="AY601" s="29"/>
      <c r="AZ601" s="45"/>
      <c r="BA601" s="29"/>
      <c r="BB601" s="19"/>
      <c r="BC601" s="27"/>
      <c r="BD601" s="19"/>
      <c r="BE601" s="19"/>
      <c r="BF601" s="19"/>
      <c r="BG601" s="19"/>
      <c r="BH601" s="19"/>
      <c r="BI601" s="19"/>
      <c r="BJ601" s="19"/>
      <c r="BK601" s="19"/>
      <c r="BL601" s="19"/>
      <c r="BM601" s="19"/>
    </row>
    <row r="602" spans="1:65" ht="90" x14ac:dyDescent="0.25">
      <c r="A602" s="159"/>
      <c r="B602" s="154"/>
      <c r="C602" s="19"/>
      <c r="D602" s="27"/>
      <c r="E602" s="19"/>
      <c r="F602" s="32"/>
      <c r="G602" s="28"/>
      <c r="H602" s="23"/>
      <c r="I602" s="23"/>
      <c r="J602" s="23"/>
      <c r="K602" s="45"/>
      <c r="L602" s="143"/>
      <c r="M602" s="27"/>
      <c r="N602" s="31"/>
      <c r="O602" s="78"/>
      <c r="P602" s="30"/>
      <c r="Q602" s="31"/>
      <c r="R602" s="31"/>
      <c r="S602" s="27"/>
      <c r="T602" s="32"/>
      <c r="U602" s="148"/>
      <c r="V602" s="148"/>
      <c r="W602" s="86"/>
      <c r="X602" s="33" t="s">
        <v>1261</v>
      </c>
      <c r="Y602" s="22" t="s">
        <v>120</v>
      </c>
      <c r="Z602" s="35">
        <v>41988</v>
      </c>
      <c r="AA602" s="34">
        <v>11462</v>
      </c>
      <c r="AB602" s="33" t="s">
        <v>319</v>
      </c>
      <c r="AC602" s="35">
        <v>42004</v>
      </c>
      <c r="AD602" s="35">
        <v>42369</v>
      </c>
      <c r="AE602" s="36">
        <v>3.6543000000000001</v>
      </c>
      <c r="AF602" s="43"/>
      <c r="AG602" s="25">
        <v>77104.320000000007</v>
      </c>
      <c r="AH602" s="77"/>
      <c r="AI602" s="77"/>
      <c r="AJ602" s="77"/>
      <c r="AK602" s="77"/>
      <c r="AL602" s="87"/>
      <c r="AM602" s="87"/>
      <c r="AN602" s="38"/>
      <c r="AO602" s="38"/>
      <c r="AP602" s="19"/>
      <c r="AQ602" s="22"/>
      <c r="AR602" s="22"/>
      <c r="AS602" s="19"/>
      <c r="AT602" s="19"/>
      <c r="AU602" s="19"/>
      <c r="AV602" s="19"/>
      <c r="AW602" s="45"/>
      <c r="AX602" s="45"/>
      <c r="AY602" s="29"/>
      <c r="AZ602" s="45"/>
      <c r="BA602" s="29"/>
      <c r="BB602" s="19"/>
      <c r="BC602" s="27"/>
      <c r="BD602" s="19"/>
      <c r="BE602" s="19"/>
      <c r="BF602" s="19"/>
      <c r="BG602" s="19"/>
      <c r="BH602" s="19"/>
      <c r="BI602" s="19"/>
      <c r="BJ602" s="19"/>
      <c r="BK602" s="19"/>
      <c r="BL602" s="19"/>
      <c r="BM602" s="19"/>
    </row>
    <row r="603" spans="1:65" ht="90" x14ac:dyDescent="0.25">
      <c r="A603" s="159"/>
      <c r="B603" s="154"/>
      <c r="C603" s="19"/>
      <c r="D603" s="27"/>
      <c r="E603" s="19"/>
      <c r="F603" s="32"/>
      <c r="G603" s="28"/>
      <c r="H603" s="23"/>
      <c r="I603" s="23"/>
      <c r="J603" s="23"/>
      <c r="K603" s="45"/>
      <c r="L603" s="143"/>
      <c r="M603" s="27"/>
      <c r="N603" s="31"/>
      <c r="O603" s="78"/>
      <c r="P603" s="30"/>
      <c r="Q603" s="31"/>
      <c r="R603" s="31"/>
      <c r="S603" s="27"/>
      <c r="T603" s="32"/>
      <c r="U603" s="148"/>
      <c r="V603" s="148"/>
      <c r="W603" s="86"/>
      <c r="X603" s="33" t="s">
        <v>1261</v>
      </c>
      <c r="Y603" s="22" t="s">
        <v>118</v>
      </c>
      <c r="Z603" s="35">
        <v>42352</v>
      </c>
      <c r="AA603" s="34">
        <v>11715</v>
      </c>
      <c r="AB603" s="33" t="s">
        <v>450</v>
      </c>
      <c r="AC603" s="35">
        <v>42369</v>
      </c>
      <c r="AD603" s="35">
        <v>42735</v>
      </c>
      <c r="AE603" s="36"/>
      <c r="AF603" s="43"/>
      <c r="AG603" s="25">
        <v>77104.320000000007</v>
      </c>
      <c r="AH603" s="77"/>
      <c r="AI603" s="77"/>
      <c r="AJ603" s="77"/>
      <c r="AK603" s="77"/>
      <c r="AL603" s="87"/>
      <c r="AM603" s="87"/>
      <c r="AN603" s="38"/>
      <c r="AO603" s="38"/>
      <c r="AP603" s="19"/>
      <c r="AQ603" s="22"/>
      <c r="AR603" s="22"/>
      <c r="AS603" s="19"/>
      <c r="AT603" s="19"/>
      <c r="AU603" s="19"/>
      <c r="AV603" s="19"/>
      <c r="AW603" s="45"/>
      <c r="AX603" s="45"/>
      <c r="AY603" s="29"/>
      <c r="AZ603" s="45"/>
      <c r="BA603" s="29"/>
      <c r="BB603" s="19"/>
      <c r="BC603" s="27"/>
      <c r="BD603" s="19"/>
      <c r="BE603" s="19"/>
      <c r="BF603" s="19"/>
      <c r="BG603" s="19"/>
      <c r="BH603" s="19"/>
      <c r="BI603" s="19"/>
      <c r="BJ603" s="19"/>
      <c r="BK603" s="19"/>
      <c r="BL603" s="19"/>
      <c r="BM603" s="19"/>
    </row>
    <row r="604" spans="1:65" ht="90" x14ac:dyDescent="0.25">
      <c r="A604" s="159"/>
      <c r="B604" s="154"/>
      <c r="C604" s="19"/>
      <c r="D604" s="27"/>
      <c r="E604" s="19"/>
      <c r="F604" s="32"/>
      <c r="G604" s="32"/>
      <c r="H604" s="20"/>
      <c r="I604" s="20"/>
      <c r="J604" s="20"/>
      <c r="K604" s="19"/>
      <c r="L604" s="143"/>
      <c r="M604" s="27"/>
      <c r="N604" s="27"/>
      <c r="O604" s="78"/>
      <c r="P604" s="27"/>
      <c r="Q604" s="27"/>
      <c r="R604" s="27"/>
      <c r="S604" s="27"/>
      <c r="T604" s="32"/>
      <c r="U604" s="148"/>
      <c r="V604" s="148"/>
      <c r="W604" s="32"/>
      <c r="X604" s="33" t="s">
        <v>1261</v>
      </c>
      <c r="Y604" s="22" t="s">
        <v>279</v>
      </c>
      <c r="Z604" s="35">
        <v>42723</v>
      </c>
      <c r="AA604" s="34">
        <v>11965</v>
      </c>
      <c r="AB604" s="33" t="s">
        <v>661</v>
      </c>
      <c r="AC604" s="35">
        <v>42735</v>
      </c>
      <c r="AD604" s="35">
        <v>43100</v>
      </c>
      <c r="AE604" s="36"/>
      <c r="AF604" s="43"/>
      <c r="AG604" s="25">
        <v>77104.320000000007</v>
      </c>
      <c r="AH604" s="77"/>
      <c r="AI604" s="38"/>
      <c r="AJ604" s="38"/>
      <c r="AK604" s="38"/>
      <c r="AL604" s="87"/>
      <c r="AM604" s="87"/>
      <c r="AN604" s="38"/>
      <c r="AO604" s="38"/>
      <c r="AP604" s="19"/>
      <c r="AQ604" s="19"/>
      <c r="AR604" s="19"/>
      <c r="AS604" s="19"/>
      <c r="AT604" s="19"/>
      <c r="AU604" s="19"/>
      <c r="AV604" s="19"/>
      <c r="AW604" s="45"/>
      <c r="AX604" s="45"/>
      <c r="AY604" s="29"/>
      <c r="AZ604" s="45"/>
      <c r="BA604" s="29"/>
      <c r="BB604" s="19"/>
      <c r="BC604" s="27"/>
      <c r="BD604" s="19"/>
      <c r="BE604" s="19"/>
      <c r="BF604" s="19"/>
      <c r="BG604" s="19"/>
      <c r="BH604" s="19"/>
      <c r="BI604" s="19"/>
      <c r="BJ604" s="19"/>
      <c r="BK604" s="19"/>
      <c r="BL604" s="19"/>
      <c r="BM604" s="19"/>
    </row>
    <row r="605" spans="1:65" ht="90" x14ac:dyDescent="0.25">
      <c r="A605" s="159"/>
      <c r="B605" s="154"/>
      <c r="C605" s="19"/>
      <c r="D605" s="27"/>
      <c r="E605" s="19"/>
      <c r="F605" s="32"/>
      <c r="G605" s="32"/>
      <c r="H605" s="19"/>
      <c r="I605" s="19"/>
      <c r="J605" s="19"/>
      <c r="K605" s="19"/>
      <c r="L605" s="143"/>
      <c r="M605" s="27"/>
      <c r="N605" s="27"/>
      <c r="O605" s="78"/>
      <c r="P605" s="27"/>
      <c r="Q605" s="27"/>
      <c r="R605" s="27"/>
      <c r="S605" s="27"/>
      <c r="T605" s="32"/>
      <c r="U605" s="148"/>
      <c r="V605" s="148"/>
      <c r="W605" s="32"/>
      <c r="X605" s="33" t="s">
        <v>1261</v>
      </c>
      <c r="Y605" s="22" t="s">
        <v>376</v>
      </c>
      <c r="Z605" s="35">
        <v>43077</v>
      </c>
      <c r="AA605" s="34">
        <v>12203</v>
      </c>
      <c r="AB605" s="33" t="s">
        <v>1151</v>
      </c>
      <c r="AC605" s="35">
        <v>43100</v>
      </c>
      <c r="AD605" s="35">
        <v>43465</v>
      </c>
      <c r="AE605" s="36"/>
      <c r="AF605" s="43"/>
      <c r="AG605" s="25">
        <v>77104.320000000007</v>
      </c>
      <c r="AH605" s="77"/>
      <c r="AI605" s="38"/>
      <c r="AJ605" s="38"/>
      <c r="AK605" s="38"/>
      <c r="AL605" s="87"/>
      <c r="AM605" s="87"/>
      <c r="AN605" s="38"/>
      <c r="AO605" s="38"/>
      <c r="AP605" s="19"/>
      <c r="AQ605" s="19"/>
      <c r="AR605" s="19"/>
      <c r="AS605" s="19"/>
      <c r="AT605" s="19"/>
      <c r="AU605" s="19"/>
      <c r="AV605" s="19"/>
      <c r="AW605" s="45"/>
      <c r="AX605" s="45"/>
      <c r="AY605" s="29"/>
      <c r="AZ605" s="45"/>
      <c r="BA605" s="29"/>
      <c r="BB605" s="19"/>
      <c r="BC605" s="27"/>
      <c r="BD605" s="19"/>
      <c r="BE605" s="19"/>
      <c r="BF605" s="19"/>
      <c r="BG605" s="19"/>
      <c r="BH605" s="19"/>
      <c r="BI605" s="19"/>
      <c r="BJ605" s="19"/>
      <c r="BK605" s="19"/>
      <c r="BL605" s="19"/>
      <c r="BM605" s="19"/>
    </row>
    <row r="606" spans="1:65" ht="30" x14ac:dyDescent="0.25">
      <c r="A606" s="159">
        <v>346</v>
      </c>
      <c r="B606" s="154">
        <v>123180219</v>
      </c>
      <c r="C606" s="19"/>
      <c r="D606" s="27" t="s">
        <v>138</v>
      </c>
      <c r="E606" s="19"/>
      <c r="F606" s="32" t="s">
        <v>815</v>
      </c>
      <c r="G606" s="28" t="s">
        <v>275</v>
      </c>
      <c r="H606" s="23"/>
      <c r="I606" s="23"/>
      <c r="J606" s="23"/>
      <c r="K606" s="45" t="s">
        <v>252</v>
      </c>
      <c r="L606" s="143" t="s">
        <v>263</v>
      </c>
      <c r="M606" s="27" t="s">
        <v>264</v>
      </c>
      <c r="N606" s="88">
        <v>40210</v>
      </c>
      <c r="O606" s="78">
        <v>60500</v>
      </c>
      <c r="P606" s="30" t="s">
        <v>540</v>
      </c>
      <c r="Q606" s="88">
        <v>40210</v>
      </c>
      <c r="R606" s="31">
        <v>40543</v>
      </c>
      <c r="S606" s="27" t="s">
        <v>142</v>
      </c>
      <c r="T606" s="32"/>
      <c r="U606" s="148"/>
      <c r="V606" s="148"/>
      <c r="W606" s="86" t="s">
        <v>135</v>
      </c>
      <c r="X606" s="33" t="s">
        <v>1261</v>
      </c>
      <c r="Y606" s="22" t="s">
        <v>136</v>
      </c>
      <c r="Z606" s="35">
        <v>40535</v>
      </c>
      <c r="AA606" s="34">
        <v>10449</v>
      </c>
      <c r="AB606" s="33" t="s">
        <v>283</v>
      </c>
      <c r="AC606" s="35">
        <v>40543</v>
      </c>
      <c r="AD606" s="35">
        <v>40908</v>
      </c>
      <c r="AE606" s="36"/>
      <c r="AF606" s="43"/>
      <c r="AG606" s="25">
        <v>66000</v>
      </c>
      <c r="AH606" s="77"/>
      <c r="AI606" s="77"/>
      <c r="AJ606" s="77"/>
      <c r="AK606" s="77"/>
      <c r="AL606" s="38">
        <f>O606-AH606+AG606-AH607+AG607-AH608+AG608-AH609+AG609-AH610+AG610-AH611+AG611-AH612+AG612-AH613+AG613</f>
        <v>702490.87999999989</v>
      </c>
      <c r="AM606" s="38">
        <f>360332+85539.72+7128.31+7128.31+7128.31+7128.31+7128.31+7128.31+7128.31+7128.31+7128.31+7128.31+7128.31+7128.31+7128.31+7128.31+7128.31+7128.31+7128.31+7128.31+7128.31+7128.31+7128.31+7128.31+7128.31+7128.31</f>
        <v>616951.16000000061</v>
      </c>
      <c r="AN606" s="38">
        <f>7128.31+7128.31+7128.31+7128.31+7128.31+7128.31+7128.31+7128.31+7128.31+7128.31</f>
        <v>71283.099999999991</v>
      </c>
      <c r="AO606" s="38">
        <f>AM606+AN606</f>
        <v>688234.26000000059</v>
      </c>
      <c r="AP606" s="39"/>
      <c r="AQ606" s="23"/>
      <c r="AR606" s="23"/>
      <c r="AS606" s="20"/>
      <c r="AT606" s="19"/>
      <c r="AU606" s="19"/>
      <c r="AV606" s="19" t="s">
        <v>121</v>
      </c>
      <c r="AW606" s="45" t="s">
        <v>281</v>
      </c>
      <c r="AX606" s="50" t="s">
        <v>540</v>
      </c>
      <c r="AY606" s="29">
        <v>40253</v>
      </c>
      <c r="AZ606" s="50" t="s">
        <v>540</v>
      </c>
      <c r="BA606" s="29">
        <v>40253</v>
      </c>
      <c r="BB606" s="19"/>
      <c r="BC606" s="27"/>
      <c r="BD606" s="19"/>
      <c r="BE606" s="19"/>
      <c r="BF606" s="19"/>
      <c r="BG606" s="19"/>
      <c r="BH606" s="19"/>
      <c r="BI606" s="19"/>
      <c r="BJ606" s="19"/>
      <c r="BK606" s="19"/>
      <c r="BL606" s="19"/>
      <c r="BM606" s="19"/>
    </row>
    <row r="607" spans="1:65" ht="60" x14ac:dyDescent="0.25">
      <c r="A607" s="159"/>
      <c r="B607" s="154"/>
      <c r="C607" s="19"/>
      <c r="D607" s="27"/>
      <c r="E607" s="19"/>
      <c r="F607" s="32"/>
      <c r="G607" s="28"/>
      <c r="H607" s="23"/>
      <c r="I607" s="23"/>
      <c r="J607" s="23"/>
      <c r="K607" s="45"/>
      <c r="L607" s="143"/>
      <c r="M607" s="27"/>
      <c r="N607" s="88"/>
      <c r="O607" s="78"/>
      <c r="P607" s="30"/>
      <c r="Q607" s="88"/>
      <c r="R607" s="31"/>
      <c r="S607" s="27"/>
      <c r="T607" s="32"/>
      <c r="U607" s="148"/>
      <c r="V607" s="148"/>
      <c r="W607" s="86"/>
      <c r="X607" s="33" t="s">
        <v>1261</v>
      </c>
      <c r="Y607" s="22" t="s">
        <v>140</v>
      </c>
      <c r="Z607" s="35">
        <v>40908</v>
      </c>
      <c r="AA607" s="34">
        <v>10750</v>
      </c>
      <c r="AB607" s="33" t="s">
        <v>1572</v>
      </c>
      <c r="AC607" s="35">
        <v>40908</v>
      </c>
      <c r="AD607" s="35">
        <v>41274</v>
      </c>
      <c r="AE607" s="36">
        <v>10.472720000000001</v>
      </c>
      <c r="AF607" s="43"/>
      <c r="AG607" s="25">
        <v>72912</v>
      </c>
      <c r="AH607" s="77"/>
      <c r="AI607" s="77"/>
      <c r="AJ607" s="77"/>
      <c r="AK607" s="77"/>
      <c r="AL607" s="38"/>
      <c r="AM607" s="38"/>
      <c r="AN607" s="38"/>
      <c r="AO607" s="38"/>
      <c r="AP607" s="20"/>
      <c r="AQ607" s="23"/>
      <c r="AR607" s="23"/>
      <c r="AS607" s="20"/>
      <c r="AT607" s="19"/>
      <c r="AU607" s="19"/>
      <c r="AV607" s="19"/>
      <c r="AW607" s="45"/>
      <c r="AX607" s="50"/>
      <c r="AY607" s="29"/>
      <c r="AZ607" s="50"/>
      <c r="BA607" s="29"/>
      <c r="BB607" s="19"/>
      <c r="BC607" s="27"/>
      <c r="BD607" s="19"/>
      <c r="BE607" s="19"/>
      <c r="BF607" s="19"/>
      <c r="BG607" s="19"/>
      <c r="BH607" s="19"/>
      <c r="BI607" s="19"/>
      <c r="BJ607" s="19"/>
      <c r="BK607" s="19"/>
      <c r="BL607" s="19"/>
      <c r="BM607" s="19"/>
    </row>
    <row r="608" spans="1:65" ht="60" x14ac:dyDescent="0.25">
      <c r="A608" s="159"/>
      <c r="B608" s="154"/>
      <c r="C608" s="19"/>
      <c r="D608" s="27"/>
      <c r="E608" s="19"/>
      <c r="F608" s="32"/>
      <c r="G608" s="28"/>
      <c r="H608" s="23"/>
      <c r="I608" s="23"/>
      <c r="J608" s="23"/>
      <c r="K608" s="45"/>
      <c r="L608" s="143"/>
      <c r="M608" s="27"/>
      <c r="N608" s="88"/>
      <c r="O608" s="78"/>
      <c r="P608" s="30"/>
      <c r="Q608" s="88"/>
      <c r="R608" s="31"/>
      <c r="S608" s="27"/>
      <c r="T608" s="32"/>
      <c r="U608" s="148"/>
      <c r="V608" s="148"/>
      <c r="W608" s="86"/>
      <c r="X608" s="33" t="s">
        <v>1261</v>
      </c>
      <c r="Y608" s="22" t="s">
        <v>185</v>
      </c>
      <c r="Z608" s="35">
        <v>41274</v>
      </c>
      <c r="AA608" s="34">
        <v>10963</v>
      </c>
      <c r="AB608" s="33" t="s">
        <v>1573</v>
      </c>
      <c r="AC608" s="35">
        <v>41274</v>
      </c>
      <c r="AD608" s="35">
        <v>41639</v>
      </c>
      <c r="AE608" s="36">
        <v>7.5213900000000002</v>
      </c>
      <c r="AF608" s="43"/>
      <c r="AG608" s="25">
        <v>78396</v>
      </c>
      <c r="AH608" s="77"/>
      <c r="AI608" s="77"/>
      <c r="AJ608" s="77"/>
      <c r="AK608" s="77"/>
      <c r="AL608" s="38"/>
      <c r="AM608" s="38"/>
      <c r="AN608" s="38"/>
      <c r="AO608" s="38"/>
      <c r="AP608" s="20"/>
      <c r="AQ608" s="23"/>
      <c r="AR608" s="23"/>
      <c r="AS608" s="20"/>
      <c r="AT608" s="19"/>
      <c r="AU608" s="19"/>
      <c r="AV608" s="19"/>
      <c r="AW608" s="45"/>
      <c r="AX608" s="50"/>
      <c r="AY608" s="29"/>
      <c r="AZ608" s="50"/>
      <c r="BA608" s="29"/>
      <c r="BB608" s="19"/>
      <c r="BC608" s="27"/>
      <c r="BD608" s="19"/>
      <c r="BE608" s="19"/>
      <c r="BF608" s="19"/>
      <c r="BG608" s="19"/>
      <c r="BH608" s="19"/>
      <c r="BI608" s="19"/>
      <c r="BJ608" s="19"/>
      <c r="BK608" s="19"/>
      <c r="BL608" s="19"/>
      <c r="BM608" s="19"/>
    </row>
    <row r="609" spans="1:65" ht="60" x14ac:dyDescent="0.25">
      <c r="A609" s="159"/>
      <c r="B609" s="154"/>
      <c r="C609" s="19"/>
      <c r="D609" s="27"/>
      <c r="E609" s="19"/>
      <c r="F609" s="32"/>
      <c r="G609" s="28"/>
      <c r="H609" s="23"/>
      <c r="I609" s="23"/>
      <c r="J609" s="23"/>
      <c r="K609" s="45"/>
      <c r="L609" s="143"/>
      <c r="M609" s="27"/>
      <c r="N609" s="88"/>
      <c r="O609" s="78"/>
      <c r="P609" s="30"/>
      <c r="Q609" s="88"/>
      <c r="R609" s="31"/>
      <c r="S609" s="27"/>
      <c r="T609" s="32"/>
      <c r="U609" s="148"/>
      <c r="V609" s="148"/>
      <c r="W609" s="86"/>
      <c r="X609" s="33" t="s">
        <v>1261</v>
      </c>
      <c r="Y609" s="22" t="s">
        <v>186</v>
      </c>
      <c r="Z609" s="35">
        <v>41639</v>
      </c>
      <c r="AA609" s="34">
        <v>11215</v>
      </c>
      <c r="AB609" s="33" t="s">
        <v>1574</v>
      </c>
      <c r="AC609" s="35">
        <v>41639</v>
      </c>
      <c r="AD609" s="35">
        <v>42004</v>
      </c>
      <c r="AE609" s="36">
        <v>5.2655700000000003</v>
      </c>
      <c r="AF609" s="43"/>
      <c r="AG609" s="25">
        <v>82524</v>
      </c>
      <c r="AH609" s="77"/>
      <c r="AI609" s="77"/>
      <c r="AJ609" s="77"/>
      <c r="AK609" s="77"/>
      <c r="AL609" s="38"/>
      <c r="AM609" s="38"/>
      <c r="AN609" s="38"/>
      <c r="AO609" s="38"/>
      <c r="AP609" s="20"/>
      <c r="AQ609" s="23"/>
      <c r="AR609" s="23"/>
      <c r="AS609" s="20"/>
      <c r="AT609" s="19"/>
      <c r="AU609" s="19"/>
      <c r="AV609" s="19"/>
      <c r="AW609" s="45"/>
      <c r="AX609" s="50"/>
      <c r="AY609" s="29"/>
      <c r="AZ609" s="50"/>
      <c r="BA609" s="29"/>
      <c r="BB609" s="19"/>
      <c r="BC609" s="27"/>
      <c r="BD609" s="19"/>
      <c r="BE609" s="19"/>
      <c r="BF609" s="19"/>
      <c r="BG609" s="19"/>
      <c r="BH609" s="19"/>
      <c r="BI609" s="19"/>
      <c r="BJ609" s="19"/>
      <c r="BK609" s="19"/>
      <c r="BL609" s="19"/>
      <c r="BM609" s="19"/>
    </row>
    <row r="610" spans="1:65" ht="30" x14ac:dyDescent="0.25">
      <c r="A610" s="159"/>
      <c r="B610" s="154"/>
      <c r="C610" s="19"/>
      <c r="D610" s="27"/>
      <c r="E610" s="19"/>
      <c r="F610" s="32"/>
      <c r="G610" s="28"/>
      <c r="H610" s="23"/>
      <c r="I610" s="23"/>
      <c r="J610" s="23"/>
      <c r="K610" s="45"/>
      <c r="L610" s="143"/>
      <c r="M610" s="27"/>
      <c r="N610" s="88"/>
      <c r="O610" s="78"/>
      <c r="P610" s="30"/>
      <c r="Q610" s="88"/>
      <c r="R610" s="31"/>
      <c r="S610" s="27"/>
      <c r="T610" s="32"/>
      <c r="U610" s="148"/>
      <c r="V610" s="148"/>
      <c r="W610" s="86"/>
      <c r="X610" s="33" t="s">
        <v>1261</v>
      </c>
      <c r="Y610" s="22" t="s">
        <v>187</v>
      </c>
      <c r="Z610" s="35">
        <v>41988</v>
      </c>
      <c r="AA610" s="34">
        <v>11461</v>
      </c>
      <c r="AB610" s="33" t="s">
        <v>451</v>
      </c>
      <c r="AC610" s="35">
        <v>42004</v>
      </c>
      <c r="AD610" s="35">
        <v>42369</v>
      </c>
      <c r="AE610" s="36">
        <v>3.6543000000000001</v>
      </c>
      <c r="AF610" s="43"/>
      <c r="AG610" s="25">
        <v>85539.72</v>
      </c>
      <c r="AH610" s="77"/>
      <c r="AI610" s="77"/>
      <c r="AJ610" s="77"/>
      <c r="AK610" s="77"/>
      <c r="AL610" s="38"/>
      <c r="AM610" s="38"/>
      <c r="AN610" s="38"/>
      <c r="AO610" s="38"/>
      <c r="AP610" s="20"/>
      <c r="AQ610" s="23"/>
      <c r="AR610" s="23"/>
      <c r="AS610" s="20"/>
      <c r="AT610" s="19"/>
      <c r="AU610" s="19"/>
      <c r="AV610" s="19"/>
      <c r="AW610" s="45"/>
      <c r="AX610" s="50"/>
      <c r="AY610" s="29"/>
      <c r="AZ610" s="50"/>
      <c r="BA610" s="29"/>
      <c r="BB610" s="19"/>
      <c r="BC610" s="27"/>
      <c r="BD610" s="19"/>
      <c r="BE610" s="19"/>
      <c r="BF610" s="19"/>
      <c r="BG610" s="19"/>
      <c r="BH610" s="19"/>
      <c r="BI610" s="19"/>
      <c r="BJ610" s="19"/>
      <c r="BK610" s="19"/>
      <c r="BL610" s="19"/>
      <c r="BM610" s="19"/>
    </row>
    <row r="611" spans="1:65" ht="90" x14ac:dyDescent="0.25">
      <c r="A611" s="159"/>
      <c r="B611" s="154"/>
      <c r="C611" s="19"/>
      <c r="D611" s="27"/>
      <c r="E611" s="19"/>
      <c r="F611" s="32"/>
      <c r="G611" s="28"/>
      <c r="H611" s="23"/>
      <c r="I611" s="23"/>
      <c r="J611" s="23"/>
      <c r="K611" s="45"/>
      <c r="L611" s="143"/>
      <c r="M611" s="27"/>
      <c r="N611" s="88"/>
      <c r="O611" s="78"/>
      <c r="P611" s="30"/>
      <c r="Q611" s="88"/>
      <c r="R611" s="31"/>
      <c r="S611" s="27"/>
      <c r="T611" s="32"/>
      <c r="U611" s="148"/>
      <c r="V611" s="148"/>
      <c r="W611" s="86"/>
      <c r="X611" s="33" t="s">
        <v>1261</v>
      </c>
      <c r="Y611" s="22" t="s">
        <v>117</v>
      </c>
      <c r="Z611" s="35">
        <v>42352</v>
      </c>
      <c r="AA611" s="34">
        <v>11715</v>
      </c>
      <c r="AB611" s="33" t="s">
        <v>452</v>
      </c>
      <c r="AC611" s="35">
        <v>42369</v>
      </c>
      <c r="AD611" s="35">
        <v>42735</v>
      </c>
      <c r="AE611" s="36"/>
      <c r="AF611" s="43"/>
      <c r="AG611" s="25">
        <v>85539.72</v>
      </c>
      <c r="AH611" s="77"/>
      <c r="AI611" s="77"/>
      <c r="AJ611" s="77"/>
      <c r="AK611" s="77"/>
      <c r="AL611" s="38"/>
      <c r="AM611" s="38"/>
      <c r="AN611" s="38"/>
      <c r="AO611" s="38"/>
      <c r="AP611" s="20"/>
      <c r="AQ611" s="23"/>
      <c r="AR611" s="23"/>
      <c r="AS611" s="20"/>
      <c r="AT611" s="19"/>
      <c r="AU611" s="19"/>
      <c r="AV611" s="19"/>
      <c r="AW611" s="45"/>
      <c r="AX611" s="50"/>
      <c r="AY611" s="29"/>
      <c r="AZ611" s="50"/>
      <c r="BA611" s="29"/>
      <c r="BB611" s="19"/>
      <c r="BC611" s="27"/>
      <c r="BD611" s="19"/>
      <c r="BE611" s="19"/>
      <c r="BF611" s="19"/>
      <c r="BG611" s="19"/>
      <c r="BH611" s="19"/>
      <c r="BI611" s="19"/>
      <c r="BJ611" s="19"/>
      <c r="BK611" s="19"/>
      <c r="BL611" s="19"/>
      <c r="BM611" s="19"/>
    </row>
    <row r="612" spans="1:65" ht="90" x14ac:dyDescent="0.25">
      <c r="A612" s="159"/>
      <c r="B612" s="154"/>
      <c r="C612" s="19"/>
      <c r="D612" s="27"/>
      <c r="E612" s="19"/>
      <c r="F612" s="32"/>
      <c r="G612" s="32"/>
      <c r="H612" s="20"/>
      <c r="I612" s="20"/>
      <c r="J612" s="20"/>
      <c r="K612" s="45"/>
      <c r="L612" s="143"/>
      <c r="M612" s="27"/>
      <c r="N612" s="27"/>
      <c r="O612" s="78"/>
      <c r="P612" s="27"/>
      <c r="Q612" s="27"/>
      <c r="R612" s="27"/>
      <c r="S612" s="27"/>
      <c r="T612" s="32"/>
      <c r="U612" s="148"/>
      <c r="V612" s="148"/>
      <c r="W612" s="32"/>
      <c r="X612" s="33" t="s">
        <v>1261</v>
      </c>
      <c r="Y612" s="22" t="s">
        <v>120</v>
      </c>
      <c r="Z612" s="35">
        <v>42723</v>
      </c>
      <c r="AA612" s="34">
        <v>11965</v>
      </c>
      <c r="AB612" s="33" t="s">
        <v>662</v>
      </c>
      <c r="AC612" s="35">
        <v>42735</v>
      </c>
      <c r="AD612" s="35">
        <v>43100</v>
      </c>
      <c r="AE612" s="36"/>
      <c r="AF612" s="43"/>
      <c r="AG612" s="25">
        <v>85539.72</v>
      </c>
      <c r="AH612" s="77"/>
      <c r="AI612" s="77"/>
      <c r="AJ612" s="77"/>
      <c r="AK612" s="77"/>
      <c r="AL612" s="38"/>
      <c r="AM612" s="38"/>
      <c r="AN612" s="38"/>
      <c r="AO612" s="38"/>
      <c r="AP612" s="20"/>
      <c r="AQ612" s="23"/>
      <c r="AR612" s="23"/>
      <c r="AS612" s="20"/>
      <c r="AT612" s="19"/>
      <c r="AU612" s="19"/>
      <c r="AV612" s="19"/>
      <c r="AW612" s="45"/>
      <c r="AX612" s="50"/>
      <c r="AY612" s="29"/>
      <c r="AZ612" s="50"/>
      <c r="BA612" s="29"/>
      <c r="BB612" s="19"/>
      <c r="BC612" s="27"/>
      <c r="BD612" s="19"/>
      <c r="BE612" s="19"/>
      <c r="BF612" s="19"/>
      <c r="BG612" s="19"/>
      <c r="BH612" s="19"/>
      <c r="BI612" s="19"/>
      <c r="BJ612" s="19"/>
      <c r="BK612" s="19"/>
      <c r="BL612" s="19"/>
      <c r="BM612" s="19"/>
    </row>
    <row r="613" spans="1:65" ht="90" x14ac:dyDescent="0.25">
      <c r="A613" s="159"/>
      <c r="B613" s="154"/>
      <c r="C613" s="19"/>
      <c r="D613" s="27"/>
      <c r="E613" s="19"/>
      <c r="F613" s="32"/>
      <c r="G613" s="32"/>
      <c r="H613" s="20"/>
      <c r="I613" s="20"/>
      <c r="J613" s="20"/>
      <c r="K613" s="45"/>
      <c r="L613" s="143"/>
      <c r="M613" s="27"/>
      <c r="N613" s="27"/>
      <c r="O613" s="78"/>
      <c r="P613" s="27"/>
      <c r="Q613" s="27"/>
      <c r="R613" s="27"/>
      <c r="S613" s="27"/>
      <c r="T613" s="32"/>
      <c r="U613" s="148"/>
      <c r="V613" s="148"/>
      <c r="W613" s="32"/>
      <c r="X613" s="33" t="s">
        <v>1261</v>
      </c>
      <c r="Y613" s="22" t="s">
        <v>118</v>
      </c>
      <c r="Z613" s="35">
        <v>43077</v>
      </c>
      <c r="AA613" s="34">
        <v>12205</v>
      </c>
      <c r="AB613" s="33" t="s">
        <v>662</v>
      </c>
      <c r="AC613" s="35">
        <v>43100</v>
      </c>
      <c r="AD613" s="35">
        <v>43465</v>
      </c>
      <c r="AE613" s="36"/>
      <c r="AF613" s="43"/>
      <c r="AG613" s="25">
        <v>85539.72</v>
      </c>
      <c r="AH613" s="77"/>
      <c r="AI613" s="77"/>
      <c r="AJ613" s="77"/>
      <c r="AK613" s="77"/>
      <c r="AL613" s="38"/>
      <c r="AM613" s="38"/>
      <c r="AN613" s="38"/>
      <c r="AO613" s="38"/>
      <c r="AP613" s="23"/>
      <c r="AQ613" s="23"/>
      <c r="AR613" s="23"/>
      <c r="AS613" s="23"/>
      <c r="AT613" s="22"/>
      <c r="AU613" s="22"/>
      <c r="AV613" s="22"/>
      <c r="AW613" s="24"/>
      <c r="AX613" s="34"/>
      <c r="AY613" s="35"/>
      <c r="AZ613" s="34"/>
      <c r="BA613" s="35"/>
      <c r="BB613" s="22"/>
      <c r="BC613" s="43"/>
      <c r="BD613" s="22"/>
      <c r="BE613" s="22"/>
      <c r="BF613" s="22"/>
      <c r="BG613" s="22"/>
      <c r="BH613" s="22"/>
      <c r="BI613" s="22"/>
      <c r="BJ613" s="22"/>
      <c r="BK613" s="22"/>
      <c r="BL613" s="22"/>
      <c r="BM613" s="22"/>
    </row>
    <row r="614" spans="1:65" ht="30" x14ac:dyDescent="0.25">
      <c r="A614" s="159">
        <v>347</v>
      </c>
      <c r="B614" s="154">
        <v>123320094</v>
      </c>
      <c r="C614" s="19"/>
      <c r="D614" s="27" t="s">
        <v>138</v>
      </c>
      <c r="E614" s="19"/>
      <c r="F614" s="32" t="s">
        <v>816</v>
      </c>
      <c r="G614" s="28" t="s">
        <v>275</v>
      </c>
      <c r="H614" s="23"/>
      <c r="I614" s="23"/>
      <c r="J614" s="23"/>
      <c r="K614" s="45" t="s">
        <v>253</v>
      </c>
      <c r="L614" s="143" t="s">
        <v>266</v>
      </c>
      <c r="M614" s="27" t="s">
        <v>267</v>
      </c>
      <c r="N614" s="88">
        <v>40742</v>
      </c>
      <c r="O614" s="78">
        <v>28153.33</v>
      </c>
      <c r="P614" s="30" t="s">
        <v>541</v>
      </c>
      <c r="Q614" s="88">
        <v>40742</v>
      </c>
      <c r="R614" s="31">
        <v>40908</v>
      </c>
      <c r="S614" s="27" t="s">
        <v>142</v>
      </c>
      <c r="T614" s="32"/>
      <c r="U614" s="148"/>
      <c r="V614" s="148"/>
      <c r="W614" s="86" t="s">
        <v>116</v>
      </c>
      <c r="X614" s="33" t="s">
        <v>1261</v>
      </c>
      <c r="Y614" s="22" t="s">
        <v>136</v>
      </c>
      <c r="Z614" s="35">
        <v>40907</v>
      </c>
      <c r="AA614" s="34">
        <v>10778</v>
      </c>
      <c r="AB614" s="33" t="s">
        <v>285</v>
      </c>
      <c r="AC614" s="35">
        <v>40907</v>
      </c>
      <c r="AD614" s="35">
        <v>41274</v>
      </c>
      <c r="AE614" s="36"/>
      <c r="AF614" s="22"/>
      <c r="AG614" s="25">
        <v>61800</v>
      </c>
      <c r="AH614" s="25"/>
      <c r="AI614" s="25"/>
      <c r="AJ614" s="25"/>
      <c r="AK614" s="25"/>
      <c r="AL614" s="38">
        <f>O614-AH614+AG614-AH615+AG615-AH616+AG616-AH617+AG617-AH618+AG618-AH619+AG619-AH620+AG620</f>
        <v>469786.93000000011</v>
      </c>
      <c r="AM614" s="38">
        <f>213553.33+64058.4+5338.2+5338.2+5338.2+5338.2+5338.2+5338.2+5338.2+5338.2+5338.2+5338.2+5338.2+5338.2+5338.2+5338.2+5338.2+5338.2+5338.2+5338.2+5338.2+5338.2+5338.2+5338.2+5338.2+5338.2</f>
        <v>405728.53000000026</v>
      </c>
      <c r="AN614" s="38">
        <f>5338.2+5338.2+5338.2+5338.2+5338.2+5338.2+5338.2+5338.2+5338.2+5338.2</f>
        <v>53381.999999999993</v>
      </c>
      <c r="AO614" s="38">
        <f>AM614+AN614</f>
        <v>459110.53000000026</v>
      </c>
      <c r="AP614" s="40"/>
      <c r="AQ614" s="42"/>
      <c r="AR614" s="42"/>
      <c r="AS614" s="40"/>
      <c r="AT614" s="40"/>
      <c r="AU614" s="40"/>
      <c r="AV614" s="19" t="s">
        <v>121</v>
      </c>
      <c r="AW614" s="45" t="s">
        <v>282</v>
      </c>
      <c r="AX614" s="50" t="s">
        <v>541</v>
      </c>
      <c r="AY614" s="29">
        <v>40752</v>
      </c>
      <c r="AZ614" s="50" t="s">
        <v>541</v>
      </c>
      <c r="BA614" s="29">
        <v>40752</v>
      </c>
      <c r="BB614" s="19"/>
      <c r="BC614" s="27"/>
      <c r="BD614" s="19"/>
      <c r="BE614" s="19"/>
      <c r="BF614" s="19"/>
      <c r="BG614" s="19"/>
      <c r="BH614" s="19"/>
      <c r="BI614" s="19"/>
      <c r="BJ614" s="19"/>
      <c r="BK614" s="19"/>
      <c r="BL614" s="19"/>
      <c r="BM614" s="19"/>
    </row>
    <row r="615" spans="1:65" ht="60" x14ac:dyDescent="0.25">
      <c r="A615" s="159"/>
      <c r="B615" s="154"/>
      <c r="C615" s="19"/>
      <c r="D615" s="27"/>
      <c r="E615" s="19"/>
      <c r="F615" s="32"/>
      <c r="G615" s="28"/>
      <c r="H615" s="23"/>
      <c r="I615" s="23"/>
      <c r="J615" s="23"/>
      <c r="K615" s="45"/>
      <c r="L615" s="143"/>
      <c r="M615" s="27"/>
      <c r="N615" s="88"/>
      <c r="O615" s="78"/>
      <c r="P615" s="30"/>
      <c r="Q615" s="88"/>
      <c r="R615" s="31"/>
      <c r="S615" s="27"/>
      <c r="T615" s="32"/>
      <c r="U615" s="148"/>
      <c r="V615" s="148"/>
      <c r="W615" s="86"/>
      <c r="X615" s="33" t="s">
        <v>1261</v>
      </c>
      <c r="Y615" s="22" t="s">
        <v>140</v>
      </c>
      <c r="Z615" s="35">
        <v>41274</v>
      </c>
      <c r="AA615" s="34">
        <v>10970</v>
      </c>
      <c r="AB615" s="33" t="s">
        <v>1573</v>
      </c>
      <c r="AC615" s="35">
        <v>41274</v>
      </c>
      <c r="AD615" s="35">
        <v>41639</v>
      </c>
      <c r="AE615" s="36"/>
      <c r="AF615" s="22"/>
      <c r="AG615" s="25">
        <v>61800</v>
      </c>
      <c r="AH615" s="25"/>
      <c r="AI615" s="25"/>
      <c r="AJ615" s="25"/>
      <c r="AK615" s="25"/>
      <c r="AL615" s="38"/>
      <c r="AM615" s="38"/>
      <c r="AN615" s="38"/>
      <c r="AO615" s="38"/>
      <c r="AP615" s="40"/>
      <c r="AQ615" s="42"/>
      <c r="AR615" s="42"/>
      <c r="AS615" s="40"/>
      <c r="AT615" s="40"/>
      <c r="AU615" s="40"/>
      <c r="AV615" s="19"/>
      <c r="AW615" s="45"/>
      <c r="AX615" s="50"/>
      <c r="AY615" s="29"/>
      <c r="AZ615" s="50"/>
      <c r="BA615" s="29"/>
      <c r="BB615" s="19"/>
      <c r="BC615" s="27"/>
      <c r="BD615" s="19"/>
      <c r="BE615" s="19"/>
      <c r="BF615" s="19"/>
      <c r="BG615" s="19"/>
      <c r="BH615" s="19"/>
      <c r="BI615" s="19"/>
      <c r="BJ615" s="19"/>
      <c r="BK615" s="19"/>
      <c r="BL615" s="19"/>
      <c r="BM615" s="19"/>
    </row>
    <row r="616" spans="1:65" ht="60" x14ac:dyDescent="0.25">
      <c r="A616" s="159"/>
      <c r="B616" s="154"/>
      <c r="C616" s="19"/>
      <c r="D616" s="27"/>
      <c r="E616" s="19"/>
      <c r="F616" s="32"/>
      <c r="G616" s="28"/>
      <c r="H616" s="23"/>
      <c r="I616" s="23"/>
      <c r="J616" s="23"/>
      <c r="K616" s="45"/>
      <c r="L616" s="143"/>
      <c r="M616" s="27"/>
      <c r="N616" s="88"/>
      <c r="O616" s="78"/>
      <c r="P616" s="30"/>
      <c r="Q616" s="88"/>
      <c r="R616" s="31"/>
      <c r="S616" s="27"/>
      <c r="T616" s="32"/>
      <c r="U616" s="148"/>
      <c r="V616" s="148"/>
      <c r="W616" s="86"/>
      <c r="X616" s="33" t="s">
        <v>1261</v>
      </c>
      <c r="Y616" s="22" t="s">
        <v>185</v>
      </c>
      <c r="Z616" s="35">
        <v>41639</v>
      </c>
      <c r="AA616" s="34">
        <v>11214</v>
      </c>
      <c r="AB616" s="33" t="s">
        <v>1574</v>
      </c>
      <c r="AC616" s="35">
        <v>41639</v>
      </c>
      <c r="AD616" s="35">
        <v>42004</v>
      </c>
      <c r="AE616" s="36"/>
      <c r="AF616" s="22"/>
      <c r="AG616" s="25">
        <v>61800</v>
      </c>
      <c r="AH616" s="25"/>
      <c r="AI616" s="25"/>
      <c r="AJ616" s="25"/>
      <c r="AK616" s="25"/>
      <c r="AL616" s="38"/>
      <c r="AM616" s="38"/>
      <c r="AN616" s="38"/>
      <c r="AO616" s="38"/>
      <c r="AP616" s="40"/>
      <c r="AQ616" s="42"/>
      <c r="AR616" s="42"/>
      <c r="AS616" s="40"/>
      <c r="AT616" s="40"/>
      <c r="AU616" s="40"/>
      <c r="AV616" s="19"/>
      <c r="AW616" s="45"/>
      <c r="AX616" s="50"/>
      <c r="AY616" s="29"/>
      <c r="AZ616" s="50"/>
      <c r="BA616" s="29"/>
      <c r="BB616" s="19"/>
      <c r="BC616" s="27"/>
      <c r="BD616" s="19"/>
      <c r="BE616" s="19"/>
      <c r="BF616" s="19"/>
      <c r="BG616" s="19"/>
      <c r="BH616" s="19"/>
      <c r="BI616" s="19"/>
      <c r="BJ616" s="19"/>
      <c r="BK616" s="19"/>
      <c r="BL616" s="19"/>
      <c r="BM616" s="19"/>
    </row>
    <row r="617" spans="1:65" ht="90" x14ac:dyDescent="0.25">
      <c r="A617" s="159"/>
      <c r="B617" s="154"/>
      <c r="C617" s="19"/>
      <c r="D617" s="27"/>
      <c r="E617" s="19"/>
      <c r="F617" s="32"/>
      <c r="G617" s="28"/>
      <c r="H617" s="23"/>
      <c r="I617" s="23"/>
      <c r="J617" s="23"/>
      <c r="K617" s="45"/>
      <c r="L617" s="143"/>
      <c r="M617" s="27"/>
      <c r="N617" s="88"/>
      <c r="O617" s="78"/>
      <c r="P617" s="30"/>
      <c r="Q617" s="88"/>
      <c r="R617" s="31"/>
      <c r="S617" s="27"/>
      <c r="T617" s="32"/>
      <c r="U617" s="148"/>
      <c r="V617" s="148"/>
      <c r="W617" s="86"/>
      <c r="X617" s="33" t="s">
        <v>1261</v>
      </c>
      <c r="Y617" s="22" t="s">
        <v>186</v>
      </c>
      <c r="Z617" s="35">
        <v>41988</v>
      </c>
      <c r="AA617" s="34">
        <v>11462</v>
      </c>
      <c r="AB617" s="33" t="s">
        <v>430</v>
      </c>
      <c r="AC617" s="35">
        <v>42004</v>
      </c>
      <c r="AD617" s="35">
        <v>42369</v>
      </c>
      <c r="AE617" s="36">
        <v>3.6543000000000001</v>
      </c>
      <c r="AF617" s="22"/>
      <c r="AG617" s="25">
        <v>64058.400000000001</v>
      </c>
      <c r="AH617" s="25"/>
      <c r="AI617" s="25"/>
      <c r="AJ617" s="25"/>
      <c r="AK617" s="25"/>
      <c r="AL617" s="38"/>
      <c r="AM617" s="38"/>
      <c r="AN617" s="38"/>
      <c r="AO617" s="38"/>
      <c r="AP617" s="40"/>
      <c r="AQ617" s="42"/>
      <c r="AR617" s="42"/>
      <c r="AS617" s="40"/>
      <c r="AT617" s="40"/>
      <c r="AU617" s="40"/>
      <c r="AV617" s="19"/>
      <c r="AW617" s="45"/>
      <c r="AX617" s="50"/>
      <c r="AY617" s="29"/>
      <c r="AZ617" s="50"/>
      <c r="BA617" s="29"/>
      <c r="BB617" s="19"/>
      <c r="BC617" s="27"/>
      <c r="BD617" s="19"/>
      <c r="BE617" s="19"/>
      <c r="BF617" s="19"/>
      <c r="BG617" s="19"/>
      <c r="BH617" s="19"/>
      <c r="BI617" s="19"/>
      <c r="BJ617" s="19"/>
      <c r="BK617" s="19"/>
      <c r="BL617" s="19"/>
      <c r="BM617" s="19"/>
    </row>
    <row r="618" spans="1:65" ht="90" x14ac:dyDescent="0.25">
      <c r="A618" s="159"/>
      <c r="B618" s="154"/>
      <c r="C618" s="19"/>
      <c r="D618" s="27"/>
      <c r="E618" s="19"/>
      <c r="F618" s="32"/>
      <c r="G618" s="28"/>
      <c r="H618" s="23"/>
      <c r="I618" s="23"/>
      <c r="J618" s="23"/>
      <c r="K618" s="45"/>
      <c r="L618" s="143"/>
      <c r="M618" s="27"/>
      <c r="N618" s="88"/>
      <c r="O618" s="78"/>
      <c r="P618" s="30"/>
      <c r="Q618" s="88"/>
      <c r="R618" s="31"/>
      <c r="S618" s="27"/>
      <c r="T618" s="32"/>
      <c r="U618" s="148"/>
      <c r="V618" s="148"/>
      <c r="W618" s="86"/>
      <c r="X618" s="33" t="s">
        <v>1261</v>
      </c>
      <c r="Y618" s="22" t="s">
        <v>187</v>
      </c>
      <c r="Z618" s="35">
        <v>42352</v>
      </c>
      <c r="AA618" s="34">
        <v>11715</v>
      </c>
      <c r="AB618" s="33" t="s">
        <v>459</v>
      </c>
      <c r="AC618" s="35">
        <v>42369</v>
      </c>
      <c r="AD618" s="35">
        <v>42735</v>
      </c>
      <c r="AE618" s="36"/>
      <c r="AF618" s="22"/>
      <c r="AG618" s="25">
        <v>64058.400000000001</v>
      </c>
      <c r="AH618" s="25"/>
      <c r="AI618" s="25"/>
      <c r="AJ618" s="25"/>
      <c r="AK618" s="25"/>
      <c r="AL618" s="38"/>
      <c r="AM618" s="38"/>
      <c r="AN618" s="38"/>
      <c r="AO618" s="38"/>
      <c r="AP618" s="40"/>
      <c r="AQ618" s="42"/>
      <c r="AR618" s="42"/>
      <c r="AS618" s="40"/>
      <c r="AT618" s="40"/>
      <c r="AU618" s="40"/>
      <c r="AV618" s="19"/>
      <c r="AW618" s="45"/>
      <c r="AX618" s="50"/>
      <c r="AY618" s="29"/>
      <c r="AZ618" s="50"/>
      <c r="BA618" s="29"/>
      <c r="BB618" s="19"/>
      <c r="BC618" s="27"/>
      <c r="BD618" s="19"/>
      <c r="BE618" s="19"/>
      <c r="BF618" s="19"/>
      <c r="BG618" s="19"/>
      <c r="BH618" s="19"/>
      <c r="BI618" s="19"/>
      <c r="BJ618" s="19"/>
      <c r="BK618" s="19"/>
      <c r="BL618" s="19"/>
      <c r="BM618" s="19"/>
    </row>
    <row r="619" spans="1:65" ht="90" x14ac:dyDescent="0.25">
      <c r="A619" s="159"/>
      <c r="B619" s="154"/>
      <c r="C619" s="19"/>
      <c r="D619" s="27"/>
      <c r="E619" s="19"/>
      <c r="F619" s="32"/>
      <c r="G619" s="32"/>
      <c r="H619" s="20"/>
      <c r="I619" s="20"/>
      <c r="J619" s="20"/>
      <c r="K619" s="19"/>
      <c r="L619" s="143"/>
      <c r="M619" s="27"/>
      <c r="N619" s="27"/>
      <c r="O619" s="78"/>
      <c r="P619" s="27"/>
      <c r="Q619" s="27"/>
      <c r="R619" s="27"/>
      <c r="S619" s="27"/>
      <c r="T619" s="32"/>
      <c r="U619" s="148"/>
      <c r="V619" s="148"/>
      <c r="W619" s="32"/>
      <c r="X619" s="33" t="s">
        <v>1261</v>
      </c>
      <c r="Y619" s="22" t="s">
        <v>117</v>
      </c>
      <c r="Z619" s="35">
        <v>42723</v>
      </c>
      <c r="AA619" s="34">
        <v>11965</v>
      </c>
      <c r="AB619" s="33" t="s">
        <v>667</v>
      </c>
      <c r="AC619" s="35">
        <v>42735</v>
      </c>
      <c r="AD619" s="35">
        <v>43100</v>
      </c>
      <c r="AE619" s="36"/>
      <c r="AF619" s="22"/>
      <c r="AG619" s="25">
        <v>64058.400000000001</v>
      </c>
      <c r="AH619" s="25"/>
      <c r="AI619" s="25"/>
      <c r="AJ619" s="25"/>
      <c r="AK619" s="25"/>
      <c r="AL619" s="38"/>
      <c r="AM619" s="38"/>
      <c r="AN619" s="38"/>
      <c r="AO619" s="38"/>
      <c r="AP619" s="40"/>
      <c r="AQ619" s="42"/>
      <c r="AR619" s="42"/>
      <c r="AS619" s="40"/>
      <c r="AT619" s="40"/>
      <c r="AU619" s="40"/>
      <c r="AV619" s="19"/>
      <c r="AW619" s="45"/>
      <c r="AX619" s="50"/>
      <c r="AY619" s="29"/>
      <c r="AZ619" s="50"/>
      <c r="BA619" s="29"/>
      <c r="BB619" s="19"/>
      <c r="BC619" s="27"/>
      <c r="BD619" s="19"/>
      <c r="BE619" s="19"/>
      <c r="BF619" s="19"/>
      <c r="BG619" s="19"/>
      <c r="BH619" s="19"/>
      <c r="BI619" s="19"/>
      <c r="BJ619" s="19"/>
      <c r="BK619" s="19"/>
      <c r="BL619" s="19"/>
      <c r="BM619" s="19"/>
    </row>
    <row r="620" spans="1:65" ht="90" x14ac:dyDescent="0.25">
      <c r="A620" s="159"/>
      <c r="B620" s="154"/>
      <c r="C620" s="19"/>
      <c r="D620" s="27"/>
      <c r="E620" s="19"/>
      <c r="F620" s="32"/>
      <c r="G620" s="32"/>
      <c r="H620" s="19"/>
      <c r="I620" s="19"/>
      <c r="J620" s="19"/>
      <c r="K620" s="19"/>
      <c r="L620" s="143"/>
      <c r="M620" s="27"/>
      <c r="N620" s="27"/>
      <c r="O620" s="78"/>
      <c r="P620" s="27"/>
      <c r="Q620" s="27"/>
      <c r="R620" s="27"/>
      <c r="S620" s="27"/>
      <c r="T620" s="32"/>
      <c r="U620" s="148"/>
      <c r="V620" s="148"/>
      <c r="W620" s="32"/>
      <c r="X620" s="33" t="s">
        <v>1261</v>
      </c>
      <c r="Y620" s="22" t="s">
        <v>120</v>
      </c>
      <c r="Z620" s="35">
        <v>43077</v>
      </c>
      <c r="AA620" s="34">
        <v>12203</v>
      </c>
      <c r="AB620" s="33" t="s">
        <v>1156</v>
      </c>
      <c r="AC620" s="35">
        <v>43100</v>
      </c>
      <c r="AD620" s="35">
        <v>43465</v>
      </c>
      <c r="AE620" s="36"/>
      <c r="AF620" s="22"/>
      <c r="AG620" s="25">
        <v>64058.400000000001</v>
      </c>
      <c r="AH620" s="25"/>
      <c r="AI620" s="25"/>
      <c r="AJ620" s="25"/>
      <c r="AK620" s="25"/>
      <c r="AL620" s="38"/>
      <c r="AM620" s="38"/>
      <c r="AN620" s="38"/>
      <c r="AO620" s="38"/>
      <c r="AP620" s="42"/>
      <c r="AQ620" s="42"/>
      <c r="AR620" s="42"/>
      <c r="AS620" s="42"/>
      <c r="AT620" s="42"/>
      <c r="AU620" s="42"/>
      <c r="AV620" s="22"/>
      <c r="AW620" s="24"/>
      <c r="AX620" s="34"/>
      <c r="AY620" s="35"/>
      <c r="AZ620" s="34"/>
      <c r="BA620" s="35"/>
      <c r="BB620" s="22"/>
      <c r="BC620" s="43"/>
      <c r="BD620" s="22"/>
      <c r="BE620" s="22"/>
      <c r="BF620" s="22"/>
      <c r="BG620" s="22"/>
      <c r="BH620" s="22"/>
      <c r="BI620" s="22"/>
      <c r="BJ620" s="22"/>
      <c r="BK620" s="22"/>
      <c r="BL620" s="22"/>
      <c r="BM620" s="22"/>
    </row>
    <row r="621" spans="1:65" ht="30" x14ac:dyDescent="0.25">
      <c r="A621" s="159">
        <v>348</v>
      </c>
      <c r="B621" s="154">
        <v>123320090</v>
      </c>
      <c r="C621" s="19"/>
      <c r="D621" s="27" t="s">
        <v>138</v>
      </c>
      <c r="E621" s="19"/>
      <c r="F621" s="32" t="s">
        <v>817</v>
      </c>
      <c r="G621" s="28" t="s">
        <v>275</v>
      </c>
      <c r="H621" s="23"/>
      <c r="I621" s="23"/>
      <c r="J621" s="23"/>
      <c r="K621" s="45" t="s">
        <v>254</v>
      </c>
      <c r="L621" s="143" t="s">
        <v>268</v>
      </c>
      <c r="M621" s="27" t="s">
        <v>269</v>
      </c>
      <c r="N621" s="88">
        <v>40742</v>
      </c>
      <c r="O621" s="78">
        <v>26513.33</v>
      </c>
      <c r="P621" s="30" t="s">
        <v>542</v>
      </c>
      <c r="Q621" s="88">
        <v>40742</v>
      </c>
      <c r="R621" s="31">
        <v>40908</v>
      </c>
      <c r="S621" s="27" t="s">
        <v>142</v>
      </c>
      <c r="T621" s="32"/>
      <c r="U621" s="148"/>
      <c r="V621" s="148"/>
      <c r="W621" s="86" t="s">
        <v>116</v>
      </c>
      <c r="X621" s="33" t="s">
        <v>1261</v>
      </c>
      <c r="Y621" s="22" t="s">
        <v>136</v>
      </c>
      <c r="Z621" s="35">
        <v>40907</v>
      </c>
      <c r="AA621" s="34">
        <v>10778</v>
      </c>
      <c r="AB621" s="33" t="s">
        <v>283</v>
      </c>
      <c r="AC621" s="35">
        <v>40907</v>
      </c>
      <c r="AD621" s="35">
        <v>41274</v>
      </c>
      <c r="AE621" s="36"/>
      <c r="AF621" s="43"/>
      <c r="AG621" s="25">
        <v>58200</v>
      </c>
      <c r="AH621" s="77"/>
      <c r="AI621" s="77"/>
      <c r="AJ621" s="77"/>
      <c r="AK621" s="77"/>
      <c r="AL621" s="38">
        <f>O621+AG621+AG622+AG623+AG624-AH625+AG625-AH626+AG626-AH627+AG627</f>
        <v>442420.37000000005</v>
      </c>
      <c r="AM621" s="38">
        <f>201113.33+60326.76+5027.23+5027.23+5027.23+5027.23+5027.23+5027.23+5027.23+5027.23+5027.23+5027.23+5027.23+5027.23+5027.23+5027.23+5027.23+5027.23+5027.23+5027.23+5027.23+5027.23+5027.23+5027.23+5027.23+5027.23</f>
        <v>382093.60999999958</v>
      </c>
      <c r="AN621" s="38">
        <f>5027.23+5027.23+5027.23+5027.23+5027.23+5027.23+5027.23+5027.23+5027.23+5027.23</f>
        <v>50272.299999999988</v>
      </c>
      <c r="AO621" s="38">
        <f>AM621+AN621</f>
        <v>432365.90999999957</v>
      </c>
      <c r="AP621" s="39"/>
      <c r="AQ621" s="23"/>
      <c r="AR621" s="23"/>
      <c r="AS621" s="20"/>
      <c r="AT621" s="19"/>
      <c r="AU621" s="19"/>
      <c r="AV621" s="19" t="s">
        <v>121</v>
      </c>
      <c r="AW621" s="45" t="s">
        <v>280</v>
      </c>
      <c r="AX621" s="50" t="s">
        <v>542</v>
      </c>
      <c r="AY621" s="29">
        <v>40760</v>
      </c>
      <c r="AZ621" s="50" t="s">
        <v>542</v>
      </c>
      <c r="BA621" s="29">
        <v>40760</v>
      </c>
      <c r="BB621" s="19"/>
      <c r="BC621" s="27"/>
      <c r="BD621" s="19"/>
      <c r="BE621" s="19"/>
      <c r="BF621" s="19"/>
      <c r="BG621" s="19"/>
      <c r="BH621" s="19"/>
      <c r="BI621" s="19"/>
      <c r="BJ621" s="19"/>
      <c r="BK621" s="19"/>
      <c r="BL621" s="19"/>
      <c r="BM621" s="19"/>
    </row>
    <row r="622" spans="1:65" ht="60" x14ac:dyDescent="0.25">
      <c r="A622" s="159"/>
      <c r="B622" s="154"/>
      <c r="C622" s="19"/>
      <c r="D622" s="27"/>
      <c r="E622" s="19"/>
      <c r="F622" s="32"/>
      <c r="G622" s="28"/>
      <c r="H622" s="23"/>
      <c r="I622" s="23"/>
      <c r="J622" s="23"/>
      <c r="K622" s="45"/>
      <c r="L622" s="143"/>
      <c r="M622" s="27"/>
      <c r="N622" s="88"/>
      <c r="O622" s="78"/>
      <c r="P622" s="30"/>
      <c r="Q622" s="88"/>
      <c r="R622" s="31"/>
      <c r="S622" s="27"/>
      <c r="T622" s="32"/>
      <c r="U622" s="148"/>
      <c r="V622" s="148"/>
      <c r="W622" s="86"/>
      <c r="X622" s="33" t="s">
        <v>1261</v>
      </c>
      <c r="Y622" s="22" t="s">
        <v>140</v>
      </c>
      <c r="Z622" s="35">
        <v>41274</v>
      </c>
      <c r="AA622" s="34">
        <v>10963</v>
      </c>
      <c r="AB622" s="33" t="s">
        <v>1573</v>
      </c>
      <c r="AC622" s="35">
        <v>41274</v>
      </c>
      <c r="AD622" s="35">
        <v>41639</v>
      </c>
      <c r="AE622" s="36"/>
      <c r="AF622" s="43"/>
      <c r="AG622" s="25">
        <v>58200</v>
      </c>
      <c r="AH622" s="77"/>
      <c r="AI622" s="77"/>
      <c r="AJ622" s="77"/>
      <c r="AK622" s="77"/>
      <c r="AL622" s="38"/>
      <c r="AM622" s="38"/>
      <c r="AN622" s="38"/>
      <c r="AO622" s="38"/>
      <c r="AP622" s="20"/>
      <c r="AQ622" s="23"/>
      <c r="AR622" s="23"/>
      <c r="AS622" s="20"/>
      <c r="AT622" s="19"/>
      <c r="AU622" s="19"/>
      <c r="AV622" s="19"/>
      <c r="AW622" s="45"/>
      <c r="AX622" s="50"/>
      <c r="AY622" s="29"/>
      <c r="AZ622" s="50"/>
      <c r="BA622" s="29"/>
      <c r="BB622" s="19"/>
      <c r="BC622" s="27"/>
      <c r="BD622" s="19"/>
      <c r="BE622" s="19"/>
      <c r="BF622" s="19"/>
      <c r="BG622" s="19"/>
      <c r="BH622" s="19"/>
      <c r="BI622" s="19"/>
      <c r="BJ622" s="19"/>
      <c r="BK622" s="19"/>
      <c r="BL622" s="19"/>
      <c r="BM622" s="19"/>
    </row>
    <row r="623" spans="1:65" ht="60" x14ac:dyDescent="0.25">
      <c r="A623" s="159"/>
      <c r="B623" s="154"/>
      <c r="C623" s="19"/>
      <c r="D623" s="27"/>
      <c r="E623" s="19"/>
      <c r="F623" s="32"/>
      <c r="G623" s="28"/>
      <c r="H623" s="23"/>
      <c r="I623" s="23"/>
      <c r="J623" s="23"/>
      <c r="K623" s="45"/>
      <c r="L623" s="143"/>
      <c r="M623" s="27"/>
      <c r="N623" s="88"/>
      <c r="O623" s="78"/>
      <c r="P623" s="30"/>
      <c r="Q623" s="88"/>
      <c r="R623" s="31"/>
      <c r="S623" s="27"/>
      <c r="T623" s="32"/>
      <c r="U623" s="148"/>
      <c r="V623" s="148"/>
      <c r="W623" s="86"/>
      <c r="X623" s="33" t="s">
        <v>1261</v>
      </c>
      <c r="Y623" s="22" t="s">
        <v>185</v>
      </c>
      <c r="Z623" s="35">
        <v>41639</v>
      </c>
      <c r="AA623" s="34">
        <v>11213</v>
      </c>
      <c r="AB623" s="33" t="s">
        <v>1574</v>
      </c>
      <c r="AC623" s="35">
        <v>41639</v>
      </c>
      <c r="AD623" s="35">
        <v>42004</v>
      </c>
      <c r="AE623" s="36"/>
      <c r="AF623" s="43"/>
      <c r="AG623" s="25">
        <v>58200</v>
      </c>
      <c r="AH623" s="77"/>
      <c r="AI623" s="77"/>
      <c r="AJ623" s="77"/>
      <c r="AK623" s="77"/>
      <c r="AL623" s="38"/>
      <c r="AM623" s="38"/>
      <c r="AN623" s="38"/>
      <c r="AO623" s="38"/>
      <c r="AP623" s="20"/>
      <c r="AQ623" s="23"/>
      <c r="AR623" s="23"/>
      <c r="AS623" s="20"/>
      <c r="AT623" s="19"/>
      <c r="AU623" s="19"/>
      <c r="AV623" s="19"/>
      <c r="AW623" s="45"/>
      <c r="AX623" s="50"/>
      <c r="AY623" s="29"/>
      <c r="AZ623" s="50"/>
      <c r="BA623" s="29"/>
      <c r="BB623" s="19"/>
      <c r="BC623" s="27"/>
      <c r="BD623" s="19"/>
      <c r="BE623" s="19"/>
      <c r="BF623" s="19"/>
      <c r="BG623" s="19"/>
      <c r="BH623" s="19"/>
      <c r="BI623" s="19"/>
      <c r="BJ623" s="19"/>
      <c r="BK623" s="19"/>
      <c r="BL623" s="19"/>
      <c r="BM623" s="19"/>
    </row>
    <row r="624" spans="1:65" ht="90" x14ac:dyDescent="0.25">
      <c r="A624" s="159"/>
      <c r="B624" s="154"/>
      <c r="C624" s="19"/>
      <c r="D624" s="27"/>
      <c r="E624" s="19"/>
      <c r="F624" s="32"/>
      <c r="G624" s="28"/>
      <c r="H624" s="23"/>
      <c r="I624" s="23"/>
      <c r="J624" s="23"/>
      <c r="K624" s="45"/>
      <c r="L624" s="143"/>
      <c r="M624" s="27"/>
      <c r="N624" s="88"/>
      <c r="O624" s="78"/>
      <c r="P624" s="30"/>
      <c r="Q624" s="88"/>
      <c r="R624" s="31"/>
      <c r="S624" s="27"/>
      <c r="T624" s="32"/>
      <c r="U624" s="148"/>
      <c r="V624" s="148"/>
      <c r="W624" s="86"/>
      <c r="X624" s="33" t="s">
        <v>1261</v>
      </c>
      <c r="Y624" s="22" t="s">
        <v>186</v>
      </c>
      <c r="Z624" s="35">
        <v>41988</v>
      </c>
      <c r="AA624" s="34">
        <v>11462</v>
      </c>
      <c r="AB624" s="33" t="s">
        <v>431</v>
      </c>
      <c r="AC624" s="35">
        <v>42004</v>
      </c>
      <c r="AD624" s="35">
        <v>42369</v>
      </c>
      <c r="AE624" s="36">
        <v>3.6543000000000001</v>
      </c>
      <c r="AF624" s="43"/>
      <c r="AG624" s="25">
        <v>60326.76</v>
      </c>
      <c r="AH624" s="77" t="s">
        <v>320</v>
      </c>
      <c r="AI624" s="77"/>
      <c r="AJ624" s="77"/>
      <c r="AK624" s="77"/>
      <c r="AL624" s="38"/>
      <c r="AM624" s="38"/>
      <c r="AN624" s="38"/>
      <c r="AO624" s="38"/>
      <c r="AP624" s="20"/>
      <c r="AQ624" s="23"/>
      <c r="AR624" s="23"/>
      <c r="AS624" s="20"/>
      <c r="AT624" s="19"/>
      <c r="AU624" s="19"/>
      <c r="AV624" s="19"/>
      <c r="AW624" s="45"/>
      <c r="AX624" s="50"/>
      <c r="AY624" s="29"/>
      <c r="AZ624" s="50"/>
      <c r="BA624" s="29"/>
      <c r="BB624" s="19"/>
      <c r="BC624" s="27"/>
      <c r="BD624" s="19"/>
      <c r="BE624" s="19"/>
      <c r="BF624" s="19"/>
      <c r="BG624" s="19"/>
      <c r="BH624" s="19"/>
      <c r="BI624" s="19"/>
      <c r="BJ624" s="19"/>
      <c r="BK624" s="19"/>
      <c r="BL624" s="19"/>
      <c r="BM624" s="19"/>
    </row>
    <row r="625" spans="1:65" ht="90" x14ac:dyDescent="0.25">
      <c r="A625" s="159"/>
      <c r="B625" s="154"/>
      <c r="C625" s="19"/>
      <c r="D625" s="27"/>
      <c r="E625" s="19"/>
      <c r="F625" s="32"/>
      <c r="G625" s="28"/>
      <c r="H625" s="23"/>
      <c r="I625" s="23"/>
      <c r="J625" s="23"/>
      <c r="K625" s="45"/>
      <c r="L625" s="143"/>
      <c r="M625" s="27"/>
      <c r="N625" s="88"/>
      <c r="O625" s="78"/>
      <c r="P625" s="30"/>
      <c r="Q625" s="88"/>
      <c r="R625" s="31"/>
      <c r="S625" s="27"/>
      <c r="T625" s="32"/>
      <c r="U625" s="148"/>
      <c r="V625" s="148"/>
      <c r="W625" s="86"/>
      <c r="X625" s="33" t="s">
        <v>1261</v>
      </c>
      <c r="Y625" s="22" t="s">
        <v>187</v>
      </c>
      <c r="Z625" s="35">
        <v>42352</v>
      </c>
      <c r="AA625" s="34">
        <v>11715</v>
      </c>
      <c r="AB625" s="33" t="s">
        <v>460</v>
      </c>
      <c r="AC625" s="35">
        <v>42369</v>
      </c>
      <c r="AD625" s="35">
        <v>42735</v>
      </c>
      <c r="AE625" s="36"/>
      <c r="AF625" s="43"/>
      <c r="AG625" s="25">
        <v>60326.76</v>
      </c>
      <c r="AH625" s="77"/>
      <c r="AI625" s="77"/>
      <c r="AJ625" s="77"/>
      <c r="AK625" s="77"/>
      <c r="AL625" s="38"/>
      <c r="AM625" s="38"/>
      <c r="AN625" s="38"/>
      <c r="AO625" s="38"/>
      <c r="AP625" s="20"/>
      <c r="AQ625" s="23"/>
      <c r="AR625" s="23"/>
      <c r="AS625" s="20"/>
      <c r="AT625" s="19"/>
      <c r="AU625" s="19"/>
      <c r="AV625" s="19"/>
      <c r="AW625" s="45"/>
      <c r="AX625" s="50"/>
      <c r="AY625" s="29"/>
      <c r="AZ625" s="50"/>
      <c r="BA625" s="29"/>
      <c r="BB625" s="19"/>
      <c r="BC625" s="27"/>
      <c r="BD625" s="19"/>
      <c r="BE625" s="19"/>
      <c r="BF625" s="19"/>
      <c r="BG625" s="19"/>
      <c r="BH625" s="19"/>
      <c r="BI625" s="19"/>
      <c r="BJ625" s="19"/>
      <c r="BK625" s="19"/>
      <c r="BL625" s="19"/>
      <c r="BM625" s="19"/>
    </row>
    <row r="626" spans="1:65" ht="90" x14ac:dyDescent="0.25">
      <c r="A626" s="159"/>
      <c r="B626" s="154"/>
      <c r="C626" s="19"/>
      <c r="D626" s="27"/>
      <c r="E626" s="19"/>
      <c r="F626" s="32"/>
      <c r="G626" s="28"/>
      <c r="H626" s="20"/>
      <c r="I626" s="20"/>
      <c r="J626" s="20"/>
      <c r="K626" s="45"/>
      <c r="L626" s="143"/>
      <c r="M626" s="27"/>
      <c r="N626" s="88"/>
      <c r="O626" s="78"/>
      <c r="P626" s="30"/>
      <c r="Q626" s="88"/>
      <c r="R626" s="31"/>
      <c r="S626" s="27"/>
      <c r="T626" s="32"/>
      <c r="U626" s="148"/>
      <c r="V626" s="148"/>
      <c r="W626" s="86"/>
      <c r="X626" s="33" t="s">
        <v>1261</v>
      </c>
      <c r="Y626" s="22" t="s">
        <v>117</v>
      </c>
      <c r="Z626" s="35">
        <v>42723</v>
      </c>
      <c r="AA626" s="34">
        <v>11965</v>
      </c>
      <c r="AB626" s="33" t="s">
        <v>668</v>
      </c>
      <c r="AC626" s="35">
        <v>42735</v>
      </c>
      <c r="AD626" s="35">
        <v>43100</v>
      </c>
      <c r="AE626" s="36"/>
      <c r="AF626" s="43"/>
      <c r="AG626" s="25">
        <v>60326.76</v>
      </c>
      <c r="AH626" s="77"/>
      <c r="AI626" s="77"/>
      <c r="AJ626" s="77"/>
      <c r="AK626" s="77"/>
      <c r="AL626" s="38"/>
      <c r="AM626" s="38"/>
      <c r="AN626" s="38"/>
      <c r="AO626" s="38"/>
      <c r="AP626" s="20"/>
      <c r="AQ626" s="23"/>
      <c r="AR626" s="23"/>
      <c r="AS626" s="20"/>
      <c r="AT626" s="19"/>
      <c r="AU626" s="19"/>
      <c r="AV626" s="19"/>
      <c r="AW626" s="45"/>
      <c r="AX626" s="50"/>
      <c r="AY626" s="29"/>
      <c r="AZ626" s="50"/>
      <c r="BA626" s="29"/>
      <c r="BB626" s="19"/>
      <c r="BC626" s="27"/>
      <c r="BD626" s="19"/>
      <c r="BE626" s="19"/>
      <c r="BF626" s="19"/>
      <c r="BG626" s="19"/>
      <c r="BH626" s="19"/>
      <c r="BI626" s="19"/>
      <c r="BJ626" s="19"/>
      <c r="BK626" s="19"/>
      <c r="BL626" s="19"/>
      <c r="BM626" s="19"/>
    </row>
    <row r="627" spans="1:65" ht="90" x14ac:dyDescent="0.25">
      <c r="A627" s="159"/>
      <c r="B627" s="154"/>
      <c r="C627" s="19"/>
      <c r="D627" s="27"/>
      <c r="E627" s="19"/>
      <c r="F627" s="32"/>
      <c r="G627" s="32"/>
      <c r="H627" s="19"/>
      <c r="I627" s="19"/>
      <c r="J627" s="19"/>
      <c r="K627" s="19"/>
      <c r="L627" s="143"/>
      <c r="M627" s="27"/>
      <c r="N627" s="27"/>
      <c r="O627" s="78"/>
      <c r="P627" s="27"/>
      <c r="Q627" s="27"/>
      <c r="R627" s="27"/>
      <c r="S627" s="27"/>
      <c r="T627" s="32"/>
      <c r="U627" s="148"/>
      <c r="V627" s="148"/>
      <c r="W627" s="32"/>
      <c r="X627" s="33" t="s">
        <v>1261</v>
      </c>
      <c r="Y627" s="22" t="s">
        <v>120</v>
      </c>
      <c r="Z627" s="35">
        <v>43077</v>
      </c>
      <c r="AA627" s="34">
        <v>12203</v>
      </c>
      <c r="AB627" s="33" t="s">
        <v>668</v>
      </c>
      <c r="AC627" s="35">
        <v>43100</v>
      </c>
      <c r="AD627" s="35">
        <v>43465</v>
      </c>
      <c r="AE627" s="36"/>
      <c r="AF627" s="43"/>
      <c r="AG627" s="25">
        <v>60326.76</v>
      </c>
      <c r="AH627" s="77"/>
      <c r="AI627" s="77"/>
      <c r="AJ627" s="77"/>
      <c r="AK627" s="77"/>
      <c r="AL627" s="38"/>
      <c r="AM627" s="38"/>
      <c r="AN627" s="38"/>
      <c r="AO627" s="38"/>
      <c r="AP627" s="23"/>
      <c r="AQ627" s="23"/>
      <c r="AR627" s="23"/>
      <c r="AS627" s="23"/>
      <c r="AT627" s="22"/>
      <c r="AU627" s="22"/>
      <c r="AV627" s="22"/>
      <c r="AW627" s="24"/>
      <c r="AX627" s="34"/>
      <c r="AY627" s="35"/>
      <c r="AZ627" s="34"/>
      <c r="BA627" s="35"/>
      <c r="BB627" s="22"/>
      <c r="BC627" s="43"/>
      <c r="BD627" s="22"/>
      <c r="BE627" s="22"/>
      <c r="BF627" s="22"/>
      <c r="BG627" s="22"/>
      <c r="BH627" s="22"/>
      <c r="BI627" s="22"/>
      <c r="BJ627" s="22"/>
      <c r="BK627" s="22"/>
      <c r="BL627" s="22"/>
      <c r="BM627" s="22"/>
    </row>
    <row r="628" spans="1:65" ht="30" x14ac:dyDescent="0.25">
      <c r="A628" s="159">
        <v>349</v>
      </c>
      <c r="B628" s="154">
        <v>123180222</v>
      </c>
      <c r="C628" s="19"/>
      <c r="D628" s="27" t="s">
        <v>138</v>
      </c>
      <c r="E628" s="19"/>
      <c r="F628" s="32" t="s">
        <v>818</v>
      </c>
      <c r="G628" s="28" t="s">
        <v>275</v>
      </c>
      <c r="H628" s="23"/>
      <c r="I628" s="23"/>
      <c r="J628" s="23"/>
      <c r="K628" s="45" t="s">
        <v>255</v>
      </c>
      <c r="L628" s="143" t="s">
        <v>260</v>
      </c>
      <c r="M628" s="27" t="s">
        <v>270</v>
      </c>
      <c r="N628" s="31">
        <v>40940</v>
      </c>
      <c r="O628" s="78">
        <v>140349</v>
      </c>
      <c r="P628" s="30" t="s">
        <v>543</v>
      </c>
      <c r="Q628" s="31">
        <v>40940</v>
      </c>
      <c r="R628" s="31">
        <v>41274</v>
      </c>
      <c r="S628" s="27" t="s">
        <v>142</v>
      </c>
      <c r="T628" s="32"/>
      <c r="U628" s="148"/>
      <c r="V628" s="148"/>
      <c r="W628" s="32" t="s">
        <v>116</v>
      </c>
      <c r="X628" s="33" t="s">
        <v>1261</v>
      </c>
      <c r="Y628" s="22" t="s">
        <v>136</v>
      </c>
      <c r="Z628" s="35">
        <v>41274</v>
      </c>
      <c r="AA628" s="34">
        <v>10963</v>
      </c>
      <c r="AB628" s="33" t="s">
        <v>283</v>
      </c>
      <c r="AC628" s="35">
        <v>41274</v>
      </c>
      <c r="AD628" s="35">
        <v>41639</v>
      </c>
      <c r="AE628" s="36"/>
      <c r="AF628" s="43"/>
      <c r="AG628" s="25">
        <v>153108</v>
      </c>
      <c r="AH628" s="77"/>
      <c r="AI628" s="77"/>
      <c r="AJ628" s="77"/>
      <c r="AK628" s="77"/>
      <c r="AL628" s="38">
        <f>O628-AH628+AG628-AH629+AG629-AH630+AG630-AH631+AG631-AH632+AG632-AH633+AG633</f>
        <v>1125531.2400000002</v>
      </c>
      <c r="AM628" s="38">
        <f>455145+167596.56+13966.38+13966.38+13966.38+13966.38+13966.38+13966.38+13966.38+13966.38+13966.38+13966.38+13966.38+13966.38+13966.38+13966.38+13966.38+13966.38+13966.38+13966.38+13966.38+13966.38+13966.38+13966.38+13966.38+13966.38</f>
        <v>957934.68000000017</v>
      </c>
      <c r="AN628" s="38">
        <f>13966.38+13966.38+13966.38+13966.38+13966.38+13966.38+13966.38+13966.38+13966.38+13966.38</f>
        <v>139663.80000000002</v>
      </c>
      <c r="AO628" s="38">
        <f>AM628+AN628</f>
        <v>1097598.4800000002</v>
      </c>
      <c r="AP628" s="39">
        <f>AL628-AO628</f>
        <v>27932.760000000009</v>
      </c>
      <c r="AQ628" s="22"/>
      <c r="AR628" s="22"/>
      <c r="AS628" s="19"/>
      <c r="AT628" s="19"/>
      <c r="AU628" s="19"/>
      <c r="AV628" s="19" t="s">
        <v>121</v>
      </c>
      <c r="AW628" s="45" t="s">
        <v>280</v>
      </c>
      <c r="AX628" s="50" t="s">
        <v>544</v>
      </c>
      <c r="AY628" s="29">
        <v>40973</v>
      </c>
      <c r="AZ628" s="50" t="s">
        <v>544</v>
      </c>
      <c r="BA628" s="29">
        <v>40973</v>
      </c>
      <c r="BB628" s="19"/>
      <c r="BC628" s="27"/>
      <c r="BD628" s="19"/>
      <c r="BE628" s="19"/>
      <c r="BF628" s="19"/>
      <c r="BG628" s="19"/>
      <c r="BH628" s="19"/>
      <c r="BI628" s="19"/>
      <c r="BJ628" s="19"/>
      <c r="BK628" s="19"/>
      <c r="BL628" s="19"/>
      <c r="BM628" s="19"/>
    </row>
    <row r="629" spans="1:65" ht="60" x14ac:dyDescent="0.25">
      <c r="A629" s="159"/>
      <c r="B629" s="154"/>
      <c r="C629" s="19"/>
      <c r="D629" s="27"/>
      <c r="E629" s="19"/>
      <c r="F629" s="32"/>
      <c r="G629" s="28"/>
      <c r="H629" s="23"/>
      <c r="I629" s="23"/>
      <c r="J629" s="23"/>
      <c r="K629" s="45"/>
      <c r="L629" s="143"/>
      <c r="M629" s="27"/>
      <c r="N629" s="31"/>
      <c r="O629" s="78"/>
      <c r="P629" s="30"/>
      <c r="Q629" s="31"/>
      <c r="R629" s="31"/>
      <c r="S629" s="27"/>
      <c r="T629" s="32"/>
      <c r="U629" s="148"/>
      <c r="V629" s="148"/>
      <c r="W629" s="32"/>
      <c r="X629" s="33" t="s">
        <v>1261</v>
      </c>
      <c r="Y629" s="22" t="s">
        <v>140</v>
      </c>
      <c r="Z629" s="35">
        <v>41639</v>
      </c>
      <c r="AA629" s="34">
        <v>11218</v>
      </c>
      <c r="AB629" s="33" t="s">
        <v>1574</v>
      </c>
      <c r="AC629" s="35">
        <v>41639</v>
      </c>
      <c r="AD629" s="35">
        <v>42004</v>
      </c>
      <c r="AE629" s="36">
        <v>5.6038800000000002</v>
      </c>
      <c r="AF629" s="43"/>
      <c r="AG629" s="25">
        <v>161688</v>
      </c>
      <c r="AH629" s="77"/>
      <c r="AI629" s="77"/>
      <c r="AJ629" s="77"/>
      <c r="AK629" s="77"/>
      <c r="AL629" s="38"/>
      <c r="AM629" s="38"/>
      <c r="AN629" s="38"/>
      <c r="AO629" s="38"/>
      <c r="AP629" s="19"/>
      <c r="AQ629" s="22"/>
      <c r="AR629" s="22"/>
      <c r="AS629" s="19"/>
      <c r="AT629" s="19"/>
      <c r="AU629" s="19"/>
      <c r="AV629" s="19"/>
      <c r="AW629" s="45"/>
      <c r="AX629" s="50"/>
      <c r="AY629" s="29"/>
      <c r="AZ629" s="50"/>
      <c r="BA629" s="29"/>
      <c r="BB629" s="19"/>
      <c r="BC629" s="27"/>
      <c r="BD629" s="19"/>
      <c r="BE629" s="19"/>
      <c r="BF629" s="19"/>
      <c r="BG629" s="19"/>
      <c r="BH629" s="19"/>
      <c r="BI629" s="19"/>
      <c r="BJ629" s="19"/>
      <c r="BK629" s="19"/>
      <c r="BL629" s="19"/>
      <c r="BM629" s="19"/>
    </row>
    <row r="630" spans="1:65" ht="105" x14ac:dyDescent="0.25">
      <c r="A630" s="159"/>
      <c r="B630" s="154"/>
      <c r="C630" s="19"/>
      <c r="D630" s="27"/>
      <c r="E630" s="19"/>
      <c r="F630" s="32"/>
      <c r="G630" s="28"/>
      <c r="H630" s="23"/>
      <c r="I630" s="23"/>
      <c r="J630" s="23"/>
      <c r="K630" s="45"/>
      <c r="L630" s="143"/>
      <c r="M630" s="27"/>
      <c r="N630" s="31"/>
      <c r="O630" s="78"/>
      <c r="P630" s="30"/>
      <c r="Q630" s="31"/>
      <c r="R630" s="31"/>
      <c r="S630" s="27"/>
      <c r="T630" s="32"/>
      <c r="U630" s="148"/>
      <c r="V630" s="148"/>
      <c r="W630" s="32"/>
      <c r="X630" s="33" t="s">
        <v>1261</v>
      </c>
      <c r="Y630" s="22" t="s">
        <v>185</v>
      </c>
      <c r="Z630" s="35">
        <v>41988</v>
      </c>
      <c r="AA630" s="34">
        <v>11460</v>
      </c>
      <c r="AB630" s="33" t="s">
        <v>455</v>
      </c>
      <c r="AC630" s="35">
        <v>42004</v>
      </c>
      <c r="AD630" s="35">
        <v>42369</v>
      </c>
      <c r="AE630" s="36">
        <v>3.6543000000000001</v>
      </c>
      <c r="AF630" s="43"/>
      <c r="AG630" s="25">
        <v>167596.56</v>
      </c>
      <c r="AH630" s="77"/>
      <c r="AI630" s="77"/>
      <c r="AJ630" s="77"/>
      <c r="AK630" s="77"/>
      <c r="AL630" s="38"/>
      <c r="AM630" s="38"/>
      <c r="AN630" s="38"/>
      <c r="AO630" s="38"/>
      <c r="AP630" s="19"/>
      <c r="AQ630" s="22"/>
      <c r="AR630" s="22"/>
      <c r="AS630" s="19"/>
      <c r="AT630" s="19"/>
      <c r="AU630" s="19"/>
      <c r="AV630" s="19"/>
      <c r="AW630" s="45"/>
      <c r="AX630" s="50"/>
      <c r="AY630" s="29"/>
      <c r="AZ630" s="50"/>
      <c r="BA630" s="29"/>
      <c r="BB630" s="19"/>
      <c r="BC630" s="27"/>
      <c r="BD630" s="19"/>
      <c r="BE630" s="19"/>
      <c r="BF630" s="19"/>
      <c r="BG630" s="19"/>
      <c r="BH630" s="19"/>
      <c r="BI630" s="19"/>
      <c r="BJ630" s="19"/>
      <c r="BK630" s="19"/>
      <c r="BL630" s="19"/>
      <c r="BM630" s="19"/>
    </row>
    <row r="631" spans="1:65" ht="105" x14ac:dyDescent="0.25">
      <c r="A631" s="159"/>
      <c r="B631" s="154"/>
      <c r="C631" s="19"/>
      <c r="D631" s="27"/>
      <c r="E631" s="19"/>
      <c r="F631" s="32"/>
      <c r="G631" s="28"/>
      <c r="H631" s="23"/>
      <c r="I631" s="23"/>
      <c r="J631" s="23"/>
      <c r="K631" s="45"/>
      <c r="L631" s="143"/>
      <c r="M631" s="27"/>
      <c r="N631" s="31"/>
      <c r="O631" s="78"/>
      <c r="P631" s="30"/>
      <c r="Q631" s="31"/>
      <c r="R631" s="31"/>
      <c r="S631" s="27"/>
      <c r="T631" s="32"/>
      <c r="U631" s="148"/>
      <c r="V631" s="148"/>
      <c r="W631" s="32"/>
      <c r="X631" s="33" t="s">
        <v>1261</v>
      </c>
      <c r="Y631" s="22" t="s">
        <v>186</v>
      </c>
      <c r="Z631" s="35">
        <v>42352</v>
      </c>
      <c r="AA631" s="34">
        <v>11715</v>
      </c>
      <c r="AB631" s="33" t="s">
        <v>454</v>
      </c>
      <c r="AC631" s="35">
        <v>42369</v>
      </c>
      <c r="AD631" s="35">
        <v>42735</v>
      </c>
      <c r="AE631" s="36"/>
      <c r="AF631" s="43"/>
      <c r="AG631" s="25">
        <v>167596.56</v>
      </c>
      <c r="AH631" s="77"/>
      <c r="AI631" s="77"/>
      <c r="AJ631" s="77"/>
      <c r="AK631" s="77"/>
      <c r="AL631" s="38"/>
      <c r="AM631" s="38"/>
      <c r="AN631" s="38"/>
      <c r="AO631" s="38"/>
      <c r="AP631" s="19"/>
      <c r="AQ631" s="22"/>
      <c r="AR631" s="22"/>
      <c r="AS631" s="19"/>
      <c r="AT631" s="19"/>
      <c r="AU631" s="19"/>
      <c r="AV631" s="19"/>
      <c r="AW631" s="45"/>
      <c r="AX631" s="50"/>
      <c r="AY631" s="29"/>
      <c r="AZ631" s="50"/>
      <c r="BA631" s="29"/>
      <c r="BB631" s="19"/>
      <c r="BC631" s="27"/>
      <c r="BD631" s="19"/>
      <c r="BE631" s="19"/>
      <c r="BF631" s="19"/>
      <c r="BG631" s="19"/>
      <c r="BH631" s="19"/>
      <c r="BI631" s="19"/>
      <c r="BJ631" s="19"/>
      <c r="BK631" s="19"/>
      <c r="BL631" s="19"/>
      <c r="BM631" s="19"/>
    </row>
    <row r="632" spans="1:65" ht="105" x14ac:dyDescent="0.25">
      <c r="A632" s="159"/>
      <c r="B632" s="154"/>
      <c r="C632" s="19"/>
      <c r="D632" s="27"/>
      <c r="E632" s="19"/>
      <c r="F632" s="32"/>
      <c r="G632" s="32"/>
      <c r="H632" s="20"/>
      <c r="I632" s="20"/>
      <c r="J632" s="20"/>
      <c r="K632" s="19"/>
      <c r="L632" s="143"/>
      <c r="M632" s="27"/>
      <c r="N632" s="27"/>
      <c r="O632" s="78"/>
      <c r="P632" s="27"/>
      <c r="Q632" s="27"/>
      <c r="R632" s="27"/>
      <c r="S632" s="27"/>
      <c r="T632" s="32"/>
      <c r="U632" s="148"/>
      <c r="V632" s="148"/>
      <c r="W632" s="32"/>
      <c r="X632" s="33" t="s">
        <v>1261</v>
      </c>
      <c r="Y632" s="22" t="s">
        <v>187</v>
      </c>
      <c r="Z632" s="35">
        <v>42723</v>
      </c>
      <c r="AA632" s="34">
        <v>11965</v>
      </c>
      <c r="AB632" s="33" t="s">
        <v>664</v>
      </c>
      <c r="AC632" s="35">
        <v>42735</v>
      </c>
      <c r="AD632" s="35">
        <v>43100</v>
      </c>
      <c r="AE632" s="36"/>
      <c r="AF632" s="43"/>
      <c r="AG632" s="25">
        <v>167596.56</v>
      </c>
      <c r="AH632" s="77"/>
      <c r="AI632" s="38"/>
      <c r="AJ632" s="38"/>
      <c r="AK632" s="38"/>
      <c r="AL632" s="38"/>
      <c r="AM632" s="38"/>
      <c r="AN632" s="38"/>
      <c r="AO632" s="38"/>
      <c r="AP632" s="19"/>
      <c r="AQ632" s="19"/>
      <c r="AR632" s="19"/>
      <c r="AS632" s="19"/>
      <c r="AT632" s="19"/>
      <c r="AU632" s="19"/>
      <c r="AV632" s="19"/>
      <c r="AW632" s="45"/>
      <c r="AX632" s="50"/>
      <c r="AY632" s="29"/>
      <c r="AZ632" s="50"/>
      <c r="BA632" s="29"/>
      <c r="BB632" s="19"/>
      <c r="BC632" s="27"/>
      <c r="BD632" s="19"/>
      <c r="BE632" s="19"/>
      <c r="BF632" s="19"/>
      <c r="BG632" s="19"/>
      <c r="BH632" s="19"/>
      <c r="BI632" s="19"/>
      <c r="BJ632" s="19"/>
      <c r="BK632" s="19"/>
      <c r="BL632" s="19"/>
      <c r="BM632" s="19"/>
    </row>
    <row r="633" spans="1:65" ht="90" x14ac:dyDescent="0.25">
      <c r="A633" s="159"/>
      <c r="B633" s="154"/>
      <c r="C633" s="19"/>
      <c r="D633" s="27"/>
      <c r="E633" s="19"/>
      <c r="F633" s="32"/>
      <c r="G633" s="32"/>
      <c r="H633" s="19"/>
      <c r="I633" s="19"/>
      <c r="J633" s="19"/>
      <c r="K633" s="19"/>
      <c r="L633" s="143"/>
      <c r="M633" s="27"/>
      <c r="N633" s="27"/>
      <c r="O633" s="78"/>
      <c r="P633" s="27"/>
      <c r="Q633" s="27"/>
      <c r="R633" s="27"/>
      <c r="S633" s="27"/>
      <c r="T633" s="32"/>
      <c r="U633" s="148"/>
      <c r="V633" s="148"/>
      <c r="W633" s="32"/>
      <c r="X633" s="33" t="s">
        <v>1261</v>
      </c>
      <c r="Y633" s="22" t="s">
        <v>117</v>
      </c>
      <c r="Z633" s="35">
        <v>43077</v>
      </c>
      <c r="AA633" s="34">
        <v>12203</v>
      </c>
      <c r="AB633" s="33" t="s">
        <v>1153</v>
      </c>
      <c r="AC633" s="35">
        <v>43100</v>
      </c>
      <c r="AD633" s="35">
        <v>43465</v>
      </c>
      <c r="AE633" s="36"/>
      <c r="AF633" s="43"/>
      <c r="AG633" s="25">
        <v>167596.56</v>
      </c>
      <c r="AH633" s="77"/>
      <c r="AI633" s="38"/>
      <c r="AJ633" s="38"/>
      <c r="AK633" s="38"/>
      <c r="AL633" s="38"/>
      <c r="AM633" s="38"/>
      <c r="AN633" s="38"/>
      <c r="AO633" s="38"/>
      <c r="AP633" s="19"/>
      <c r="AQ633" s="19"/>
      <c r="AR633" s="19"/>
      <c r="AS633" s="19"/>
      <c r="AT633" s="19"/>
      <c r="AU633" s="19"/>
      <c r="AV633" s="19"/>
      <c r="AW633" s="45"/>
      <c r="AX633" s="50"/>
      <c r="AY633" s="29"/>
      <c r="AZ633" s="50"/>
      <c r="BA633" s="29"/>
      <c r="BB633" s="19"/>
      <c r="BC633" s="27"/>
      <c r="BD633" s="19"/>
      <c r="BE633" s="19"/>
      <c r="BF633" s="19"/>
      <c r="BG633" s="19"/>
      <c r="BH633" s="19"/>
      <c r="BI633" s="19"/>
      <c r="BJ633" s="19"/>
      <c r="BK633" s="19"/>
      <c r="BL633" s="19"/>
      <c r="BM633" s="19"/>
    </row>
    <row r="634" spans="1:65" ht="30" x14ac:dyDescent="0.25">
      <c r="A634" s="159">
        <v>350</v>
      </c>
      <c r="B634" s="154">
        <v>123180210</v>
      </c>
      <c r="C634" s="19"/>
      <c r="D634" s="27" t="s">
        <v>138</v>
      </c>
      <c r="E634" s="19"/>
      <c r="F634" s="32" t="s">
        <v>822</v>
      </c>
      <c r="G634" s="28" t="s">
        <v>275</v>
      </c>
      <c r="H634" s="23"/>
      <c r="I634" s="23"/>
      <c r="J634" s="23"/>
      <c r="K634" s="45" t="s">
        <v>258</v>
      </c>
      <c r="L634" s="143" t="s">
        <v>260</v>
      </c>
      <c r="M634" s="27" t="s">
        <v>270</v>
      </c>
      <c r="N634" s="31">
        <v>40940</v>
      </c>
      <c r="O634" s="78">
        <v>371250</v>
      </c>
      <c r="P634" s="30" t="s">
        <v>543</v>
      </c>
      <c r="Q634" s="31">
        <v>40940</v>
      </c>
      <c r="R634" s="31">
        <v>41274</v>
      </c>
      <c r="S634" s="27" t="s">
        <v>142</v>
      </c>
      <c r="T634" s="32"/>
      <c r="U634" s="148"/>
      <c r="V634" s="148"/>
      <c r="W634" s="32" t="s">
        <v>116</v>
      </c>
      <c r="X634" s="33" t="s">
        <v>1261</v>
      </c>
      <c r="Y634" s="22" t="s">
        <v>136</v>
      </c>
      <c r="Z634" s="35">
        <v>41274</v>
      </c>
      <c r="AA634" s="34">
        <v>10963</v>
      </c>
      <c r="AB634" s="33" t="s">
        <v>283</v>
      </c>
      <c r="AC634" s="35">
        <v>41274</v>
      </c>
      <c r="AD634" s="35">
        <v>41639</v>
      </c>
      <c r="AE634" s="36"/>
      <c r="AF634" s="43"/>
      <c r="AG634" s="25">
        <v>405000</v>
      </c>
      <c r="AH634" s="77"/>
      <c r="AI634" s="77"/>
      <c r="AJ634" s="77"/>
      <c r="AK634" s="77"/>
      <c r="AL634" s="38">
        <f>O634-AH634+AG634-AH635+AG635-AH636+AG636-AH637+AG637-AH638+AG638-AH639+AG639-AH640+AG640-AH641+AG641-AH642+AG642-AH643+AG643</f>
        <v>4085289.49</v>
      </c>
      <c r="AM634" s="38">
        <f>1438606.77+653485.48+55366.59+55366.59+55366.59+55366.59+55366.59+55366.59+55366.59+55366.59+55366.59+55366.59+55366.59+55366.59+55366.59+55366.59+55366.59+55366.59+55366.59+55366.59+55366.59+55366.59+55366.59+55366.59+55366.59+55366.59</f>
        <v>3420890.4099999964</v>
      </c>
      <c r="AN634" s="38">
        <f>55366.59+55366.59+55366.59+55366.59+55366.59+55366.59+55366.59+55366.59+55366.59+55366.59</f>
        <v>553665.89999999979</v>
      </c>
      <c r="AO634" s="38">
        <f>AM634+AN634</f>
        <v>3974556.3099999963</v>
      </c>
      <c r="AP634" s="39"/>
      <c r="AQ634" s="22"/>
      <c r="AR634" s="22"/>
      <c r="AS634" s="19"/>
      <c r="AT634" s="19"/>
      <c r="AU634" s="19"/>
      <c r="AV634" s="19" t="s">
        <v>121</v>
      </c>
      <c r="AW634" s="45" t="s">
        <v>280</v>
      </c>
      <c r="AX634" s="50" t="s">
        <v>563</v>
      </c>
      <c r="AY634" s="29">
        <v>40974</v>
      </c>
      <c r="AZ634" s="50" t="s">
        <v>563</v>
      </c>
      <c r="BA634" s="29">
        <v>40974</v>
      </c>
      <c r="BB634" s="19"/>
      <c r="BC634" s="27"/>
      <c r="BD634" s="19"/>
      <c r="BE634" s="19"/>
      <c r="BF634" s="19"/>
      <c r="BG634" s="19"/>
      <c r="BH634" s="19"/>
      <c r="BI634" s="19"/>
      <c r="BJ634" s="19"/>
      <c r="BK634" s="19"/>
      <c r="BL634" s="19"/>
      <c r="BM634" s="19"/>
    </row>
    <row r="635" spans="1:65" ht="30" x14ac:dyDescent="0.25">
      <c r="A635" s="159"/>
      <c r="B635" s="154"/>
      <c r="C635" s="19"/>
      <c r="D635" s="27"/>
      <c r="E635" s="19"/>
      <c r="F635" s="32"/>
      <c r="G635" s="28"/>
      <c r="H635" s="23"/>
      <c r="I635" s="23"/>
      <c r="J635" s="23"/>
      <c r="K635" s="45"/>
      <c r="L635" s="143"/>
      <c r="M635" s="27"/>
      <c r="N635" s="31"/>
      <c r="O635" s="78"/>
      <c r="P635" s="30"/>
      <c r="Q635" s="31"/>
      <c r="R635" s="31"/>
      <c r="S635" s="27"/>
      <c r="T635" s="32"/>
      <c r="U635" s="148"/>
      <c r="V635" s="148"/>
      <c r="W635" s="32"/>
      <c r="X635" s="33" t="s">
        <v>1261</v>
      </c>
      <c r="Y635" s="22" t="s">
        <v>140</v>
      </c>
      <c r="Z635" s="35">
        <v>41548</v>
      </c>
      <c r="AA635" s="34">
        <v>11178</v>
      </c>
      <c r="AB635" s="33" t="s">
        <v>287</v>
      </c>
      <c r="AC635" s="35">
        <v>41306</v>
      </c>
      <c r="AD635" s="35">
        <v>41639</v>
      </c>
      <c r="AE635" s="51">
        <v>8.2866</v>
      </c>
      <c r="AF635" s="43"/>
      <c r="AG635" s="25">
        <v>30764.03</v>
      </c>
      <c r="AH635" s="77"/>
      <c r="AI635" s="77"/>
      <c r="AJ635" s="77"/>
      <c r="AK635" s="77"/>
      <c r="AL635" s="38"/>
      <c r="AM635" s="38"/>
      <c r="AN635" s="38"/>
      <c r="AO635" s="38"/>
      <c r="AP635" s="19"/>
      <c r="AQ635" s="22"/>
      <c r="AR635" s="22"/>
      <c r="AS635" s="19"/>
      <c r="AT635" s="19"/>
      <c r="AU635" s="19"/>
      <c r="AV635" s="19"/>
      <c r="AW635" s="45"/>
      <c r="AX635" s="50"/>
      <c r="AY635" s="29"/>
      <c r="AZ635" s="50"/>
      <c r="BA635" s="29"/>
      <c r="BB635" s="19"/>
      <c r="BC635" s="27"/>
      <c r="BD635" s="19"/>
      <c r="BE635" s="19"/>
      <c r="BF635" s="19"/>
      <c r="BG635" s="19"/>
      <c r="BH635" s="19"/>
      <c r="BI635" s="19"/>
      <c r="BJ635" s="19"/>
      <c r="BK635" s="19"/>
      <c r="BL635" s="19"/>
      <c r="BM635" s="19"/>
    </row>
    <row r="636" spans="1:65" ht="30" x14ac:dyDescent="0.25">
      <c r="A636" s="159"/>
      <c r="B636" s="154"/>
      <c r="C636" s="19"/>
      <c r="D636" s="27"/>
      <c r="E636" s="19"/>
      <c r="F636" s="32"/>
      <c r="G636" s="28"/>
      <c r="H636" s="23"/>
      <c r="I636" s="23"/>
      <c r="J636" s="23"/>
      <c r="K636" s="45"/>
      <c r="L636" s="143"/>
      <c r="M636" s="27"/>
      <c r="N636" s="31"/>
      <c r="O636" s="78"/>
      <c r="P636" s="30"/>
      <c r="Q636" s="31"/>
      <c r="R636" s="31"/>
      <c r="S636" s="27"/>
      <c r="T636" s="32"/>
      <c r="U636" s="148"/>
      <c r="V636" s="148"/>
      <c r="W636" s="32"/>
      <c r="X636" s="33" t="s">
        <v>1261</v>
      </c>
      <c r="Y636" s="22" t="s">
        <v>185</v>
      </c>
      <c r="Z636" s="35">
        <v>41548</v>
      </c>
      <c r="AA636" s="34">
        <v>11178</v>
      </c>
      <c r="AB636" s="33" t="s">
        <v>1893</v>
      </c>
      <c r="AC636" s="35">
        <v>41306</v>
      </c>
      <c r="AD636" s="35">
        <v>41639</v>
      </c>
      <c r="AE636" s="36">
        <v>26.18975</v>
      </c>
      <c r="AF636" s="43"/>
      <c r="AG636" s="25">
        <v>28714.5</v>
      </c>
      <c r="AH636" s="77"/>
      <c r="AI636" s="77"/>
      <c r="AJ636" s="77"/>
      <c r="AK636" s="77"/>
      <c r="AL636" s="38"/>
      <c r="AM636" s="38"/>
      <c r="AN636" s="38"/>
      <c r="AO636" s="38"/>
      <c r="AP636" s="19"/>
      <c r="AQ636" s="22"/>
      <c r="AR636" s="22"/>
      <c r="AS636" s="19"/>
      <c r="AT636" s="19"/>
      <c r="AU636" s="19"/>
      <c r="AV636" s="19"/>
      <c r="AW636" s="45"/>
      <c r="AX636" s="50"/>
      <c r="AY636" s="29"/>
      <c r="AZ636" s="50"/>
      <c r="BA636" s="29"/>
      <c r="BB636" s="19"/>
      <c r="BC636" s="27"/>
      <c r="BD636" s="19"/>
      <c r="BE636" s="19"/>
      <c r="BF636" s="19"/>
      <c r="BG636" s="19"/>
      <c r="BH636" s="19"/>
      <c r="BI636" s="19"/>
      <c r="BJ636" s="19"/>
      <c r="BK636" s="19"/>
      <c r="BL636" s="19"/>
      <c r="BM636" s="19"/>
    </row>
    <row r="637" spans="1:65" ht="30" x14ac:dyDescent="0.25">
      <c r="A637" s="159"/>
      <c r="B637" s="154"/>
      <c r="C637" s="19"/>
      <c r="D637" s="27"/>
      <c r="E637" s="19"/>
      <c r="F637" s="32"/>
      <c r="G637" s="28"/>
      <c r="H637" s="23"/>
      <c r="I637" s="23"/>
      <c r="J637" s="23"/>
      <c r="K637" s="45"/>
      <c r="L637" s="143"/>
      <c r="M637" s="27"/>
      <c r="N637" s="31"/>
      <c r="O637" s="78"/>
      <c r="P637" s="30"/>
      <c r="Q637" s="31"/>
      <c r="R637" s="31"/>
      <c r="S637" s="27"/>
      <c r="T637" s="32"/>
      <c r="U637" s="148"/>
      <c r="V637" s="148"/>
      <c r="W637" s="32"/>
      <c r="X637" s="33" t="s">
        <v>1261</v>
      </c>
      <c r="Y637" s="22" t="s">
        <v>186</v>
      </c>
      <c r="Z637" s="35">
        <v>41639</v>
      </c>
      <c r="AA637" s="34">
        <v>11218</v>
      </c>
      <c r="AB637" s="33" t="s">
        <v>283</v>
      </c>
      <c r="AC637" s="35">
        <v>41639</v>
      </c>
      <c r="AD637" s="35">
        <v>42004</v>
      </c>
      <c r="AE637" s="36"/>
      <c r="AF637" s="43"/>
      <c r="AG637" s="25">
        <v>553418.76</v>
      </c>
      <c r="AH637" s="77"/>
      <c r="AI637" s="77"/>
      <c r="AJ637" s="77"/>
      <c r="AK637" s="77"/>
      <c r="AL637" s="38"/>
      <c r="AM637" s="38"/>
      <c r="AN637" s="38"/>
      <c r="AO637" s="38"/>
      <c r="AP637" s="19"/>
      <c r="AQ637" s="22"/>
      <c r="AR637" s="22"/>
      <c r="AS637" s="19"/>
      <c r="AT637" s="19"/>
      <c r="AU637" s="19"/>
      <c r="AV637" s="19"/>
      <c r="AW637" s="45"/>
      <c r="AX637" s="50"/>
      <c r="AY637" s="29"/>
      <c r="AZ637" s="50"/>
      <c r="BA637" s="29"/>
      <c r="BB637" s="19"/>
      <c r="BC637" s="27"/>
      <c r="BD637" s="19"/>
      <c r="BE637" s="19"/>
      <c r="BF637" s="19"/>
      <c r="BG637" s="19"/>
      <c r="BH637" s="19"/>
      <c r="BI637" s="19"/>
      <c r="BJ637" s="19"/>
      <c r="BK637" s="19"/>
      <c r="BL637" s="19"/>
      <c r="BM637" s="19"/>
    </row>
    <row r="638" spans="1:65" ht="30" x14ac:dyDescent="0.25">
      <c r="A638" s="159"/>
      <c r="B638" s="154"/>
      <c r="C638" s="19"/>
      <c r="D638" s="27"/>
      <c r="E638" s="19"/>
      <c r="F638" s="32"/>
      <c r="G638" s="28"/>
      <c r="H638" s="23"/>
      <c r="I638" s="23"/>
      <c r="J638" s="23"/>
      <c r="K638" s="45"/>
      <c r="L638" s="143"/>
      <c r="M638" s="27"/>
      <c r="N638" s="31"/>
      <c r="O638" s="78"/>
      <c r="P638" s="30"/>
      <c r="Q638" s="31"/>
      <c r="R638" s="31"/>
      <c r="S638" s="27"/>
      <c r="T638" s="32"/>
      <c r="U638" s="148"/>
      <c r="V638" s="148"/>
      <c r="W638" s="32"/>
      <c r="X638" s="33" t="s">
        <v>1261</v>
      </c>
      <c r="Y638" s="22" t="s">
        <v>187</v>
      </c>
      <c r="Z638" s="35">
        <v>41789</v>
      </c>
      <c r="AA638" s="34">
        <v>11332</v>
      </c>
      <c r="AB638" s="33" t="s">
        <v>283</v>
      </c>
      <c r="AC638" s="35">
        <v>41789</v>
      </c>
      <c r="AD638" s="35">
        <v>42004</v>
      </c>
      <c r="AE638" s="36">
        <v>15.3207</v>
      </c>
      <c r="AF638" s="43"/>
      <c r="AG638" s="25">
        <v>49459.48</v>
      </c>
      <c r="AH638" s="77"/>
      <c r="AI638" s="77"/>
      <c r="AJ638" s="77"/>
      <c r="AK638" s="77"/>
      <c r="AL638" s="38"/>
      <c r="AM638" s="38"/>
      <c r="AN638" s="38"/>
      <c r="AO638" s="38"/>
      <c r="AP638" s="19"/>
      <c r="AQ638" s="22"/>
      <c r="AR638" s="22"/>
      <c r="AS638" s="19"/>
      <c r="AT638" s="19"/>
      <c r="AU638" s="19"/>
      <c r="AV638" s="19"/>
      <c r="AW638" s="45"/>
      <c r="AX638" s="50"/>
      <c r="AY638" s="29"/>
      <c r="AZ638" s="50"/>
      <c r="BA638" s="29"/>
      <c r="BB638" s="19"/>
      <c r="BC638" s="27"/>
      <c r="BD638" s="19"/>
      <c r="BE638" s="19"/>
      <c r="BF638" s="19"/>
      <c r="BG638" s="19"/>
      <c r="BH638" s="19"/>
      <c r="BI638" s="19"/>
      <c r="BJ638" s="19"/>
      <c r="BK638" s="19"/>
      <c r="BL638" s="19"/>
      <c r="BM638" s="19"/>
    </row>
    <row r="639" spans="1:65" ht="90" x14ac:dyDescent="0.25">
      <c r="A639" s="159"/>
      <c r="B639" s="154"/>
      <c r="C639" s="19"/>
      <c r="D639" s="27"/>
      <c r="E639" s="19"/>
      <c r="F639" s="32"/>
      <c r="G639" s="28"/>
      <c r="H639" s="23"/>
      <c r="I639" s="23"/>
      <c r="J639" s="23"/>
      <c r="K639" s="45"/>
      <c r="L639" s="143"/>
      <c r="M639" s="27"/>
      <c r="N639" s="31"/>
      <c r="O639" s="78"/>
      <c r="P639" s="30"/>
      <c r="Q639" s="31"/>
      <c r="R639" s="31"/>
      <c r="S639" s="27"/>
      <c r="T639" s="32"/>
      <c r="U639" s="148"/>
      <c r="V639" s="148"/>
      <c r="W639" s="32"/>
      <c r="X639" s="33" t="s">
        <v>1261</v>
      </c>
      <c r="Y639" s="22" t="s">
        <v>117</v>
      </c>
      <c r="Z639" s="35">
        <v>41988</v>
      </c>
      <c r="AA639" s="34">
        <v>11461</v>
      </c>
      <c r="AB639" s="33" t="s">
        <v>432</v>
      </c>
      <c r="AC639" s="35">
        <v>42004</v>
      </c>
      <c r="AD639" s="35">
        <v>42369</v>
      </c>
      <c r="AE639" s="36"/>
      <c r="AF639" s="43"/>
      <c r="AG639" s="25">
        <v>638206.43999999994</v>
      </c>
      <c r="AH639" s="77"/>
      <c r="AI639" s="77"/>
      <c r="AJ639" s="77"/>
      <c r="AK639" s="77"/>
      <c r="AL639" s="38"/>
      <c r="AM639" s="38"/>
      <c r="AN639" s="38"/>
      <c r="AO639" s="38"/>
      <c r="AP639" s="19"/>
      <c r="AQ639" s="22"/>
      <c r="AR639" s="22"/>
      <c r="AS639" s="19"/>
      <c r="AT639" s="19"/>
      <c r="AU639" s="19"/>
      <c r="AV639" s="19"/>
      <c r="AW639" s="45"/>
      <c r="AX639" s="50"/>
      <c r="AY639" s="29"/>
      <c r="AZ639" s="50"/>
      <c r="BA639" s="29"/>
      <c r="BB639" s="19"/>
      <c r="BC639" s="27"/>
      <c r="BD639" s="19"/>
      <c r="BE639" s="19"/>
      <c r="BF639" s="19"/>
      <c r="BG639" s="19"/>
      <c r="BH639" s="19"/>
      <c r="BI639" s="19"/>
      <c r="BJ639" s="19"/>
      <c r="BK639" s="19"/>
      <c r="BL639" s="19"/>
      <c r="BM639" s="19"/>
    </row>
    <row r="640" spans="1:65" ht="135" x14ac:dyDescent="0.25">
      <c r="A640" s="159"/>
      <c r="B640" s="154"/>
      <c r="C640" s="19"/>
      <c r="D640" s="27"/>
      <c r="E640" s="19"/>
      <c r="F640" s="32"/>
      <c r="G640" s="28"/>
      <c r="H640" s="23"/>
      <c r="I640" s="23"/>
      <c r="J640" s="23"/>
      <c r="K640" s="45"/>
      <c r="L640" s="143"/>
      <c r="M640" s="27"/>
      <c r="N640" s="31"/>
      <c r="O640" s="78"/>
      <c r="P640" s="30"/>
      <c r="Q640" s="31"/>
      <c r="R640" s="31"/>
      <c r="S640" s="27"/>
      <c r="T640" s="32"/>
      <c r="U640" s="148"/>
      <c r="V640" s="148"/>
      <c r="W640" s="32"/>
      <c r="X640" s="33" t="s">
        <v>365</v>
      </c>
      <c r="Y640" s="22" t="s">
        <v>120</v>
      </c>
      <c r="Z640" s="35">
        <v>42156</v>
      </c>
      <c r="AA640" s="34">
        <v>11578</v>
      </c>
      <c r="AB640" s="33" t="s">
        <v>382</v>
      </c>
      <c r="AC640" s="35"/>
      <c r="AD640" s="35"/>
      <c r="AE640" s="36"/>
      <c r="AF640" s="43"/>
      <c r="AG640" s="25">
        <v>15279.04</v>
      </c>
      <c r="AH640" s="77"/>
      <c r="AI640" s="77"/>
      <c r="AJ640" s="77"/>
      <c r="AK640" s="77"/>
      <c r="AL640" s="38"/>
      <c r="AM640" s="38"/>
      <c r="AN640" s="38"/>
      <c r="AO640" s="38"/>
      <c r="AP640" s="19"/>
      <c r="AQ640" s="22"/>
      <c r="AR640" s="22"/>
      <c r="AS640" s="19"/>
      <c r="AT640" s="19"/>
      <c r="AU640" s="19"/>
      <c r="AV640" s="19"/>
      <c r="AW640" s="45"/>
      <c r="AX640" s="50"/>
      <c r="AY640" s="29"/>
      <c r="AZ640" s="50"/>
      <c r="BA640" s="29"/>
      <c r="BB640" s="19"/>
      <c r="BC640" s="27"/>
      <c r="BD640" s="19"/>
      <c r="BE640" s="19"/>
      <c r="BF640" s="19"/>
      <c r="BG640" s="19"/>
      <c r="BH640" s="19"/>
      <c r="BI640" s="19"/>
      <c r="BJ640" s="19"/>
      <c r="BK640" s="19"/>
      <c r="BL640" s="19"/>
      <c r="BM640" s="19"/>
    </row>
    <row r="641" spans="1:65" ht="90" x14ac:dyDescent="0.25">
      <c r="A641" s="159"/>
      <c r="B641" s="154"/>
      <c r="C641" s="19"/>
      <c r="D641" s="27"/>
      <c r="E641" s="19"/>
      <c r="F641" s="32"/>
      <c r="G641" s="28"/>
      <c r="H641" s="23"/>
      <c r="I641" s="23"/>
      <c r="J641" s="23"/>
      <c r="K641" s="45"/>
      <c r="L641" s="143"/>
      <c r="M641" s="27"/>
      <c r="N641" s="31"/>
      <c r="O641" s="78"/>
      <c r="P641" s="30"/>
      <c r="Q641" s="31"/>
      <c r="R641" s="31"/>
      <c r="S641" s="27"/>
      <c r="T641" s="32"/>
      <c r="U641" s="148"/>
      <c r="V641" s="148"/>
      <c r="W641" s="32"/>
      <c r="X641" s="33" t="s">
        <v>1261</v>
      </c>
      <c r="Y641" s="22" t="s">
        <v>118</v>
      </c>
      <c r="Z641" s="35">
        <v>42352</v>
      </c>
      <c r="AA641" s="34">
        <v>11715</v>
      </c>
      <c r="AB641" s="33" t="s">
        <v>456</v>
      </c>
      <c r="AC641" s="35">
        <v>42369</v>
      </c>
      <c r="AD641" s="35">
        <v>42735</v>
      </c>
      <c r="AE641" s="36"/>
      <c r="AF641" s="43"/>
      <c r="AG641" s="25">
        <v>664399.07999999996</v>
      </c>
      <c r="AH641" s="77"/>
      <c r="AI641" s="77"/>
      <c r="AJ641" s="77"/>
      <c r="AK641" s="77"/>
      <c r="AL641" s="38"/>
      <c r="AM641" s="38"/>
      <c r="AN641" s="38"/>
      <c r="AO641" s="38"/>
      <c r="AP641" s="19"/>
      <c r="AQ641" s="22"/>
      <c r="AR641" s="22"/>
      <c r="AS641" s="19"/>
      <c r="AT641" s="19"/>
      <c r="AU641" s="19"/>
      <c r="AV641" s="19"/>
      <c r="AW641" s="45"/>
      <c r="AX641" s="50"/>
      <c r="AY641" s="29"/>
      <c r="AZ641" s="50"/>
      <c r="BA641" s="29"/>
      <c r="BB641" s="19"/>
      <c r="BC641" s="27"/>
      <c r="BD641" s="19"/>
      <c r="BE641" s="19"/>
      <c r="BF641" s="19"/>
      <c r="BG641" s="19"/>
      <c r="BH641" s="19"/>
      <c r="BI641" s="19"/>
      <c r="BJ641" s="19"/>
      <c r="BK641" s="19"/>
      <c r="BL641" s="19"/>
      <c r="BM641" s="19"/>
    </row>
    <row r="642" spans="1:65" ht="105" x14ac:dyDescent="0.25">
      <c r="A642" s="159"/>
      <c r="B642" s="154"/>
      <c r="C642" s="19"/>
      <c r="D642" s="27"/>
      <c r="E642" s="19"/>
      <c r="F642" s="32"/>
      <c r="G642" s="32"/>
      <c r="H642" s="20"/>
      <c r="I642" s="20"/>
      <c r="J642" s="20"/>
      <c r="K642" s="19"/>
      <c r="L642" s="143"/>
      <c r="M642" s="27"/>
      <c r="N642" s="27"/>
      <c r="O642" s="78"/>
      <c r="P642" s="27"/>
      <c r="Q642" s="27"/>
      <c r="R642" s="27"/>
      <c r="S642" s="27"/>
      <c r="T642" s="32"/>
      <c r="U642" s="148"/>
      <c r="V642" s="148"/>
      <c r="W642" s="32"/>
      <c r="X642" s="33" t="s">
        <v>1261</v>
      </c>
      <c r="Y642" s="22" t="s">
        <v>279</v>
      </c>
      <c r="Z642" s="35">
        <v>42723</v>
      </c>
      <c r="AA642" s="34">
        <v>11965</v>
      </c>
      <c r="AB642" s="33" t="s">
        <v>665</v>
      </c>
      <c r="AC642" s="35">
        <v>42735</v>
      </c>
      <c r="AD642" s="35">
        <v>43100</v>
      </c>
      <c r="AE642" s="36"/>
      <c r="AF642" s="43"/>
      <c r="AG642" s="25">
        <v>664399.07999999996</v>
      </c>
      <c r="AH642" s="77"/>
      <c r="AI642" s="38"/>
      <c r="AJ642" s="38"/>
      <c r="AK642" s="38"/>
      <c r="AL642" s="38"/>
      <c r="AM642" s="38"/>
      <c r="AN642" s="38"/>
      <c r="AO642" s="38"/>
      <c r="AP642" s="19"/>
      <c r="AQ642" s="22"/>
      <c r="AR642" s="22"/>
      <c r="AS642" s="19"/>
      <c r="AT642" s="19"/>
      <c r="AU642" s="19"/>
      <c r="AV642" s="19"/>
      <c r="AW642" s="45"/>
      <c r="AX642" s="50"/>
      <c r="AY642" s="29"/>
      <c r="AZ642" s="50"/>
      <c r="BA642" s="29"/>
      <c r="BB642" s="19"/>
      <c r="BC642" s="27"/>
      <c r="BD642" s="19"/>
      <c r="BE642" s="19"/>
      <c r="BF642" s="19"/>
      <c r="BG642" s="19"/>
      <c r="BH642" s="19"/>
      <c r="BI642" s="19"/>
      <c r="BJ642" s="19"/>
      <c r="BK642" s="19"/>
      <c r="BL642" s="19"/>
      <c r="BM642" s="19"/>
    </row>
    <row r="643" spans="1:65" ht="105" x14ac:dyDescent="0.25">
      <c r="A643" s="159"/>
      <c r="B643" s="154"/>
      <c r="C643" s="19"/>
      <c r="D643" s="27"/>
      <c r="E643" s="19"/>
      <c r="F643" s="32"/>
      <c r="G643" s="32"/>
      <c r="H643" s="19"/>
      <c r="I643" s="19"/>
      <c r="J643" s="19"/>
      <c r="K643" s="19"/>
      <c r="L643" s="143"/>
      <c r="M643" s="27"/>
      <c r="N643" s="27"/>
      <c r="O643" s="78"/>
      <c r="P643" s="27"/>
      <c r="Q643" s="27"/>
      <c r="R643" s="27"/>
      <c r="S643" s="27"/>
      <c r="T643" s="32"/>
      <c r="U643" s="148"/>
      <c r="V643" s="148"/>
      <c r="W643" s="32"/>
      <c r="X643" s="33" t="s">
        <v>1261</v>
      </c>
      <c r="Y643" s="22" t="s">
        <v>376</v>
      </c>
      <c r="Z643" s="35">
        <v>43077</v>
      </c>
      <c r="AA643" s="34">
        <v>12203</v>
      </c>
      <c r="AB643" s="33" t="s">
        <v>665</v>
      </c>
      <c r="AC643" s="35">
        <v>43100</v>
      </c>
      <c r="AD643" s="35">
        <v>43465</v>
      </c>
      <c r="AE643" s="36"/>
      <c r="AF643" s="43"/>
      <c r="AG643" s="25">
        <v>664399.07999999996</v>
      </c>
      <c r="AH643" s="77"/>
      <c r="AI643" s="38"/>
      <c r="AJ643" s="38"/>
      <c r="AK643" s="38"/>
      <c r="AL643" s="38"/>
      <c r="AM643" s="38"/>
      <c r="AN643" s="38"/>
      <c r="AO643" s="38"/>
      <c r="AP643" s="22"/>
      <c r="AQ643" s="22"/>
      <c r="AR643" s="22"/>
      <c r="AS643" s="22"/>
      <c r="AT643" s="22"/>
      <c r="AU643" s="22"/>
      <c r="AV643" s="22"/>
      <c r="AW643" s="24"/>
      <c r="AX643" s="34"/>
      <c r="AY643" s="35"/>
      <c r="AZ643" s="34"/>
      <c r="BA643" s="35"/>
      <c r="BB643" s="22"/>
      <c r="BC643" s="43"/>
      <c r="BD643" s="22"/>
      <c r="BE643" s="22"/>
      <c r="BF643" s="22"/>
      <c r="BG643" s="22"/>
      <c r="BH643" s="22"/>
      <c r="BI643" s="22"/>
      <c r="BJ643" s="22"/>
      <c r="BK643" s="22"/>
      <c r="BL643" s="22"/>
      <c r="BM643" s="22"/>
    </row>
    <row r="644" spans="1:65" ht="45" x14ac:dyDescent="0.25">
      <c r="A644" s="159">
        <v>351</v>
      </c>
      <c r="B644" s="154">
        <v>123180215</v>
      </c>
      <c r="C644" s="19"/>
      <c r="D644" s="27" t="s">
        <v>138</v>
      </c>
      <c r="E644" s="19"/>
      <c r="F644" s="32" t="s">
        <v>819</v>
      </c>
      <c r="G644" s="28" t="s">
        <v>275</v>
      </c>
      <c r="H644" s="23"/>
      <c r="I644" s="23"/>
      <c r="J644" s="23"/>
      <c r="K644" s="45" t="s">
        <v>256</v>
      </c>
      <c r="L644" s="143" t="s">
        <v>260</v>
      </c>
      <c r="M644" s="27" t="s">
        <v>270</v>
      </c>
      <c r="N644" s="31">
        <v>40940</v>
      </c>
      <c r="O644" s="78">
        <v>115500</v>
      </c>
      <c r="P644" s="30" t="s">
        <v>543</v>
      </c>
      <c r="Q644" s="31">
        <v>40940</v>
      </c>
      <c r="R644" s="31">
        <v>41274</v>
      </c>
      <c r="S644" s="27" t="s">
        <v>142</v>
      </c>
      <c r="T644" s="32"/>
      <c r="U644" s="148"/>
      <c r="V644" s="148"/>
      <c r="W644" s="32" t="s">
        <v>116</v>
      </c>
      <c r="X644" s="33" t="s">
        <v>1261</v>
      </c>
      <c r="Y644" s="22" t="s">
        <v>136</v>
      </c>
      <c r="Z644" s="35">
        <v>41274</v>
      </c>
      <c r="AA644" s="34">
        <v>10963</v>
      </c>
      <c r="AB644" s="33" t="s">
        <v>1575</v>
      </c>
      <c r="AC644" s="35">
        <v>41274</v>
      </c>
      <c r="AD644" s="35">
        <v>41639</v>
      </c>
      <c r="AE644" s="36"/>
      <c r="AF644" s="43"/>
      <c r="AG644" s="25">
        <v>126000</v>
      </c>
      <c r="AH644" s="77"/>
      <c r="AI644" s="77"/>
      <c r="AJ644" s="77"/>
      <c r="AK644" s="77"/>
      <c r="AL644" s="38">
        <f>O644-AH644+AG644-AH645+AG645-AH646+AG646-AH647+AG647-AH648+AG648-AH649+AG649</f>
        <v>926291.04</v>
      </c>
      <c r="AM644" s="38">
        <f>374568+137930.78+11494.23+11494.23+11494.23+11494.23+11494.23+11494.23+11494.23+11494.23+11494.23+11494.23+11494.23+11494.23+11494.23+11494.23+11494.23+11494.23+11494.23+11494.23+11494.23+11494.23+11494.23+11494.23+11494.23+11494.23</f>
        <v>788360.29999999958</v>
      </c>
      <c r="AN644" s="38">
        <f>11494.23+11494.23+11494.23+11494.23+11494.23+11494.23+11494.23+11494.23+11494.23+11494.23</f>
        <v>114942.29999999997</v>
      </c>
      <c r="AO644" s="38">
        <f>AM644+AN644</f>
        <v>903302.59999999951</v>
      </c>
      <c r="AP644" s="39"/>
      <c r="AQ644" s="22"/>
      <c r="AR644" s="22"/>
      <c r="AS644" s="19"/>
      <c r="AT644" s="19"/>
      <c r="AU644" s="19"/>
      <c r="AV644" s="19" t="s">
        <v>121</v>
      </c>
      <c r="AW644" s="45" t="s">
        <v>280</v>
      </c>
      <c r="AX644" s="50" t="s">
        <v>563</v>
      </c>
      <c r="AY644" s="29">
        <v>40974</v>
      </c>
      <c r="AZ644" s="50" t="s">
        <v>563</v>
      </c>
      <c r="BA644" s="29">
        <v>40974</v>
      </c>
      <c r="BB644" s="19"/>
      <c r="BC644" s="27"/>
      <c r="BD644" s="19"/>
      <c r="BE644" s="19"/>
      <c r="BF644" s="19"/>
      <c r="BG644" s="19"/>
      <c r="BH644" s="19"/>
      <c r="BI644" s="19"/>
      <c r="BJ644" s="19"/>
      <c r="BK644" s="19"/>
      <c r="BL644" s="19"/>
      <c r="BM644" s="19"/>
    </row>
    <row r="645" spans="1:65" ht="60" x14ac:dyDescent="0.25">
      <c r="A645" s="159"/>
      <c r="B645" s="154"/>
      <c r="C645" s="19"/>
      <c r="D645" s="27"/>
      <c r="E645" s="19"/>
      <c r="F645" s="32"/>
      <c r="G645" s="28"/>
      <c r="H645" s="23"/>
      <c r="I645" s="23"/>
      <c r="J645" s="23"/>
      <c r="K645" s="45"/>
      <c r="L645" s="143"/>
      <c r="M645" s="27"/>
      <c r="N645" s="31"/>
      <c r="O645" s="78"/>
      <c r="P645" s="30"/>
      <c r="Q645" s="31"/>
      <c r="R645" s="31"/>
      <c r="S645" s="27"/>
      <c r="T645" s="32"/>
      <c r="U645" s="148"/>
      <c r="V645" s="148"/>
      <c r="W645" s="32"/>
      <c r="X645" s="33" t="s">
        <v>1261</v>
      </c>
      <c r="Y645" s="22" t="s">
        <v>140</v>
      </c>
      <c r="Z645" s="35">
        <v>41639</v>
      </c>
      <c r="AA645" s="34">
        <v>11218</v>
      </c>
      <c r="AB645" s="33" t="s">
        <v>1574</v>
      </c>
      <c r="AC645" s="35">
        <v>41639</v>
      </c>
      <c r="AD645" s="35">
        <v>42004</v>
      </c>
      <c r="AE645" s="36">
        <v>5.6095199999999998</v>
      </c>
      <c r="AF645" s="43"/>
      <c r="AG645" s="25">
        <v>133068</v>
      </c>
      <c r="AH645" s="77"/>
      <c r="AI645" s="77"/>
      <c r="AJ645" s="77"/>
      <c r="AK645" s="77"/>
      <c r="AL645" s="38"/>
      <c r="AM645" s="38"/>
      <c r="AN645" s="38"/>
      <c r="AO645" s="38"/>
      <c r="AP645" s="19"/>
      <c r="AQ645" s="22"/>
      <c r="AR645" s="22"/>
      <c r="AS645" s="19"/>
      <c r="AT645" s="19"/>
      <c r="AU645" s="19"/>
      <c r="AV645" s="19"/>
      <c r="AW645" s="45"/>
      <c r="AX645" s="50"/>
      <c r="AY645" s="29"/>
      <c r="AZ645" s="50"/>
      <c r="BA645" s="29"/>
      <c r="BB645" s="19"/>
      <c r="BC645" s="27"/>
      <c r="BD645" s="19"/>
      <c r="BE645" s="19"/>
      <c r="BF645" s="19"/>
      <c r="BG645" s="19"/>
      <c r="BH645" s="19"/>
      <c r="BI645" s="19"/>
      <c r="BJ645" s="19"/>
      <c r="BK645" s="19"/>
      <c r="BL645" s="19"/>
      <c r="BM645" s="19"/>
    </row>
    <row r="646" spans="1:65" ht="105" x14ac:dyDescent="0.25">
      <c r="A646" s="159"/>
      <c r="B646" s="154"/>
      <c r="C646" s="19"/>
      <c r="D646" s="27"/>
      <c r="E646" s="19"/>
      <c r="F646" s="32"/>
      <c r="G646" s="28"/>
      <c r="H646" s="23"/>
      <c r="I646" s="23"/>
      <c r="J646" s="23"/>
      <c r="K646" s="45"/>
      <c r="L646" s="143"/>
      <c r="M646" s="27"/>
      <c r="N646" s="31"/>
      <c r="O646" s="78"/>
      <c r="P646" s="30"/>
      <c r="Q646" s="31"/>
      <c r="R646" s="31"/>
      <c r="S646" s="27"/>
      <c r="T646" s="32"/>
      <c r="U646" s="148"/>
      <c r="V646" s="148"/>
      <c r="W646" s="32"/>
      <c r="X646" s="33" t="s">
        <v>1261</v>
      </c>
      <c r="Y646" s="22" t="s">
        <v>185</v>
      </c>
      <c r="Z646" s="35">
        <v>41988</v>
      </c>
      <c r="AA646" s="34">
        <v>11460</v>
      </c>
      <c r="AB646" s="33" t="s">
        <v>314</v>
      </c>
      <c r="AC646" s="35">
        <v>42004</v>
      </c>
      <c r="AD646" s="35">
        <v>42369</v>
      </c>
      <c r="AE646" s="36">
        <v>3.6543000000000001</v>
      </c>
      <c r="AF646" s="43"/>
      <c r="AG646" s="25">
        <v>137930.76</v>
      </c>
      <c r="AH646" s="77"/>
      <c r="AI646" s="77"/>
      <c r="AJ646" s="77"/>
      <c r="AK646" s="77"/>
      <c r="AL646" s="38"/>
      <c r="AM646" s="38"/>
      <c r="AN646" s="38"/>
      <c r="AO646" s="38"/>
      <c r="AP646" s="19"/>
      <c r="AQ646" s="22"/>
      <c r="AR646" s="22"/>
      <c r="AS646" s="19"/>
      <c r="AT646" s="19"/>
      <c r="AU646" s="19"/>
      <c r="AV646" s="19"/>
      <c r="AW646" s="45"/>
      <c r="AX646" s="50"/>
      <c r="AY646" s="29"/>
      <c r="AZ646" s="50"/>
      <c r="BA646" s="29"/>
      <c r="BB646" s="19"/>
      <c r="BC646" s="27"/>
      <c r="BD646" s="19"/>
      <c r="BE646" s="19"/>
      <c r="BF646" s="19"/>
      <c r="BG646" s="19"/>
      <c r="BH646" s="19"/>
      <c r="BI646" s="19"/>
      <c r="BJ646" s="19"/>
      <c r="BK646" s="19"/>
      <c r="BL646" s="19"/>
      <c r="BM646" s="19"/>
    </row>
    <row r="647" spans="1:65" ht="90" x14ac:dyDescent="0.25">
      <c r="A647" s="159"/>
      <c r="B647" s="154"/>
      <c r="C647" s="19"/>
      <c r="D647" s="27"/>
      <c r="E647" s="19"/>
      <c r="F647" s="32"/>
      <c r="G647" s="28"/>
      <c r="H647" s="23"/>
      <c r="I647" s="23"/>
      <c r="J647" s="23"/>
      <c r="K647" s="45"/>
      <c r="L647" s="143"/>
      <c r="M647" s="27"/>
      <c r="N647" s="31"/>
      <c r="O647" s="78"/>
      <c r="P647" s="30"/>
      <c r="Q647" s="31"/>
      <c r="R647" s="31"/>
      <c r="S647" s="27"/>
      <c r="T647" s="32"/>
      <c r="U647" s="148"/>
      <c r="V647" s="148"/>
      <c r="W647" s="32"/>
      <c r="X647" s="33" t="s">
        <v>1261</v>
      </c>
      <c r="Y647" s="22" t="s">
        <v>186</v>
      </c>
      <c r="Z647" s="35">
        <v>42352</v>
      </c>
      <c r="AA647" s="34">
        <v>11715</v>
      </c>
      <c r="AB647" s="33" t="s">
        <v>453</v>
      </c>
      <c r="AC647" s="35">
        <v>42369</v>
      </c>
      <c r="AD647" s="35">
        <v>42735</v>
      </c>
      <c r="AE647" s="36"/>
      <c r="AF647" s="43"/>
      <c r="AG647" s="25">
        <v>137930.76</v>
      </c>
      <c r="AH647" s="77"/>
      <c r="AI647" s="77"/>
      <c r="AJ647" s="77"/>
      <c r="AK647" s="77"/>
      <c r="AL647" s="38"/>
      <c r="AM647" s="38"/>
      <c r="AN647" s="38"/>
      <c r="AO647" s="38"/>
      <c r="AP647" s="19"/>
      <c r="AQ647" s="22"/>
      <c r="AR647" s="22"/>
      <c r="AS647" s="19"/>
      <c r="AT647" s="19"/>
      <c r="AU647" s="19"/>
      <c r="AV647" s="19"/>
      <c r="AW647" s="45"/>
      <c r="AX647" s="50"/>
      <c r="AY647" s="29"/>
      <c r="AZ647" s="50"/>
      <c r="BA647" s="29"/>
      <c r="BB647" s="19"/>
      <c r="BC647" s="27"/>
      <c r="BD647" s="19"/>
      <c r="BE647" s="19"/>
      <c r="BF647" s="19"/>
      <c r="BG647" s="19"/>
      <c r="BH647" s="19"/>
      <c r="BI647" s="19"/>
      <c r="BJ647" s="19"/>
      <c r="BK647" s="19"/>
      <c r="BL647" s="19"/>
      <c r="BM647" s="19"/>
    </row>
    <row r="648" spans="1:65" ht="90" x14ac:dyDescent="0.25">
      <c r="A648" s="159"/>
      <c r="B648" s="154"/>
      <c r="C648" s="19"/>
      <c r="D648" s="27"/>
      <c r="E648" s="19"/>
      <c r="F648" s="32"/>
      <c r="G648" s="32"/>
      <c r="H648" s="20"/>
      <c r="I648" s="20"/>
      <c r="J648" s="20"/>
      <c r="K648" s="19"/>
      <c r="L648" s="143"/>
      <c r="M648" s="27"/>
      <c r="N648" s="27"/>
      <c r="O648" s="78"/>
      <c r="P648" s="27"/>
      <c r="Q648" s="27"/>
      <c r="R648" s="27"/>
      <c r="S648" s="27"/>
      <c r="T648" s="32"/>
      <c r="U648" s="148"/>
      <c r="V648" s="148"/>
      <c r="W648" s="32"/>
      <c r="X648" s="33" t="s">
        <v>1261</v>
      </c>
      <c r="Y648" s="22" t="s">
        <v>187</v>
      </c>
      <c r="Z648" s="35">
        <v>42723</v>
      </c>
      <c r="AA648" s="34">
        <v>11965</v>
      </c>
      <c r="AB648" s="33" t="s">
        <v>663</v>
      </c>
      <c r="AC648" s="35">
        <v>42735</v>
      </c>
      <c r="AD648" s="35">
        <v>43100</v>
      </c>
      <c r="AE648" s="36"/>
      <c r="AF648" s="43"/>
      <c r="AG648" s="25">
        <v>137930.76</v>
      </c>
      <c r="AH648" s="77"/>
      <c r="AI648" s="38"/>
      <c r="AJ648" s="38"/>
      <c r="AK648" s="38"/>
      <c r="AL648" s="38"/>
      <c r="AM648" s="38"/>
      <c r="AN648" s="38"/>
      <c r="AO648" s="38"/>
      <c r="AP648" s="19"/>
      <c r="AQ648" s="19"/>
      <c r="AR648" s="19"/>
      <c r="AS648" s="19"/>
      <c r="AT648" s="19"/>
      <c r="AU648" s="19"/>
      <c r="AV648" s="19"/>
      <c r="AW648" s="45"/>
      <c r="AX648" s="50"/>
      <c r="AY648" s="29"/>
      <c r="AZ648" s="50"/>
      <c r="BA648" s="29"/>
      <c r="BB648" s="19"/>
      <c r="BC648" s="27"/>
      <c r="BD648" s="19"/>
      <c r="BE648" s="19"/>
      <c r="BF648" s="19"/>
      <c r="BG648" s="19"/>
      <c r="BH648" s="19"/>
      <c r="BI648" s="19"/>
      <c r="BJ648" s="19"/>
      <c r="BK648" s="19"/>
      <c r="BL648" s="19"/>
      <c r="BM648" s="19"/>
    </row>
    <row r="649" spans="1:65" ht="90" x14ac:dyDescent="0.25">
      <c r="A649" s="159"/>
      <c r="B649" s="154"/>
      <c r="C649" s="19"/>
      <c r="D649" s="27"/>
      <c r="E649" s="19"/>
      <c r="F649" s="32"/>
      <c r="G649" s="32"/>
      <c r="H649" s="19"/>
      <c r="I649" s="19"/>
      <c r="J649" s="19"/>
      <c r="K649" s="19"/>
      <c r="L649" s="143"/>
      <c r="M649" s="27"/>
      <c r="N649" s="27"/>
      <c r="O649" s="78"/>
      <c r="P649" s="27"/>
      <c r="Q649" s="27"/>
      <c r="R649" s="27"/>
      <c r="S649" s="27"/>
      <c r="T649" s="32"/>
      <c r="U649" s="148"/>
      <c r="V649" s="148"/>
      <c r="W649" s="32"/>
      <c r="X649" s="33" t="s">
        <v>1261</v>
      </c>
      <c r="Y649" s="22" t="s">
        <v>117</v>
      </c>
      <c r="Z649" s="35">
        <v>43077</v>
      </c>
      <c r="AA649" s="34">
        <v>12203</v>
      </c>
      <c r="AB649" s="33" t="s">
        <v>1152</v>
      </c>
      <c r="AC649" s="35">
        <v>43100</v>
      </c>
      <c r="AD649" s="35">
        <v>43465</v>
      </c>
      <c r="AE649" s="36"/>
      <c r="AF649" s="43"/>
      <c r="AG649" s="25">
        <v>137930.76</v>
      </c>
      <c r="AH649" s="77"/>
      <c r="AI649" s="38"/>
      <c r="AJ649" s="38"/>
      <c r="AK649" s="38"/>
      <c r="AL649" s="38"/>
      <c r="AM649" s="38"/>
      <c r="AN649" s="38"/>
      <c r="AO649" s="38"/>
      <c r="AP649" s="19"/>
      <c r="AQ649" s="19"/>
      <c r="AR649" s="19"/>
      <c r="AS649" s="19"/>
      <c r="AT649" s="19"/>
      <c r="AU649" s="19"/>
      <c r="AV649" s="19"/>
      <c r="AW649" s="45"/>
      <c r="AX649" s="50"/>
      <c r="AY649" s="29"/>
      <c r="AZ649" s="50"/>
      <c r="BA649" s="29"/>
      <c r="BB649" s="19"/>
      <c r="BC649" s="27"/>
      <c r="BD649" s="19"/>
      <c r="BE649" s="19"/>
      <c r="BF649" s="19"/>
      <c r="BG649" s="19"/>
      <c r="BH649" s="19"/>
      <c r="BI649" s="19"/>
      <c r="BJ649" s="19"/>
      <c r="BK649" s="19"/>
      <c r="BL649" s="19"/>
      <c r="BM649" s="19"/>
    </row>
    <row r="650" spans="1:65" ht="45" x14ac:dyDescent="0.25">
      <c r="A650" s="159">
        <v>352</v>
      </c>
      <c r="B650" s="154">
        <v>123180223</v>
      </c>
      <c r="C650" s="19"/>
      <c r="D650" s="27" t="s">
        <v>138</v>
      </c>
      <c r="E650" s="19"/>
      <c r="F650" s="32" t="s">
        <v>820</v>
      </c>
      <c r="G650" s="28" t="s">
        <v>275</v>
      </c>
      <c r="H650" s="23"/>
      <c r="I650" s="23"/>
      <c r="J650" s="23"/>
      <c r="K650" s="45" t="s">
        <v>257</v>
      </c>
      <c r="L650" s="143" t="s">
        <v>261</v>
      </c>
      <c r="M650" s="27" t="s">
        <v>271</v>
      </c>
      <c r="N650" s="31">
        <v>41052</v>
      </c>
      <c r="O650" s="78">
        <v>47450.03</v>
      </c>
      <c r="P650" s="30" t="s">
        <v>545</v>
      </c>
      <c r="Q650" s="31">
        <v>41052</v>
      </c>
      <c r="R650" s="31">
        <v>41274</v>
      </c>
      <c r="S650" s="27" t="s">
        <v>142</v>
      </c>
      <c r="T650" s="32"/>
      <c r="U650" s="148"/>
      <c r="V650" s="148"/>
      <c r="W650" s="32" t="s">
        <v>135</v>
      </c>
      <c r="X650" s="33" t="s">
        <v>1261</v>
      </c>
      <c r="Y650" s="22" t="s">
        <v>136</v>
      </c>
      <c r="Z650" s="35">
        <v>41274</v>
      </c>
      <c r="AA650" s="34">
        <v>10963</v>
      </c>
      <c r="AB650" s="33" t="s">
        <v>1576</v>
      </c>
      <c r="AC650" s="35">
        <v>41274</v>
      </c>
      <c r="AD650" s="35">
        <v>41639</v>
      </c>
      <c r="AE650" s="36"/>
      <c r="AF650" s="43"/>
      <c r="AG650" s="25">
        <v>78000</v>
      </c>
      <c r="AH650" s="77"/>
      <c r="AI650" s="77"/>
      <c r="AJ650" s="77"/>
      <c r="AK650" s="77"/>
      <c r="AL650" s="38">
        <f>O650-AH650+AG650-AH651+AG651-AH652+AG652-AH653+AG653-AH654+AG654-AH655+AG655</f>
        <v>549329.87</v>
      </c>
      <c r="AM650" s="38">
        <f>207818.03+85377.96+7114.83+7114.83+7114.83+7114.83+7114.83+7114.83+7114.83+7114.83+7114.83+7114.83+7114.83+7114.83+7114.83+7114.83+7114.83+7114.83+7114.83+7114.83+7114.83+7114.83+7114.83+7114.83+7114.83+7114.83</f>
        <v>463951.91000000038</v>
      </c>
      <c r="AN650" s="38">
        <f>7114.83+7114.83+7114.83+7114.83+7114.83+7114.83+7114.83+7114.83+7114.83+7114.83</f>
        <v>71148.3</v>
      </c>
      <c r="AO650" s="38">
        <f>AM650+AN650</f>
        <v>535100.21000000043</v>
      </c>
      <c r="AP650" s="39"/>
      <c r="AQ650" s="22"/>
      <c r="AR650" s="22"/>
      <c r="AS650" s="19"/>
      <c r="AT650" s="19"/>
      <c r="AU650" s="19"/>
      <c r="AV650" s="19" t="s">
        <v>121</v>
      </c>
      <c r="AW650" s="45" t="s">
        <v>280</v>
      </c>
      <c r="AX650" s="50" t="s">
        <v>564</v>
      </c>
      <c r="AY650" s="29">
        <v>41064</v>
      </c>
      <c r="AZ650" s="50" t="s">
        <v>564</v>
      </c>
      <c r="BA650" s="29">
        <v>41064</v>
      </c>
      <c r="BB650" s="19"/>
      <c r="BC650" s="27"/>
      <c r="BD650" s="19"/>
      <c r="BE650" s="19"/>
      <c r="BF650" s="19"/>
      <c r="BG650" s="19"/>
      <c r="BH650" s="19"/>
      <c r="BI650" s="19"/>
      <c r="BJ650" s="19"/>
      <c r="BK650" s="19"/>
      <c r="BL650" s="19"/>
      <c r="BM650" s="19"/>
    </row>
    <row r="651" spans="1:65" ht="60" x14ac:dyDescent="0.25">
      <c r="A651" s="159"/>
      <c r="B651" s="154"/>
      <c r="C651" s="19"/>
      <c r="D651" s="27"/>
      <c r="E651" s="19"/>
      <c r="F651" s="32"/>
      <c r="G651" s="28"/>
      <c r="H651" s="23"/>
      <c r="I651" s="23"/>
      <c r="J651" s="23"/>
      <c r="K651" s="45"/>
      <c r="L651" s="143"/>
      <c r="M651" s="27"/>
      <c r="N651" s="31"/>
      <c r="O651" s="78"/>
      <c r="P651" s="30"/>
      <c r="Q651" s="31"/>
      <c r="R651" s="31"/>
      <c r="S651" s="27"/>
      <c r="T651" s="32"/>
      <c r="U651" s="148"/>
      <c r="V651" s="148"/>
      <c r="W651" s="32"/>
      <c r="X651" s="33" t="s">
        <v>1261</v>
      </c>
      <c r="Y651" s="22" t="s">
        <v>140</v>
      </c>
      <c r="Z651" s="35">
        <v>41639</v>
      </c>
      <c r="AA651" s="34">
        <v>11218</v>
      </c>
      <c r="AB651" s="33" t="s">
        <v>1574</v>
      </c>
      <c r="AC651" s="35">
        <v>41639</v>
      </c>
      <c r="AD651" s="35">
        <v>42004</v>
      </c>
      <c r="AE651" s="51">
        <v>5.6</v>
      </c>
      <c r="AF651" s="43"/>
      <c r="AG651" s="25">
        <v>82368</v>
      </c>
      <c r="AH651" s="77"/>
      <c r="AI651" s="77"/>
      <c r="AJ651" s="77"/>
      <c r="AK651" s="77"/>
      <c r="AL651" s="38"/>
      <c r="AM651" s="38"/>
      <c r="AN651" s="38"/>
      <c r="AO651" s="38"/>
      <c r="AP651" s="19"/>
      <c r="AQ651" s="22"/>
      <c r="AR651" s="22"/>
      <c r="AS651" s="19"/>
      <c r="AT651" s="19"/>
      <c r="AU651" s="19"/>
      <c r="AV651" s="19"/>
      <c r="AW651" s="45"/>
      <c r="AX651" s="50"/>
      <c r="AY651" s="29"/>
      <c r="AZ651" s="50"/>
      <c r="BA651" s="29"/>
      <c r="BB651" s="19"/>
      <c r="BC651" s="27"/>
      <c r="BD651" s="19"/>
      <c r="BE651" s="19"/>
      <c r="BF651" s="19"/>
      <c r="BG651" s="19"/>
      <c r="BH651" s="19"/>
      <c r="BI651" s="19"/>
      <c r="BJ651" s="19"/>
      <c r="BK651" s="19"/>
      <c r="BL651" s="19"/>
      <c r="BM651" s="19"/>
    </row>
    <row r="652" spans="1:65" ht="90" x14ac:dyDescent="0.25">
      <c r="A652" s="159"/>
      <c r="B652" s="154"/>
      <c r="C652" s="19"/>
      <c r="D652" s="27"/>
      <c r="E652" s="19"/>
      <c r="F652" s="32"/>
      <c r="G652" s="28"/>
      <c r="H652" s="23"/>
      <c r="I652" s="23"/>
      <c r="J652" s="23"/>
      <c r="K652" s="45"/>
      <c r="L652" s="143"/>
      <c r="M652" s="27"/>
      <c r="N652" s="31"/>
      <c r="O652" s="78"/>
      <c r="P652" s="30"/>
      <c r="Q652" s="31"/>
      <c r="R652" s="31"/>
      <c r="S652" s="27"/>
      <c r="T652" s="32"/>
      <c r="U652" s="148"/>
      <c r="V652" s="148"/>
      <c r="W652" s="32"/>
      <c r="X652" s="33" t="s">
        <v>1261</v>
      </c>
      <c r="Y652" s="22" t="s">
        <v>185</v>
      </c>
      <c r="Z652" s="35">
        <v>41988</v>
      </c>
      <c r="AA652" s="34">
        <v>11460</v>
      </c>
      <c r="AB652" s="33" t="s">
        <v>316</v>
      </c>
      <c r="AC652" s="35">
        <v>42004</v>
      </c>
      <c r="AD652" s="35">
        <v>42369</v>
      </c>
      <c r="AE652" s="51">
        <v>3.6543000000000001</v>
      </c>
      <c r="AF652" s="43"/>
      <c r="AG652" s="25">
        <v>85377.96</v>
      </c>
      <c r="AH652" s="77"/>
      <c r="AI652" s="77"/>
      <c r="AJ652" s="77"/>
      <c r="AK652" s="77"/>
      <c r="AL652" s="38"/>
      <c r="AM652" s="38"/>
      <c r="AN652" s="38"/>
      <c r="AO652" s="38"/>
      <c r="AP652" s="19"/>
      <c r="AQ652" s="22"/>
      <c r="AR652" s="22"/>
      <c r="AS652" s="19"/>
      <c r="AT652" s="19"/>
      <c r="AU652" s="19"/>
      <c r="AV652" s="19"/>
      <c r="AW652" s="45"/>
      <c r="AX652" s="50"/>
      <c r="AY652" s="29"/>
      <c r="AZ652" s="50"/>
      <c r="BA652" s="29"/>
      <c r="BB652" s="19"/>
      <c r="BC652" s="27"/>
      <c r="BD652" s="19"/>
      <c r="BE652" s="19"/>
      <c r="BF652" s="19"/>
      <c r="BG652" s="19"/>
      <c r="BH652" s="19"/>
      <c r="BI652" s="19"/>
      <c r="BJ652" s="19"/>
      <c r="BK652" s="19"/>
      <c r="BL652" s="19"/>
      <c r="BM652" s="19"/>
    </row>
    <row r="653" spans="1:65" ht="90" x14ac:dyDescent="0.25">
      <c r="A653" s="159"/>
      <c r="B653" s="154"/>
      <c r="C653" s="19"/>
      <c r="D653" s="27"/>
      <c r="E653" s="19"/>
      <c r="F653" s="32"/>
      <c r="G653" s="28"/>
      <c r="H653" s="23"/>
      <c r="I653" s="23"/>
      <c r="J653" s="23"/>
      <c r="K653" s="45"/>
      <c r="L653" s="143"/>
      <c r="M653" s="27"/>
      <c r="N653" s="31"/>
      <c r="O653" s="78"/>
      <c r="P653" s="30"/>
      <c r="Q653" s="31"/>
      <c r="R653" s="31"/>
      <c r="S653" s="27"/>
      <c r="T653" s="32"/>
      <c r="U653" s="148"/>
      <c r="V653" s="148"/>
      <c r="W653" s="32"/>
      <c r="X653" s="33" t="s">
        <v>1261</v>
      </c>
      <c r="Y653" s="22" t="s">
        <v>186</v>
      </c>
      <c r="Z653" s="35">
        <v>42352</v>
      </c>
      <c r="AA653" s="34">
        <v>11715</v>
      </c>
      <c r="AB653" s="33" t="s">
        <v>458</v>
      </c>
      <c r="AC653" s="35">
        <v>42369</v>
      </c>
      <c r="AD653" s="35">
        <v>42735</v>
      </c>
      <c r="AE653" s="51"/>
      <c r="AF653" s="43"/>
      <c r="AG653" s="25">
        <v>85377.96</v>
      </c>
      <c r="AH653" s="77"/>
      <c r="AI653" s="77"/>
      <c r="AJ653" s="77"/>
      <c r="AK653" s="77"/>
      <c r="AL653" s="38"/>
      <c r="AM653" s="38"/>
      <c r="AN653" s="38"/>
      <c r="AO653" s="38"/>
      <c r="AP653" s="19"/>
      <c r="AQ653" s="22"/>
      <c r="AR653" s="22"/>
      <c r="AS653" s="19"/>
      <c r="AT653" s="19"/>
      <c r="AU653" s="19"/>
      <c r="AV653" s="19"/>
      <c r="AW653" s="45"/>
      <c r="AX653" s="50"/>
      <c r="AY653" s="29"/>
      <c r="AZ653" s="50"/>
      <c r="BA653" s="29"/>
      <c r="BB653" s="19"/>
      <c r="BC653" s="27"/>
      <c r="BD653" s="19"/>
      <c r="BE653" s="19"/>
      <c r="BF653" s="19"/>
      <c r="BG653" s="19"/>
      <c r="BH653" s="19"/>
      <c r="BI653" s="19"/>
      <c r="BJ653" s="19"/>
      <c r="BK653" s="19"/>
      <c r="BL653" s="19"/>
      <c r="BM653" s="19"/>
    </row>
    <row r="654" spans="1:65" ht="90" x14ac:dyDescent="0.25">
      <c r="A654" s="159"/>
      <c r="B654" s="154"/>
      <c r="C654" s="19"/>
      <c r="D654" s="27"/>
      <c r="E654" s="19"/>
      <c r="F654" s="32"/>
      <c r="G654" s="32"/>
      <c r="H654" s="20"/>
      <c r="I654" s="20"/>
      <c r="J654" s="20"/>
      <c r="K654" s="19"/>
      <c r="L654" s="143"/>
      <c r="M654" s="27"/>
      <c r="N654" s="27"/>
      <c r="O654" s="78"/>
      <c r="P654" s="27"/>
      <c r="Q654" s="27"/>
      <c r="R654" s="27"/>
      <c r="S654" s="27"/>
      <c r="T654" s="32"/>
      <c r="U654" s="148"/>
      <c r="V654" s="148"/>
      <c r="W654" s="32"/>
      <c r="X654" s="33" t="s">
        <v>1261</v>
      </c>
      <c r="Y654" s="22" t="s">
        <v>187</v>
      </c>
      <c r="Z654" s="35">
        <v>42723</v>
      </c>
      <c r="AA654" s="34">
        <v>11965</v>
      </c>
      <c r="AB654" s="33" t="s">
        <v>458</v>
      </c>
      <c r="AC654" s="35">
        <v>42735</v>
      </c>
      <c r="AD654" s="35">
        <v>43100</v>
      </c>
      <c r="AE654" s="51"/>
      <c r="AF654" s="43"/>
      <c r="AG654" s="25">
        <v>85377.96</v>
      </c>
      <c r="AH654" s="77"/>
      <c r="AI654" s="77"/>
      <c r="AJ654" s="77"/>
      <c r="AK654" s="77"/>
      <c r="AL654" s="38"/>
      <c r="AM654" s="38"/>
      <c r="AN654" s="38"/>
      <c r="AO654" s="38"/>
      <c r="AP654" s="19"/>
      <c r="AQ654" s="22"/>
      <c r="AR654" s="22"/>
      <c r="AS654" s="19"/>
      <c r="AT654" s="19"/>
      <c r="AU654" s="19"/>
      <c r="AV654" s="19"/>
      <c r="AW654" s="45"/>
      <c r="AX654" s="50"/>
      <c r="AY654" s="29"/>
      <c r="AZ654" s="50"/>
      <c r="BA654" s="29"/>
      <c r="BB654" s="19"/>
      <c r="BC654" s="27"/>
      <c r="BD654" s="19"/>
      <c r="BE654" s="19"/>
      <c r="BF654" s="19"/>
      <c r="BG654" s="19"/>
      <c r="BH654" s="19"/>
      <c r="BI654" s="19"/>
      <c r="BJ654" s="19"/>
      <c r="BK654" s="19"/>
      <c r="BL654" s="19"/>
      <c r="BM654" s="19"/>
    </row>
    <row r="655" spans="1:65" ht="90" x14ac:dyDescent="0.25">
      <c r="A655" s="159"/>
      <c r="B655" s="154"/>
      <c r="C655" s="19"/>
      <c r="D655" s="27"/>
      <c r="E655" s="19"/>
      <c r="F655" s="32"/>
      <c r="G655" s="32"/>
      <c r="H655" s="19"/>
      <c r="I655" s="19"/>
      <c r="J655" s="19"/>
      <c r="K655" s="19"/>
      <c r="L655" s="143"/>
      <c r="M655" s="27"/>
      <c r="N655" s="27"/>
      <c r="O655" s="78"/>
      <c r="P655" s="27"/>
      <c r="Q655" s="27"/>
      <c r="R655" s="27"/>
      <c r="S655" s="27"/>
      <c r="T655" s="32"/>
      <c r="U655" s="148"/>
      <c r="V655" s="148"/>
      <c r="W655" s="32"/>
      <c r="X655" s="33" t="s">
        <v>1261</v>
      </c>
      <c r="Y655" s="22" t="s">
        <v>117</v>
      </c>
      <c r="Z655" s="35">
        <v>43077</v>
      </c>
      <c r="AA655" s="34">
        <v>12203</v>
      </c>
      <c r="AB655" s="33" t="s">
        <v>1155</v>
      </c>
      <c r="AC655" s="35">
        <v>43100</v>
      </c>
      <c r="AD655" s="35">
        <v>43465</v>
      </c>
      <c r="AE655" s="51"/>
      <c r="AF655" s="43"/>
      <c r="AG655" s="25">
        <v>85377.96</v>
      </c>
      <c r="AH655" s="77"/>
      <c r="AI655" s="77"/>
      <c r="AJ655" s="77"/>
      <c r="AK655" s="77"/>
      <c r="AL655" s="38"/>
      <c r="AM655" s="38"/>
      <c r="AN655" s="38"/>
      <c r="AO655" s="38"/>
      <c r="AP655" s="22"/>
      <c r="AQ655" s="22"/>
      <c r="AR655" s="22"/>
      <c r="AS655" s="22"/>
      <c r="AT655" s="22"/>
      <c r="AU655" s="22"/>
      <c r="AV655" s="22"/>
      <c r="AW655" s="24"/>
      <c r="AX655" s="34"/>
      <c r="AY655" s="35"/>
      <c r="AZ655" s="34"/>
      <c r="BA655" s="35"/>
      <c r="BB655" s="22"/>
      <c r="BC655" s="43"/>
      <c r="BD655" s="22"/>
      <c r="BE655" s="22"/>
      <c r="BF655" s="22"/>
      <c r="BG655" s="22"/>
      <c r="BH655" s="22"/>
      <c r="BI655" s="22"/>
      <c r="BJ655" s="22"/>
      <c r="BK655" s="22"/>
      <c r="BL655" s="22"/>
      <c r="BM655" s="22"/>
    </row>
    <row r="656" spans="1:65" ht="45" x14ac:dyDescent="0.25">
      <c r="A656" s="159">
        <v>353</v>
      </c>
      <c r="B656" s="154">
        <v>123180224</v>
      </c>
      <c r="C656" s="19"/>
      <c r="D656" s="27" t="s">
        <v>138</v>
      </c>
      <c r="E656" s="19"/>
      <c r="F656" s="32" t="s">
        <v>821</v>
      </c>
      <c r="G656" s="28" t="s">
        <v>275</v>
      </c>
      <c r="H656" s="23"/>
      <c r="I656" s="23"/>
      <c r="J656" s="23"/>
      <c r="K656" s="45" t="s">
        <v>123</v>
      </c>
      <c r="L656" s="143" t="s">
        <v>261</v>
      </c>
      <c r="M656" s="27" t="s">
        <v>271</v>
      </c>
      <c r="N656" s="31">
        <v>41052</v>
      </c>
      <c r="O656" s="78">
        <v>43887.6</v>
      </c>
      <c r="P656" s="30" t="s">
        <v>545</v>
      </c>
      <c r="Q656" s="31">
        <v>41052</v>
      </c>
      <c r="R656" s="31">
        <v>41274</v>
      </c>
      <c r="S656" s="27" t="s">
        <v>142</v>
      </c>
      <c r="T656" s="32"/>
      <c r="U656" s="148"/>
      <c r="V656" s="148"/>
      <c r="W656" s="32" t="s">
        <v>135</v>
      </c>
      <c r="X656" s="33" t="s">
        <v>1261</v>
      </c>
      <c r="Y656" s="22" t="s">
        <v>136</v>
      </c>
      <c r="Z656" s="35">
        <v>41274</v>
      </c>
      <c r="AA656" s="34">
        <v>10963</v>
      </c>
      <c r="AB656" s="33" t="s">
        <v>1577</v>
      </c>
      <c r="AC656" s="35">
        <v>41274</v>
      </c>
      <c r="AD656" s="35">
        <v>41639</v>
      </c>
      <c r="AE656" s="36"/>
      <c r="AF656" s="43"/>
      <c r="AG656" s="25">
        <v>72144</v>
      </c>
      <c r="AH656" s="77"/>
      <c r="AI656" s="77"/>
      <c r="AJ656" s="77"/>
      <c r="AK656" s="77"/>
      <c r="AL656" s="38">
        <f>O656-AH656+AG656-AH657+AG657-AH658+AG658-AH659+AG659-AH660+AG660-AH661+AG661</f>
        <v>508108.07999999996</v>
      </c>
      <c r="AM656" s="38">
        <f>192219.6+78972.12+6581.01+6581.01+6581.01+6581.01+6581.01+6581.01+6581.01+6581.01+6581.01+6581.01+6581.01+6581.01+6581.01+6581.01+6581.01+6581.01+6581.01+6581.01+6581.01+6581.01+6581.01+6581.01+6581.01+6581.01</f>
        <v>429135.9600000002</v>
      </c>
      <c r="AN656" s="38">
        <f>6581.01+6581.01+6581.01+6581.01+6581.01+6581.01+6581.01+6581.01+6581.01+6581.01</f>
        <v>65810.100000000006</v>
      </c>
      <c r="AO656" s="38">
        <f>AM656+AN656</f>
        <v>494946.06000000017</v>
      </c>
      <c r="AP656" s="39"/>
      <c r="AQ656" s="23"/>
      <c r="AR656" s="23"/>
      <c r="AS656" s="20"/>
      <c r="AT656" s="19"/>
      <c r="AU656" s="19"/>
      <c r="AV656" s="19" t="s">
        <v>121</v>
      </c>
      <c r="AW656" s="45" t="s">
        <v>280</v>
      </c>
      <c r="AX656" s="50" t="s">
        <v>564</v>
      </c>
      <c r="AY656" s="29">
        <v>41064</v>
      </c>
      <c r="AZ656" s="50" t="s">
        <v>564</v>
      </c>
      <c r="BA656" s="29">
        <v>41064</v>
      </c>
      <c r="BB656" s="19"/>
      <c r="BC656" s="27"/>
      <c r="BD656" s="19"/>
      <c r="BE656" s="19"/>
      <c r="BF656" s="19"/>
      <c r="BG656" s="19"/>
      <c r="BH656" s="19"/>
      <c r="BI656" s="19"/>
      <c r="BJ656" s="19"/>
      <c r="BK656" s="19"/>
      <c r="BL656" s="19"/>
      <c r="BM656" s="19"/>
    </row>
    <row r="657" spans="1:65" ht="60" x14ac:dyDescent="0.25">
      <c r="A657" s="159"/>
      <c r="B657" s="154"/>
      <c r="C657" s="19"/>
      <c r="D657" s="27"/>
      <c r="E657" s="19"/>
      <c r="F657" s="32"/>
      <c r="G657" s="28"/>
      <c r="H657" s="23"/>
      <c r="I657" s="23"/>
      <c r="J657" s="23"/>
      <c r="K657" s="45"/>
      <c r="L657" s="143"/>
      <c r="M657" s="27"/>
      <c r="N657" s="31"/>
      <c r="O657" s="78"/>
      <c r="P657" s="30"/>
      <c r="Q657" s="31"/>
      <c r="R657" s="31"/>
      <c r="S657" s="27"/>
      <c r="T657" s="32"/>
      <c r="U657" s="148"/>
      <c r="V657" s="148"/>
      <c r="W657" s="32"/>
      <c r="X657" s="33" t="s">
        <v>1261</v>
      </c>
      <c r="Y657" s="22" t="s">
        <v>140</v>
      </c>
      <c r="Z657" s="35">
        <v>41639</v>
      </c>
      <c r="AA657" s="34">
        <v>11218</v>
      </c>
      <c r="AB657" s="33" t="s">
        <v>1574</v>
      </c>
      <c r="AC657" s="35">
        <v>41639</v>
      </c>
      <c r="AD657" s="35">
        <v>42004</v>
      </c>
      <c r="AE657" s="36">
        <v>5.6054500000000003</v>
      </c>
      <c r="AF657" s="43"/>
      <c r="AG657" s="25">
        <v>76188</v>
      </c>
      <c r="AH657" s="77"/>
      <c r="AI657" s="77"/>
      <c r="AJ657" s="77"/>
      <c r="AK657" s="77"/>
      <c r="AL657" s="38"/>
      <c r="AM657" s="38"/>
      <c r="AN657" s="38"/>
      <c r="AO657" s="38"/>
      <c r="AP657" s="20"/>
      <c r="AQ657" s="23"/>
      <c r="AR657" s="23"/>
      <c r="AS657" s="20"/>
      <c r="AT657" s="19"/>
      <c r="AU657" s="19"/>
      <c r="AV657" s="19"/>
      <c r="AW657" s="45"/>
      <c r="AX657" s="50"/>
      <c r="AY657" s="29"/>
      <c r="AZ657" s="50"/>
      <c r="BA657" s="29"/>
      <c r="BB657" s="19"/>
      <c r="BC657" s="27"/>
      <c r="BD657" s="19"/>
      <c r="BE657" s="19"/>
      <c r="BF657" s="19"/>
      <c r="BG657" s="19"/>
      <c r="BH657" s="19"/>
      <c r="BI657" s="19"/>
      <c r="BJ657" s="19"/>
      <c r="BK657" s="19"/>
      <c r="BL657" s="19"/>
      <c r="BM657" s="19"/>
    </row>
    <row r="658" spans="1:65" ht="90" x14ac:dyDescent="0.25">
      <c r="A658" s="159"/>
      <c r="B658" s="154"/>
      <c r="C658" s="19"/>
      <c r="D658" s="27"/>
      <c r="E658" s="19"/>
      <c r="F658" s="32"/>
      <c r="G658" s="28"/>
      <c r="H658" s="23"/>
      <c r="I658" s="23"/>
      <c r="J658" s="23"/>
      <c r="K658" s="45"/>
      <c r="L658" s="143"/>
      <c r="M658" s="27"/>
      <c r="N658" s="31"/>
      <c r="O658" s="78"/>
      <c r="P658" s="30"/>
      <c r="Q658" s="31"/>
      <c r="R658" s="31"/>
      <c r="S658" s="27"/>
      <c r="T658" s="32"/>
      <c r="U658" s="148"/>
      <c r="V658" s="148"/>
      <c r="W658" s="32"/>
      <c r="X658" s="33" t="s">
        <v>1261</v>
      </c>
      <c r="Y658" s="22" t="s">
        <v>185</v>
      </c>
      <c r="Z658" s="35">
        <v>41988</v>
      </c>
      <c r="AA658" s="34">
        <v>11460</v>
      </c>
      <c r="AB658" s="33" t="s">
        <v>315</v>
      </c>
      <c r="AC658" s="35">
        <v>42004</v>
      </c>
      <c r="AD658" s="35">
        <v>42369</v>
      </c>
      <c r="AE658" s="36">
        <v>3.6543000000000001</v>
      </c>
      <c r="AF658" s="43"/>
      <c r="AG658" s="25">
        <v>78972.12</v>
      </c>
      <c r="AH658" s="77"/>
      <c r="AI658" s="77"/>
      <c r="AJ658" s="77"/>
      <c r="AK658" s="77"/>
      <c r="AL658" s="38"/>
      <c r="AM658" s="38"/>
      <c r="AN658" s="38"/>
      <c r="AO658" s="38"/>
      <c r="AP658" s="20"/>
      <c r="AQ658" s="23"/>
      <c r="AR658" s="23"/>
      <c r="AS658" s="20"/>
      <c r="AT658" s="19"/>
      <c r="AU658" s="19"/>
      <c r="AV658" s="19"/>
      <c r="AW658" s="45"/>
      <c r="AX658" s="50"/>
      <c r="AY658" s="29"/>
      <c r="AZ658" s="50"/>
      <c r="BA658" s="29"/>
      <c r="BB658" s="19"/>
      <c r="BC658" s="27"/>
      <c r="BD658" s="19"/>
      <c r="BE658" s="19"/>
      <c r="BF658" s="19"/>
      <c r="BG658" s="19"/>
      <c r="BH658" s="19"/>
      <c r="BI658" s="19"/>
      <c r="BJ658" s="19"/>
      <c r="BK658" s="19"/>
      <c r="BL658" s="19"/>
      <c r="BM658" s="19"/>
    </row>
    <row r="659" spans="1:65" ht="90" x14ac:dyDescent="0.25">
      <c r="A659" s="159"/>
      <c r="B659" s="154"/>
      <c r="C659" s="19"/>
      <c r="D659" s="27"/>
      <c r="E659" s="19"/>
      <c r="F659" s="32"/>
      <c r="G659" s="28"/>
      <c r="H659" s="23"/>
      <c r="I659" s="23"/>
      <c r="J659" s="23"/>
      <c r="K659" s="45"/>
      <c r="L659" s="143"/>
      <c r="M659" s="27"/>
      <c r="N659" s="31"/>
      <c r="O659" s="78"/>
      <c r="P659" s="30"/>
      <c r="Q659" s="31"/>
      <c r="R659" s="31"/>
      <c r="S659" s="27"/>
      <c r="T659" s="32"/>
      <c r="U659" s="148"/>
      <c r="V659" s="148"/>
      <c r="W659" s="32"/>
      <c r="X659" s="33" t="s">
        <v>1261</v>
      </c>
      <c r="Y659" s="22" t="s">
        <v>186</v>
      </c>
      <c r="Z659" s="35">
        <v>42352</v>
      </c>
      <c r="AA659" s="34">
        <v>11715</v>
      </c>
      <c r="AB659" s="33" t="s">
        <v>457</v>
      </c>
      <c r="AC659" s="35">
        <v>42369</v>
      </c>
      <c r="AD659" s="35">
        <v>42735</v>
      </c>
      <c r="AE659" s="36"/>
      <c r="AF659" s="43"/>
      <c r="AG659" s="25">
        <v>78972.12</v>
      </c>
      <c r="AH659" s="77"/>
      <c r="AI659" s="77"/>
      <c r="AJ659" s="77"/>
      <c r="AK659" s="77"/>
      <c r="AL659" s="38"/>
      <c r="AM659" s="38"/>
      <c r="AN659" s="38"/>
      <c r="AO659" s="38"/>
      <c r="AP659" s="20"/>
      <c r="AQ659" s="23"/>
      <c r="AR659" s="23"/>
      <c r="AS659" s="20"/>
      <c r="AT659" s="19"/>
      <c r="AU659" s="19"/>
      <c r="AV659" s="19"/>
      <c r="AW659" s="45"/>
      <c r="AX659" s="50"/>
      <c r="AY659" s="29"/>
      <c r="AZ659" s="50"/>
      <c r="BA659" s="29"/>
      <c r="BB659" s="19"/>
      <c r="BC659" s="27"/>
      <c r="BD659" s="19"/>
      <c r="BE659" s="19"/>
      <c r="BF659" s="19"/>
      <c r="BG659" s="19"/>
      <c r="BH659" s="19"/>
      <c r="BI659" s="19"/>
      <c r="BJ659" s="19"/>
      <c r="BK659" s="19"/>
      <c r="BL659" s="19"/>
      <c r="BM659" s="19"/>
    </row>
    <row r="660" spans="1:65" ht="90" x14ac:dyDescent="0.25">
      <c r="A660" s="159"/>
      <c r="B660" s="154"/>
      <c r="C660" s="19"/>
      <c r="D660" s="27"/>
      <c r="E660" s="19"/>
      <c r="F660" s="32"/>
      <c r="G660" s="32"/>
      <c r="H660" s="20"/>
      <c r="I660" s="20"/>
      <c r="J660" s="20"/>
      <c r="K660" s="19"/>
      <c r="L660" s="143"/>
      <c r="M660" s="27"/>
      <c r="N660" s="27"/>
      <c r="O660" s="78"/>
      <c r="P660" s="27"/>
      <c r="Q660" s="27"/>
      <c r="R660" s="27"/>
      <c r="S660" s="27"/>
      <c r="T660" s="32"/>
      <c r="U660" s="148"/>
      <c r="V660" s="148"/>
      <c r="W660" s="32"/>
      <c r="X660" s="33" t="s">
        <v>1261</v>
      </c>
      <c r="Y660" s="22" t="s">
        <v>187</v>
      </c>
      <c r="Z660" s="35">
        <v>42723</v>
      </c>
      <c r="AA660" s="34">
        <v>11965</v>
      </c>
      <c r="AB660" s="33" t="s">
        <v>666</v>
      </c>
      <c r="AC660" s="35">
        <v>42735</v>
      </c>
      <c r="AD660" s="35">
        <v>43100</v>
      </c>
      <c r="AE660" s="36"/>
      <c r="AF660" s="43"/>
      <c r="AG660" s="25">
        <v>78972.12</v>
      </c>
      <c r="AH660" s="77"/>
      <c r="AI660" s="77"/>
      <c r="AJ660" s="77"/>
      <c r="AK660" s="77"/>
      <c r="AL660" s="38"/>
      <c r="AM660" s="38"/>
      <c r="AN660" s="38"/>
      <c r="AO660" s="38"/>
      <c r="AP660" s="20"/>
      <c r="AQ660" s="23"/>
      <c r="AR660" s="23"/>
      <c r="AS660" s="20"/>
      <c r="AT660" s="19"/>
      <c r="AU660" s="19"/>
      <c r="AV660" s="19"/>
      <c r="AW660" s="45"/>
      <c r="AX660" s="50"/>
      <c r="AY660" s="29"/>
      <c r="AZ660" s="50"/>
      <c r="BA660" s="29"/>
      <c r="BB660" s="19"/>
      <c r="BC660" s="27"/>
      <c r="BD660" s="19"/>
      <c r="BE660" s="19"/>
      <c r="BF660" s="19"/>
      <c r="BG660" s="19"/>
      <c r="BH660" s="19"/>
      <c r="BI660" s="19"/>
      <c r="BJ660" s="19"/>
      <c r="BK660" s="19"/>
      <c r="BL660" s="19"/>
      <c r="BM660" s="19"/>
    </row>
    <row r="661" spans="1:65" ht="105" x14ac:dyDescent="0.25">
      <c r="A661" s="159"/>
      <c r="B661" s="154"/>
      <c r="C661" s="19"/>
      <c r="D661" s="27"/>
      <c r="E661" s="19"/>
      <c r="F661" s="32"/>
      <c r="G661" s="32"/>
      <c r="H661" s="19"/>
      <c r="I661" s="19"/>
      <c r="J661" s="19"/>
      <c r="K661" s="19"/>
      <c r="L661" s="143"/>
      <c r="M661" s="27"/>
      <c r="N661" s="27"/>
      <c r="O661" s="78"/>
      <c r="P661" s="27"/>
      <c r="Q661" s="27"/>
      <c r="R661" s="27"/>
      <c r="S661" s="27"/>
      <c r="T661" s="32"/>
      <c r="U661" s="148"/>
      <c r="V661" s="148"/>
      <c r="W661" s="32"/>
      <c r="X661" s="33" t="s">
        <v>1261</v>
      </c>
      <c r="Y661" s="22" t="s">
        <v>117</v>
      </c>
      <c r="Z661" s="35">
        <v>43077</v>
      </c>
      <c r="AA661" s="34">
        <v>12203</v>
      </c>
      <c r="AB661" s="33" t="s">
        <v>1154</v>
      </c>
      <c r="AC661" s="35">
        <v>43100</v>
      </c>
      <c r="AD661" s="35">
        <v>43465</v>
      </c>
      <c r="AE661" s="36"/>
      <c r="AF661" s="43"/>
      <c r="AG661" s="25">
        <v>78972.12</v>
      </c>
      <c r="AH661" s="77"/>
      <c r="AI661" s="77"/>
      <c r="AJ661" s="77"/>
      <c r="AK661" s="77"/>
      <c r="AL661" s="38"/>
      <c r="AM661" s="38"/>
      <c r="AN661" s="38"/>
      <c r="AO661" s="38"/>
      <c r="AP661" s="23"/>
      <c r="AQ661" s="23"/>
      <c r="AR661" s="23"/>
      <c r="AS661" s="23"/>
      <c r="AT661" s="22"/>
      <c r="AU661" s="22"/>
      <c r="AV661" s="22"/>
      <c r="AW661" s="24"/>
      <c r="AX661" s="34"/>
      <c r="AY661" s="35"/>
      <c r="AZ661" s="34"/>
      <c r="BA661" s="35"/>
      <c r="BB661" s="22"/>
      <c r="BC661" s="43"/>
      <c r="BD661" s="22"/>
      <c r="BE661" s="22"/>
      <c r="BF661" s="22"/>
      <c r="BG661" s="22"/>
      <c r="BH661" s="22"/>
      <c r="BI661" s="22"/>
      <c r="BJ661" s="22"/>
      <c r="BK661" s="22"/>
      <c r="BL661" s="22"/>
      <c r="BM661" s="22"/>
    </row>
    <row r="662" spans="1:65" ht="75" x14ac:dyDescent="0.25">
      <c r="A662" s="159">
        <v>354</v>
      </c>
      <c r="B662" s="154">
        <v>123190069</v>
      </c>
      <c r="C662" s="19"/>
      <c r="D662" s="27" t="s">
        <v>138</v>
      </c>
      <c r="E662" s="19"/>
      <c r="F662" s="32" t="s">
        <v>823</v>
      </c>
      <c r="G662" s="28" t="s">
        <v>275</v>
      </c>
      <c r="H662" s="20"/>
      <c r="I662" s="20"/>
      <c r="J662" s="20"/>
      <c r="K662" s="45" t="s">
        <v>259</v>
      </c>
      <c r="L662" s="143" t="s">
        <v>272</v>
      </c>
      <c r="M662" s="27" t="s">
        <v>273</v>
      </c>
      <c r="N662" s="31">
        <v>40806</v>
      </c>
      <c r="O662" s="78">
        <v>3166.66</v>
      </c>
      <c r="P662" s="30" t="s">
        <v>546</v>
      </c>
      <c r="Q662" s="31">
        <v>40806</v>
      </c>
      <c r="R662" s="31">
        <v>40908</v>
      </c>
      <c r="S662" s="27" t="s">
        <v>134</v>
      </c>
      <c r="T662" s="19"/>
      <c r="U662" s="38"/>
      <c r="V662" s="38"/>
      <c r="W662" s="86" t="s">
        <v>116</v>
      </c>
      <c r="X662" s="33" t="s">
        <v>1261</v>
      </c>
      <c r="Y662" s="22" t="s">
        <v>136</v>
      </c>
      <c r="Z662" s="35">
        <v>40907</v>
      </c>
      <c r="AA662" s="34">
        <v>10734</v>
      </c>
      <c r="AB662" s="33" t="s">
        <v>1578</v>
      </c>
      <c r="AC662" s="35">
        <v>40907</v>
      </c>
      <c r="AD662" s="35">
        <v>41274</v>
      </c>
      <c r="AE662" s="36"/>
      <c r="AF662" s="43"/>
      <c r="AG662" s="25">
        <v>11400</v>
      </c>
      <c r="AH662" s="77"/>
      <c r="AI662" s="77"/>
      <c r="AJ662" s="77"/>
      <c r="AK662" s="77"/>
      <c r="AL662" s="38">
        <f>O662-AH662+AG662-AH663+AG663-AH664+AG664-AH665+AG665-AH666+AG666-AH667+AG667-AH668+AG668</f>
        <v>84633.22</v>
      </c>
      <c r="AM662" s="87">
        <f>37366.66+11816.64+984.72+984.72+984.72+984.72+984.72+984.72+984.72+984.72+984.72+984.72+984.72+984.72+984.72+984.72+984.72+984.72+984.72+984.72+984.72+984.72+984.72+984.72+984.72+984.72</f>
        <v>72816.580000000031</v>
      </c>
      <c r="AN662" s="38">
        <f>984.72+984.72+984.72+984.72+984.72+984.72+984.72+984.72+984.72</f>
        <v>8862.4800000000014</v>
      </c>
      <c r="AO662" s="87">
        <f>AM662+AN662</f>
        <v>81679.060000000027</v>
      </c>
      <c r="AP662" s="89"/>
      <c r="AQ662" s="90"/>
      <c r="AR662" s="90"/>
      <c r="AS662" s="89"/>
      <c r="AT662" s="89"/>
      <c r="AU662" s="89"/>
      <c r="AV662" s="45" t="s">
        <v>121</v>
      </c>
      <c r="AW662" s="19" t="s">
        <v>280</v>
      </c>
      <c r="AX662" s="50" t="s">
        <v>546</v>
      </c>
      <c r="AY662" s="29">
        <v>40827</v>
      </c>
      <c r="AZ662" s="50" t="s">
        <v>546</v>
      </c>
      <c r="BA662" s="29">
        <v>40827</v>
      </c>
      <c r="BB662" s="19"/>
      <c r="BC662" s="27"/>
      <c r="BD662" s="19"/>
      <c r="BE662" s="19"/>
      <c r="BF662" s="19"/>
      <c r="BG662" s="19" t="s">
        <v>318</v>
      </c>
      <c r="BH662" s="19"/>
      <c r="BI662" s="19"/>
      <c r="BJ662" s="19"/>
      <c r="BK662" s="19"/>
      <c r="BL662" s="19"/>
      <c r="BM662" s="19"/>
    </row>
    <row r="663" spans="1:65" ht="45" x14ac:dyDescent="0.25">
      <c r="A663" s="159"/>
      <c r="B663" s="154"/>
      <c r="C663" s="19"/>
      <c r="D663" s="27"/>
      <c r="E663" s="19"/>
      <c r="F663" s="32"/>
      <c r="G663" s="28"/>
      <c r="H663" s="20"/>
      <c r="I663" s="20"/>
      <c r="J663" s="20"/>
      <c r="K663" s="45"/>
      <c r="L663" s="143"/>
      <c r="M663" s="27"/>
      <c r="N663" s="31"/>
      <c r="O663" s="78"/>
      <c r="P663" s="30"/>
      <c r="Q663" s="31"/>
      <c r="R663" s="31"/>
      <c r="S663" s="27"/>
      <c r="T663" s="19"/>
      <c r="U663" s="38"/>
      <c r="V663" s="38"/>
      <c r="W663" s="86"/>
      <c r="X663" s="33" t="s">
        <v>1261</v>
      </c>
      <c r="Y663" s="22" t="s">
        <v>140</v>
      </c>
      <c r="Z663" s="35">
        <v>41274</v>
      </c>
      <c r="AA663" s="34">
        <v>10968</v>
      </c>
      <c r="AB663" s="33" t="s">
        <v>1579</v>
      </c>
      <c r="AC663" s="35">
        <v>41274</v>
      </c>
      <c r="AD663" s="35">
        <v>41639</v>
      </c>
      <c r="AE663" s="36"/>
      <c r="AF663" s="43"/>
      <c r="AG663" s="25">
        <v>11400</v>
      </c>
      <c r="AH663" s="77"/>
      <c r="AI663" s="77"/>
      <c r="AJ663" s="77"/>
      <c r="AK663" s="77"/>
      <c r="AL663" s="38"/>
      <c r="AM663" s="87"/>
      <c r="AN663" s="38"/>
      <c r="AO663" s="87"/>
      <c r="AP663" s="89"/>
      <c r="AQ663" s="90"/>
      <c r="AR663" s="90"/>
      <c r="AS663" s="89"/>
      <c r="AT663" s="89"/>
      <c r="AU663" s="89"/>
      <c r="AV663" s="45"/>
      <c r="AW663" s="19"/>
      <c r="AX663" s="50"/>
      <c r="AY663" s="29"/>
      <c r="AZ663" s="50"/>
      <c r="BA663" s="29"/>
      <c r="BB663" s="19"/>
      <c r="BC663" s="27"/>
      <c r="BD663" s="19"/>
      <c r="BE663" s="19"/>
      <c r="BF663" s="19"/>
      <c r="BG663" s="19"/>
      <c r="BH663" s="19"/>
      <c r="BI663" s="19"/>
      <c r="BJ663" s="19"/>
      <c r="BK663" s="19"/>
      <c r="BL663" s="19"/>
      <c r="BM663" s="19"/>
    </row>
    <row r="664" spans="1:65" ht="60" x14ac:dyDescent="0.25">
      <c r="A664" s="159"/>
      <c r="B664" s="154"/>
      <c r="C664" s="19"/>
      <c r="D664" s="27"/>
      <c r="E664" s="19"/>
      <c r="F664" s="32"/>
      <c r="G664" s="28"/>
      <c r="H664" s="20"/>
      <c r="I664" s="20"/>
      <c r="J664" s="20"/>
      <c r="K664" s="45"/>
      <c r="L664" s="143"/>
      <c r="M664" s="27"/>
      <c r="N664" s="31"/>
      <c r="O664" s="78"/>
      <c r="P664" s="30"/>
      <c r="Q664" s="31"/>
      <c r="R664" s="31"/>
      <c r="S664" s="27"/>
      <c r="T664" s="19"/>
      <c r="U664" s="38"/>
      <c r="V664" s="38"/>
      <c r="W664" s="86"/>
      <c r="X664" s="33" t="s">
        <v>1261</v>
      </c>
      <c r="Y664" s="22" t="s">
        <v>185</v>
      </c>
      <c r="Z664" s="35">
        <v>41639</v>
      </c>
      <c r="AA664" s="34">
        <v>11213</v>
      </c>
      <c r="AB664" s="33" t="s">
        <v>1574</v>
      </c>
      <c r="AC664" s="35">
        <v>41639</v>
      </c>
      <c r="AD664" s="35">
        <v>42004</v>
      </c>
      <c r="AE664" s="36"/>
      <c r="AF664" s="43"/>
      <c r="AG664" s="25">
        <v>11400</v>
      </c>
      <c r="AH664" s="77"/>
      <c r="AI664" s="77"/>
      <c r="AJ664" s="77"/>
      <c r="AK664" s="77"/>
      <c r="AL664" s="38"/>
      <c r="AM664" s="87"/>
      <c r="AN664" s="38"/>
      <c r="AO664" s="87"/>
      <c r="AP664" s="89"/>
      <c r="AQ664" s="90"/>
      <c r="AR664" s="90"/>
      <c r="AS664" s="89"/>
      <c r="AT664" s="89"/>
      <c r="AU664" s="89"/>
      <c r="AV664" s="45"/>
      <c r="AW664" s="19"/>
      <c r="AX664" s="50"/>
      <c r="AY664" s="29"/>
      <c r="AZ664" s="50"/>
      <c r="BA664" s="29"/>
      <c r="BB664" s="19"/>
      <c r="BC664" s="27"/>
      <c r="BD664" s="19"/>
      <c r="BE664" s="19"/>
      <c r="BF664" s="19"/>
      <c r="BG664" s="19"/>
      <c r="BH664" s="19"/>
      <c r="BI664" s="19"/>
      <c r="BJ664" s="19"/>
      <c r="BK664" s="19"/>
      <c r="BL664" s="19"/>
      <c r="BM664" s="19"/>
    </row>
    <row r="665" spans="1:65" ht="105" x14ac:dyDescent="0.25">
      <c r="A665" s="159"/>
      <c r="B665" s="154"/>
      <c r="C665" s="19"/>
      <c r="D665" s="27"/>
      <c r="E665" s="19"/>
      <c r="F665" s="32"/>
      <c r="G665" s="28"/>
      <c r="H665" s="20"/>
      <c r="I665" s="20"/>
      <c r="J665" s="20"/>
      <c r="K665" s="45"/>
      <c r="L665" s="143"/>
      <c r="M665" s="27"/>
      <c r="N665" s="31"/>
      <c r="O665" s="78"/>
      <c r="P665" s="30"/>
      <c r="Q665" s="31"/>
      <c r="R665" s="31"/>
      <c r="S665" s="27"/>
      <c r="T665" s="19"/>
      <c r="U665" s="38"/>
      <c r="V665" s="38"/>
      <c r="W665" s="86"/>
      <c r="X665" s="33" t="s">
        <v>1261</v>
      </c>
      <c r="Y665" s="22" t="s">
        <v>186</v>
      </c>
      <c r="Z665" s="35">
        <v>41988</v>
      </c>
      <c r="AA665" s="34">
        <v>11461</v>
      </c>
      <c r="AB665" s="33" t="s">
        <v>317</v>
      </c>
      <c r="AC665" s="35">
        <v>42004</v>
      </c>
      <c r="AD665" s="35">
        <v>42369</v>
      </c>
      <c r="AE665" s="36">
        <v>3.6543000000000001</v>
      </c>
      <c r="AF665" s="43"/>
      <c r="AG665" s="25">
        <v>11816.64</v>
      </c>
      <c r="AH665" s="77"/>
      <c r="AI665" s="77"/>
      <c r="AJ665" s="77"/>
      <c r="AK665" s="77"/>
      <c r="AL665" s="38"/>
      <c r="AM665" s="87"/>
      <c r="AN665" s="38"/>
      <c r="AO665" s="87"/>
      <c r="AP665" s="89"/>
      <c r="AQ665" s="90"/>
      <c r="AR665" s="90"/>
      <c r="AS665" s="89"/>
      <c r="AT665" s="89"/>
      <c r="AU665" s="89"/>
      <c r="AV665" s="45"/>
      <c r="AW665" s="19"/>
      <c r="AX665" s="50"/>
      <c r="AY665" s="29"/>
      <c r="AZ665" s="50"/>
      <c r="BA665" s="29"/>
      <c r="BB665" s="19"/>
      <c r="BC665" s="27"/>
      <c r="BD665" s="19"/>
      <c r="BE665" s="19"/>
      <c r="BF665" s="19"/>
      <c r="BG665" s="19"/>
      <c r="BH665" s="19"/>
      <c r="BI665" s="19"/>
      <c r="BJ665" s="19"/>
      <c r="BK665" s="19"/>
      <c r="BL665" s="19"/>
      <c r="BM665" s="19"/>
    </row>
    <row r="666" spans="1:65" ht="90" x14ac:dyDescent="0.25">
      <c r="A666" s="159"/>
      <c r="B666" s="154"/>
      <c r="C666" s="19"/>
      <c r="D666" s="27"/>
      <c r="E666" s="19"/>
      <c r="F666" s="32"/>
      <c r="G666" s="28"/>
      <c r="H666" s="20"/>
      <c r="I666" s="20"/>
      <c r="J666" s="20"/>
      <c r="K666" s="45"/>
      <c r="L666" s="143"/>
      <c r="M666" s="27"/>
      <c r="N666" s="31"/>
      <c r="O666" s="78"/>
      <c r="P666" s="30"/>
      <c r="Q666" s="31"/>
      <c r="R666" s="31"/>
      <c r="S666" s="27"/>
      <c r="T666" s="19"/>
      <c r="U666" s="38"/>
      <c r="V666" s="38"/>
      <c r="W666" s="86"/>
      <c r="X666" s="33" t="s">
        <v>1261</v>
      </c>
      <c r="Y666" s="22" t="s">
        <v>187</v>
      </c>
      <c r="Z666" s="35">
        <v>42352</v>
      </c>
      <c r="AA666" s="34">
        <v>11715</v>
      </c>
      <c r="AB666" s="33" t="s">
        <v>461</v>
      </c>
      <c r="AC666" s="35">
        <v>42369</v>
      </c>
      <c r="AD666" s="35">
        <v>42735</v>
      </c>
      <c r="AE666" s="36"/>
      <c r="AF666" s="43"/>
      <c r="AG666" s="25">
        <v>11816.64</v>
      </c>
      <c r="AH666" s="77"/>
      <c r="AI666" s="77"/>
      <c r="AJ666" s="77"/>
      <c r="AK666" s="77"/>
      <c r="AL666" s="38"/>
      <c r="AM666" s="87"/>
      <c r="AN666" s="38"/>
      <c r="AO666" s="87"/>
      <c r="AP666" s="89"/>
      <c r="AQ666" s="90"/>
      <c r="AR666" s="90"/>
      <c r="AS666" s="89"/>
      <c r="AT666" s="89"/>
      <c r="AU666" s="89"/>
      <c r="AV666" s="45"/>
      <c r="AW666" s="19"/>
      <c r="AX666" s="50"/>
      <c r="AY666" s="29"/>
      <c r="AZ666" s="50"/>
      <c r="BA666" s="29"/>
      <c r="BB666" s="19"/>
      <c r="BC666" s="27"/>
      <c r="BD666" s="19"/>
      <c r="BE666" s="19"/>
      <c r="BF666" s="19"/>
      <c r="BG666" s="19"/>
      <c r="BH666" s="19"/>
      <c r="BI666" s="19"/>
      <c r="BJ666" s="19"/>
      <c r="BK666" s="19"/>
      <c r="BL666" s="19"/>
      <c r="BM666" s="19"/>
    </row>
    <row r="667" spans="1:65" ht="90" x14ac:dyDescent="0.25">
      <c r="A667" s="159"/>
      <c r="B667" s="154"/>
      <c r="C667" s="19"/>
      <c r="D667" s="27"/>
      <c r="E667" s="19"/>
      <c r="F667" s="32"/>
      <c r="G667" s="28"/>
      <c r="H667" s="20"/>
      <c r="I667" s="20"/>
      <c r="J667" s="20"/>
      <c r="K667" s="45"/>
      <c r="L667" s="143"/>
      <c r="M667" s="27"/>
      <c r="N667" s="31"/>
      <c r="O667" s="78"/>
      <c r="P667" s="30"/>
      <c r="Q667" s="31"/>
      <c r="R667" s="31"/>
      <c r="S667" s="27"/>
      <c r="T667" s="19"/>
      <c r="U667" s="38"/>
      <c r="V667" s="38"/>
      <c r="W667" s="86"/>
      <c r="X667" s="33" t="s">
        <v>1261</v>
      </c>
      <c r="Y667" s="22" t="s">
        <v>117</v>
      </c>
      <c r="Z667" s="35">
        <v>42723</v>
      </c>
      <c r="AA667" s="34">
        <v>11965</v>
      </c>
      <c r="AB667" s="33" t="s">
        <v>461</v>
      </c>
      <c r="AC667" s="35">
        <v>42735</v>
      </c>
      <c r="AD667" s="35">
        <v>43100</v>
      </c>
      <c r="AE667" s="36"/>
      <c r="AF667" s="43"/>
      <c r="AG667" s="25">
        <v>11816.64</v>
      </c>
      <c r="AH667" s="77"/>
      <c r="AI667" s="77"/>
      <c r="AJ667" s="77"/>
      <c r="AK667" s="77"/>
      <c r="AL667" s="38"/>
      <c r="AM667" s="87"/>
      <c r="AN667" s="38"/>
      <c r="AO667" s="87"/>
      <c r="AP667" s="89"/>
      <c r="AQ667" s="90"/>
      <c r="AR667" s="90"/>
      <c r="AS667" s="89"/>
      <c r="AT667" s="89"/>
      <c r="AU667" s="89"/>
      <c r="AV667" s="45"/>
      <c r="AW667" s="19"/>
      <c r="AX667" s="50"/>
      <c r="AY667" s="29"/>
      <c r="AZ667" s="50"/>
      <c r="BA667" s="29"/>
      <c r="BB667" s="19"/>
      <c r="BC667" s="27"/>
      <c r="BD667" s="19"/>
      <c r="BE667" s="19"/>
      <c r="BF667" s="19"/>
      <c r="BG667" s="19"/>
      <c r="BH667" s="19"/>
      <c r="BI667" s="19"/>
      <c r="BJ667" s="19"/>
      <c r="BK667" s="19"/>
      <c r="BL667" s="19"/>
      <c r="BM667" s="19"/>
    </row>
    <row r="668" spans="1:65" ht="90" x14ac:dyDescent="0.25">
      <c r="A668" s="159"/>
      <c r="B668" s="154"/>
      <c r="C668" s="19"/>
      <c r="D668" s="27"/>
      <c r="E668" s="19"/>
      <c r="F668" s="32"/>
      <c r="G668" s="28"/>
      <c r="H668" s="20"/>
      <c r="I668" s="20"/>
      <c r="J668" s="20"/>
      <c r="K668" s="45"/>
      <c r="L668" s="143"/>
      <c r="M668" s="27"/>
      <c r="N668" s="31"/>
      <c r="O668" s="78"/>
      <c r="P668" s="30"/>
      <c r="Q668" s="31"/>
      <c r="R668" s="31"/>
      <c r="S668" s="27"/>
      <c r="T668" s="19"/>
      <c r="U668" s="38"/>
      <c r="V668" s="38"/>
      <c r="W668" s="86"/>
      <c r="X668" s="33" t="s">
        <v>1261</v>
      </c>
      <c r="Y668" s="22" t="s">
        <v>120</v>
      </c>
      <c r="Z668" s="35">
        <v>43077</v>
      </c>
      <c r="AA668" s="34">
        <v>12203</v>
      </c>
      <c r="AB668" s="33" t="s">
        <v>461</v>
      </c>
      <c r="AC668" s="35">
        <v>43100</v>
      </c>
      <c r="AD668" s="35">
        <v>43465</v>
      </c>
      <c r="AE668" s="36"/>
      <c r="AF668" s="43"/>
      <c r="AG668" s="25">
        <v>11816.64</v>
      </c>
      <c r="AH668" s="77"/>
      <c r="AI668" s="77"/>
      <c r="AJ668" s="77"/>
      <c r="AK668" s="77"/>
      <c r="AL668" s="38"/>
      <c r="AM668" s="87"/>
      <c r="AN668" s="38"/>
      <c r="AO668" s="87"/>
      <c r="AP668" s="90"/>
      <c r="AQ668" s="90"/>
      <c r="AR668" s="90"/>
      <c r="AS668" s="90"/>
      <c r="AT668" s="90"/>
      <c r="AU668" s="90"/>
      <c r="AV668" s="24"/>
      <c r="AW668" s="22"/>
      <c r="AX668" s="34"/>
      <c r="AY668" s="35"/>
      <c r="AZ668" s="34"/>
      <c r="BA668" s="35"/>
      <c r="BB668" s="22"/>
      <c r="BC668" s="43"/>
      <c r="BD668" s="22"/>
      <c r="BE668" s="22"/>
      <c r="BF668" s="22"/>
      <c r="BG668" s="22"/>
      <c r="BH668" s="22"/>
      <c r="BI668" s="22"/>
      <c r="BJ668" s="22"/>
      <c r="BK668" s="22"/>
      <c r="BL668" s="22"/>
      <c r="BM668" s="22"/>
    </row>
    <row r="669" spans="1:65" ht="60" x14ac:dyDescent="0.25">
      <c r="A669" s="159"/>
      <c r="B669" s="154"/>
      <c r="C669" s="19"/>
      <c r="D669" s="27"/>
      <c r="E669" s="19"/>
      <c r="F669" s="32"/>
      <c r="G669" s="28"/>
      <c r="H669" s="20"/>
      <c r="I669" s="20"/>
      <c r="J669" s="20"/>
      <c r="K669" s="45"/>
      <c r="L669" s="143"/>
      <c r="M669" s="27"/>
      <c r="N669" s="31"/>
      <c r="O669" s="78"/>
      <c r="P669" s="30"/>
      <c r="Q669" s="31"/>
      <c r="R669" s="31"/>
      <c r="S669" s="27"/>
      <c r="T669" s="19"/>
      <c r="U669" s="38"/>
      <c r="V669" s="38"/>
      <c r="W669" s="86"/>
      <c r="X669" s="33" t="s">
        <v>1863</v>
      </c>
      <c r="Y669" s="22" t="s">
        <v>118</v>
      </c>
      <c r="Z669" s="35">
        <v>43292</v>
      </c>
      <c r="AA669" s="34">
        <v>12346</v>
      </c>
      <c r="AB669" s="33" t="s">
        <v>1681</v>
      </c>
      <c r="AC669" s="35"/>
      <c r="AD669" s="35"/>
      <c r="AE669" s="36"/>
      <c r="AF669" s="43"/>
      <c r="AG669" s="25"/>
      <c r="AH669" s="77"/>
      <c r="AI669" s="77"/>
      <c r="AJ669" s="77"/>
      <c r="AK669" s="77"/>
      <c r="AL669" s="38"/>
      <c r="AM669" s="87"/>
      <c r="AN669" s="38"/>
      <c r="AO669" s="87"/>
      <c r="AP669" s="90"/>
      <c r="AQ669" s="90"/>
      <c r="AR669" s="90"/>
      <c r="AS669" s="90"/>
      <c r="AT669" s="90"/>
      <c r="AU669" s="90"/>
      <c r="AV669" s="24"/>
      <c r="AW669" s="22"/>
      <c r="AX669" s="34"/>
      <c r="AY669" s="35"/>
      <c r="AZ669" s="34"/>
      <c r="BA669" s="35"/>
      <c r="BB669" s="22"/>
      <c r="BC669" s="43"/>
      <c r="BD669" s="22"/>
      <c r="BE669" s="22"/>
      <c r="BF669" s="22"/>
      <c r="BG669" s="22"/>
      <c r="BH669" s="22"/>
      <c r="BI669" s="22"/>
      <c r="BJ669" s="22"/>
      <c r="BK669" s="22"/>
      <c r="BL669" s="22"/>
      <c r="BM669" s="22"/>
    </row>
    <row r="670" spans="1:65" ht="135.75" thickBot="1" x14ac:dyDescent="0.3">
      <c r="A670" s="183"/>
      <c r="B670" s="184"/>
      <c r="C670" s="185"/>
      <c r="D670" s="186"/>
      <c r="E670" s="185"/>
      <c r="F670" s="187"/>
      <c r="G670" s="188"/>
      <c r="H670" s="189"/>
      <c r="I670" s="189"/>
      <c r="J670" s="189"/>
      <c r="K670" s="190"/>
      <c r="L670" s="191"/>
      <c r="M670" s="186"/>
      <c r="N670" s="192"/>
      <c r="O670" s="193"/>
      <c r="P670" s="194"/>
      <c r="Q670" s="192"/>
      <c r="R670" s="192"/>
      <c r="S670" s="186"/>
      <c r="T670" s="185"/>
      <c r="U670" s="195"/>
      <c r="V670" s="195"/>
      <c r="W670" s="196"/>
      <c r="X670" s="167" t="s">
        <v>1864</v>
      </c>
      <c r="Y670" s="165" t="s">
        <v>1670</v>
      </c>
      <c r="Z670" s="169">
        <v>43374</v>
      </c>
      <c r="AA670" s="170">
        <v>12411</v>
      </c>
      <c r="AB670" s="167" t="s">
        <v>1865</v>
      </c>
      <c r="AC670" s="169"/>
      <c r="AD670" s="169"/>
      <c r="AE670" s="164"/>
      <c r="AF670" s="166"/>
      <c r="AG670" s="171"/>
      <c r="AH670" s="168"/>
      <c r="AI670" s="168"/>
      <c r="AJ670" s="168"/>
      <c r="AK670" s="168"/>
      <c r="AL670" s="195"/>
      <c r="AM670" s="197"/>
      <c r="AN670" s="195"/>
      <c r="AO670" s="197"/>
      <c r="AP670" s="172"/>
      <c r="AQ670" s="172"/>
      <c r="AR670" s="172"/>
      <c r="AS670" s="172"/>
      <c r="AT670" s="172"/>
      <c r="AU670" s="172"/>
      <c r="AV670" s="173"/>
      <c r="AW670" s="165"/>
      <c r="AX670" s="170"/>
      <c r="AY670" s="169"/>
      <c r="AZ670" s="170"/>
      <c r="BA670" s="169"/>
      <c r="BB670" s="165"/>
      <c r="BC670" s="166"/>
      <c r="BD670" s="165"/>
      <c r="BE670" s="165"/>
      <c r="BF670" s="165"/>
      <c r="BG670" s="165"/>
      <c r="BH670" s="165"/>
      <c r="BI670" s="165"/>
      <c r="BJ670" s="165"/>
      <c r="BK670" s="165"/>
      <c r="BL670" s="165"/>
      <c r="BM670" s="165"/>
    </row>
    <row r="671" spans="1:65" s="1" customFormat="1" ht="15.75" thickBot="1" x14ac:dyDescent="0.3">
      <c r="A671" s="198" t="s">
        <v>1898</v>
      </c>
      <c r="B671" s="199"/>
      <c r="C671" s="199"/>
      <c r="D671" s="199"/>
      <c r="E671" s="199"/>
      <c r="F671" s="199"/>
      <c r="G671" s="199"/>
      <c r="H671" s="199"/>
      <c r="I671" s="199"/>
      <c r="J671" s="199"/>
      <c r="K671" s="199"/>
      <c r="L671" s="200"/>
      <c r="M671" s="201"/>
      <c r="N671" s="201"/>
      <c r="O671" s="202">
        <f>SUM(O20:O670)</f>
        <v>53288174.599999979</v>
      </c>
      <c r="P671" s="201"/>
      <c r="Q671" s="201"/>
      <c r="R671" s="201"/>
      <c r="S671" s="201"/>
      <c r="T671" s="203"/>
      <c r="U671" s="204"/>
      <c r="V671" s="204"/>
      <c r="W671" s="203"/>
      <c r="X671" s="203"/>
      <c r="Y671" s="205"/>
      <c r="Z671" s="206"/>
      <c r="AA671" s="207"/>
      <c r="AB671" s="203"/>
      <c r="AC671" s="206"/>
      <c r="AD671" s="206"/>
      <c r="AE671" s="208"/>
      <c r="AF671" s="205"/>
      <c r="AG671" s="202">
        <f>SUM(AG20:AG670)</f>
        <v>65909756.339999951</v>
      </c>
      <c r="AH671" s="202">
        <f>SUM(AH20:AH670)</f>
        <v>1079039.9700000002</v>
      </c>
      <c r="AI671" s="209"/>
      <c r="AJ671" s="209"/>
      <c r="AK671" s="209"/>
      <c r="AL671" s="202">
        <f>SUM(AL20:AL670)</f>
        <v>118118890.96999997</v>
      </c>
      <c r="AM671" s="202">
        <f>SUM(AM20:AM670)</f>
        <v>59183941.693999998</v>
      </c>
      <c r="AN671" s="202">
        <f>SUM(AN20:AN670)</f>
        <v>33986987.589999981</v>
      </c>
      <c r="AO671" s="202">
        <f>SUM(AO20:AO670)</f>
        <v>93170929.283999979</v>
      </c>
      <c r="AP671" s="202">
        <f>SUM(AP20:AP670)</f>
        <v>42182.760000000009</v>
      </c>
      <c r="AQ671" s="202">
        <f>SUM(AQ20:AQ670)</f>
        <v>637657</v>
      </c>
      <c r="AR671" s="202">
        <f>SUM(AR20:AR670)</f>
        <v>643135</v>
      </c>
      <c r="AS671" s="202">
        <f>SUM(AS20:AS670)</f>
        <v>106910</v>
      </c>
      <c r="AT671" s="202"/>
      <c r="AU671" s="210"/>
      <c r="AV671" s="210"/>
      <c r="AW671" s="210"/>
      <c r="AX671" s="210"/>
      <c r="AY671" s="210"/>
      <c r="AZ671" s="210"/>
      <c r="BA671" s="210"/>
      <c r="BB671" s="210"/>
      <c r="BC671" s="211"/>
      <c r="BD671" s="210"/>
      <c r="BE671" s="210"/>
      <c r="BF671" s="210"/>
      <c r="BG671" s="210"/>
      <c r="BH671" s="210"/>
      <c r="BI671" s="210"/>
      <c r="BJ671" s="210"/>
      <c r="BK671" s="210"/>
      <c r="BL671" s="210"/>
      <c r="BM671" s="212"/>
    </row>
    <row r="672" spans="1:65" s="1" customFormat="1" x14ac:dyDescent="0.25">
      <c r="A672" s="176"/>
      <c r="B672" s="175"/>
      <c r="C672" s="176"/>
      <c r="D672" s="174"/>
      <c r="E672" s="176"/>
      <c r="F672" s="177"/>
      <c r="G672" s="177"/>
      <c r="H672" s="181"/>
      <c r="I672" s="181"/>
      <c r="J672" s="181"/>
      <c r="K672" s="176"/>
      <c r="L672" s="178"/>
      <c r="M672" s="174"/>
      <c r="N672" s="174"/>
      <c r="O672" s="7"/>
      <c r="P672" s="174"/>
      <c r="Q672" s="174"/>
      <c r="R672" s="174"/>
      <c r="S672" s="174"/>
      <c r="T672" s="177"/>
      <c r="U672" s="11"/>
      <c r="V672" s="11"/>
      <c r="W672" s="177"/>
      <c r="X672" s="177"/>
      <c r="Y672" s="176"/>
      <c r="Z672" s="179"/>
      <c r="AA672" s="180"/>
      <c r="AB672" s="177"/>
      <c r="AC672" s="179"/>
      <c r="AD672" s="179"/>
      <c r="AE672" s="175"/>
      <c r="AF672" s="176"/>
      <c r="AG672" s="9"/>
      <c r="AH672" s="9"/>
      <c r="AI672" s="9"/>
      <c r="AJ672" s="9"/>
      <c r="AK672" s="9"/>
      <c r="AL672" s="9"/>
      <c r="AM672" s="9"/>
      <c r="AN672" s="9"/>
      <c r="AO672" s="9"/>
      <c r="AP672" s="181"/>
      <c r="AQ672" s="181"/>
      <c r="AR672" s="181"/>
      <c r="AS672" s="181"/>
      <c r="AT672" s="181"/>
      <c r="AU672" s="181"/>
      <c r="AV672" s="181"/>
      <c r="AW672" s="181"/>
      <c r="AX672" s="181"/>
      <c r="AY672" s="181"/>
      <c r="AZ672" s="181"/>
      <c r="BA672" s="181"/>
      <c r="BB672" s="181"/>
      <c r="BC672" s="182"/>
      <c r="BD672" s="181"/>
      <c r="BE672" s="181"/>
      <c r="BF672" s="181"/>
      <c r="BG672" s="181"/>
      <c r="BH672" s="181"/>
      <c r="BI672" s="181"/>
      <c r="BJ672" s="181"/>
      <c r="BK672" s="181"/>
      <c r="BL672" s="181"/>
      <c r="BM672" s="181"/>
    </row>
    <row r="673" spans="1:65" s="1" customFormat="1" x14ac:dyDescent="0.25">
      <c r="A673" s="176"/>
      <c r="B673" s="175"/>
      <c r="C673" s="176"/>
      <c r="D673" s="174"/>
      <c r="E673" s="176"/>
      <c r="F673" s="177"/>
      <c r="G673" s="177"/>
      <c r="H673" s="181"/>
      <c r="I673" s="181"/>
      <c r="J673" s="181"/>
      <c r="K673" s="176"/>
      <c r="L673" s="178"/>
      <c r="M673" s="174"/>
      <c r="N673" s="174"/>
      <c r="O673" s="7"/>
      <c r="P673" s="174"/>
      <c r="Q673" s="174"/>
      <c r="R673" s="174"/>
      <c r="S673" s="174"/>
      <c r="T673" s="176"/>
      <c r="U673" s="7"/>
      <c r="V673" s="7"/>
      <c r="W673" s="177"/>
      <c r="X673" s="177"/>
      <c r="Y673" s="176"/>
      <c r="Z673" s="176"/>
      <c r="AA673" s="176"/>
      <c r="AB673" s="177"/>
      <c r="AC673" s="174"/>
      <c r="AD673" s="174"/>
      <c r="AE673" s="175"/>
      <c r="AF673" s="174"/>
      <c r="AG673" s="7"/>
      <c r="AH673" s="7"/>
      <c r="AI673" s="7"/>
      <c r="AJ673" s="7"/>
      <c r="AK673" s="7"/>
      <c r="AL673" s="7"/>
      <c r="AM673" s="7"/>
      <c r="AN673" s="7"/>
      <c r="AO673" s="7"/>
      <c r="AP673" s="182"/>
      <c r="AQ673" s="182"/>
      <c r="AR673" s="182"/>
      <c r="AS673" s="182"/>
      <c r="AT673" s="174"/>
      <c r="AU673" s="174"/>
      <c r="AV673" s="176"/>
      <c r="AW673" s="174"/>
      <c r="AX673" s="174"/>
      <c r="AY673" s="174"/>
      <c r="AZ673" s="174"/>
      <c r="BA673" s="174"/>
      <c r="BB673" s="176"/>
      <c r="BC673" s="174"/>
      <c r="BD673" s="174"/>
      <c r="BE673" s="174"/>
      <c r="BF673" s="174"/>
      <c r="BG673" s="174"/>
      <c r="BH673" s="174"/>
      <c r="BI673" s="174"/>
      <c r="BJ673" s="174"/>
      <c r="BK673" s="174"/>
      <c r="BL673" s="174"/>
      <c r="BM673" s="174"/>
    </row>
    <row r="674" spans="1:65" s="1" customFormat="1" x14ac:dyDescent="0.25">
      <c r="A674" s="1" t="s">
        <v>1899</v>
      </c>
      <c r="B674" s="175"/>
      <c r="C674" s="176"/>
      <c r="D674" s="174"/>
      <c r="E674" s="176"/>
      <c r="F674" s="177"/>
      <c r="G674" s="177"/>
      <c r="H674" s="181"/>
      <c r="I674" s="181"/>
      <c r="J674" s="181"/>
      <c r="K674" s="176"/>
      <c r="L674" s="178"/>
      <c r="M674" s="174"/>
      <c r="N674" s="174"/>
      <c r="O674" s="7"/>
      <c r="P674" s="174"/>
      <c r="Q674" s="174"/>
      <c r="R674" s="174"/>
      <c r="S674" s="174"/>
      <c r="T674" s="176"/>
      <c r="U674" s="7"/>
      <c r="V674" s="7"/>
      <c r="W674" s="177"/>
      <c r="X674" s="177"/>
      <c r="Y674" s="176"/>
      <c r="Z674" s="176"/>
      <c r="AA674" s="176"/>
      <c r="AB674" s="177"/>
      <c r="AC674" s="174"/>
      <c r="AD674" s="174"/>
      <c r="AE674" s="175"/>
      <c r="AF674" s="174"/>
      <c r="AG674" s="7"/>
      <c r="AH674" s="7"/>
      <c r="AI674" s="7"/>
      <c r="AJ674" s="7"/>
      <c r="AK674" s="7"/>
      <c r="AL674" s="7"/>
      <c r="AM674" s="7"/>
      <c r="AN674" s="7"/>
      <c r="AO674" s="7"/>
      <c r="AP674" s="182"/>
      <c r="AQ674" s="182"/>
      <c r="AR674" s="182"/>
      <c r="AS674" s="182"/>
      <c r="AT674" s="174"/>
      <c r="AU674" s="174"/>
      <c r="AV674" s="176"/>
      <c r="AW674" s="174"/>
      <c r="AX674" s="174"/>
      <c r="AY674" s="174"/>
      <c r="AZ674" s="174"/>
      <c r="BA674" s="174"/>
      <c r="BB674" s="176"/>
      <c r="BC674" s="174"/>
      <c r="BD674" s="174"/>
      <c r="BE674" s="174"/>
      <c r="BF674" s="174"/>
      <c r="BG674" s="174"/>
      <c r="BH674" s="174"/>
      <c r="BI674" s="174"/>
      <c r="BJ674" s="174"/>
      <c r="BK674" s="174"/>
      <c r="BL674" s="174"/>
      <c r="BM674" s="174"/>
    </row>
    <row r="675" spans="1:65" s="1" customFormat="1" x14ac:dyDescent="0.25">
      <c r="A675" s="177"/>
      <c r="B675" s="175"/>
      <c r="C675" s="176"/>
      <c r="D675" s="174"/>
      <c r="E675" s="176"/>
      <c r="F675" s="177"/>
      <c r="G675" s="177"/>
      <c r="H675" s="181"/>
      <c r="I675" s="181"/>
      <c r="J675" s="181"/>
      <c r="K675" s="176"/>
      <c r="L675" s="178"/>
      <c r="M675" s="174"/>
      <c r="N675" s="174"/>
      <c r="O675" s="7"/>
      <c r="P675" s="174"/>
      <c r="Q675" s="174"/>
      <c r="R675" s="174"/>
      <c r="S675" s="174"/>
      <c r="T675" s="176"/>
      <c r="U675" s="7"/>
      <c r="V675" s="7"/>
      <c r="W675" s="177"/>
      <c r="X675" s="177"/>
      <c r="Y675" s="176"/>
      <c r="Z675" s="176"/>
      <c r="AA675" s="176"/>
      <c r="AB675" s="177"/>
      <c r="AC675" s="174"/>
      <c r="AD675" s="174"/>
      <c r="AE675" s="175"/>
      <c r="AF675" s="174"/>
      <c r="AG675" s="7"/>
      <c r="AH675" s="7"/>
      <c r="AI675" s="7"/>
      <c r="AJ675" s="7"/>
      <c r="AK675" s="7"/>
      <c r="AL675" s="7"/>
      <c r="AM675" s="7"/>
      <c r="AN675" s="7"/>
      <c r="AO675" s="7"/>
      <c r="AP675" s="182"/>
      <c r="AQ675" s="182"/>
      <c r="AR675" s="182"/>
      <c r="AS675" s="182"/>
      <c r="AT675" s="174"/>
      <c r="AU675" s="174"/>
      <c r="AV675" s="176"/>
      <c r="AW675" s="174"/>
      <c r="AX675" s="174"/>
      <c r="AY675" s="174"/>
      <c r="AZ675" s="174"/>
      <c r="BA675" s="174"/>
      <c r="BB675" s="176"/>
      <c r="BC675" s="174"/>
      <c r="BD675" s="174"/>
      <c r="BE675" s="174"/>
      <c r="BF675" s="174"/>
      <c r="BG675" s="174"/>
      <c r="BH675" s="174"/>
      <c r="BI675" s="174"/>
      <c r="BJ675" s="174"/>
      <c r="BK675" s="174"/>
      <c r="BL675" s="174"/>
      <c r="BM675" s="174"/>
    </row>
    <row r="676" spans="1:65" s="1" customFormat="1" x14ac:dyDescent="0.25">
      <c r="A676" s="1" t="s">
        <v>1900</v>
      </c>
      <c r="B676" s="175"/>
      <c r="C676" s="176"/>
      <c r="D676" s="174"/>
      <c r="E676" s="176"/>
      <c r="F676" s="177"/>
      <c r="G676" s="177"/>
      <c r="H676" s="181"/>
      <c r="I676" s="181"/>
      <c r="J676" s="181"/>
      <c r="K676" s="176"/>
      <c r="L676" s="178"/>
      <c r="M676" s="174"/>
      <c r="N676" s="174"/>
      <c r="O676" s="7"/>
      <c r="P676" s="174"/>
      <c r="Q676" s="174"/>
      <c r="R676" s="174"/>
      <c r="S676" s="174"/>
      <c r="T676" s="176"/>
      <c r="U676" s="7"/>
      <c r="V676" s="7"/>
      <c r="W676" s="177"/>
      <c r="X676" s="177"/>
      <c r="Y676" s="176"/>
      <c r="Z676" s="176"/>
      <c r="AA676" s="176"/>
      <c r="AB676" s="177"/>
      <c r="AC676" s="174"/>
      <c r="AD676" s="174"/>
      <c r="AE676" s="175"/>
      <c r="AF676" s="174"/>
      <c r="AG676" s="7"/>
      <c r="AH676" s="7"/>
      <c r="AI676" s="7"/>
      <c r="AJ676" s="7"/>
      <c r="AK676" s="7"/>
      <c r="AL676" s="7"/>
      <c r="AM676" s="7"/>
      <c r="AN676" s="7"/>
      <c r="AO676" s="7"/>
      <c r="AP676" s="182"/>
      <c r="AQ676" s="182"/>
      <c r="AR676" s="182"/>
      <c r="AS676" s="182"/>
      <c r="AT676" s="174"/>
      <c r="AU676" s="174"/>
      <c r="AV676" s="176"/>
      <c r="AW676" s="174"/>
      <c r="AX676" s="174"/>
      <c r="AY676" s="174"/>
      <c r="AZ676" s="174"/>
      <c r="BA676" s="174"/>
      <c r="BB676" s="176"/>
      <c r="BC676" s="174"/>
      <c r="BD676" s="174"/>
      <c r="BE676" s="174"/>
      <c r="BF676" s="174"/>
      <c r="BG676" s="174"/>
      <c r="BH676" s="174"/>
      <c r="BI676" s="174"/>
      <c r="BJ676" s="174"/>
      <c r="BK676" s="174"/>
      <c r="BL676" s="174"/>
      <c r="BM676" s="174"/>
    </row>
  </sheetData>
  <mergeCells count="3012">
    <mergeCell ref="P236:P247"/>
    <mergeCell ref="Q236:Q247"/>
    <mergeCell ref="S236:S247"/>
    <mergeCell ref="L250:L251"/>
    <mergeCell ref="O294:O296"/>
    <mergeCell ref="L270:L275"/>
    <mergeCell ref="R252:R254"/>
    <mergeCell ref="S252:S254"/>
    <mergeCell ref="A671:L671"/>
    <mergeCell ref="K354:K355"/>
    <mergeCell ref="L354:L355"/>
    <mergeCell ref="M354:M355"/>
    <mergeCell ref="N354:N355"/>
    <mergeCell ref="O354:O355"/>
    <mergeCell ref="P354:P355"/>
    <mergeCell ref="Q354:Q355"/>
    <mergeCell ref="K297:K300"/>
    <mergeCell ref="S354:S355"/>
    <mergeCell ref="T354:T355"/>
    <mergeCell ref="U313:U314"/>
    <mergeCell ref="AL309:AL310"/>
    <mergeCell ref="AL297:AL300"/>
    <mergeCell ref="AL354:AL355"/>
    <mergeCell ref="W266:W267"/>
    <mergeCell ref="AL266:AL267"/>
    <mergeCell ref="M261:M262"/>
    <mergeCell ref="BJ294:BJ296"/>
    <mergeCell ref="K309:K310"/>
    <mergeCell ref="V297:V300"/>
    <mergeCell ref="V354:V355"/>
    <mergeCell ref="W354:W355"/>
    <mergeCell ref="S297:S300"/>
    <mergeCell ref="K313:K314"/>
    <mergeCell ref="L313:L314"/>
    <mergeCell ref="M313:M314"/>
    <mergeCell ref="N313:N314"/>
    <mergeCell ref="O313:O314"/>
    <mergeCell ref="A662:A670"/>
    <mergeCell ref="B662:B670"/>
    <mergeCell ref="C662:C670"/>
    <mergeCell ref="D662:D670"/>
    <mergeCell ref="E662:E670"/>
    <mergeCell ref="F662:F670"/>
    <mergeCell ref="G662:G670"/>
    <mergeCell ref="H662:H670"/>
    <mergeCell ref="I662:I670"/>
    <mergeCell ref="J662:J670"/>
    <mergeCell ref="L662:L670"/>
    <mergeCell ref="M662:M670"/>
    <mergeCell ref="N662:N670"/>
    <mergeCell ref="G405:G406"/>
    <mergeCell ref="E354:E355"/>
    <mergeCell ref="AL662:AL670"/>
    <mergeCell ref="W662:W670"/>
    <mergeCell ref="V662:V670"/>
    <mergeCell ref="W313:W314"/>
    <mergeCell ref="R354:R355"/>
    <mergeCell ref="F354:F355"/>
    <mergeCell ref="A209:A212"/>
    <mergeCell ref="B209:B212"/>
    <mergeCell ref="C209:C212"/>
    <mergeCell ref="A233:A235"/>
    <mergeCell ref="B233:B235"/>
    <mergeCell ref="C233:C235"/>
    <mergeCell ref="D233:D235"/>
    <mergeCell ref="E233:E235"/>
    <mergeCell ref="F233:F235"/>
    <mergeCell ref="G233:G235"/>
    <mergeCell ref="H233:H235"/>
    <mergeCell ref="I233:I235"/>
    <mergeCell ref="J233:J235"/>
    <mergeCell ref="K233:K235"/>
    <mergeCell ref="L233:L235"/>
    <mergeCell ref="M233:M235"/>
    <mergeCell ref="U662:U670"/>
    <mergeCell ref="K662:K670"/>
    <mergeCell ref="Q662:Q670"/>
    <mergeCell ref="O662:O670"/>
    <mergeCell ref="P662:P670"/>
    <mergeCell ref="F291:F292"/>
    <mergeCell ref="K284:K285"/>
    <mergeCell ref="K268:K269"/>
    <mergeCell ref="E309:E310"/>
    <mergeCell ref="F309:F310"/>
    <mergeCell ref="G309:G310"/>
    <mergeCell ref="I270:I275"/>
    <mergeCell ref="J270:J275"/>
    <mergeCell ref="U354:U355"/>
    <mergeCell ref="D354:D355"/>
    <mergeCell ref="G354:G355"/>
    <mergeCell ref="K286:K289"/>
    <mergeCell ref="L286:L289"/>
    <mergeCell ref="M286:M289"/>
    <mergeCell ref="N286:N289"/>
    <mergeCell ref="O286:O289"/>
    <mergeCell ref="P286:P289"/>
    <mergeCell ref="Q286:Q289"/>
    <mergeCell ref="AM286:AM289"/>
    <mergeCell ref="A229:A232"/>
    <mergeCell ref="B229:B232"/>
    <mergeCell ref="C229:C232"/>
    <mergeCell ref="D229:D232"/>
    <mergeCell ref="E229:E232"/>
    <mergeCell ref="F229:F232"/>
    <mergeCell ref="A354:A355"/>
    <mergeCell ref="D266:D267"/>
    <mergeCell ref="E266:E267"/>
    <mergeCell ref="F266:F267"/>
    <mergeCell ref="G266:G267"/>
    <mergeCell ref="H266:H267"/>
    <mergeCell ref="I266:I267"/>
    <mergeCell ref="J266:J267"/>
    <mergeCell ref="K266:K267"/>
    <mergeCell ref="L266:L267"/>
    <mergeCell ref="M266:M267"/>
    <mergeCell ref="N266:N267"/>
    <mergeCell ref="O266:O267"/>
    <mergeCell ref="P266:P267"/>
    <mergeCell ref="Q266:Q267"/>
    <mergeCell ref="E291:E292"/>
    <mergeCell ref="D284:D285"/>
    <mergeCell ref="H284:H285"/>
    <mergeCell ref="P216:P217"/>
    <mergeCell ref="AL270:AL275"/>
    <mergeCell ref="V257:V259"/>
    <mergeCell ref="W236:W247"/>
    <mergeCell ref="O278:O282"/>
    <mergeCell ref="P278:P282"/>
    <mergeCell ref="R662:R670"/>
    <mergeCell ref="S662:S670"/>
    <mergeCell ref="M263:M265"/>
    <mergeCell ref="T662:T670"/>
    <mergeCell ref="V263:V265"/>
    <mergeCell ref="W263:W265"/>
    <mergeCell ref="AL405:AL406"/>
    <mergeCell ref="R405:R406"/>
    <mergeCell ref="S405:S406"/>
    <mergeCell ref="R297:R300"/>
    <mergeCell ref="S270:S275"/>
    <mergeCell ref="S284:S285"/>
    <mergeCell ref="N405:N406"/>
    <mergeCell ref="O405:O406"/>
    <mergeCell ref="Q309:Q310"/>
    <mergeCell ref="R315:R316"/>
    <mergeCell ref="P291:P292"/>
    <mergeCell ref="M284:M285"/>
    <mergeCell ref="M291:M292"/>
    <mergeCell ref="O291:O292"/>
    <mergeCell ref="R291:R292"/>
    <mergeCell ref="P284:P285"/>
    <mergeCell ref="O284:O285"/>
    <mergeCell ref="T313:T314"/>
    <mergeCell ref="S291:S292"/>
    <mergeCell ref="T294:T296"/>
    <mergeCell ref="AL191:AL193"/>
    <mergeCell ref="AI197:AI199"/>
    <mergeCell ref="AT152:AT154"/>
    <mergeCell ref="W176:W178"/>
    <mergeCell ref="AL164:AL167"/>
    <mergeCell ref="W164:W167"/>
    <mergeCell ref="AN209:AN212"/>
    <mergeCell ref="V218:V220"/>
    <mergeCell ref="AM216:AM217"/>
    <mergeCell ref="AM213:AM215"/>
    <mergeCell ref="AL216:AL217"/>
    <mergeCell ref="L291:L292"/>
    <mergeCell ref="W291:W292"/>
    <mergeCell ref="AL263:AL265"/>
    <mergeCell ref="M257:M259"/>
    <mergeCell ref="U270:U275"/>
    <mergeCell ref="AL294:AL296"/>
    <mergeCell ref="V291:V292"/>
    <mergeCell ref="U278:U282"/>
    <mergeCell ref="W284:W285"/>
    <mergeCell ref="V284:V285"/>
    <mergeCell ref="U294:U296"/>
    <mergeCell ref="V294:V296"/>
    <mergeCell ref="U286:U289"/>
    <mergeCell ref="V286:V289"/>
    <mergeCell ref="O268:O269"/>
    <mergeCell ref="V229:V232"/>
    <mergeCell ref="W229:W232"/>
    <mergeCell ref="AL229:AL232"/>
    <mergeCell ref="AM229:AM232"/>
    <mergeCell ref="T221:T225"/>
    <mergeCell ref="U221:U225"/>
    <mergeCell ref="AY229:AY231"/>
    <mergeCell ref="AZ229:AZ231"/>
    <mergeCell ref="BA229:BA231"/>
    <mergeCell ref="V201:V205"/>
    <mergeCell ref="W201:W205"/>
    <mergeCell ref="AL201:AL205"/>
    <mergeCell ref="AM201:AM205"/>
    <mergeCell ref="AN201:AN205"/>
    <mergeCell ref="AO201:AO205"/>
    <mergeCell ref="V221:V225"/>
    <mergeCell ref="W221:W225"/>
    <mergeCell ref="AM221:AM225"/>
    <mergeCell ref="W209:W212"/>
    <mergeCell ref="AL209:AL212"/>
    <mergeCell ref="AM209:AM212"/>
    <mergeCell ref="AL221:AL225"/>
    <mergeCell ref="V206:V208"/>
    <mergeCell ref="AN229:AN232"/>
    <mergeCell ref="AO229:AO232"/>
    <mergeCell ref="O206:O208"/>
    <mergeCell ref="P206:P208"/>
    <mergeCell ref="R266:R267"/>
    <mergeCell ref="S266:S267"/>
    <mergeCell ref="T266:T267"/>
    <mergeCell ref="U266:U267"/>
    <mergeCell ref="V266:V267"/>
    <mergeCell ref="J261:J262"/>
    <mergeCell ref="Q206:Q208"/>
    <mergeCell ref="AM206:AM208"/>
    <mergeCell ref="O233:O235"/>
    <mergeCell ref="P233:P235"/>
    <mergeCell ref="Q233:Q235"/>
    <mergeCell ref="R233:R235"/>
    <mergeCell ref="S233:S235"/>
    <mergeCell ref="T233:T235"/>
    <mergeCell ref="U233:U235"/>
    <mergeCell ref="V233:V235"/>
    <mergeCell ref="O250:O251"/>
    <mergeCell ref="P250:P251"/>
    <mergeCell ref="R218:R220"/>
    <mergeCell ref="V236:V247"/>
    <mergeCell ref="V248:V249"/>
    <mergeCell ref="R250:R251"/>
    <mergeCell ref="Q216:Q217"/>
    <mergeCell ref="T206:T208"/>
    <mergeCell ref="U206:U208"/>
    <mergeCell ref="W206:W208"/>
    <mergeCell ref="U209:U212"/>
    <mergeCell ref="R209:R212"/>
    <mergeCell ref="S209:S212"/>
    <mergeCell ref="S221:S225"/>
    <mergeCell ref="P209:P212"/>
    <mergeCell ref="R221:R225"/>
    <mergeCell ref="S218:S220"/>
    <mergeCell ref="O236:O247"/>
    <mergeCell ref="Q252:Q254"/>
    <mergeCell ref="O229:O232"/>
    <mergeCell ref="P229:P232"/>
    <mergeCell ref="Q229:Q232"/>
    <mergeCell ref="R229:R232"/>
    <mergeCell ref="S229:S232"/>
    <mergeCell ref="T229:T232"/>
    <mergeCell ref="U229:U232"/>
    <mergeCell ref="A294:A296"/>
    <mergeCell ref="C297:C300"/>
    <mergeCell ref="D297:D300"/>
    <mergeCell ref="E297:E300"/>
    <mergeCell ref="C309:C310"/>
    <mergeCell ref="D309:D310"/>
    <mergeCell ref="B291:B292"/>
    <mergeCell ref="C291:C292"/>
    <mergeCell ref="G291:G292"/>
    <mergeCell ref="H291:H292"/>
    <mergeCell ref="I297:I300"/>
    <mergeCell ref="A286:A289"/>
    <mergeCell ref="B286:B289"/>
    <mergeCell ref="C286:C289"/>
    <mergeCell ref="D286:D289"/>
    <mergeCell ref="E286:E289"/>
    <mergeCell ref="F286:F289"/>
    <mergeCell ref="G286:G289"/>
    <mergeCell ref="H286:H289"/>
    <mergeCell ref="I286:I289"/>
    <mergeCell ref="I405:I406"/>
    <mergeCell ref="J405:J406"/>
    <mergeCell ref="D315:D316"/>
    <mergeCell ref="E315:E316"/>
    <mergeCell ref="A315:A316"/>
    <mergeCell ref="B315:B316"/>
    <mergeCell ref="F315:F316"/>
    <mergeCell ref="G315:G316"/>
    <mergeCell ref="H315:H316"/>
    <mergeCell ref="I315:I316"/>
    <mergeCell ref="D291:D292"/>
    <mergeCell ref="D294:D296"/>
    <mergeCell ref="E294:E296"/>
    <mergeCell ref="F294:F296"/>
    <mergeCell ref="G294:G296"/>
    <mergeCell ref="B294:B296"/>
    <mergeCell ref="H294:H296"/>
    <mergeCell ref="I294:I296"/>
    <mergeCell ref="A366:A368"/>
    <mergeCell ref="B366:B368"/>
    <mergeCell ref="J313:J314"/>
    <mergeCell ref="J366:J368"/>
    <mergeCell ref="A337:A340"/>
    <mergeCell ref="B337:B340"/>
    <mergeCell ref="C337:C340"/>
    <mergeCell ref="D337:D340"/>
    <mergeCell ref="C294:C296"/>
    <mergeCell ref="H354:H355"/>
    <mergeCell ref="I354:I355"/>
    <mergeCell ref="J354:J355"/>
    <mergeCell ref="I284:I285"/>
    <mergeCell ref="I263:I265"/>
    <mergeCell ref="H261:H262"/>
    <mergeCell ref="C268:C269"/>
    <mergeCell ref="D268:D269"/>
    <mergeCell ref="H252:H254"/>
    <mergeCell ref="I278:I282"/>
    <mergeCell ref="E255:E256"/>
    <mergeCell ref="F252:F254"/>
    <mergeCell ref="A266:A267"/>
    <mergeCell ref="B266:B267"/>
    <mergeCell ref="C266:C267"/>
    <mergeCell ref="G263:G265"/>
    <mergeCell ref="H263:H265"/>
    <mergeCell ref="E268:E269"/>
    <mergeCell ref="A278:A282"/>
    <mergeCell ref="B278:B282"/>
    <mergeCell ref="C278:C282"/>
    <mergeCell ref="D278:D282"/>
    <mergeCell ref="E278:E282"/>
    <mergeCell ref="F278:F282"/>
    <mergeCell ref="E284:E285"/>
    <mergeCell ref="A284:A285"/>
    <mergeCell ref="B263:B265"/>
    <mergeCell ref="C263:C265"/>
    <mergeCell ref="B252:B254"/>
    <mergeCell ref="C252:C254"/>
    <mergeCell ref="B255:B256"/>
    <mergeCell ref="C255:C256"/>
    <mergeCell ref="C248:C249"/>
    <mergeCell ref="C236:C247"/>
    <mergeCell ref="D236:D247"/>
    <mergeCell ref="E236:E247"/>
    <mergeCell ref="G278:G282"/>
    <mergeCell ref="E270:E275"/>
    <mergeCell ref="F270:F275"/>
    <mergeCell ref="B270:B275"/>
    <mergeCell ref="C270:C275"/>
    <mergeCell ref="D270:D275"/>
    <mergeCell ref="A261:A262"/>
    <mergeCell ref="B261:B262"/>
    <mergeCell ref="E263:E265"/>
    <mergeCell ref="F248:F249"/>
    <mergeCell ref="A270:A275"/>
    <mergeCell ref="I268:I269"/>
    <mergeCell ref="C261:C262"/>
    <mergeCell ref="D261:D262"/>
    <mergeCell ref="E261:E262"/>
    <mergeCell ref="D248:D249"/>
    <mergeCell ref="B236:B247"/>
    <mergeCell ref="A236:A247"/>
    <mergeCell ref="M255:M256"/>
    <mergeCell ref="C250:C251"/>
    <mergeCell ref="B250:B251"/>
    <mergeCell ref="J250:J251"/>
    <mergeCell ref="K250:K251"/>
    <mergeCell ref="D252:D254"/>
    <mergeCell ref="D250:D251"/>
    <mergeCell ref="E250:E251"/>
    <mergeCell ref="J257:J259"/>
    <mergeCell ref="J248:J249"/>
    <mergeCell ref="G252:G254"/>
    <mergeCell ref="F255:F256"/>
    <mergeCell ref="G255:G256"/>
    <mergeCell ref="G270:G275"/>
    <mergeCell ref="F261:F262"/>
    <mergeCell ref="G261:G262"/>
    <mergeCell ref="H268:H269"/>
    <mergeCell ref="H250:H251"/>
    <mergeCell ref="F236:F247"/>
    <mergeCell ref="L261:L262"/>
    <mergeCell ref="M248:M249"/>
    <mergeCell ref="B248:B249"/>
    <mergeCell ref="K270:K275"/>
    <mergeCell ref="A263:A265"/>
    <mergeCell ref="C201:C205"/>
    <mergeCell ref="D201:D205"/>
    <mergeCell ref="A213:A215"/>
    <mergeCell ref="H218:H220"/>
    <mergeCell ref="H191:H193"/>
    <mergeCell ref="B221:B225"/>
    <mergeCell ref="L268:L269"/>
    <mergeCell ref="G248:G249"/>
    <mergeCell ref="H248:H249"/>
    <mergeCell ref="I248:I249"/>
    <mergeCell ref="I252:I254"/>
    <mergeCell ref="J252:J254"/>
    <mergeCell ref="K252:K254"/>
    <mergeCell ref="F188:F190"/>
    <mergeCell ref="D185:D187"/>
    <mergeCell ref="D209:D212"/>
    <mergeCell ref="E209:E212"/>
    <mergeCell ref="F209:F212"/>
    <mergeCell ref="G209:G212"/>
    <mergeCell ref="H209:H212"/>
    <mergeCell ref="I209:I212"/>
    <mergeCell ref="J209:J212"/>
    <mergeCell ref="K209:K212"/>
    <mergeCell ref="D263:D265"/>
    <mergeCell ref="F250:F251"/>
    <mergeCell ref="G250:G251"/>
    <mergeCell ref="F257:F259"/>
    <mergeCell ref="D255:D256"/>
    <mergeCell ref="K257:K259"/>
    <mergeCell ref="I250:I251"/>
    <mergeCell ref="L236:L247"/>
    <mergeCell ref="D218:D220"/>
    <mergeCell ref="L191:L193"/>
    <mergeCell ref="J236:J247"/>
    <mergeCell ref="G182:G184"/>
    <mergeCell ref="G221:G225"/>
    <mergeCell ref="L248:L249"/>
    <mergeCell ref="L209:L212"/>
    <mergeCell ref="L216:L217"/>
    <mergeCell ref="H221:H225"/>
    <mergeCell ref="I221:I225"/>
    <mergeCell ref="G188:G190"/>
    <mergeCell ref="H188:H190"/>
    <mergeCell ref="R206:R208"/>
    <mergeCell ref="S206:S208"/>
    <mergeCell ref="H182:H184"/>
    <mergeCell ref="F263:F265"/>
    <mergeCell ref="K261:K262"/>
    <mergeCell ref="K191:K193"/>
    <mergeCell ref="J201:J205"/>
    <mergeCell ref="J263:J265"/>
    <mergeCell ref="O255:O256"/>
    <mergeCell ref="L263:L265"/>
    <mergeCell ref="L213:L215"/>
    <mergeCell ref="G229:G232"/>
    <mergeCell ref="H229:H232"/>
    <mergeCell ref="I229:I232"/>
    <mergeCell ref="J229:J232"/>
    <mergeCell ref="K229:K232"/>
    <mergeCell ref="L229:L232"/>
    <mergeCell ref="I195:I200"/>
    <mergeCell ref="J195:J200"/>
    <mergeCell ref="G216:G217"/>
    <mergeCell ref="M229:M232"/>
    <mergeCell ref="F182:F184"/>
    <mergeCell ref="W182:W184"/>
    <mergeCell ref="P164:P167"/>
    <mergeCell ref="P152:P163"/>
    <mergeCell ref="P146:P151"/>
    <mergeCell ref="M176:M178"/>
    <mergeCell ref="E206:E208"/>
    <mergeCell ref="F206:F208"/>
    <mergeCell ref="G206:G208"/>
    <mergeCell ref="H206:H208"/>
    <mergeCell ref="I206:I208"/>
    <mergeCell ref="J206:J208"/>
    <mergeCell ref="K206:K208"/>
    <mergeCell ref="L206:L208"/>
    <mergeCell ref="M206:M208"/>
    <mergeCell ref="N206:N208"/>
    <mergeCell ref="V179:V181"/>
    <mergeCell ref="S188:S190"/>
    <mergeCell ref="T182:T184"/>
    <mergeCell ref="Q185:Q187"/>
    <mergeCell ref="Q188:Q190"/>
    <mergeCell ref="Q179:Q181"/>
    <mergeCell ref="R176:R178"/>
    <mergeCell ref="M188:M190"/>
    <mergeCell ref="N188:N190"/>
    <mergeCell ref="M185:M187"/>
    <mergeCell ref="I188:I190"/>
    <mergeCell ref="O188:O190"/>
    <mergeCell ref="R201:R205"/>
    <mergeCell ref="S201:S205"/>
    <mergeCell ref="O185:O187"/>
    <mergeCell ref="O179:O181"/>
    <mergeCell ref="T80:T85"/>
    <mergeCell ref="U80:U85"/>
    <mergeCell ref="V80:V85"/>
    <mergeCell ref="S146:S151"/>
    <mergeCell ref="T146:T151"/>
    <mergeCell ref="W127:W130"/>
    <mergeCell ref="AL127:AL130"/>
    <mergeCell ref="F173:F175"/>
    <mergeCell ref="G173:G175"/>
    <mergeCell ref="H173:H175"/>
    <mergeCell ref="I173:I175"/>
    <mergeCell ref="J173:J175"/>
    <mergeCell ref="T164:T167"/>
    <mergeCell ref="R179:R181"/>
    <mergeCell ref="W179:W181"/>
    <mergeCell ref="U152:U157"/>
    <mergeCell ref="J146:J151"/>
    <mergeCell ref="I176:I178"/>
    <mergeCell ref="J176:J178"/>
    <mergeCell ref="K176:K178"/>
    <mergeCell ref="U164:U167"/>
    <mergeCell ref="O176:O178"/>
    <mergeCell ref="P176:P178"/>
    <mergeCell ref="Q176:Q178"/>
    <mergeCell ref="F152:F163"/>
    <mergeCell ref="L176:L178"/>
    <mergeCell ref="L179:L181"/>
    <mergeCell ref="T179:T181"/>
    <mergeCell ref="V168:V172"/>
    <mergeCell ref="V146:V151"/>
    <mergeCell ref="W146:W151"/>
    <mergeCell ref="W173:W175"/>
    <mergeCell ref="M122:M126"/>
    <mergeCell ref="L114:L121"/>
    <mergeCell ref="O122:O126"/>
    <mergeCell ref="P139:P145"/>
    <mergeCell ref="Q139:Q145"/>
    <mergeCell ref="R139:R145"/>
    <mergeCell ref="Q136:Q138"/>
    <mergeCell ref="N168:N172"/>
    <mergeCell ref="K188:K190"/>
    <mergeCell ref="L188:L190"/>
    <mergeCell ref="I179:I181"/>
    <mergeCell ref="W139:W145"/>
    <mergeCell ref="AL139:AL145"/>
    <mergeCell ref="S136:S138"/>
    <mergeCell ref="T136:T138"/>
    <mergeCell ref="T139:T145"/>
    <mergeCell ref="O182:O184"/>
    <mergeCell ref="U136:U138"/>
    <mergeCell ref="K136:K138"/>
    <mergeCell ref="M139:M145"/>
    <mergeCell ref="L182:L184"/>
    <mergeCell ref="P188:P190"/>
    <mergeCell ref="M182:M184"/>
    <mergeCell ref="R146:R151"/>
    <mergeCell ref="V152:V157"/>
    <mergeCell ref="V164:V167"/>
    <mergeCell ref="AV229:AV231"/>
    <mergeCell ref="AW229:AW231"/>
    <mergeCell ref="AO221:AO225"/>
    <mergeCell ref="V252:V254"/>
    <mergeCell ref="W252:W254"/>
    <mergeCell ref="AL252:AL254"/>
    <mergeCell ref="AN255:AN256"/>
    <mergeCell ref="AO255:AO256"/>
    <mergeCell ref="AL257:AL259"/>
    <mergeCell ref="W255:W256"/>
    <mergeCell ref="U257:U259"/>
    <mergeCell ref="A20:A26"/>
    <mergeCell ref="A127:A130"/>
    <mergeCell ref="B127:B130"/>
    <mergeCell ref="C127:C130"/>
    <mergeCell ref="D127:D130"/>
    <mergeCell ref="E127:E130"/>
    <mergeCell ref="F127:F130"/>
    <mergeCell ref="G127:G130"/>
    <mergeCell ref="H127:H130"/>
    <mergeCell ref="I127:I130"/>
    <mergeCell ref="J127:J130"/>
    <mergeCell ref="U213:U215"/>
    <mergeCell ref="D179:D181"/>
    <mergeCell ref="E179:E181"/>
    <mergeCell ref="T188:T190"/>
    <mergeCell ref="U188:U190"/>
    <mergeCell ref="P185:P187"/>
    <mergeCell ref="I213:I215"/>
    <mergeCell ref="J213:J215"/>
    <mergeCell ref="N164:N167"/>
    <mergeCell ref="K80:K85"/>
    <mergeCell ref="M164:M167"/>
    <mergeCell ref="S176:S178"/>
    <mergeCell ref="R194:R200"/>
    <mergeCell ref="N182:N184"/>
    <mergeCell ref="R168:R172"/>
    <mergeCell ref="R164:R167"/>
    <mergeCell ref="P268:P269"/>
    <mergeCell ref="Q268:Q269"/>
    <mergeCell ref="L221:L225"/>
    <mergeCell ref="AO257:AO259"/>
    <mergeCell ref="BD229:BD231"/>
    <mergeCell ref="V250:V251"/>
    <mergeCell ref="AM257:AM259"/>
    <mergeCell ref="AM236:AM247"/>
    <mergeCell ref="AN236:AN247"/>
    <mergeCell ref="AO236:AO247"/>
    <mergeCell ref="AO216:AO217"/>
    <mergeCell ref="BC229:BC231"/>
    <mergeCell ref="R226:R228"/>
    <mergeCell ref="R248:R249"/>
    <mergeCell ref="S248:S249"/>
    <mergeCell ref="R236:R247"/>
    <mergeCell ref="W233:W235"/>
    <mergeCell ref="AL233:AL235"/>
    <mergeCell ref="AM233:AM235"/>
    <mergeCell ref="AN233:AN235"/>
    <mergeCell ref="AO233:AO235"/>
    <mergeCell ref="AP229:AP231"/>
    <mergeCell ref="BB229:BB231"/>
    <mergeCell ref="AO188:AO190"/>
    <mergeCell ref="AO261:AO262"/>
    <mergeCell ref="AU229:AU231"/>
    <mergeCell ref="I20:I26"/>
    <mergeCell ref="J20:J26"/>
    <mergeCell ref="K20:K26"/>
    <mergeCell ref="L20:L26"/>
    <mergeCell ref="M20:M26"/>
    <mergeCell ref="N20:N26"/>
    <mergeCell ref="O20:O26"/>
    <mergeCell ref="P20:P26"/>
    <mergeCell ref="Q20:Q26"/>
    <mergeCell ref="M31:M34"/>
    <mergeCell ref="C27:C30"/>
    <mergeCell ref="H27:H30"/>
    <mergeCell ref="Q27:Q30"/>
    <mergeCell ref="N27:N30"/>
    <mergeCell ref="M108:M113"/>
    <mergeCell ref="R255:R256"/>
    <mergeCell ref="S255:S256"/>
    <mergeCell ref="K146:K151"/>
    <mergeCell ref="L146:L151"/>
    <mergeCell ref="M146:M151"/>
    <mergeCell ref="N146:N151"/>
    <mergeCell ref="O146:O151"/>
    <mergeCell ref="K173:K175"/>
    <mergeCell ref="L173:L175"/>
    <mergeCell ref="M173:M175"/>
    <mergeCell ref="N173:N175"/>
    <mergeCell ref="O173:O175"/>
    <mergeCell ref="R173:R175"/>
    <mergeCell ref="S164:S167"/>
    <mergeCell ref="O168:O172"/>
    <mergeCell ref="O164:O167"/>
    <mergeCell ref="Q152:Q163"/>
    <mergeCell ref="C43:C46"/>
    <mergeCell ref="P39:P42"/>
    <mergeCell ref="Q39:Q42"/>
    <mergeCell ref="N43:N46"/>
    <mergeCell ref="K35:K38"/>
    <mergeCell ref="K43:K46"/>
    <mergeCell ref="L39:L42"/>
    <mergeCell ref="M39:M42"/>
    <mergeCell ref="N39:N42"/>
    <mergeCell ref="O39:O42"/>
    <mergeCell ref="L35:L38"/>
    <mergeCell ref="M43:M46"/>
    <mergeCell ref="J86:J90"/>
    <mergeCell ref="Q127:Q130"/>
    <mergeCell ref="K127:K130"/>
    <mergeCell ref="R65:R74"/>
    <mergeCell ref="O114:O121"/>
    <mergeCell ref="P114:P121"/>
    <mergeCell ref="N122:N126"/>
    <mergeCell ref="N60:N64"/>
    <mergeCell ref="O60:O64"/>
    <mergeCell ref="P60:P64"/>
    <mergeCell ref="J122:J126"/>
    <mergeCell ref="D60:D64"/>
    <mergeCell ref="C47:C50"/>
    <mergeCell ref="J55:J59"/>
    <mergeCell ref="K55:K59"/>
    <mergeCell ref="K60:K64"/>
    <mergeCell ref="L55:L59"/>
    <mergeCell ref="Q91:Q96"/>
    <mergeCell ref="I39:I42"/>
    <mergeCell ref="E43:E46"/>
    <mergeCell ref="D75:D79"/>
    <mergeCell ref="I43:I46"/>
    <mergeCell ref="E47:E50"/>
    <mergeCell ref="D47:D50"/>
    <mergeCell ref="R20:R26"/>
    <mergeCell ref="F31:F34"/>
    <mergeCell ref="G31:G34"/>
    <mergeCell ref="H31:H34"/>
    <mergeCell ref="I31:I34"/>
    <mergeCell ref="J60:J64"/>
    <mergeCell ref="J43:J46"/>
    <mergeCell ref="K47:K50"/>
    <mergeCell ref="K51:K54"/>
    <mergeCell ref="O131:O135"/>
    <mergeCell ref="M131:M135"/>
    <mergeCell ref="G86:G90"/>
    <mergeCell ref="H86:H90"/>
    <mergeCell ref="P131:P135"/>
    <mergeCell ref="E27:E30"/>
    <mergeCell ref="F27:F30"/>
    <mergeCell ref="G27:G30"/>
    <mergeCell ref="D27:D30"/>
    <mergeCell ref="D31:D34"/>
    <mergeCell ref="E31:E34"/>
    <mergeCell ref="J35:J38"/>
    <mergeCell ref="L27:L30"/>
    <mergeCell ref="M27:M30"/>
    <mergeCell ref="I27:I30"/>
    <mergeCell ref="J27:J30"/>
    <mergeCell ref="K27:K30"/>
    <mergeCell ref="J31:J34"/>
    <mergeCell ref="L31:L34"/>
    <mergeCell ref="P55:P59"/>
    <mergeCell ref="N80:N85"/>
    <mergeCell ref="O80:O85"/>
    <mergeCell ref="O97:O107"/>
    <mergeCell ref="N97:N107"/>
    <mergeCell ref="P97:P107"/>
    <mergeCell ref="Q97:Q107"/>
    <mergeCell ref="P108:P113"/>
    <mergeCell ref="F51:F54"/>
    <mergeCell ref="I51:I54"/>
    <mergeCell ref="F47:F50"/>
    <mergeCell ref="C97:C107"/>
    <mergeCell ref="D97:D107"/>
    <mergeCell ref="I97:I107"/>
    <mergeCell ref="F86:F90"/>
    <mergeCell ref="J51:J54"/>
    <mergeCell ref="J47:J50"/>
    <mergeCell ref="J80:J85"/>
    <mergeCell ref="I91:I96"/>
    <mergeCell ref="I47:I50"/>
    <mergeCell ref="G47:G50"/>
    <mergeCell ref="L51:L54"/>
    <mergeCell ref="L47:L50"/>
    <mergeCell ref="Q55:Q59"/>
    <mergeCell ref="Q51:Q54"/>
    <mergeCell ref="N108:N113"/>
    <mergeCell ref="L91:L96"/>
    <mergeCell ref="M91:M96"/>
    <mergeCell ref="N91:N96"/>
    <mergeCell ref="O91:O96"/>
    <mergeCell ref="Q108:Q113"/>
    <mergeCell ref="C86:C90"/>
    <mergeCell ref="V65:V74"/>
    <mergeCell ref="O65:O74"/>
    <mergeCell ref="T60:T64"/>
    <mergeCell ref="S51:S54"/>
    <mergeCell ref="T51:T54"/>
    <mergeCell ref="V47:V50"/>
    <mergeCell ref="U47:U50"/>
    <mergeCell ref="V43:V46"/>
    <mergeCell ref="U51:U54"/>
    <mergeCell ref="O51:O54"/>
    <mergeCell ref="P51:P54"/>
    <mergeCell ref="N55:N59"/>
    <mergeCell ref="O55:O59"/>
    <mergeCell ref="U20:U26"/>
    <mergeCell ref="S20:S26"/>
    <mergeCell ref="S60:S64"/>
    <mergeCell ref="S55:S59"/>
    <mergeCell ref="R51:R54"/>
    <mergeCell ref="N35:N38"/>
    <mergeCell ref="S39:S42"/>
    <mergeCell ref="U39:U42"/>
    <mergeCell ref="R31:R34"/>
    <mergeCell ref="T27:T30"/>
    <mergeCell ref="P27:P30"/>
    <mergeCell ref="N31:N34"/>
    <mergeCell ref="N47:N50"/>
    <mergeCell ref="S43:S46"/>
    <mergeCell ref="U31:U34"/>
    <mergeCell ref="S31:S34"/>
    <mergeCell ref="T31:T34"/>
    <mergeCell ref="R43:R46"/>
    <mergeCell ref="O31:O34"/>
    <mergeCell ref="W75:W79"/>
    <mergeCell ref="W60:W64"/>
    <mergeCell ref="AU43:AU45"/>
    <mergeCell ref="AV43:AV45"/>
    <mergeCell ref="AM35:AM38"/>
    <mergeCell ref="AU35:AU37"/>
    <mergeCell ref="AX51:AX53"/>
    <mergeCell ref="AU47:AU49"/>
    <mergeCell ref="U60:U64"/>
    <mergeCell ref="V39:V42"/>
    <mergeCell ref="O35:O38"/>
    <mergeCell ref="P43:P46"/>
    <mergeCell ref="P35:P38"/>
    <mergeCell ref="Q35:Q38"/>
    <mergeCell ref="R39:R42"/>
    <mergeCell ref="T35:T38"/>
    <mergeCell ref="AM20:AM26"/>
    <mergeCell ref="AL43:AL46"/>
    <mergeCell ref="W43:W46"/>
    <mergeCell ref="V60:V64"/>
    <mergeCell ref="R60:R64"/>
    <mergeCell ref="AL65:AL74"/>
    <mergeCell ref="T65:T74"/>
    <mergeCell ref="Q43:Q46"/>
    <mergeCell ref="S47:S50"/>
    <mergeCell ref="S65:S74"/>
    <mergeCell ref="S27:S30"/>
    <mergeCell ref="R35:R38"/>
    <mergeCell ref="R47:R50"/>
    <mergeCell ref="O27:O30"/>
    <mergeCell ref="U35:U38"/>
    <mergeCell ref="O43:O46"/>
    <mergeCell ref="AO60:AO64"/>
    <mergeCell ref="AL60:AL64"/>
    <mergeCell ref="AM97:AM107"/>
    <mergeCell ref="AN97:AN107"/>
    <mergeCell ref="AO97:AO107"/>
    <mergeCell ref="S97:S107"/>
    <mergeCell ref="AN86:AN90"/>
    <mergeCell ref="BM20:BM25"/>
    <mergeCell ref="AS20:AS25"/>
    <mergeCell ref="AT20:AT25"/>
    <mergeCell ref="AU20:AU25"/>
    <mergeCell ref="AV20:AV25"/>
    <mergeCell ref="AW20:AW25"/>
    <mergeCell ref="AR22:AR25"/>
    <mergeCell ref="BM35:BM37"/>
    <mergeCell ref="AM31:AM34"/>
    <mergeCell ref="AL31:AL34"/>
    <mergeCell ref="BE35:BE37"/>
    <mergeCell ref="BF35:BF37"/>
    <mergeCell ref="BG35:BG37"/>
    <mergeCell ref="AZ27:AZ29"/>
    <mergeCell ref="AU31:AU33"/>
    <mergeCell ref="AV31:AV33"/>
    <mergeCell ref="U75:U79"/>
    <mergeCell ref="AN60:AN64"/>
    <mergeCell ref="AS35:AS37"/>
    <mergeCell ref="AT35:AT37"/>
    <mergeCell ref="AO39:AO42"/>
    <mergeCell ref="AN39:AN42"/>
    <mergeCell ref="AO91:AO96"/>
    <mergeCell ref="AO47:AO50"/>
    <mergeCell ref="AX35:AX37"/>
    <mergeCell ref="AO127:AO130"/>
    <mergeCell ref="W114:W121"/>
    <mergeCell ref="AV152:AV154"/>
    <mergeCell ref="V127:V130"/>
    <mergeCell ref="R131:R135"/>
    <mergeCell ref="AM152:AM163"/>
    <mergeCell ref="AL152:AL163"/>
    <mergeCell ref="AL136:AL138"/>
    <mergeCell ref="AN108:AN113"/>
    <mergeCell ref="AO108:AO113"/>
    <mergeCell ref="AO122:AO126"/>
    <mergeCell ref="AO86:AO90"/>
    <mergeCell ref="AS43:AS45"/>
    <mergeCell ref="AP86:AP87"/>
    <mergeCell ref="AP75:AP77"/>
    <mergeCell ref="T55:T59"/>
    <mergeCell ref="U55:U59"/>
    <mergeCell ref="R55:R59"/>
    <mergeCell ref="V75:V79"/>
    <mergeCell ref="R91:R96"/>
    <mergeCell ref="S91:S96"/>
    <mergeCell ref="T91:T96"/>
    <mergeCell ref="U91:U96"/>
    <mergeCell ref="AO51:AO54"/>
    <mergeCell ref="AN51:AN54"/>
    <mergeCell ref="AQ97:AQ101"/>
    <mergeCell ref="AP60:AP63"/>
    <mergeCell ref="AM60:AM64"/>
    <mergeCell ref="R80:R85"/>
    <mergeCell ref="S80:S85"/>
    <mergeCell ref="AL86:AL90"/>
    <mergeCell ref="W86:W90"/>
    <mergeCell ref="R122:R126"/>
    <mergeCell ref="AL97:AL107"/>
    <mergeCell ref="W131:W135"/>
    <mergeCell ref="AM86:AM90"/>
    <mergeCell ref="R114:R121"/>
    <mergeCell ref="S114:S121"/>
    <mergeCell ref="T114:T121"/>
    <mergeCell ref="U114:U121"/>
    <mergeCell ref="W91:W96"/>
    <mergeCell ref="AL91:AL96"/>
    <mergeCell ref="AM91:AM96"/>
    <mergeCell ref="AN91:AN96"/>
    <mergeCell ref="W122:W126"/>
    <mergeCell ref="V122:V126"/>
    <mergeCell ref="W97:W107"/>
    <mergeCell ref="AL131:AL135"/>
    <mergeCell ref="AM131:AM135"/>
    <mergeCell ref="AN131:AN135"/>
    <mergeCell ref="AM108:AM113"/>
    <mergeCell ref="AM127:AM130"/>
    <mergeCell ref="AN127:AN130"/>
    <mergeCell ref="AN122:AN126"/>
    <mergeCell ref="R127:R130"/>
    <mergeCell ref="T131:T135"/>
    <mergeCell ref="S131:S135"/>
    <mergeCell ref="T108:T113"/>
    <mergeCell ref="V131:V135"/>
    <mergeCell ref="W108:W113"/>
    <mergeCell ref="R108:R113"/>
    <mergeCell ref="S108:S113"/>
    <mergeCell ref="U108:U113"/>
    <mergeCell ref="Q60:Q64"/>
    <mergeCell ref="Q114:Q121"/>
    <mergeCell ref="W65:W74"/>
    <mergeCell ref="L80:L85"/>
    <mergeCell ref="B51:B54"/>
    <mergeCell ref="B55:B59"/>
    <mergeCell ref="A91:A96"/>
    <mergeCell ref="B91:B96"/>
    <mergeCell ref="C91:C96"/>
    <mergeCell ref="B136:B138"/>
    <mergeCell ref="A131:A135"/>
    <mergeCell ref="A114:A121"/>
    <mergeCell ref="B114:B121"/>
    <mergeCell ref="J97:J107"/>
    <mergeCell ref="L122:L126"/>
    <mergeCell ref="K122:K126"/>
    <mergeCell ref="L131:L135"/>
    <mergeCell ref="J131:J135"/>
    <mergeCell ref="K131:K135"/>
    <mergeCell ref="I108:I113"/>
    <mergeCell ref="C136:C138"/>
    <mergeCell ref="D122:D126"/>
    <mergeCell ref="I136:I138"/>
    <mergeCell ref="B122:B126"/>
    <mergeCell ref="I114:I121"/>
    <mergeCell ref="I86:I90"/>
    <mergeCell ref="A108:A113"/>
    <mergeCell ref="B108:B113"/>
    <mergeCell ref="A86:A90"/>
    <mergeCell ref="B86:B90"/>
    <mergeCell ref="C60:C64"/>
    <mergeCell ref="C55:C59"/>
    <mergeCell ref="C108:C113"/>
    <mergeCell ref="B47:B50"/>
    <mergeCell ref="F97:F107"/>
    <mergeCell ref="L136:L138"/>
    <mergeCell ref="L60:L64"/>
    <mergeCell ref="B131:B135"/>
    <mergeCell ref="C131:C135"/>
    <mergeCell ref="S127:S130"/>
    <mergeCell ref="T127:T130"/>
    <mergeCell ref="W136:W138"/>
    <mergeCell ref="AM122:AM126"/>
    <mergeCell ref="R86:R90"/>
    <mergeCell ref="S86:S90"/>
    <mergeCell ref="T86:T90"/>
    <mergeCell ref="U86:U90"/>
    <mergeCell ref="V86:V90"/>
    <mergeCell ref="AL75:AL79"/>
    <mergeCell ref="W47:W50"/>
    <mergeCell ref="AM51:AM54"/>
    <mergeCell ref="AL80:AL85"/>
    <mergeCell ref="W80:W85"/>
    <mergeCell ref="M55:M59"/>
    <mergeCell ref="M47:M50"/>
    <mergeCell ref="N51:N54"/>
    <mergeCell ref="M51:M54"/>
    <mergeCell ref="P47:P50"/>
    <mergeCell ref="Q47:Q50"/>
    <mergeCell ref="O47:O50"/>
    <mergeCell ref="M60:M64"/>
    <mergeCell ref="D136:D138"/>
    <mergeCell ref="M80:M85"/>
    <mergeCell ref="D55:D59"/>
    <mergeCell ref="E55:E59"/>
    <mergeCell ref="F55:F59"/>
    <mergeCell ref="G55:G59"/>
    <mergeCell ref="H55:H59"/>
    <mergeCell ref="I55:I59"/>
    <mergeCell ref="H60:H64"/>
    <mergeCell ref="I60:I64"/>
    <mergeCell ref="D86:D90"/>
    <mergeCell ref="E86:E90"/>
    <mergeCell ref="C114:C121"/>
    <mergeCell ref="D114:D121"/>
    <mergeCell ref="A80:A85"/>
    <mergeCell ref="B80:B85"/>
    <mergeCell ref="E75:E79"/>
    <mergeCell ref="F75:F79"/>
    <mergeCell ref="G75:G79"/>
    <mergeCell ref="H75:H79"/>
    <mergeCell ref="C80:C85"/>
    <mergeCell ref="D80:D85"/>
    <mergeCell ref="E80:E85"/>
    <mergeCell ref="F80:F85"/>
    <mergeCell ref="G80:G85"/>
    <mergeCell ref="H80:H85"/>
    <mergeCell ref="A75:A79"/>
    <mergeCell ref="B75:B79"/>
    <mergeCell ref="C75:C79"/>
    <mergeCell ref="A97:A107"/>
    <mergeCell ref="D108:D113"/>
    <mergeCell ref="E108:E113"/>
    <mergeCell ref="F108:F113"/>
    <mergeCell ref="G108:G113"/>
    <mergeCell ref="H114:H121"/>
    <mergeCell ref="D43:D46"/>
    <mergeCell ref="A60:A64"/>
    <mergeCell ref="B60:B64"/>
    <mergeCell ref="A47:A50"/>
    <mergeCell ref="A51:A54"/>
    <mergeCell ref="L43:L46"/>
    <mergeCell ref="T47:T50"/>
    <mergeCell ref="K39:K42"/>
    <mergeCell ref="H35:H38"/>
    <mergeCell ref="I35:I38"/>
    <mergeCell ref="A43:A46"/>
    <mergeCell ref="B43:B46"/>
    <mergeCell ref="D35:D38"/>
    <mergeCell ref="E35:E38"/>
    <mergeCell ref="H43:H46"/>
    <mergeCell ref="E51:E54"/>
    <mergeCell ref="H51:H54"/>
    <mergeCell ref="F43:F46"/>
    <mergeCell ref="A39:A42"/>
    <mergeCell ref="B39:B42"/>
    <mergeCell ref="C39:C42"/>
    <mergeCell ref="D39:D42"/>
    <mergeCell ref="E39:E42"/>
    <mergeCell ref="F39:F42"/>
    <mergeCell ref="G39:G42"/>
    <mergeCell ref="H39:H42"/>
    <mergeCell ref="G43:G46"/>
    <mergeCell ref="A55:A59"/>
    <mergeCell ref="C51:C54"/>
    <mergeCell ref="D51:D54"/>
    <mergeCell ref="H47:H50"/>
    <mergeCell ref="G51:G54"/>
    <mergeCell ref="AN43:AN46"/>
    <mergeCell ref="AO43:AO46"/>
    <mergeCell ref="BC43:BC45"/>
    <mergeCell ref="AP43:AP45"/>
    <mergeCell ref="AY35:AY37"/>
    <mergeCell ref="AZ35:AZ37"/>
    <mergeCell ref="BA35:BA37"/>
    <mergeCell ref="BD39:BD41"/>
    <mergeCell ref="AM47:AM50"/>
    <mergeCell ref="AZ43:AZ45"/>
    <mergeCell ref="AP35:AP37"/>
    <mergeCell ref="AM39:AM42"/>
    <mergeCell ref="BA43:BA45"/>
    <mergeCell ref="BB43:BB45"/>
    <mergeCell ref="AU39:AU41"/>
    <mergeCell ref="AV39:AV41"/>
    <mergeCell ref="AW39:AW41"/>
    <mergeCell ref="AX39:AX41"/>
    <mergeCell ref="BC35:BC37"/>
    <mergeCell ref="BD35:BD37"/>
    <mergeCell ref="BC39:BC41"/>
    <mergeCell ref="AX43:AX45"/>
    <mergeCell ref="AY43:AY45"/>
    <mergeCell ref="AY39:AY41"/>
    <mergeCell ref="AY51:AY53"/>
    <mergeCell ref="AZ51:AZ53"/>
    <mergeCell ref="BA47:BA49"/>
    <mergeCell ref="AT43:AT45"/>
    <mergeCell ref="AV47:AV49"/>
    <mergeCell ref="AL47:AL50"/>
    <mergeCell ref="W31:W34"/>
    <mergeCell ref="AT39:AT41"/>
    <mergeCell ref="T39:T42"/>
    <mergeCell ref="BK35:BK37"/>
    <mergeCell ref="AZ39:AZ41"/>
    <mergeCell ref="AO35:AO38"/>
    <mergeCell ref="AN35:AN38"/>
    <mergeCell ref="AP47:AP49"/>
    <mergeCell ref="AS47:AS49"/>
    <mergeCell ref="AT47:AT49"/>
    <mergeCell ref="AW47:AW49"/>
    <mergeCell ref="AX47:AX49"/>
    <mergeCell ref="AY47:AY49"/>
    <mergeCell ref="AZ47:AZ49"/>
    <mergeCell ref="V35:V38"/>
    <mergeCell ref="BA31:BA33"/>
    <mergeCell ref="AV35:AV37"/>
    <mergeCell ref="AW35:AW37"/>
    <mergeCell ref="BK43:BK45"/>
    <mergeCell ref="AW43:AW45"/>
    <mergeCell ref="AL35:AL38"/>
    <mergeCell ref="AP39:AP41"/>
    <mergeCell ref="AS39:AS41"/>
    <mergeCell ref="T43:T46"/>
    <mergeCell ref="U43:U46"/>
    <mergeCell ref="AM43:AM46"/>
    <mergeCell ref="AW16:AW18"/>
    <mergeCell ref="AX16:AX18"/>
    <mergeCell ref="K16:W17"/>
    <mergeCell ref="X16:AH16"/>
    <mergeCell ref="AI16:AK16"/>
    <mergeCell ref="AL16:AO16"/>
    <mergeCell ref="AP16:AP18"/>
    <mergeCell ref="AQ16:AR17"/>
    <mergeCell ref="AM17:AO17"/>
    <mergeCell ref="A15:A19"/>
    <mergeCell ref="B15:G17"/>
    <mergeCell ref="K15:AO15"/>
    <mergeCell ref="AP15:AU15"/>
    <mergeCell ref="H16:J16"/>
    <mergeCell ref="I17:J17"/>
    <mergeCell ref="AI17:AK17"/>
    <mergeCell ref="AY16:AY18"/>
    <mergeCell ref="AZ16:AZ18"/>
    <mergeCell ref="AV15:BA15"/>
    <mergeCell ref="BB15:BM15"/>
    <mergeCell ref="BD16:BF17"/>
    <mergeCell ref="AS16:AS18"/>
    <mergeCell ref="AT16:AT18"/>
    <mergeCell ref="BI16:BI18"/>
    <mergeCell ref="BH20:BH25"/>
    <mergeCell ref="BL20:BL25"/>
    <mergeCell ref="BG20:BG25"/>
    <mergeCell ref="BK16:BM17"/>
    <mergeCell ref="BC16:BC18"/>
    <mergeCell ref="BJ16:BJ18"/>
    <mergeCell ref="AY27:AY29"/>
    <mergeCell ref="AS31:AS33"/>
    <mergeCell ref="AT31:AT33"/>
    <mergeCell ref="BD31:BD33"/>
    <mergeCell ref="BE31:BE33"/>
    <mergeCell ref="BF31:BF33"/>
    <mergeCell ref="BH31:BH33"/>
    <mergeCell ref="BI31:BI33"/>
    <mergeCell ref="BJ27:BJ29"/>
    <mergeCell ref="BA27:BA29"/>
    <mergeCell ref="BC31:BC33"/>
    <mergeCell ref="AT27:AT29"/>
    <mergeCell ref="AU27:AU29"/>
    <mergeCell ref="BE27:BE29"/>
    <mergeCell ref="BK27:BK29"/>
    <mergeCell ref="BH27:BH29"/>
    <mergeCell ref="BJ20:BJ25"/>
    <mergeCell ref="BB27:BB29"/>
    <mergeCell ref="BM31:BM33"/>
    <mergeCell ref="BC20:BC25"/>
    <mergeCell ref="BD20:BD25"/>
    <mergeCell ref="AZ20:AZ25"/>
    <mergeCell ref="BA20:BA25"/>
    <mergeCell ref="BB20:BB25"/>
    <mergeCell ref="BE20:BE25"/>
    <mergeCell ref="BA16:BA18"/>
    <mergeCell ref="BB16:BB18"/>
    <mergeCell ref="AS27:AS29"/>
    <mergeCell ref="W27:W30"/>
    <mergeCell ref="BC27:BC29"/>
    <mergeCell ref="AO27:AO30"/>
    <mergeCell ref="AP31:AP33"/>
    <mergeCell ref="BG31:BG33"/>
    <mergeCell ref="AO31:AO34"/>
    <mergeCell ref="AN31:AN34"/>
    <mergeCell ref="AW31:AW33"/>
    <mergeCell ref="AX31:AX33"/>
    <mergeCell ref="AL27:AL30"/>
    <mergeCell ref="BF27:BF29"/>
    <mergeCell ref="BG27:BG29"/>
    <mergeCell ref="BF20:BF25"/>
    <mergeCell ref="AU16:AU18"/>
    <mergeCell ref="AV16:AV18"/>
    <mergeCell ref="BG16:BH17"/>
    <mergeCell ref="W20:W26"/>
    <mergeCell ref="AL20:AL26"/>
    <mergeCell ref="AZ31:AZ33"/>
    <mergeCell ref="AP27:AP29"/>
    <mergeCell ref="AV27:AV29"/>
    <mergeCell ref="AW27:AW29"/>
    <mergeCell ref="AX27:AX29"/>
    <mergeCell ref="AN20:AN26"/>
    <mergeCell ref="AP20:AP25"/>
    <mergeCell ref="AQ22:AQ25"/>
    <mergeCell ref="AX20:AX25"/>
    <mergeCell ref="AY20:AY25"/>
    <mergeCell ref="AY31:AY33"/>
    <mergeCell ref="A27:A30"/>
    <mergeCell ref="B27:B30"/>
    <mergeCell ref="H17:H18"/>
    <mergeCell ref="X17:AB17"/>
    <mergeCell ref="AC17:AD17"/>
    <mergeCell ref="AE17:AH17"/>
    <mergeCell ref="R27:R30"/>
    <mergeCell ref="A31:A34"/>
    <mergeCell ref="B31:B34"/>
    <mergeCell ref="C31:C34"/>
    <mergeCell ref="V20:V26"/>
    <mergeCell ref="A35:A38"/>
    <mergeCell ref="B35:B38"/>
    <mergeCell ref="C35:C38"/>
    <mergeCell ref="F35:F38"/>
    <mergeCell ref="G35:G38"/>
    <mergeCell ref="V27:V30"/>
    <mergeCell ref="V31:V34"/>
    <mergeCell ref="W35:W38"/>
    <mergeCell ref="B20:B26"/>
    <mergeCell ref="P31:P34"/>
    <mergeCell ref="Q31:Q34"/>
    <mergeCell ref="U27:U30"/>
    <mergeCell ref="S35:S38"/>
    <mergeCell ref="T20:T26"/>
    <mergeCell ref="M35:M38"/>
    <mergeCell ref="C20:C26"/>
    <mergeCell ref="D20:D26"/>
    <mergeCell ref="E20:E26"/>
    <mergeCell ref="F20:F26"/>
    <mergeCell ref="G20:G26"/>
    <mergeCell ref="H20:H26"/>
    <mergeCell ref="J39:J42"/>
    <mergeCell ref="BM39:BM41"/>
    <mergeCell ref="BG39:BG41"/>
    <mergeCell ref="BH39:BH41"/>
    <mergeCell ref="BI39:BI41"/>
    <mergeCell ref="BJ39:BJ41"/>
    <mergeCell ref="BK39:BK41"/>
    <mergeCell ref="BL39:BL41"/>
    <mergeCell ref="BA39:BA41"/>
    <mergeCell ref="BB39:BB41"/>
    <mergeCell ref="BL27:BL29"/>
    <mergeCell ref="BL31:BL33"/>
    <mergeCell ref="BK20:BK25"/>
    <mergeCell ref="BD27:BD29"/>
    <mergeCell ref="BI20:BI25"/>
    <mergeCell ref="BJ31:BJ33"/>
    <mergeCell ref="BK31:BK33"/>
    <mergeCell ref="BI27:BI29"/>
    <mergeCell ref="BB35:BB37"/>
    <mergeCell ref="BF39:BF41"/>
    <mergeCell ref="BE39:BE41"/>
    <mergeCell ref="BL35:BL37"/>
    <mergeCell ref="BM27:BM29"/>
    <mergeCell ref="BJ35:BJ37"/>
    <mergeCell ref="BH35:BH37"/>
    <mergeCell ref="BI35:BI37"/>
    <mergeCell ref="BB31:BB33"/>
    <mergeCell ref="W39:W42"/>
    <mergeCell ref="AO20:AO26"/>
    <mergeCell ref="AL39:AL42"/>
    <mergeCell ref="AM27:AM30"/>
    <mergeCell ref="AN27:AN30"/>
    <mergeCell ref="BM51:BM53"/>
    <mergeCell ref="BA51:BA53"/>
    <mergeCell ref="BB51:BB53"/>
    <mergeCell ref="BC51:BC53"/>
    <mergeCell ref="BE51:BE53"/>
    <mergeCell ref="BF51:BF53"/>
    <mergeCell ref="BG51:BG53"/>
    <mergeCell ref="BH51:BH53"/>
    <mergeCell ref="BM47:BM49"/>
    <mergeCell ref="BG47:BG49"/>
    <mergeCell ref="BH47:BH49"/>
    <mergeCell ref="BI47:BI49"/>
    <mergeCell ref="BJ47:BJ49"/>
    <mergeCell ref="BK47:BK49"/>
    <mergeCell ref="BL47:BL49"/>
    <mergeCell ref="BM43:BM45"/>
    <mergeCell ref="BD43:BD45"/>
    <mergeCell ref="BE43:BE45"/>
    <mergeCell ref="BF43:BF45"/>
    <mergeCell ref="BG43:BG45"/>
    <mergeCell ref="BH43:BH45"/>
    <mergeCell ref="BI43:BI45"/>
    <mergeCell ref="BI51:BI53"/>
    <mergeCell ref="BL43:BL45"/>
    <mergeCell ref="BJ43:BJ45"/>
    <mergeCell ref="BC47:BC49"/>
    <mergeCell ref="BB47:BB49"/>
    <mergeCell ref="BD47:BD49"/>
    <mergeCell ref="BE47:BE49"/>
    <mergeCell ref="BF47:BF49"/>
    <mergeCell ref="BM55:BM57"/>
    <mergeCell ref="BD55:BD57"/>
    <mergeCell ref="BM60:BM63"/>
    <mergeCell ref="AN47:AN50"/>
    <mergeCell ref="AP51:AP53"/>
    <mergeCell ref="AS51:AS53"/>
    <mergeCell ref="AT51:AT53"/>
    <mergeCell ref="BJ51:BJ53"/>
    <mergeCell ref="BK51:BK53"/>
    <mergeCell ref="AS55:AS57"/>
    <mergeCell ref="AT55:AT57"/>
    <mergeCell ref="AV55:AV57"/>
    <mergeCell ref="AW55:AW57"/>
    <mergeCell ref="AX55:AX57"/>
    <mergeCell ref="BK55:BK57"/>
    <mergeCell ref="BL55:BL57"/>
    <mergeCell ref="V55:V59"/>
    <mergeCell ref="W55:W59"/>
    <mergeCell ref="AL55:AL59"/>
    <mergeCell ref="AM55:AM59"/>
    <mergeCell ref="AN55:AN59"/>
    <mergeCell ref="AO55:AO59"/>
    <mergeCell ref="AW51:AW53"/>
    <mergeCell ref="BD51:BD53"/>
    <mergeCell ref="AU51:AU53"/>
    <mergeCell ref="AV51:AV53"/>
    <mergeCell ref="BC55:BC57"/>
    <mergeCell ref="AU55:AU57"/>
    <mergeCell ref="BG55:BG57"/>
    <mergeCell ref="BH55:BH57"/>
    <mergeCell ref="BI55:BI57"/>
    <mergeCell ref="BJ55:BJ57"/>
    <mergeCell ref="BK60:BK63"/>
    <mergeCell ref="AS60:AS63"/>
    <mergeCell ref="BL60:BL63"/>
    <mergeCell ref="BF60:BF63"/>
    <mergeCell ref="AT60:AT63"/>
    <mergeCell ref="AU60:AU63"/>
    <mergeCell ref="BD60:BD63"/>
    <mergeCell ref="BB60:BB63"/>
    <mergeCell ref="BE60:BE63"/>
    <mergeCell ref="BC60:BC63"/>
    <mergeCell ref="AV60:AV63"/>
    <mergeCell ref="AW60:AW63"/>
    <mergeCell ref="AU65:AU70"/>
    <mergeCell ref="BG60:BG63"/>
    <mergeCell ref="BH60:BH63"/>
    <mergeCell ref="V51:V54"/>
    <mergeCell ref="AP55:AP57"/>
    <mergeCell ref="W51:W54"/>
    <mergeCell ref="BL51:BL53"/>
    <mergeCell ref="BJ60:BJ63"/>
    <mergeCell ref="AY55:AY57"/>
    <mergeCell ref="AZ55:AZ57"/>
    <mergeCell ref="BE55:BE57"/>
    <mergeCell ref="BF55:BF57"/>
    <mergeCell ref="BI60:BI63"/>
    <mergeCell ref="AX60:AX63"/>
    <mergeCell ref="AY60:AY63"/>
    <mergeCell ref="AZ60:AZ63"/>
    <mergeCell ref="BA60:BA63"/>
    <mergeCell ref="BA55:BA57"/>
    <mergeCell ref="BB55:BB57"/>
    <mergeCell ref="AL51:AL54"/>
    <mergeCell ref="BM75:BM77"/>
    <mergeCell ref="BB75:BB77"/>
    <mergeCell ref="AW75:AW77"/>
    <mergeCell ref="BG75:BG77"/>
    <mergeCell ref="BH75:BH77"/>
    <mergeCell ref="BI75:BI77"/>
    <mergeCell ref="BJ75:BJ77"/>
    <mergeCell ref="BK75:BK77"/>
    <mergeCell ref="BL75:BL77"/>
    <mergeCell ref="BC65:BC70"/>
    <mergeCell ref="BE65:BE70"/>
    <mergeCell ref="BD65:BD70"/>
    <mergeCell ref="BF65:BF70"/>
    <mergeCell ref="BC75:BC77"/>
    <mergeCell ref="BD75:BD77"/>
    <mergeCell ref="BE75:BE77"/>
    <mergeCell ref="BF75:BF77"/>
    <mergeCell ref="AY75:AY77"/>
    <mergeCell ref="AZ75:AZ77"/>
    <mergeCell ref="BA75:BA77"/>
    <mergeCell ref="AW65:AW70"/>
    <mergeCell ref="AX65:AX70"/>
    <mergeCell ref="BM65:BM70"/>
    <mergeCell ref="BG65:BG70"/>
    <mergeCell ref="BH65:BH70"/>
    <mergeCell ref="BI65:BI70"/>
    <mergeCell ref="BJ65:BJ70"/>
    <mergeCell ref="BK65:BK70"/>
    <mergeCell ref="BL65:BL70"/>
    <mergeCell ref="BA65:BA70"/>
    <mergeCell ref="BB65:BB70"/>
    <mergeCell ref="AY65:AY70"/>
    <mergeCell ref="AZ65:AZ70"/>
    <mergeCell ref="AX75:AX77"/>
    <mergeCell ref="BJ80:BJ82"/>
    <mergeCell ref="AP80:AP82"/>
    <mergeCell ref="AX80:AX82"/>
    <mergeCell ref="AU80:AU82"/>
    <mergeCell ref="BG80:BG82"/>
    <mergeCell ref="BH80:BH82"/>
    <mergeCell ref="BI80:BI82"/>
    <mergeCell ref="AV80:AV82"/>
    <mergeCell ref="AY80:AY82"/>
    <mergeCell ref="AZ80:AZ82"/>
    <mergeCell ref="AO80:AO85"/>
    <mergeCell ref="AS75:AS77"/>
    <mergeCell ref="AT75:AT77"/>
    <mergeCell ref="AU75:AU77"/>
    <mergeCell ref="AM75:AM79"/>
    <mergeCell ref="AN75:AN79"/>
    <mergeCell ref="AO75:AO79"/>
    <mergeCell ref="AV65:AV70"/>
    <mergeCell ref="AM80:AM85"/>
    <mergeCell ref="AN80:AN85"/>
    <mergeCell ref="AV75:AV77"/>
    <mergeCell ref="AO65:AO74"/>
    <mergeCell ref="AN65:AN74"/>
    <mergeCell ref="AM65:AM74"/>
    <mergeCell ref="AS86:AS87"/>
    <mergeCell ref="AT86:AT87"/>
    <mergeCell ref="AS80:AS82"/>
    <mergeCell ref="AT80:AT82"/>
    <mergeCell ref="BK86:BK87"/>
    <mergeCell ref="BL86:BL87"/>
    <mergeCell ref="BH86:BH87"/>
    <mergeCell ref="AU86:AU87"/>
    <mergeCell ref="AV86:AV87"/>
    <mergeCell ref="AW86:AW87"/>
    <mergeCell ref="BG86:BG87"/>
    <mergeCell ref="BC80:BC82"/>
    <mergeCell ref="BI86:BI87"/>
    <mergeCell ref="BJ86:BJ87"/>
    <mergeCell ref="AX86:AX87"/>
    <mergeCell ref="AW80:AW82"/>
    <mergeCell ref="BK80:BK82"/>
    <mergeCell ref="BL80:BL82"/>
    <mergeCell ref="BA80:BA82"/>
    <mergeCell ref="BB80:BB82"/>
    <mergeCell ref="BD80:BD82"/>
    <mergeCell ref="BE80:BE82"/>
    <mergeCell ref="BF80:BF82"/>
    <mergeCell ref="AY86:AY87"/>
    <mergeCell ref="AZ86:AZ87"/>
    <mergeCell ref="BB86:BB87"/>
    <mergeCell ref="BC86:BC87"/>
    <mergeCell ref="BD86:BD87"/>
    <mergeCell ref="BE86:BE87"/>
    <mergeCell ref="BF86:BF87"/>
    <mergeCell ref="BJ194:BJ200"/>
    <mergeCell ref="BA114:BA118"/>
    <mergeCell ref="BI194:BI200"/>
    <mergeCell ref="BB194:BB200"/>
    <mergeCell ref="BL173:BL174"/>
    <mergeCell ref="BA173:BA174"/>
    <mergeCell ref="AZ164:AZ167"/>
    <mergeCell ref="BA164:BA167"/>
    <mergeCell ref="BJ168:BJ172"/>
    <mergeCell ref="AZ152:AZ158"/>
    <mergeCell ref="AY168:AY172"/>
    <mergeCell ref="BJ114:BJ118"/>
    <mergeCell ref="BF114:BF118"/>
    <mergeCell ref="BI97:BI107"/>
    <mergeCell ref="BJ97:BJ107"/>
    <mergeCell ref="BM80:BM82"/>
    <mergeCell ref="BM86:BM87"/>
    <mergeCell ref="AT97:AT101"/>
    <mergeCell ref="BG146:BG151"/>
    <mergeCell ref="AW114:AW118"/>
    <mergeCell ref="BH164:BH167"/>
    <mergeCell ref="BB164:BB167"/>
    <mergeCell ref="BE164:BE167"/>
    <mergeCell ref="AY164:AY167"/>
    <mergeCell ref="BJ146:BJ151"/>
    <mergeCell ref="AX152:AX154"/>
    <mergeCell ref="AU168:AU172"/>
    <mergeCell ref="AV168:AV172"/>
    <mergeCell ref="BA86:BA87"/>
    <mergeCell ref="BK146:BK151"/>
    <mergeCell ref="BL146:BL151"/>
    <mergeCell ref="AY91:AY93"/>
    <mergeCell ref="AZ91:AZ93"/>
    <mergeCell ref="BA91:BA93"/>
    <mergeCell ref="BB91:BB93"/>
    <mergeCell ref="BI91:BI93"/>
    <mergeCell ref="BJ91:BJ93"/>
    <mergeCell ref="BD146:BD151"/>
    <mergeCell ref="BE146:BE151"/>
    <mergeCell ref="BF146:BF151"/>
    <mergeCell ref="AY146:AY151"/>
    <mergeCell ref="AZ146:AZ151"/>
    <mergeCell ref="BA146:BA151"/>
    <mergeCell ref="BB146:BB151"/>
    <mergeCell ref="AW152:AW154"/>
    <mergeCell ref="BK164:BK167"/>
    <mergeCell ref="BF221:BF224"/>
    <mergeCell ref="AO191:AO193"/>
    <mergeCell ref="AX173:AX174"/>
    <mergeCell ref="BI221:BI224"/>
    <mergeCell ref="BD164:BD167"/>
    <mergeCell ref="BB168:BB172"/>
    <mergeCell ref="BC168:BC172"/>
    <mergeCell ref="BD168:BD172"/>
    <mergeCell ref="AO168:AO172"/>
    <mergeCell ref="BK91:BK93"/>
    <mergeCell ref="AX91:AX93"/>
    <mergeCell ref="AV91:AV93"/>
    <mergeCell ref="AS91:AS93"/>
    <mergeCell ref="AT91:AT93"/>
    <mergeCell ref="AU91:AU93"/>
    <mergeCell ref="AT168:AT172"/>
    <mergeCell ref="AU146:AU151"/>
    <mergeCell ref="AW164:AW167"/>
    <mergeCell ref="AT164:AT167"/>
    <mergeCell ref="AV146:AV151"/>
    <mergeCell ref="AW146:AW151"/>
    <mergeCell ref="AW168:AW172"/>
    <mergeCell ref="AU164:AU167"/>
    <mergeCell ref="AX146:AX151"/>
    <mergeCell ref="BJ164:BJ167"/>
    <mergeCell ref="BJ152:BJ163"/>
    <mergeCell ref="AS146:AS149"/>
    <mergeCell ref="AT146:AT149"/>
    <mergeCell ref="BK168:BK172"/>
    <mergeCell ref="AS97:AS101"/>
    <mergeCell ref="BL114:BL118"/>
    <mergeCell ref="BC114:BC118"/>
    <mergeCell ref="AZ114:AZ118"/>
    <mergeCell ref="BL168:BL172"/>
    <mergeCell ref="BM146:BM151"/>
    <mergeCell ref="BJ173:BJ174"/>
    <mergeCell ref="BM173:BM174"/>
    <mergeCell ref="BC146:BC151"/>
    <mergeCell ref="BK152:BK154"/>
    <mergeCell ref="BG168:BG172"/>
    <mergeCell ref="BH168:BH172"/>
    <mergeCell ref="BH221:BH224"/>
    <mergeCell ref="AU114:AU118"/>
    <mergeCell ref="AV114:AV118"/>
    <mergeCell ref="AW91:AW93"/>
    <mergeCell ref="AP91:AP93"/>
    <mergeCell ref="BL91:BL93"/>
    <mergeCell ref="AP146:AP151"/>
    <mergeCell ref="AP97:AP101"/>
    <mergeCell ref="BJ221:BJ224"/>
    <mergeCell ref="AS173:AS174"/>
    <mergeCell ref="AT173:AT174"/>
    <mergeCell ref="BG221:BG224"/>
    <mergeCell ref="BC221:BC224"/>
    <mergeCell ref="BD221:BD224"/>
    <mergeCell ref="BI164:BI167"/>
    <mergeCell ref="BC194:BC200"/>
    <mergeCell ref="BK114:BK118"/>
    <mergeCell ref="BH114:BH118"/>
    <mergeCell ref="BI114:BI118"/>
    <mergeCell ref="AT114:AT118"/>
    <mergeCell ref="AR164:AR167"/>
    <mergeCell ref="BH146:BH151"/>
    <mergeCell ref="AR148:AR151"/>
    <mergeCell ref="AO176:AO178"/>
    <mergeCell ref="AO182:AO184"/>
    <mergeCell ref="AO206:AO208"/>
    <mergeCell ref="AS152:AS154"/>
    <mergeCell ref="AU152:AU154"/>
    <mergeCell ref="AS164:AS167"/>
    <mergeCell ref="AV173:AV174"/>
    <mergeCell ref="BI146:BI151"/>
    <mergeCell ref="AO139:AO145"/>
    <mergeCell ref="BA221:BA224"/>
    <mergeCell ref="BB221:BB224"/>
    <mergeCell ref="AN252:AN254"/>
    <mergeCell ref="AO252:AO254"/>
    <mergeCell ref="AL255:AL256"/>
    <mergeCell ref="AM255:AM256"/>
    <mergeCell ref="AN221:AN225"/>
    <mergeCell ref="AN152:AN163"/>
    <mergeCell ref="AO226:AO228"/>
    <mergeCell ref="AM226:AM228"/>
    <mergeCell ref="BI168:BI172"/>
    <mergeCell ref="BB173:BB174"/>
    <mergeCell ref="BG173:BG174"/>
    <mergeCell ref="BD173:BD174"/>
    <mergeCell ref="AW173:AW174"/>
    <mergeCell ref="BH173:BH174"/>
    <mergeCell ref="AX221:AX224"/>
    <mergeCell ref="BE173:BE174"/>
    <mergeCell ref="BF173:BF174"/>
    <mergeCell ref="AU173:AU174"/>
    <mergeCell ref="AO185:AO187"/>
    <mergeCell ref="AO278:AO282"/>
    <mergeCell ref="AM278:AM282"/>
    <mergeCell ref="AN278:AN282"/>
    <mergeCell ref="BB278:BB282"/>
    <mergeCell ref="BM91:BM93"/>
    <mergeCell ref="BC91:BC93"/>
    <mergeCell ref="BG114:BG118"/>
    <mergeCell ref="BD91:BD93"/>
    <mergeCell ref="BE91:BE93"/>
    <mergeCell ref="BF91:BF93"/>
    <mergeCell ref="BG91:BG93"/>
    <mergeCell ref="BH91:BH93"/>
    <mergeCell ref="AY114:AY118"/>
    <mergeCell ref="BD114:BD118"/>
    <mergeCell ref="BE114:BE118"/>
    <mergeCell ref="BB114:BB118"/>
    <mergeCell ref="AP152:AP154"/>
    <mergeCell ref="AQ152:AQ154"/>
    <mergeCell ref="AR152:AR154"/>
    <mergeCell ref="BI152:BI163"/>
    <mergeCell ref="AY152:AY154"/>
    <mergeCell ref="BB97:BB106"/>
    <mergeCell ref="BC97:BC106"/>
    <mergeCell ref="AU97:AU101"/>
    <mergeCell ref="AV97:AV101"/>
    <mergeCell ref="BM114:BM118"/>
    <mergeCell ref="AX114:AX118"/>
    <mergeCell ref="AP114:AP118"/>
    <mergeCell ref="AS114:AS118"/>
    <mergeCell ref="AR97:AR101"/>
    <mergeCell ref="BB152:BB163"/>
    <mergeCell ref="BC152:BC163"/>
    <mergeCell ref="AO270:AO275"/>
    <mergeCell ref="W248:W249"/>
    <mergeCell ref="AL248:AL249"/>
    <mergeCell ref="AM248:AM249"/>
    <mergeCell ref="W250:W251"/>
    <mergeCell ref="AL250:AL251"/>
    <mergeCell ref="AL268:AL269"/>
    <mergeCell ref="W257:W259"/>
    <mergeCell ref="W268:W269"/>
    <mergeCell ref="AM261:AM262"/>
    <mergeCell ref="AN261:AN262"/>
    <mergeCell ref="AN248:AN249"/>
    <mergeCell ref="AO248:AO249"/>
    <mergeCell ref="AM250:AM251"/>
    <mergeCell ref="V255:V256"/>
    <mergeCell ref="AM263:AM265"/>
    <mergeCell ref="AN257:AN259"/>
    <mergeCell ref="BI278:BI282"/>
    <mergeCell ref="AM252:AM254"/>
    <mergeCell ref="AL261:AL262"/>
    <mergeCell ref="AL291:AL292"/>
    <mergeCell ref="AN286:AN289"/>
    <mergeCell ref="AO286:AO289"/>
    <mergeCell ref="BB286:BB289"/>
    <mergeCell ref="BC286:BC289"/>
    <mergeCell ref="BI286:BI289"/>
    <mergeCell ref="AT229:AT231"/>
    <mergeCell ref="AL236:AL247"/>
    <mergeCell ref="AM270:AM275"/>
    <mergeCell ref="AN270:AN275"/>
    <mergeCell ref="AQ229:AQ231"/>
    <mergeCell ref="AR229:AR231"/>
    <mergeCell ref="AS229:AS231"/>
    <mergeCell ref="AN250:AN251"/>
    <mergeCell ref="AO250:AO251"/>
    <mergeCell ref="AM268:AM269"/>
    <mergeCell ref="AN268:AN269"/>
    <mergeCell ref="AO268:AO269"/>
    <mergeCell ref="AL286:AL289"/>
    <mergeCell ref="AN284:AN285"/>
    <mergeCell ref="AM284:AM285"/>
    <mergeCell ref="AL284:AL285"/>
    <mergeCell ref="BH229:BH231"/>
    <mergeCell ref="AL278:AL282"/>
    <mergeCell ref="BC236:BC247"/>
    <mergeCell ref="BB236:BB247"/>
    <mergeCell ref="BC270:BC275"/>
    <mergeCell ref="BB270:BB275"/>
    <mergeCell ref="BC278:BC282"/>
    <mergeCell ref="AO291:AO292"/>
    <mergeCell ref="AN291:AN292"/>
    <mergeCell ref="AO294:AO296"/>
    <mergeCell ref="AM354:AM355"/>
    <mergeCell ref="AN354:AN355"/>
    <mergeCell ref="AO354:AO355"/>
    <mergeCell ref="AM405:AM406"/>
    <mergeCell ref="AM315:AM316"/>
    <mergeCell ref="AN315:AN316"/>
    <mergeCell ref="AM291:AM292"/>
    <mergeCell ref="AM294:AM296"/>
    <mergeCell ref="AN294:AN296"/>
    <mergeCell ref="BI291:BI292"/>
    <mergeCell ref="BI294:BI296"/>
    <mergeCell ref="AM297:AM300"/>
    <mergeCell ref="AN309:AN310"/>
    <mergeCell ref="AO309:AO310"/>
    <mergeCell ref="AM309:AM310"/>
    <mergeCell ref="BC291:BC292"/>
    <mergeCell ref="BB291:BB292"/>
    <mergeCell ref="BC294:BC296"/>
    <mergeCell ref="BB294:BB296"/>
    <mergeCell ref="BF596:BF605"/>
    <mergeCell ref="BE596:BE605"/>
    <mergeCell ref="BD596:BD605"/>
    <mergeCell ref="AV596:AV605"/>
    <mergeCell ref="AU596:AU605"/>
    <mergeCell ref="AO596:AO605"/>
    <mergeCell ref="AN337:AN340"/>
    <mergeCell ref="AO337:AO340"/>
    <mergeCell ref="BJ337:BJ340"/>
    <mergeCell ref="BB366:BB368"/>
    <mergeCell ref="BC366:BC368"/>
    <mergeCell ref="BI366:BI368"/>
    <mergeCell ref="BJ366:BJ368"/>
    <mergeCell ref="AN405:AN406"/>
    <mergeCell ref="BA586:BA593"/>
    <mergeCell ref="AW586:AW593"/>
    <mergeCell ref="AP586:AP593"/>
    <mergeCell ref="AN586:AN595"/>
    <mergeCell ref="AN596:AN605"/>
    <mergeCell ref="AS586:AS593"/>
    <mergeCell ref="AT586:AT593"/>
    <mergeCell ref="AU586:AU593"/>
    <mergeCell ref="AV586:AV593"/>
    <mergeCell ref="BJ286:BJ289"/>
    <mergeCell ref="AW606:AW612"/>
    <mergeCell ref="BJ284:BJ285"/>
    <mergeCell ref="BI297:BI300"/>
    <mergeCell ref="BC297:BC300"/>
    <mergeCell ref="BJ291:BJ292"/>
    <mergeCell ref="AZ586:AZ593"/>
    <mergeCell ref="AX586:AX593"/>
    <mergeCell ref="AX596:AX605"/>
    <mergeCell ref="AW596:AW605"/>
    <mergeCell ref="AX606:AX612"/>
    <mergeCell ref="BM229:BM231"/>
    <mergeCell ref="BG229:BG231"/>
    <mergeCell ref="BJ278:BJ282"/>
    <mergeCell ref="BJ236:BJ247"/>
    <mergeCell ref="BB337:BB340"/>
    <mergeCell ref="BC337:BC340"/>
    <mergeCell ref="BI337:BI340"/>
    <mergeCell ref="BB586:BB593"/>
    <mergeCell ref="BI284:BI285"/>
    <mergeCell ref="BJ270:BJ275"/>
    <mergeCell ref="BJ229:BJ231"/>
    <mergeCell ref="AX229:AX231"/>
    <mergeCell ref="BL606:BL612"/>
    <mergeCell ref="BD606:BD612"/>
    <mergeCell ref="BE606:BE612"/>
    <mergeCell ref="BF606:BF612"/>
    <mergeCell ref="AY586:AY593"/>
    <mergeCell ref="BA596:BA605"/>
    <mergeCell ref="AZ596:AZ605"/>
    <mergeCell ref="AY596:AY605"/>
    <mergeCell ref="BK229:BK231"/>
    <mergeCell ref="BL229:BL231"/>
    <mergeCell ref="BJ297:BJ300"/>
    <mergeCell ref="BM586:BM593"/>
    <mergeCell ref="BK614:BK619"/>
    <mergeCell ref="BM606:BM612"/>
    <mergeCell ref="BI606:BI612"/>
    <mergeCell ref="BC606:BC612"/>
    <mergeCell ref="BB297:BB300"/>
    <mergeCell ref="BI270:BI275"/>
    <mergeCell ref="BE229:BE231"/>
    <mergeCell ref="BF229:BF231"/>
    <mergeCell ref="BI229:BI231"/>
    <mergeCell ref="BK586:BK593"/>
    <mergeCell ref="BL586:BL593"/>
    <mergeCell ref="BJ586:BJ593"/>
    <mergeCell ref="BG586:BG593"/>
    <mergeCell ref="BH586:BH593"/>
    <mergeCell ref="BI586:BI593"/>
    <mergeCell ref="BL596:BL605"/>
    <mergeCell ref="BK596:BK605"/>
    <mergeCell ref="BJ596:BJ605"/>
    <mergeCell ref="BC596:BC605"/>
    <mergeCell ref="BB596:BB605"/>
    <mergeCell ref="BC586:BC593"/>
    <mergeCell ref="BE586:BE593"/>
    <mergeCell ref="BF586:BF593"/>
    <mergeCell ref="BD586:BD593"/>
    <mergeCell ref="BM596:BM605"/>
    <mergeCell ref="BI596:BI605"/>
    <mergeCell ref="BH596:BH605"/>
    <mergeCell ref="BG596:BG605"/>
    <mergeCell ref="BI236:BI247"/>
    <mergeCell ref="AP662:AP667"/>
    <mergeCell ref="AX662:AX667"/>
    <mergeCell ref="AS634:AS642"/>
    <mergeCell ref="AW662:AW667"/>
    <mergeCell ref="AV662:AV667"/>
    <mergeCell ref="AS621:AS626"/>
    <mergeCell ref="AS662:AS667"/>
    <mergeCell ref="BI634:BI642"/>
    <mergeCell ref="BB662:BB667"/>
    <mergeCell ref="AO628:AO633"/>
    <mergeCell ref="BI621:BI626"/>
    <mergeCell ref="BG650:BG654"/>
    <mergeCell ref="AV650:AV654"/>
    <mergeCell ref="AW650:AW654"/>
    <mergeCell ref="AX650:AX654"/>
    <mergeCell ref="AY650:AY654"/>
    <mergeCell ref="AZ650:AZ654"/>
    <mergeCell ref="BA650:BA654"/>
    <mergeCell ref="AU644:AU649"/>
    <mergeCell ref="AO650:AO655"/>
    <mergeCell ref="BH628:BH633"/>
    <mergeCell ref="AP650:AP654"/>
    <mergeCell ref="AV644:AV649"/>
    <mergeCell ref="BC621:BC626"/>
    <mergeCell ref="BF650:BF654"/>
    <mergeCell ref="AS656:AS660"/>
    <mergeCell ref="AT656:AT660"/>
    <mergeCell ref="BG628:BG633"/>
    <mergeCell ref="AT662:AT667"/>
    <mergeCell ref="BE656:BE660"/>
    <mergeCell ref="BB644:BB649"/>
    <mergeCell ref="AU628:AU633"/>
    <mergeCell ref="BC662:BC667"/>
    <mergeCell ref="BD662:BD667"/>
    <mergeCell ref="BJ662:BJ667"/>
    <mergeCell ref="BK662:BK667"/>
    <mergeCell ref="BD656:BD660"/>
    <mergeCell ref="BH662:BH667"/>
    <mergeCell ref="BI662:BI667"/>
    <mergeCell ref="AU662:AU667"/>
    <mergeCell ref="BL662:BL667"/>
    <mergeCell ref="BG656:BG660"/>
    <mergeCell ref="BH656:BH660"/>
    <mergeCell ref="AW656:AW660"/>
    <mergeCell ref="AX656:AX660"/>
    <mergeCell ref="AZ662:AZ667"/>
    <mergeCell ref="AV634:AV642"/>
    <mergeCell ref="BL644:BL649"/>
    <mergeCell ref="BJ621:BJ626"/>
    <mergeCell ref="AZ656:AZ660"/>
    <mergeCell ref="BK656:BK660"/>
    <mergeCell ref="BC634:BC642"/>
    <mergeCell ref="BB656:BB660"/>
    <mergeCell ref="AU656:AU660"/>
    <mergeCell ref="BK644:BK649"/>
    <mergeCell ref="BH650:BH654"/>
    <mergeCell ref="BI650:BI654"/>
    <mergeCell ref="BJ650:BJ654"/>
    <mergeCell ref="BK650:BK654"/>
    <mergeCell ref="BJ634:BJ642"/>
    <mergeCell ref="BL628:BL633"/>
    <mergeCell ref="BL621:BL626"/>
    <mergeCell ref="BA656:BA660"/>
    <mergeCell ref="BL656:BL660"/>
    <mergeCell ref="BF621:BF626"/>
    <mergeCell ref="BG621:BG626"/>
    <mergeCell ref="BH621:BH626"/>
    <mergeCell ref="AX621:AX626"/>
    <mergeCell ref="AP656:AP660"/>
    <mergeCell ref="AO634:AO643"/>
    <mergeCell ref="BD650:BD654"/>
    <mergeCell ref="BE650:BE654"/>
    <mergeCell ref="AQ648:AQ649"/>
    <mergeCell ref="BJ628:BJ633"/>
    <mergeCell ref="BK628:BK633"/>
    <mergeCell ref="AP606:AP612"/>
    <mergeCell ref="AP614:AP619"/>
    <mergeCell ref="AO644:AO649"/>
    <mergeCell ref="BF656:BF660"/>
    <mergeCell ref="BA614:BA619"/>
    <mergeCell ref="AW614:AW619"/>
    <mergeCell ref="AX614:AX619"/>
    <mergeCell ref="AS614:AS619"/>
    <mergeCell ref="BJ606:BJ612"/>
    <mergeCell ref="BH614:BH619"/>
    <mergeCell ref="AS650:AS654"/>
    <mergeCell ref="AU634:AU642"/>
    <mergeCell ref="AT644:AT649"/>
    <mergeCell ref="AT606:AT612"/>
    <mergeCell ref="AU606:AU612"/>
    <mergeCell ref="AV606:AV612"/>
    <mergeCell ref="AZ606:AZ612"/>
    <mergeCell ref="BA606:BA612"/>
    <mergeCell ref="BB606:BB612"/>
    <mergeCell ref="BI614:BI619"/>
    <mergeCell ref="BK606:BK612"/>
    <mergeCell ref="BM656:BM660"/>
    <mergeCell ref="BM650:BM654"/>
    <mergeCell ref="BB650:BB654"/>
    <mergeCell ref="BC650:BC654"/>
    <mergeCell ref="BL634:BL642"/>
    <mergeCell ref="BC644:BC649"/>
    <mergeCell ref="BM634:BM642"/>
    <mergeCell ref="BM644:BM649"/>
    <mergeCell ref="AY614:AY619"/>
    <mergeCell ref="AV628:AV633"/>
    <mergeCell ref="AW628:AW633"/>
    <mergeCell ref="BL614:BL619"/>
    <mergeCell ref="BK634:BK642"/>
    <mergeCell ref="BM614:BM619"/>
    <mergeCell ref="BE644:BE649"/>
    <mergeCell ref="BF644:BF649"/>
    <mergeCell ref="BG644:BG649"/>
    <mergeCell ref="BH644:BH649"/>
    <mergeCell ref="BM628:BM633"/>
    <mergeCell ref="BG614:BG619"/>
    <mergeCell ref="BJ614:BJ619"/>
    <mergeCell ref="BD614:BD619"/>
    <mergeCell ref="BB614:BB619"/>
    <mergeCell ref="AV656:AV660"/>
    <mergeCell ref="BE614:BE619"/>
    <mergeCell ref="BF614:BF619"/>
    <mergeCell ref="AY621:AY626"/>
    <mergeCell ref="AZ621:AZ626"/>
    <mergeCell ref="BA621:BA626"/>
    <mergeCell ref="BK621:BK626"/>
    <mergeCell ref="AZ614:AZ619"/>
    <mergeCell ref="BC614:BC619"/>
    <mergeCell ref="BM662:BM667"/>
    <mergeCell ref="BE662:BE667"/>
    <mergeCell ref="BF662:BF667"/>
    <mergeCell ref="BG662:BG667"/>
    <mergeCell ref="BH634:BH642"/>
    <mergeCell ref="AW634:AW642"/>
    <mergeCell ref="AX634:AX642"/>
    <mergeCell ref="AY634:AY642"/>
    <mergeCell ref="AZ634:AZ642"/>
    <mergeCell ref="AY662:AY667"/>
    <mergeCell ref="BA634:BA642"/>
    <mergeCell ref="AY656:AY660"/>
    <mergeCell ref="BD634:BD642"/>
    <mergeCell ref="BE634:BE642"/>
    <mergeCell ref="BI644:BI649"/>
    <mergeCell ref="BB621:BB626"/>
    <mergeCell ref="BC628:BC633"/>
    <mergeCell ref="BD628:BD633"/>
    <mergeCell ref="BI628:BI633"/>
    <mergeCell ref="BB634:BB642"/>
    <mergeCell ref="BB628:BB633"/>
    <mergeCell ref="BD621:BD626"/>
    <mergeCell ref="BE621:BE626"/>
    <mergeCell ref="BC656:BC660"/>
    <mergeCell ref="BI656:BI660"/>
    <mergeCell ref="BJ656:BJ660"/>
    <mergeCell ref="BA644:BA649"/>
    <mergeCell ref="BM621:BM626"/>
    <mergeCell ref="BE628:BE633"/>
    <mergeCell ref="BF628:BF633"/>
    <mergeCell ref="BA662:BA667"/>
    <mergeCell ref="BL650:BL654"/>
    <mergeCell ref="AU621:AU626"/>
    <mergeCell ref="AV621:AV626"/>
    <mergeCell ref="AO614:AO620"/>
    <mergeCell ref="BJ644:BJ649"/>
    <mergeCell ref="AM634:AM643"/>
    <mergeCell ref="AO606:AO613"/>
    <mergeCell ref="BF634:BF642"/>
    <mergeCell ref="BG634:BG642"/>
    <mergeCell ref="BG606:BG612"/>
    <mergeCell ref="BH606:BH612"/>
    <mergeCell ref="AP644:AP649"/>
    <mergeCell ref="AP596:AP605"/>
    <mergeCell ref="AR648:AR649"/>
    <mergeCell ref="BD644:BD649"/>
    <mergeCell ref="AM621:AM627"/>
    <mergeCell ref="AW621:AW626"/>
    <mergeCell ref="AQ632:AQ633"/>
    <mergeCell ref="AT628:AT633"/>
    <mergeCell ref="AN606:AN613"/>
    <mergeCell ref="AQ604:AQ605"/>
    <mergeCell ref="AS596:AS605"/>
    <mergeCell ref="AX628:AX633"/>
    <mergeCell ref="AY628:AY633"/>
    <mergeCell ref="AZ628:AZ633"/>
    <mergeCell ref="BA628:BA633"/>
    <mergeCell ref="AP634:AP642"/>
    <mergeCell ref="AP621:AP626"/>
    <mergeCell ref="AW644:AW649"/>
    <mergeCell ref="AV614:AV619"/>
    <mergeCell ref="AN634:AN643"/>
    <mergeCell ref="AY606:AY612"/>
    <mergeCell ref="AT596:AT605"/>
    <mergeCell ref="G139:G145"/>
    <mergeCell ref="F122:F126"/>
    <mergeCell ref="G122:G126"/>
    <mergeCell ref="H122:H126"/>
    <mergeCell ref="I122:I126"/>
    <mergeCell ref="F131:F135"/>
    <mergeCell ref="G131:G135"/>
    <mergeCell ref="H131:H135"/>
    <mergeCell ref="I131:I135"/>
    <mergeCell ref="H168:H172"/>
    <mergeCell ref="A146:A151"/>
    <mergeCell ref="B146:B151"/>
    <mergeCell ref="C146:C151"/>
    <mergeCell ref="D146:D151"/>
    <mergeCell ref="E146:E151"/>
    <mergeCell ref="F146:F151"/>
    <mergeCell ref="G146:G151"/>
    <mergeCell ref="H146:H151"/>
    <mergeCell ref="I146:I151"/>
    <mergeCell ref="A168:A172"/>
    <mergeCell ref="B168:B172"/>
    <mergeCell ref="A152:A163"/>
    <mergeCell ref="B139:B145"/>
    <mergeCell ref="C139:C145"/>
    <mergeCell ref="G136:G138"/>
    <mergeCell ref="B152:B163"/>
    <mergeCell ref="D164:D167"/>
    <mergeCell ref="C152:C163"/>
    <mergeCell ref="D168:D172"/>
    <mergeCell ref="B164:B167"/>
    <mergeCell ref="C122:C126"/>
    <mergeCell ref="D152:D163"/>
    <mergeCell ref="K31:K34"/>
    <mergeCell ref="K606:K613"/>
    <mergeCell ref="J604:J605"/>
    <mergeCell ref="K255:K256"/>
    <mergeCell ref="F164:F167"/>
    <mergeCell ref="A176:A178"/>
    <mergeCell ref="B176:B178"/>
    <mergeCell ref="C176:C178"/>
    <mergeCell ref="E164:E167"/>
    <mergeCell ref="E185:E187"/>
    <mergeCell ref="F179:F181"/>
    <mergeCell ref="G179:G181"/>
    <mergeCell ref="C188:C190"/>
    <mergeCell ref="D188:D190"/>
    <mergeCell ref="E168:E172"/>
    <mergeCell ref="C182:C184"/>
    <mergeCell ref="F176:F178"/>
    <mergeCell ref="A164:A167"/>
    <mergeCell ref="E152:E163"/>
    <mergeCell ref="A606:A613"/>
    <mergeCell ref="H136:H138"/>
    <mergeCell ref="B656:B661"/>
    <mergeCell ref="A139:A145"/>
    <mergeCell ref="A173:A175"/>
    <mergeCell ref="B173:B175"/>
    <mergeCell ref="C173:C175"/>
    <mergeCell ref="D173:D175"/>
    <mergeCell ref="F185:F187"/>
    <mergeCell ref="G185:G187"/>
    <mergeCell ref="H195:H200"/>
    <mergeCell ref="V139:V145"/>
    <mergeCell ref="V91:V96"/>
    <mergeCell ref="P91:P96"/>
    <mergeCell ref="L75:L79"/>
    <mergeCell ref="J136:J138"/>
    <mergeCell ref="V97:V107"/>
    <mergeCell ref="V136:V138"/>
    <mergeCell ref="P80:P85"/>
    <mergeCell ref="Q80:Q85"/>
    <mergeCell ref="O75:O79"/>
    <mergeCell ref="P75:P79"/>
    <mergeCell ref="Q75:Q79"/>
    <mergeCell ref="O108:O113"/>
    <mergeCell ref="J91:J96"/>
    <mergeCell ref="K91:K96"/>
    <mergeCell ref="Q86:Q90"/>
    <mergeCell ref="U97:U107"/>
    <mergeCell ref="R75:R79"/>
    <mergeCell ref="S75:S79"/>
    <mergeCell ref="T75:T79"/>
    <mergeCell ref="O139:O145"/>
    <mergeCell ref="M136:M138"/>
    <mergeCell ref="O136:O138"/>
    <mergeCell ref="V114:V121"/>
    <mergeCell ref="T97:T107"/>
    <mergeCell ref="U131:U135"/>
    <mergeCell ref="V108:V113"/>
    <mergeCell ref="K75:K79"/>
    <mergeCell ref="J75:J79"/>
    <mergeCell ref="M75:M79"/>
    <mergeCell ref="N75:N79"/>
    <mergeCell ref="S122:S126"/>
    <mergeCell ref="E60:E64"/>
    <mergeCell ref="F60:F64"/>
    <mergeCell ref="K97:K107"/>
    <mergeCell ref="L97:L107"/>
    <mergeCell ref="F168:F172"/>
    <mergeCell ref="M97:M107"/>
    <mergeCell ref="H108:H113"/>
    <mergeCell ref="G60:G64"/>
    <mergeCell ref="U65:U74"/>
    <mergeCell ref="S139:S145"/>
    <mergeCell ref="Q131:Q135"/>
    <mergeCell ref="U127:U130"/>
    <mergeCell ref="J114:J121"/>
    <mergeCell ref="N136:N138"/>
    <mergeCell ref="L127:L130"/>
    <mergeCell ref="M127:M130"/>
    <mergeCell ref="N127:N130"/>
    <mergeCell ref="O127:O130"/>
    <mergeCell ref="P127:P130"/>
    <mergeCell ref="J164:J167"/>
    <mergeCell ref="K139:K145"/>
    <mergeCell ref="P136:P138"/>
    <mergeCell ref="N152:N163"/>
    <mergeCell ref="M152:M163"/>
    <mergeCell ref="Q146:Q151"/>
    <mergeCell ref="T152:T157"/>
    <mergeCell ref="P122:P126"/>
    <mergeCell ref="T122:T126"/>
    <mergeCell ref="U122:U126"/>
    <mergeCell ref="Q122:Q126"/>
    <mergeCell ref="R97:R107"/>
    <mergeCell ref="I75:I79"/>
    <mergeCell ref="AM266:AM267"/>
    <mergeCell ref="AN266:AN267"/>
    <mergeCell ref="AO266:AO267"/>
    <mergeCell ref="AL586:AL595"/>
    <mergeCell ref="V313:V314"/>
    <mergeCell ref="P405:P406"/>
    <mergeCell ref="Q405:Q406"/>
    <mergeCell ref="AO405:AO406"/>
    <mergeCell ref="AO284:AO285"/>
    <mergeCell ref="AN263:AN265"/>
    <mergeCell ref="AO263:AO265"/>
    <mergeCell ref="T257:T259"/>
    <mergeCell ref="S257:S259"/>
    <mergeCell ref="V261:V262"/>
    <mergeCell ref="V268:V269"/>
    <mergeCell ref="W261:W262"/>
    <mergeCell ref="R270:R275"/>
    <mergeCell ref="Q263:Q265"/>
    <mergeCell ref="AO315:AO316"/>
    <mergeCell ref="AO586:AO595"/>
    <mergeCell ref="Q291:Q292"/>
    <mergeCell ref="V278:V282"/>
    <mergeCell ref="Q284:Q285"/>
    <mergeCell ref="Q297:Q300"/>
    <mergeCell ref="Q278:Q282"/>
    <mergeCell ref="S315:S316"/>
    <mergeCell ref="T315:T316"/>
    <mergeCell ref="AN297:AN300"/>
    <mergeCell ref="AM313:AM314"/>
    <mergeCell ref="AN313:AN314"/>
    <mergeCell ref="AO313:AO314"/>
    <mergeCell ref="AO297:AO300"/>
    <mergeCell ref="AL313:AL314"/>
    <mergeCell ref="U309:U310"/>
    <mergeCell ref="V309:V310"/>
    <mergeCell ref="W309:W310"/>
    <mergeCell ref="AJ604:AJ605"/>
    <mergeCell ref="R286:R289"/>
    <mergeCell ref="V405:V406"/>
    <mergeCell ref="W405:W406"/>
    <mergeCell ref="U315:U316"/>
    <mergeCell ref="V315:V316"/>
    <mergeCell ref="W315:W316"/>
    <mergeCell ref="U268:U269"/>
    <mergeCell ref="P257:P259"/>
    <mergeCell ref="P261:P262"/>
    <mergeCell ref="P255:P256"/>
    <mergeCell ref="T268:T269"/>
    <mergeCell ref="R268:R269"/>
    <mergeCell ref="T270:T275"/>
    <mergeCell ref="R284:R285"/>
    <mergeCell ref="V366:V368"/>
    <mergeCell ref="W366:W368"/>
    <mergeCell ref="T255:T256"/>
    <mergeCell ref="U255:U256"/>
    <mergeCell ref="P309:P310"/>
    <mergeCell ref="P294:P296"/>
    <mergeCell ref="P313:P314"/>
    <mergeCell ref="S286:S289"/>
    <mergeCell ref="T286:T289"/>
    <mergeCell ref="R257:R259"/>
    <mergeCell ref="AJ648:AJ649"/>
    <mergeCell ref="S606:S613"/>
    <mergeCell ref="W606:W613"/>
    <mergeCell ref="V606:V613"/>
    <mergeCell ref="W644:W649"/>
    <mergeCell ref="AM628:AM633"/>
    <mergeCell ref="Q606:Q613"/>
    <mergeCell ref="N606:N613"/>
    <mergeCell ref="W297:W300"/>
    <mergeCell ref="W294:W296"/>
    <mergeCell ref="T297:T300"/>
    <mergeCell ref="U297:U300"/>
    <mergeCell ref="Q294:Q296"/>
    <mergeCell ref="T309:T310"/>
    <mergeCell ref="W270:W275"/>
    <mergeCell ref="W656:W661"/>
    <mergeCell ref="V634:V643"/>
    <mergeCell ref="V270:V275"/>
    <mergeCell ref="AL614:AL620"/>
    <mergeCell ref="AJ632:AJ633"/>
    <mergeCell ref="R606:R613"/>
    <mergeCell ref="T606:T613"/>
    <mergeCell ref="T291:T292"/>
    <mergeCell ref="U291:U292"/>
    <mergeCell ref="R596:R605"/>
    <mergeCell ref="V596:V605"/>
    <mergeCell ref="R586:R595"/>
    <mergeCell ref="T284:T285"/>
    <mergeCell ref="W628:W633"/>
    <mergeCell ref="S621:S627"/>
    <mergeCell ref="U284:U285"/>
    <mergeCell ref="W278:W282"/>
    <mergeCell ref="AM586:AM595"/>
    <mergeCell ref="AL596:AL605"/>
    <mergeCell ref="J612:J613"/>
    <mergeCell ref="T596:T605"/>
    <mergeCell ref="N586:N595"/>
    <mergeCell ref="U644:U649"/>
    <mergeCell ref="V586:V595"/>
    <mergeCell ref="I648:I649"/>
    <mergeCell ref="L644:L649"/>
    <mergeCell ref="W286:W289"/>
    <mergeCell ref="AL315:AL316"/>
    <mergeCell ref="W586:W595"/>
    <mergeCell ref="AM650:AM655"/>
    <mergeCell ref="AM656:AM661"/>
    <mergeCell ref="U656:U661"/>
    <mergeCell ref="N621:N627"/>
    <mergeCell ref="O621:O627"/>
    <mergeCell ref="P621:P627"/>
    <mergeCell ref="O606:O613"/>
    <mergeCell ref="V621:V627"/>
    <mergeCell ref="AL628:AL633"/>
    <mergeCell ref="AK642:AK643"/>
    <mergeCell ref="AL634:AL643"/>
    <mergeCell ref="AI642:AI643"/>
    <mergeCell ref="U634:U643"/>
    <mergeCell ref="W614:W620"/>
    <mergeCell ref="AJ642:AJ643"/>
    <mergeCell ref="V628:V633"/>
    <mergeCell ref="AL644:AL649"/>
    <mergeCell ref="W650:W655"/>
    <mergeCell ref="S650:S655"/>
    <mergeCell ref="T650:T655"/>
    <mergeCell ref="S644:S649"/>
    <mergeCell ref="T644:T649"/>
    <mergeCell ref="P315:P316"/>
    <mergeCell ref="Q644:Q649"/>
    <mergeCell ref="M270:M275"/>
    <mergeCell ref="Q366:Q368"/>
    <mergeCell ref="R366:R368"/>
    <mergeCell ref="S366:S368"/>
    <mergeCell ref="T366:T368"/>
    <mergeCell ref="P644:P649"/>
    <mergeCell ref="U628:U633"/>
    <mergeCell ref="T621:T627"/>
    <mergeCell ref="U621:U627"/>
    <mergeCell ref="O614:O620"/>
    <mergeCell ref="Q614:Q620"/>
    <mergeCell ref="Q596:Q605"/>
    <mergeCell ref="U606:U613"/>
    <mergeCell ref="M278:M282"/>
    <mergeCell ref="N366:N368"/>
    <mergeCell ref="U366:U368"/>
    <mergeCell ref="T586:T595"/>
    <mergeCell ref="O309:O310"/>
    <mergeCell ref="M297:M300"/>
    <mergeCell ref="N297:N300"/>
    <mergeCell ref="M309:M310"/>
    <mergeCell ref="N309:N310"/>
    <mergeCell ref="G644:G649"/>
    <mergeCell ref="N614:N620"/>
    <mergeCell ref="M614:M620"/>
    <mergeCell ref="H619:H620"/>
    <mergeCell ref="I619:I620"/>
    <mergeCell ref="J619:J620"/>
    <mergeCell ref="K614:K620"/>
    <mergeCell ref="L614:L620"/>
    <mergeCell ref="I309:I310"/>
    <mergeCell ref="J309:J310"/>
    <mergeCell ref="K405:K406"/>
    <mergeCell ref="L405:L406"/>
    <mergeCell ref="F216:F217"/>
    <mergeCell ref="M405:M406"/>
    <mergeCell ref="J315:J316"/>
    <mergeCell ref="K315:K316"/>
    <mergeCell ref="H648:H649"/>
    <mergeCell ref="I593:I595"/>
    <mergeCell ref="J593:J595"/>
    <mergeCell ref="L278:L282"/>
    <mergeCell ref="L284:L285"/>
    <mergeCell ref="N278:N282"/>
    <mergeCell ref="L297:L300"/>
    <mergeCell ref="J278:J282"/>
    <mergeCell ref="F221:F225"/>
    <mergeCell ref="L218:L220"/>
    <mergeCell ref="H257:H259"/>
    <mergeCell ref="H216:H217"/>
    <mergeCell ref="M268:M269"/>
    <mergeCell ref="F284:F285"/>
    <mergeCell ref="N229:N232"/>
    <mergeCell ref="J286:J289"/>
    <mergeCell ref="I604:I605"/>
    <mergeCell ref="I612:I613"/>
    <mergeCell ref="H255:H256"/>
    <mergeCell ref="L255:L256"/>
    <mergeCell ref="I255:I256"/>
    <mergeCell ref="A221:A225"/>
    <mergeCell ref="I291:I292"/>
    <mergeCell ref="J291:J292"/>
    <mergeCell ref="K291:K292"/>
    <mergeCell ref="J297:J300"/>
    <mergeCell ref="A255:A256"/>
    <mergeCell ref="C216:C217"/>
    <mergeCell ref="G213:G215"/>
    <mergeCell ref="K194:K200"/>
    <mergeCell ref="A250:A251"/>
    <mergeCell ref="N268:N269"/>
    <mergeCell ref="J268:J269"/>
    <mergeCell ref="F194:F200"/>
    <mergeCell ref="G194:G200"/>
    <mergeCell ref="K213:K215"/>
    <mergeCell ref="A201:A205"/>
    <mergeCell ref="C221:C225"/>
    <mergeCell ref="D221:D225"/>
    <mergeCell ref="E221:E225"/>
    <mergeCell ref="A216:A217"/>
    <mergeCell ref="C218:C220"/>
    <mergeCell ref="C206:C208"/>
    <mergeCell ref="D206:D208"/>
    <mergeCell ref="A206:A208"/>
    <mergeCell ref="B206:B208"/>
    <mergeCell ref="B201:B205"/>
    <mergeCell ref="N291:N292"/>
    <mergeCell ref="L366:L368"/>
    <mergeCell ref="AT614:AT619"/>
    <mergeCell ref="AT621:AT626"/>
    <mergeCell ref="AR632:AR633"/>
    <mergeCell ref="AS628:AS633"/>
    <mergeCell ref="A191:A193"/>
    <mergeCell ref="B191:B193"/>
    <mergeCell ref="E248:E249"/>
    <mergeCell ref="E252:E254"/>
    <mergeCell ref="A252:A254"/>
    <mergeCell ref="A248:A249"/>
    <mergeCell ref="A218:A220"/>
    <mergeCell ref="M250:M251"/>
    <mergeCell ref="J216:J217"/>
    <mergeCell ref="J255:J256"/>
    <mergeCell ref="I257:I259"/>
    <mergeCell ref="G236:G247"/>
    <mergeCell ref="N216:N217"/>
    <mergeCell ref="B218:B220"/>
    <mergeCell ref="B216:B217"/>
    <mergeCell ref="K248:K249"/>
    <mergeCell ref="N191:N193"/>
    <mergeCell ref="N255:N256"/>
    <mergeCell ref="C257:C259"/>
    <mergeCell ref="A257:A259"/>
    <mergeCell ref="B213:B215"/>
    <mergeCell ref="C213:C215"/>
    <mergeCell ref="F218:F220"/>
    <mergeCell ref="G614:G620"/>
    <mergeCell ref="I366:I368"/>
    <mergeCell ref="M366:M368"/>
    <mergeCell ref="K586:K595"/>
    <mergeCell ref="H642:H643"/>
    <mergeCell ref="N634:N643"/>
    <mergeCell ref="I642:I643"/>
    <mergeCell ref="J642:J643"/>
    <mergeCell ref="L621:L627"/>
    <mergeCell ref="R294:R296"/>
    <mergeCell ref="S294:S296"/>
    <mergeCell ref="U261:U262"/>
    <mergeCell ref="N270:N275"/>
    <mergeCell ref="O270:O275"/>
    <mergeCell ref="S596:S605"/>
    <mergeCell ref="U596:U605"/>
    <mergeCell ref="P270:P275"/>
    <mergeCell ref="Q313:Q314"/>
    <mergeCell ref="R313:R314"/>
    <mergeCell ref="R309:R310"/>
    <mergeCell ref="Q586:Q595"/>
    <mergeCell ref="U586:U595"/>
    <mergeCell ref="S586:S595"/>
    <mergeCell ref="R278:R282"/>
    <mergeCell ref="S278:S282"/>
    <mergeCell ref="T405:T406"/>
    <mergeCell ref="U405:U406"/>
    <mergeCell ref="M586:M595"/>
    <mergeCell ref="L586:L595"/>
    <mergeCell ref="L315:L316"/>
    <mergeCell ref="O366:O368"/>
    <mergeCell ref="P366:P368"/>
    <mergeCell ref="L606:L613"/>
    <mergeCell ref="P586:P595"/>
    <mergeCell ref="O586:O595"/>
    <mergeCell ref="K366:K368"/>
    <mergeCell ref="L656:L661"/>
    <mergeCell ref="AU614:AU619"/>
    <mergeCell ref="T614:T620"/>
    <mergeCell ref="AO621:AO627"/>
    <mergeCell ref="AN621:AN627"/>
    <mergeCell ref="AT634:AT642"/>
    <mergeCell ref="AS644:AS649"/>
    <mergeCell ref="AN614:AN620"/>
    <mergeCell ref="AM606:AM613"/>
    <mergeCell ref="AK604:AK605"/>
    <mergeCell ref="AR604:AR605"/>
    <mergeCell ref="AS606:AS612"/>
    <mergeCell ref="AK632:AK633"/>
    <mergeCell ref="AL606:AL613"/>
    <mergeCell ref="W634:W643"/>
    <mergeCell ref="AI604:AI605"/>
    <mergeCell ref="AM644:AM649"/>
    <mergeCell ref="M606:M613"/>
    <mergeCell ref="R614:R620"/>
    <mergeCell ref="AL621:AL627"/>
    <mergeCell ref="V656:V661"/>
    <mergeCell ref="V614:V620"/>
    <mergeCell ref="N650:N655"/>
    <mergeCell ref="AM596:AM605"/>
    <mergeCell ref="W596:W605"/>
    <mergeCell ref="W621:W627"/>
    <mergeCell ref="AM614:AM620"/>
    <mergeCell ref="U614:U620"/>
    <mergeCell ref="S614:S620"/>
    <mergeCell ref="M621:M627"/>
    <mergeCell ref="S628:S633"/>
    <mergeCell ref="P614:P620"/>
    <mergeCell ref="AX644:AX649"/>
    <mergeCell ref="AY644:AY649"/>
    <mergeCell ref="AZ644:AZ649"/>
    <mergeCell ref="R644:R649"/>
    <mergeCell ref="V644:V649"/>
    <mergeCell ref="AO656:AO661"/>
    <mergeCell ref="AL656:AL661"/>
    <mergeCell ref="T628:T633"/>
    <mergeCell ref="Q634:Q643"/>
    <mergeCell ref="S634:S643"/>
    <mergeCell ref="T634:T643"/>
    <mergeCell ref="R634:R643"/>
    <mergeCell ref="AN628:AN633"/>
    <mergeCell ref="R656:R661"/>
    <mergeCell ref="S656:S661"/>
    <mergeCell ref="T656:T661"/>
    <mergeCell ref="AI648:AI649"/>
    <mergeCell ref="AN644:AN649"/>
    <mergeCell ref="AL650:AL655"/>
    <mergeCell ref="AK648:AK649"/>
    <mergeCell ref="Q628:Q633"/>
    <mergeCell ref="R628:R633"/>
    <mergeCell ref="AN650:AN655"/>
    <mergeCell ref="AP628:AP633"/>
    <mergeCell ref="AN656:AN661"/>
    <mergeCell ref="AT650:AT654"/>
    <mergeCell ref="AI632:AI633"/>
    <mergeCell ref="AU650:AU654"/>
    <mergeCell ref="Q656:Q661"/>
    <mergeCell ref="Q650:Q655"/>
    <mergeCell ref="V650:V655"/>
    <mergeCell ref="U650:U655"/>
    <mergeCell ref="E656:E661"/>
    <mergeCell ref="G656:G661"/>
    <mergeCell ref="H660:H661"/>
    <mergeCell ref="J660:J661"/>
    <mergeCell ref="K656:K661"/>
    <mergeCell ref="M634:M643"/>
    <mergeCell ref="D656:D661"/>
    <mergeCell ref="O634:O643"/>
    <mergeCell ref="P634:P643"/>
    <mergeCell ref="A628:A633"/>
    <mergeCell ref="B628:B633"/>
    <mergeCell ref="C628:C633"/>
    <mergeCell ref="D628:D633"/>
    <mergeCell ref="K628:K633"/>
    <mergeCell ref="L628:L633"/>
    <mergeCell ref="M628:M633"/>
    <mergeCell ref="N628:N633"/>
    <mergeCell ref="O628:O633"/>
    <mergeCell ref="P628:P633"/>
    <mergeCell ref="L634:L643"/>
    <mergeCell ref="M644:M649"/>
    <mergeCell ref="J632:J633"/>
    <mergeCell ref="A656:A661"/>
    <mergeCell ref="A650:A655"/>
    <mergeCell ref="C650:C655"/>
    <mergeCell ref="E650:E655"/>
    <mergeCell ref="F650:F655"/>
    <mergeCell ref="D644:D649"/>
    <mergeCell ref="M656:M661"/>
    <mergeCell ref="N656:N661"/>
    <mergeCell ref="O656:O661"/>
    <mergeCell ref="P656:P661"/>
    <mergeCell ref="E644:E649"/>
    <mergeCell ref="O650:O655"/>
    <mergeCell ref="P650:P655"/>
    <mergeCell ref="N644:N649"/>
    <mergeCell ref="Q621:Q627"/>
    <mergeCell ref="R621:R627"/>
    <mergeCell ref="D650:D655"/>
    <mergeCell ref="F656:F661"/>
    <mergeCell ref="I660:I661"/>
    <mergeCell ref="R650:R655"/>
    <mergeCell ref="G628:G633"/>
    <mergeCell ref="H632:H633"/>
    <mergeCell ref="I632:I633"/>
    <mergeCell ref="C634:C643"/>
    <mergeCell ref="K644:K649"/>
    <mergeCell ref="K634:K643"/>
    <mergeCell ref="M650:M655"/>
    <mergeCell ref="K650:K655"/>
    <mergeCell ref="L650:L655"/>
    <mergeCell ref="I654:I655"/>
    <mergeCell ref="D634:D643"/>
    <mergeCell ref="O644:O649"/>
    <mergeCell ref="J654:J655"/>
    <mergeCell ref="G650:G655"/>
    <mergeCell ref="K621:K627"/>
    <mergeCell ref="J648:J649"/>
    <mergeCell ref="E628:E633"/>
    <mergeCell ref="F628:F633"/>
    <mergeCell ref="G634:G643"/>
    <mergeCell ref="F634:F643"/>
    <mergeCell ref="E634:E643"/>
    <mergeCell ref="C656:C661"/>
    <mergeCell ref="A644:A649"/>
    <mergeCell ref="B644:B649"/>
    <mergeCell ref="J626:J627"/>
    <mergeCell ref="I626:I627"/>
    <mergeCell ref="C621:C627"/>
    <mergeCell ref="D621:D627"/>
    <mergeCell ref="F644:F649"/>
    <mergeCell ref="H654:H655"/>
    <mergeCell ref="P606:P613"/>
    <mergeCell ref="K596:K605"/>
    <mergeCell ref="L596:L605"/>
    <mergeCell ref="M596:M605"/>
    <mergeCell ref="N596:N605"/>
    <mergeCell ref="G257:G259"/>
    <mergeCell ref="E257:E259"/>
    <mergeCell ref="B297:B300"/>
    <mergeCell ref="D257:D259"/>
    <mergeCell ref="F606:F613"/>
    <mergeCell ref="G606:G613"/>
    <mergeCell ref="G596:G605"/>
    <mergeCell ref="A586:A595"/>
    <mergeCell ref="B586:B595"/>
    <mergeCell ref="D596:D605"/>
    <mergeCell ref="E596:E605"/>
    <mergeCell ref="O596:O605"/>
    <mergeCell ref="P596:P605"/>
    <mergeCell ref="P297:P300"/>
    <mergeCell ref="O297:O300"/>
    <mergeCell ref="B650:B655"/>
    <mergeCell ref="C644:C649"/>
    <mergeCell ref="G284:G285"/>
    <mergeCell ref="B257:B259"/>
    <mergeCell ref="B596:B605"/>
    <mergeCell ref="D614:D620"/>
    <mergeCell ref="A297:A300"/>
    <mergeCell ref="C606:C613"/>
    <mergeCell ref="D606:D613"/>
    <mergeCell ref="E606:E613"/>
    <mergeCell ref="H297:H300"/>
    <mergeCell ref="E586:E595"/>
    <mergeCell ref="B614:B620"/>
    <mergeCell ref="A405:A406"/>
    <mergeCell ref="B405:B406"/>
    <mergeCell ref="C405:C406"/>
    <mergeCell ref="D405:D406"/>
    <mergeCell ref="B606:B613"/>
    <mergeCell ref="F596:F605"/>
    <mergeCell ref="C596:C605"/>
    <mergeCell ref="C614:C620"/>
    <mergeCell ref="E337:E340"/>
    <mergeCell ref="F337:F340"/>
    <mergeCell ref="G337:G340"/>
    <mergeCell ref="H337:H340"/>
    <mergeCell ref="B309:B310"/>
    <mergeCell ref="F297:F300"/>
    <mergeCell ref="G297:G300"/>
    <mergeCell ref="H309:H310"/>
    <mergeCell ref="F586:F595"/>
    <mergeCell ref="G586:G595"/>
    <mergeCell ref="C586:C595"/>
    <mergeCell ref="D586:D595"/>
    <mergeCell ref="H604:H605"/>
    <mergeCell ref="H405:H406"/>
    <mergeCell ref="B621:B627"/>
    <mergeCell ref="G621:G627"/>
    <mergeCell ref="A621:A627"/>
    <mergeCell ref="A268:A269"/>
    <mergeCell ref="H270:H275"/>
    <mergeCell ref="B634:B643"/>
    <mergeCell ref="E614:E620"/>
    <mergeCell ref="F614:F620"/>
    <mergeCell ref="E621:E627"/>
    <mergeCell ref="F621:F627"/>
    <mergeCell ref="A634:A643"/>
    <mergeCell ref="H626:H627"/>
    <mergeCell ref="B268:B269"/>
    <mergeCell ref="H313:H314"/>
    <mergeCell ref="A313:A314"/>
    <mergeCell ref="B313:B314"/>
    <mergeCell ref="C315:C316"/>
    <mergeCell ref="C313:C314"/>
    <mergeCell ref="D313:D314"/>
    <mergeCell ref="E313:E314"/>
    <mergeCell ref="F313:F314"/>
    <mergeCell ref="F268:F269"/>
    <mergeCell ref="A309:A310"/>
    <mergeCell ref="E405:E406"/>
    <mergeCell ref="F405:F406"/>
    <mergeCell ref="H593:H595"/>
    <mergeCell ref="H612:H613"/>
    <mergeCell ref="A291:A292"/>
    <mergeCell ref="C284:C285"/>
    <mergeCell ref="B284:B285"/>
    <mergeCell ref="A614:A620"/>
    <mergeCell ref="A596:A605"/>
    <mergeCell ref="S268:S269"/>
    <mergeCell ref="L309:L310"/>
    <mergeCell ref="G313:G314"/>
    <mergeCell ref="M315:M316"/>
    <mergeCell ref="N315:N316"/>
    <mergeCell ref="O315:O316"/>
    <mergeCell ref="O248:O249"/>
    <mergeCell ref="Q250:Q251"/>
    <mergeCell ref="N261:N262"/>
    <mergeCell ref="O261:O262"/>
    <mergeCell ref="S250:S251"/>
    <mergeCell ref="T250:T251"/>
    <mergeCell ref="I313:I314"/>
    <mergeCell ref="Q257:Q259"/>
    <mergeCell ref="Q261:Q262"/>
    <mergeCell ref="Q255:Q256"/>
    <mergeCell ref="J221:J225"/>
    <mergeCell ref="K221:K225"/>
    <mergeCell ref="N284:N285"/>
    <mergeCell ref="Q270:Q275"/>
    <mergeCell ref="T278:T282"/>
    <mergeCell ref="Q315:Q316"/>
    <mergeCell ref="S309:S310"/>
    <mergeCell ref="S313:S314"/>
    <mergeCell ref="J284:J285"/>
    <mergeCell ref="G268:G269"/>
    <mergeCell ref="H278:H282"/>
    <mergeCell ref="K278:K282"/>
    <mergeCell ref="I261:I262"/>
    <mergeCell ref="K236:K247"/>
    <mergeCell ref="H236:H247"/>
    <mergeCell ref="I236:I247"/>
    <mergeCell ref="U250:U251"/>
    <mergeCell ref="U252:U254"/>
    <mergeCell ref="U248:U249"/>
    <mergeCell ref="N236:N247"/>
    <mergeCell ref="O257:O259"/>
    <mergeCell ref="N263:N265"/>
    <mergeCell ref="O263:O265"/>
    <mergeCell ref="N257:N259"/>
    <mergeCell ref="U263:U265"/>
    <mergeCell ref="N233:N235"/>
    <mergeCell ref="P248:P249"/>
    <mergeCell ref="Q248:Q249"/>
    <mergeCell ref="R263:R265"/>
    <mergeCell ref="S263:S265"/>
    <mergeCell ref="T236:T247"/>
    <mergeCell ref="M252:M254"/>
    <mergeCell ref="K263:K265"/>
    <mergeCell ref="N252:N254"/>
    <mergeCell ref="T252:T254"/>
    <mergeCell ref="T261:T262"/>
    <mergeCell ref="P263:P265"/>
    <mergeCell ref="N248:N249"/>
    <mergeCell ref="T263:T265"/>
    <mergeCell ref="R261:R262"/>
    <mergeCell ref="S261:S262"/>
    <mergeCell ref="O252:O254"/>
    <mergeCell ref="P252:P254"/>
    <mergeCell ref="T248:T249"/>
    <mergeCell ref="N250:N251"/>
    <mergeCell ref="U236:U247"/>
    <mergeCell ref="L257:L259"/>
    <mergeCell ref="L252:L254"/>
    <mergeCell ref="K185:K187"/>
    <mergeCell ref="L185:L187"/>
    <mergeCell ref="T168:T172"/>
    <mergeCell ref="P173:P175"/>
    <mergeCell ref="V194:V200"/>
    <mergeCell ref="E173:E175"/>
    <mergeCell ref="K168:K172"/>
    <mergeCell ref="K201:K205"/>
    <mergeCell ref="C191:C193"/>
    <mergeCell ref="D191:D193"/>
    <mergeCell ref="E191:E193"/>
    <mergeCell ref="P168:P172"/>
    <mergeCell ref="N209:N212"/>
    <mergeCell ref="L194:L200"/>
    <mergeCell ref="P221:P225"/>
    <mergeCell ref="K216:K217"/>
    <mergeCell ref="M218:M220"/>
    <mergeCell ref="N218:N220"/>
    <mergeCell ref="O218:O220"/>
    <mergeCell ref="D216:D217"/>
    <mergeCell ref="R213:R215"/>
    <mergeCell ref="T213:T215"/>
    <mergeCell ref="M221:M225"/>
    <mergeCell ref="N221:N225"/>
    <mergeCell ref="O221:O225"/>
    <mergeCell ref="M209:M212"/>
    <mergeCell ref="D213:D215"/>
    <mergeCell ref="E213:E215"/>
    <mergeCell ref="E216:E217"/>
    <mergeCell ref="E218:E220"/>
    <mergeCell ref="P194:P200"/>
    <mergeCell ref="M191:M193"/>
    <mergeCell ref="W188:W190"/>
    <mergeCell ref="AL188:AL190"/>
    <mergeCell ref="T218:T220"/>
    <mergeCell ref="S194:S200"/>
    <mergeCell ref="BC164:BC167"/>
    <mergeCell ref="BC173:BC174"/>
    <mergeCell ref="T216:T217"/>
    <mergeCell ref="T194:T200"/>
    <mergeCell ref="Q191:Q193"/>
    <mergeCell ref="R191:R193"/>
    <mergeCell ref="Q201:Q205"/>
    <mergeCell ref="T185:T187"/>
    <mergeCell ref="AN191:AN193"/>
    <mergeCell ref="R185:R187"/>
    <mergeCell ref="S185:S187"/>
    <mergeCell ref="T201:T205"/>
    <mergeCell ref="R188:R190"/>
    <mergeCell ref="Q218:Q220"/>
    <mergeCell ref="AZ173:AZ174"/>
    <mergeCell ref="AP173:AP174"/>
    <mergeCell ref="AX168:AX172"/>
    <mergeCell ref="AX164:AX167"/>
    <mergeCell ref="U168:U172"/>
    <mergeCell ref="AM164:AM167"/>
    <mergeCell ref="AQ168:AQ172"/>
    <mergeCell ref="AR168:AR172"/>
    <mergeCell ref="AS168:AS172"/>
    <mergeCell ref="Q209:Q212"/>
    <mergeCell ref="AL206:AL208"/>
    <mergeCell ref="S216:S217"/>
    <mergeCell ref="R216:R217"/>
    <mergeCell ref="W213:W215"/>
    <mergeCell ref="N213:N215"/>
    <mergeCell ref="O213:O215"/>
    <mergeCell ref="U201:U205"/>
    <mergeCell ref="O209:O212"/>
    <mergeCell ref="S179:S181"/>
    <mergeCell ref="M213:M215"/>
    <mergeCell ref="M216:M217"/>
    <mergeCell ref="AL213:AL215"/>
    <mergeCell ref="U216:U217"/>
    <mergeCell ref="AM218:AM220"/>
    <mergeCell ref="AN218:AN220"/>
    <mergeCell ref="AO218:AO220"/>
    <mergeCell ref="AO213:AO215"/>
    <mergeCell ref="AN216:AN217"/>
    <mergeCell ref="AN173:AN175"/>
    <mergeCell ref="AO173:AO175"/>
    <mergeCell ref="AN213:AN215"/>
    <mergeCell ref="S191:S193"/>
    <mergeCell ref="AL173:AL175"/>
    <mergeCell ref="V173:V175"/>
    <mergeCell ref="U173:U175"/>
    <mergeCell ref="AL179:AL181"/>
    <mergeCell ref="AL176:AL178"/>
    <mergeCell ref="U182:U184"/>
    <mergeCell ref="V182:V184"/>
    <mergeCell ref="S182:S184"/>
    <mergeCell ref="V191:V193"/>
    <mergeCell ref="W216:W217"/>
    <mergeCell ref="V216:V217"/>
    <mergeCell ref="AO209:AO212"/>
    <mergeCell ref="AO179:AO181"/>
    <mergeCell ref="AO194:AO200"/>
    <mergeCell ref="AL108:AL113"/>
    <mergeCell ref="W152:W157"/>
    <mergeCell ref="AM136:AM138"/>
    <mergeCell ref="AL122:AL126"/>
    <mergeCell ref="AO152:AO163"/>
    <mergeCell ref="AQ148:AQ151"/>
    <mergeCell ref="Q182:Q184"/>
    <mergeCell ref="Q168:Q172"/>
    <mergeCell ref="U179:U181"/>
    <mergeCell ref="AL114:AL121"/>
    <mergeCell ref="AM114:AM121"/>
    <mergeCell ref="AN114:AN121"/>
    <mergeCell ref="AO114:AO121"/>
    <mergeCell ref="P182:P184"/>
    <mergeCell ref="AN164:AN167"/>
    <mergeCell ref="AO136:AO138"/>
    <mergeCell ref="AO131:AO135"/>
    <mergeCell ref="AM146:AM151"/>
    <mergeCell ref="T173:T175"/>
    <mergeCell ref="AQ164:AQ167"/>
    <mergeCell ref="R152:R163"/>
    <mergeCell ref="P179:P181"/>
    <mergeCell ref="R182:R184"/>
    <mergeCell ref="AN146:AN151"/>
    <mergeCell ref="AO146:AO151"/>
    <mergeCell ref="AM139:AM145"/>
    <mergeCell ref="AL146:AL151"/>
    <mergeCell ref="AN139:AN145"/>
    <mergeCell ref="AN136:AN138"/>
    <mergeCell ref="R136:R138"/>
    <mergeCell ref="U146:U151"/>
    <mergeCell ref="U139:U145"/>
    <mergeCell ref="BM168:BM172"/>
    <mergeCell ref="BM221:BM224"/>
    <mergeCell ref="U218:U220"/>
    <mergeCell ref="AM182:AM184"/>
    <mergeCell ref="AL218:AL220"/>
    <mergeCell ref="BE221:BE224"/>
    <mergeCell ref="AY173:AY174"/>
    <mergeCell ref="BI173:BI174"/>
    <mergeCell ref="AZ168:AZ172"/>
    <mergeCell ref="BA168:BA172"/>
    <mergeCell ref="AP164:AP167"/>
    <mergeCell ref="AP168:AP172"/>
    <mergeCell ref="AM194:AM200"/>
    <mergeCell ref="AW221:AW224"/>
    <mergeCell ref="V209:V212"/>
    <mergeCell ref="BL164:BL167"/>
    <mergeCell ref="BM164:BM167"/>
    <mergeCell ref="AV164:AV167"/>
    <mergeCell ref="AO164:AO167"/>
    <mergeCell ref="V188:V190"/>
    <mergeCell ref="AN188:AN190"/>
    <mergeCell ref="AL168:AL172"/>
    <mergeCell ref="AN179:AN181"/>
    <mergeCell ref="AL182:AL184"/>
    <mergeCell ref="AN176:AN178"/>
    <mergeCell ref="AN182:AN184"/>
    <mergeCell ref="AM185:AM187"/>
    <mergeCell ref="AN185:AN187"/>
    <mergeCell ref="AM179:AM181"/>
    <mergeCell ref="AM176:AM178"/>
    <mergeCell ref="W185:W187"/>
    <mergeCell ref="AL185:AL187"/>
    <mergeCell ref="BL221:BL224"/>
    <mergeCell ref="BE168:BE172"/>
    <mergeCell ref="BF168:BF172"/>
    <mergeCell ref="U185:U187"/>
    <mergeCell ref="V185:V187"/>
    <mergeCell ref="S213:S215"/>
    <mergeCell ref="T191:T193"/>
    <mergeCell ref="U191:U193"/>
    <mergeCell ref="BK221:BK224"/>
    <mergeCell ref="AM191:AM193"/>
    <mergeCell ref="BK173:BK174"/>
    <mergeCell ref="AY221:AY224"/>
    <mergeCell ref="AZ221:AZ224"/>
    <mergeCell ref="AM188:AM190"/>
    <mergeCell ref="AJ196:AJ199"/>
    <mergeCell ref="W168:W172"/>
    <mergeCell ref="V176:V178"/>
    <mergeCell ref="V213:V215"/>
    <mergeCell ref="AN168:AN172"/>
    <mergeCell ref="AN194:AN200"/>
    <mergeCell ref="S173:S175"/>
    <mergeCell ref="T176:T178"/>
    <mergeCell ref="U176:U178"/>
    <mergeCell ref="S168:S172"/>
    <mergeCell ref="AM168:AM172"/>
    <mergeCell ref="AM173:AM175"/>
    <mergeCell ref="W191:W193"/>
    <mergeCell ref="AK196:AK199"/>
    <mergeCell ref="AL194:AL200"/>
    <mergeCell ref="W194:W200"/>
    <mergeCell ref="U194:U200"/>
    <mergeCell ref="AN206:AN208"/>
    <mergeCell ref="K86:K90"/>
    <mergeCell ref="O86:O90"/>
    <mergeCell ref="P86:P90"/>
    <mergeCell ref="L86:L90"/>
    <mergeCell ref="M86:M90"/>
    <mergeCell ref="N86:N90"/>
    <mergeCell ref="N131:N135"/>
    <mergeCell ref="E139:E145"/>
    <mergeCell ref="F139:F145"/>
    <mergeCell ref="J168:J172"/>
    <mergeCell ref="M179:M181"/>
    <mergeCell ref="F191:F193"/>
    <mergeCell ref="G218:G220"/>
    <mergeCell ref="G191:G193"/>
    <mergeCell ref="F213:F215"/>
    <mergeCell ref="I168:I172"/>
    <mergeCell ref="G176:G178"/>
    <mergeCell ref="I182:I184"/>
    <mergeCell ref="E201:E205"/>
    <mergeCell ref="F201:F205"/>
    <mergeCell ref="G201:G205"/>
    <mergeCell ref="H201:H205"/>
    <mergeCell ref="I201:I205"/>
    <mergeCell ref="H139:H145"/>
    <mergeCell ref="I139:I145"/>
    <mergeCell ref="G152:G163"/>
    <mergeCell ref="H213:H215"/>
    <mergeCell ref="K114:K121"/>
    <mergeCell ref="E194:E200"/>
    <mergeCell ref="I164:I167"/>
    <mergeCell ref="I216:I217"/>
    <mergeCell ref="N176:N178"/>
    <mergeCell ref="E176:E178"/>
    <mergeCell ref="B194:B200"/>
    <mergeCell ref="C194:C200"/>
    <mergeCell ref="D182:D184"/>
    <mergeCell ref="E182:E184"/>
    <mergeCell ref="A194:A200"/>
    <mergeCell ref="B185:B187"/>
    <mergeCell ref="C185:C187"/>
    <mergeCell ref="A122:A126"/>
    <mergeCell ref="D131:D135"/>
    <mergeCell ref="E131:E135"/>
    <mergeCell ref="E122:E126"/>
    <mergeCell ref="A182:A184"/>
    <mergeCell ref="B182:B184"/>
    <mergeCell ref="A188:A190"/>
    <mergeCell ref="B188:B190"/>
    <mergeCell ref="A185:A187"/>
    <mergeCell ref="E188:E190"/>
    <mergeCell ref="S226:S228"/>
    <mergeCell ref="T226:T228"/>
    <mergeCell ref="U226:U228"/>
    <mergeCell ref="V226:V228"/>
    <mergeCell ref="L164:L167"/>
    <mergeCell ref="O152:O163"/>
    <mergeCell ref="I218:I220"/>
    <mergeCell ref="I191:I193"/>
    <mergeCell ref="M114:M121"/>
    <mergeCell ref="N114:N121"/>
    <mergeCell ref="K164:K167"/>
    <mergeCell ref="E136:E138"/>
    <mergeCell ref="L201:L205"/>
    <mergeCell ref="M201:M205"/>
    <mergeCell ref="N201:N205"/>
    <mergeCell ref="O201:O205"/>
    <mergeCell ref="J179:J181"/>
    <mergeCell ref="L139:L145"/>
    <mergeCell ref="H179:H181"/>
    <mergeCell ref="E114:E121"/>
    <mergeCell ref="F114:F121"/>
    <mergeCell ref="G114:G121"/>
    <mergeCell ref="G164:G167"/>
    <mergeCell ref="G168:G172"/>
    <mergeCell ref="J182:J184"/>
    <mergeCell ref="F136:F138"/>
    <mergeCell ref="M194:M200"/>
    <mergeCell ref="P213:P215"/>
    <mergeCell ref="Q213:Q215"/>
    <mergeCell ref="Q221:Q225"/>
    <mergeCell ref="O191:O193"/>
    <mergeCell ref="O194:O200"/>
    <mergeCell ref="W226:W228"/>
    <mergeCell ref="AL226:AL228"/>
    <mergeCell ref="AN226:AN228"/>
    <mergeCell ref="BA152:BA158"/>
    <mergeCell ref="BF164:BF167"/>
    <mergeCell ref="BG164:BG167"/>
    <mergeCell ref="T209:T212"/>
    <mergeCell ref="W218:W220"/>
    <mergeCell ref="J294:J296"/>
    <mergeCell ref="K294:K296"/>
    <mergeCell ref="L294:L296"/>
    <mergeCell ref="M294:M296"/>
    <mergeCell ref="N294:N296"/>
    <mergeCell ref="K152:K163"/>
    <mergeCell ref="J139:J145"/>
    <mergeCell ref="N194:N200"/>
    <mergeCell ref="J218:J220"/>
    <mergeCell ref="K218:K220"/>
    <mergeCell ref="J191:J193"/>
    <mergeCell ref="K179:K181"/>
    <mergeCell ref="L152:L163"/>
    <mergeCell ref="M168:M172"/>
    <mergeCell ref="Q194:Q200"/>
    <mergeCell ref="N139:N145"/>
    <mergeCell ref="O216:O217"/>
    <mergeCell ref="P191:P193"/>
    <mergeCell ref="P218:P220"/>
    <mergeCell ref="Q164:Q167"/>
    <mergeCell ref="Q173:Q175"/>
    <mergeCell ref="P201:P205"/>
    <mergeCell ref="K182:K184"/>
    <mergeCell ref="J185:J187"/>
    <mergeCell ref="H185:H187"/>
    <mergeCell ref="N185:N187"/>
    <mergeCell ref="H164:H167"/>
    <mergeCell ref="N179:N181"/>
    <mergeCell ref="L168:L172"/>
    <mergeCell ref="H176:H178"/>
    <mergeCell ref="M236:M247"/>
    <mergeCell ref="J188:J190"/>
    <mergeCell ref="A65:A74"/>
    <mergeCell ref="B65:B74"/>
    <mergeCell ref="C65:C74"/>
    <mergeCell ref="D65:D74"/>
    <mergeCell ref="E65:E74"/>
    <mergeCell ref="F65:F74"/>
    <mergeCell ref="G65:G74"/>
    <mergeCell ref="H65:H74"/>
    <mergeCell ref="I65:I74"/>
    <mergeCell ref="J65:J74"/>
    <mergeCell ref="K65:K74"/>
    <mergeCell ref="L65:L74"/>
    <mergeCell ref="M65:M74"/>
    <mergeCell ref="N65:N74"/>
    <mergeCell ref="I185:I187"/>
    <mergeCell ref="D139:D145"/>
    <mergeCell ref="I80:I85"/>
    <mergeCell ref="D194:D200"/>
    <mergeCell ref="C164:C167"/>
    <mergeCell ref="A136:A138"/>
    <mergeCell ref="C179:C181"/>
    <mergeCell ref="A179:A181"/>
    <mergeCell ref="B179:B181"/>
    <mergeCell ref="D176:D178"/>
    <mergeCell ref="P65:P74"/>
    <mergeCell ref="Q65:Q74"/>
    <mergeCell ref="A226:A228"/>
    <mergeCell ref="B226:B228"/>
    <mergeCell ref="C226:C228"/>
    <mergeCell ref="D226:D228"/>
    <mergeCell ref="E226:E228"/>
    <mergeCell ref="F226:F228"/>
    <mergeCell ref="G226:G228"/>
    <mergeCell ref="H226:H228"/>
    <mergeCell ref="I226:I228"/>
    <mergeCell ref="J226:J228"/>
    <mergeCell ref="K226:K228"/>
    <mergeCell ref="L226:L228"/>
    <mergeCell ref="M226:M228"/>
    <mergeCell ref="N226:N228"/>
    <mergeCell ref="O226:O228"/>
    <mergeCell ref="P226:P228"/>
    <mergeCell ref="Q226:Q228"/>
    <mergeCell ref="F91:F96"/>
    <mergeCell ref="G91:G96"/>
    <mergeCell ref="H91:H96"/>
    <mergeCell ref="H97:H107"/>
    <mergeCell ref="G97:G107"/>
    <mergeCell ref="E97:E107"/>
    <mergeCell ref="D91:D96"/>
    <mergeCell ref="E91:E96"/>
    <mergeCell ref="J108:J113"/>
    <mergeCell ref="K108:K113"/>
    <mergeCell ref="L108:L113"/>
    <mergeCell ref="B97:B107"/>
    <mergeCell ref="C168:C172"/>
    <mergeCell ref="AN662:AN670"/>
    <mergeCell ref="AM662:AM670"/>
    <mergeCell ref="AO662:AO670"/>
    <mergeCell ref="AL366:AL368"/>
    <mergeCell ref="AM366:AM368"/>
    <mergeCell ref="AN366:AN368"/>
    <mergeCell ref="AO366:AO368"/>
    <mergeCell ref="B354:B355"/>
    <mergeCell ref="C354:C355"/>
    <mergeCell ref="I337:I340"/>
    <mergeCell ref="K337:K340"/>
    <mergeCell ref="L337:L340"/>
    <mergeCell ref="J337:J340"/>
    <mergeCell ref="M337:M340"/>
    <mergeCell ref="N337:N340"/>
    <mergeCell ref="O337:O340"/>
    <mergeCell ref="P337:P340"/>
    <mergeCell ref="Q337:Q340"/>
    <mergeCell ref="R337:R340"/>
    <mergeCell ref="S337:S340"/>
    <mergeCell ref="T337:T340"/>
    <mergeCell ref="U337:U340"/>
    <mergeCell ref="V337:V340"/>
    <mergeCell ref="W337:W340"/>
    <mergeCell ref="AL337:AL340"/>
    <mergeCell ref="AM337:AM340"/>
    <mergeCell ref="C366:C368"/>
    <mergeCell ref="D366:D368"/>
    <mergeCell ref="E366:E368"/>
    <mergeCell ref="F366:F368"/>
    <mergeCell ref="G366:G368"/>
    <mergeCell ref="H366:H368"/>
  </mergeCells>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GERAL.2018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2018-11-07T13:29:07Z</cp:lastPrinted>
  <dcterms:created xsi:type="dcterms:W3CDTF">2013-10-11T22:10:57Z</dcterms:created>
  <dcterms:modified xsi:type="dcterms:W3CDTF">2018-11-21T22:19:23Z</dcterms:modified>
</cp:coreProperties>
</file>