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756"/>
  </bookViews>
  <sheets>
    <sheet name="SEMEL LICITAÇÕES DEZ 2017" sheetId="3" r:id="rId1"/>
  </sheets>
  <calcPr calcId="145621"/>
</workbook>
</file>

<file path=xl/calcChain.xml><?xml version="1.0" encoding="utf-8"?>
<calcChain xmlns="http://schemas.openxmlformats.org/spreadsheetml/2006/main">
  <c r="AH187" i="3" l="1"/>
  <c r="AE187" i="3"/>
  <c r="AG186" i="3"/>
  <c r="AH186" i="3" s="1"/>
  <c r="AE186" i="3"/>
  <c r="AG185" i="3"/>
  <c r="AH185" i="3" s="1"/>
  <c r="AE185" i="3"/>
  <c r="AH184" i="3"/>
  <c r="AE184" i="3"/>
  <c r="AH183" i="3"/>
  <c r="AE183" i="3"/>
  <c r="AH182" i="3"/>
  <c r="AE182" i="3"/>
  <c r="AH181" i="3"/>
  <c r="AE181" i="3"/>
  <c r="AH180" i="3"/>
  <c r="AE180" i="3"/>
  <c r="AG58" i="3"/>
  <c r="AH179" i="3"/>
  <c r="AE179" i="3"/>
  <c r="AH178" i="3"/>
  <c r="AE178" i="3"/>
  <c r="AH177" i="3"/>
  <c r="AE177" i="3"/>
  <c r="AH176" i="3"/>
  <c r="AE176" i="3"/>
  <c r="AH175" i="3"/>
  <c r="AE175" i="3"/>
  <c r="AG156" i="3"/>
  <c r="AG174" i="3"/>
  <c r="AH174" i="3" s="1"/>
  <c r="AE174" i="3"/>
  <c r="AG173" i="3"/>
  <c r="AH173" i="3"/>
  <c r="AE173" i="3"/>
  <c r="AH172" i="3"/>
  <c r="AE172" i="3"/>
  <c r="AH171" i="3"/>
  <c r="AE171" i="3"/>
  <c r="AG104" i="3"/>
  <c r="AH104" i="3" s="1"/>
  <c r="AG52" i="3"/>
  <c r="AH170" i="3"/>
  <c r="AE170" i="3"/>
  <c r="AH169" i="3"/>
  <c r="AE169" i="3"/>
  <c r="AH168" i="3"/>
  <c r="AE168" i="3"/>
  <c r="AH167" i="3"/>
  <c r="AE167" i="3"/>
  <c r="AG147" i="3"/>
  <c r="AG148" i="3"/>
  <c r="AH166" i="3"/>
  <c r="AE166" i="3"/>
  <c r="AH165" i="3"/>
  <c r="AE165" i="3"/>
  <c r="AH164" i="3"/>
  <c r="AH163" i="3"/>
  <c r="AE164" i="3"/>
  <c r="AE163" i="3"/>
  <c r="AG27" i="3"/>
  <c r="AG162" i="3"/>
  <c r="AH162" i="3"/>
  <c r="AE162" i="3"/>
  <c r="AH161" i="3"/>
  <c r="AE161" i="3"/>
  <c r="AH160" i="3"/>
  <c r="AE160" i="3"/>
  <c r="AG89" i="3"/>
  <c r="AG118" i="3"/>
  <c r="AG55" i="3"/>
  <c r="AG56" i="3"/>
  <c r="AG77" i="3"/>
  <c r="AG85" i="3"/>
  <c r="AG59" i="3"/>
  <c r="AG45" i="3"/>
  <c r="AG136" i="3"/>
  <c r="AG80" i="3"/>
  <c r="AH80" i="3" s="1"/>
  <c r="AG49" i="3"/>
  <c r="AG114" i="3"/>
  <c r="AG81" i="3"/>
  <c r="AG106" i="3"/>
  <c r="AG129" i="3"/>
  <c r="AH129" i="3" s="1"/>
  <c r="AG102" i="3"/>
  <c r="AG51" i="3"/>
  <c r="AG71" i="3"/>
  <c r="AG123" i="3"/>
  <c r="AH123" i="3" s="1"/>
  <c r="AG72" i="3"/>
  <c r="AG108" i="3"/>
  <c r="AG100" i="3"/>
  <c r="AG126" i="3"/>
  <c r="AG69" i="3"/>
  <c r="AG61" i="3"/>
  <c r="AG60" i="3"/>
  <c r="AH60" i="3" s="1"/>
  <c r="AG64" i="3"/>
  <c r="AH64" i="3" s="1"/>
  <c r="AG54" i="3"/>
  <c r="AG98" i="3"/>
  <c r="AH98" i="3" s="1"/>
  <c r="AG57" i="3"/>
  <c r="AG48" i="3"/>
  <c r="AH48" i="3" s="1"/>
  <c r="AG65" i="3"/>
  <c r="AG122" i="3"/>
  <c r="AH122" i="3" s="1"/>
  <c r="AG103" i="3"/>
  <c r="AH103" i="3" s="1"/>
  <c r="AH159" i="3"/>
  <c r="AE159" i="3"/>
  <c r="AG119" i="3"/>
  <c r="AH119" i="3" s="1"/>
  <c r="AH158" i="3"/>
  <c r="AE158" i="3"/>
  <c r="AH157" i="3"/>
  <c r="AE157" i="3"/>
  <c r="AH156" i="3"/>
  <c r="AE156" i="3"/>
  <c r="AH155" i="3"/>
  <c r="AE155" i="3"/>
  <c r="AG95" i="3"/>
  <c r="AG101" i="3"/>
  <c r="AH154" i="3"/>
  <c r="AE154" i="3"/>
  <c r="AH153" i="3"/>
  <c r="AE153" i="3"/>
  <c r="AH152" i="3"/>
  <c r="AE152" i="3"/>
  <c r="AG75" i="3"/>
  <c r="AG96" i="3"/>
  <c r="AF188" i="3"/>
  <c r="AG40" i="3"/>
  <c r="AG112" i="3"/>
  <c r="L112" i="3"/>
  <c r="AG31" i="3"/>
  <c r="AH151" i="3"/>
  <c r="AE151" i="3"/>
  <c r="AG91" i="3"/>
  <c r="AG78" i="3"/>
  <c r="AG149" i="3"/>
  <c r="AH149" i="3" s="1"/>
  <c r="AH150" i="3"/>
  <c r="AE150" i="3"/>
  <c r="AH148" i="3"/>
  <c r="AE148" i="3"/>
  <c r="AH147" i="3"/>
  <c r="AE147" i="3"/>
  <c r="AG30" i="3"/>
  <c r="AH30" i="3" s="1"/>
  <c r="AG37" i="3"/>
  <c r="AG36" i="3"/>
  <c r="AH146" i="3"/>
  <c r="AE146" i="3"/>
  <c r="AH145" i="3"/>
  <c r="AE145" i="3"/>
  <c r="AG117" i="3"/>
  <c r="AH144" i="3"/>
  <c r="AE144" i="3"/>
  <c r="AH143" i="3"/>
  <c r="AE143" i="3"/>
  <c r="AG116" i="3"/>
  <c r="AH116" i="3" s="1"/>
  <c r="AG115" i="3"/>
  <c r="AH115" i="3" s="1"/>
  <c r="AG120" i="3"/>
  <c r="AG34" i="3"/>
  <c r="AG32" i="3"/>
  <c r="AH32" i="3" s="1"/>
  <c r="AG82" i="3"/>
  <c r="AH82" i="3" s="1"/>
  <c r="AH142" i="3"/>
  <c r="AE142" i="3"/>
  <c r="AH141" i="3"/>
  <c r="AE141" i="3"/>
  <c r="AH140" i="3"/>
  <c r="AE140" i="3"/>
  <c r="AG47" i="3"/>
  <c r="AH139" i="3"/>
  <c r="AE139" i="3"/>
  <c r="AH138" i="3"/>
  <c r="AE138" i="3"/>
  <c r="AG79" i="3"/>
  <c r="AH79" i="3" s="1"/>
  <c r="AH137" i="3"/>
  <c r="AE137" i="3"/>
  <c r="AG53" i="3"/>
  <c r="AH136" i="3"/>
  <c r="AE136" i="3"/>
  <c r="L190" i="3"/>
  <c r="AH135" i="3"/>
  <c r="AE135" i="3"/>
  <c r="AH134" i="3"/>
  <c r="AE134" i="3"/>
  <c r="AH133" i="3"/>
  <c r="AE133" i="3"/>
  <c r="AH132" i="3"/>
  <c r="AE132" i="3"/>
  <c r="AH131" i="3"/>
  <c r="AE131" i="3"/>
  <c r="AH130" i="3"/>
  <c r="AE130" i="3"/>
  <c r="AG66" i="3"/>
  <c r="AH66" i="3" s="1"/>
  <c r="AG110" i="3"/>
  <c r="AE129" i="3"/>
  <c r="AG107" i="3"/>
  <c r="AH107" i="3" s="1"/>
  <c r="AG105" i="3"/>
  <c r="AH105" i="3" s="1"/>
  <c r="AG68" i="3"/>
  <c r="AH128" i="3"/>
  <c r="AE128" i="3"/>
  <c r="AG127" i="3"/>
  <c r="AH127" i="3" s="1"/>
  <c r="AE127" i="3"/>
  <c r="AH126" i="3"/>
  <c r="AE126" i="3"/>
  <c r="AH125" i="3"/>
  <c r="AE125" i="3"/>
  <c r="AH124" i="3"/>
  <c r="AE124" i="3"/>
  <c r="AE123" i="3"/>
  <c r="AG73" i="3"/>
  <c r="AE122" i="3"/>
  <c r="AG67" i="3"/>
  <c r="AH67" i="3" s="1"/>
  <c r="AG41" i="3"/>
  <c r="AG28" i="3"/>
  <c r="AH28" i="3" s="1"/>
  <c r="AH121" i="3"/>
  <c r="AE121" i="3"/>
  <c r="AH120" i="3"/>
  <c r="AE120" i="3"/>
  <c r="AE119" i="3"/>
  <c r="AH118" i="3"/>
  <c r="AE118" i="3"/>
  <c r="AH117" i="3"/>
  <c r="AE117" i="3"/>
  <c r="AE116" i="3"/>
  <c r="AE115" i="3"/>
  <c r="AH114" i="3"/>
  <c r="AE114" i="3"/>
  <c r="AG63" i="3"/>
  <c r="AH113" i="3"/>
  <c r="AE113" i="3"/>
  <c r="AH112" i="3"/>
  <c r="AE112" i="3"/>
  <c r="AG92" i="3"/>
  <c r="AH92" i="3" s="1"/>
  <c r="AG111" i="3"/>
  <c r="AH111" i="3" s="1"/>
  <c r="AG38" i="3"/>
  <c r="AE111" i="3"/>
  <c r="AH110" i="3"/>
  <c r="AE110" i="3"/>
  <c r="AH109" i="3"/>
  <c r="AE109" i="3"/>
  <c r="AH108" i="3"/>
  <c r="AE108" i="3"/>
  <c r="AE107" i="3"/>
  <c r="AH106" i="3"/>
  <c r="AE106" i="3"/>
  <c r="AE105" i="3"/>
  <c r="AE104" i="3"/>
  <c r="AE103" i="3"/>
  <c r="AE101" i="3"/>
  <c r="AE102" i="3"/>
  <c r="AE100" i="3"/>
  <c r="AE99" i="3"/>
  <c r="AE98" i="3"/>
  <c r="AE97" i="3"/>
  <c r="AE96" i="3"/>
  <c r="AH96" i="3"/>
  <c r="AH97" i="3"/>
  <c r="AH99" i="3"/>
  <c r="AH100" i="3"/>
  <c r="AH101" i="3"/>
  <c r="AH102" i="3"/>
  <c r="AH95" i="3"/>
  <c r="AE95" i="3"/>
  <c r="AH94" i="3"/>
  <c r="AE94" i="3"/>
  <c r="AH93" i="3"/>
  <c r="AE93" i="3"/>
  <c r="AE92" i="3"/>
  <c r="AH91" i="3"/>
  <c r="AE91" i="3"/>
  <c r="AH90" i="3"/>
  <c r="AE90" i="3"/>
  <c r="AH89" i="3"/>
  <c r="AE89" i="3"/>
  <c r="AH88" i="3"/>
  <c r="AE88" i="3"/>
  <c r="AH87" i="3"/>
  <c r="AE87" i="3"/>
  <c r="AH86" i="3"/>
  <c r="AE86" i="3"/>
  <c r="AH85" i="3"/>
  <c r="AE85" i="3"/>
  <c r="AH84" i="3"/>
  <c r="AE84" i="3"/>
  <c r="AH83" i="3"/>
  <c r="AE83" i="3"/>
  <c r="AE82" i="3"/>
  <c r="AH81" i="3"/>
  <c r="AE81" i="3"/>
  <c r="AE80" i="3"/>
  <c r="AE79" i="3"/>
  <c r="AH78" i="3"/>
  <c r="AE78" i="3"/>
  <c r="AH77" i="3"/>
  <c r="AE77" i="3"/>
  <c r="AH76" i="3"/>
  <c r="AE76" i="3"/>
  <c r="AH75" i="3"/>
  <c r="AE75" i="3"/>
  <c r="AH74" i="3"/>
  <c r="AE74" i="3"/>
  <c r="AH73" i="3"/>
  <c r="AE73" i="3"/>
  <c r="AH72" i="3"/>
  <c r="AE72" i="3"/>
  <c r="AH71" i="3"/>
  <c r="AE71" i="3"/>
  <c r="AH70" i="3"/>
  <c r="AE70" i="3"/>
  <c r="AH69" i="3"/>
  <c r="AE69" i="3"/>
  <c r="AH68" i="3"/>
  <c r="AE68" i="3"/>
  <c r="AE67" i="3"/>
  <c r="AE66" i="3"/>
  <c r="AH65" i="3"/>
  <c r="AE65" i="3"/>
  <c r="AE64" i="3"/>
  <c r="AH63" i="3"/>
  <c r="AE63" i="3"/>
  <c r="AH62" i="3"/>
  <c r="AE62" i="3"/>
  <c r="AH61" i="3"/>
  <c r="AE61" i="3"/>
  <c r="AE60" i="3"/>
  <c r="AH59" i="3"/>
  <c r="AH58" i="3"/>
  <c r="AE59" i="3"/>
  <c r="AE58" i="3"/>
  <c r="AH57" i="3"/>
  <c r="AE57" i="3"/>
  <c r="AH56" i="3"/>
  <c r="AE56" i="3"/>
  <c r="AH55" i="3"/>
  <c r="AE55" i="3"/>
  <c r="AH54" i="3"/>
  <c r="AE54" i="3"/>
  <c r="AH53" i="3"/>
  <c r="AE53" i="3"/>
  <c r="AH52" i="3"/>
  <c r="AE52" i="3"/>
  <c r="AH51" i="3"/>
  <c r="AE51" i="3"/>
  <c r="AH50" i="3"/>
  <c r="AE50" i="3"/>
  <c r="AH49" i="3"/>
  <c r="AE49" i="3"/>
  <c r="AE48" i="3"/>
  <c r="AH47" i="3"/>
  <c r="AE47" i="3"/>
  <c r="AH46" i="3"/>
  <c r="AE46" i="3"/>
  <c r="AH45" i="3"/>
  <c r="AE45" i="3"/>
  <c r="AH44" i="3"/>
  <c r="AE44" i="3"/>
  <c r="AH43" i="3"/>
  <c r="AE43" i="3"/>
  <c r="AH42" i="3"/>
  <c r="AE42" i="3"/>
  <c r="L32" i="3"/>
  <c r="AH41" i="3"/>
  <c r="AE41" i="3"/>
  <c r="AH40" i="3"/>
  <c r="AE40" i="3"/>
  <c r="AH39" i="3"/>
  <c r="AE39" i="3"/>
  <c r="AH38" i="3"/>
  <c r="AE38" i="3"/>
  <c r="AH37" i="3"/>
  <c r="AE37" i="3"/>
  <c r="AH36" i="3"/>
  <c r="AE36" i="3"/>
  <c r="L31" i="3"/>
  <c r="L188" i="3" s="1"/>
  <c r="AG21" i="3"/>
  <c r="AH21" i="3" s="1"/>
  <c r="AH35" i="3"/>
  <c r="AE35" i="3"/>
  <c r="AH34" i="3"/>
  <c r="AE34" i="3"/>
  <c r="AG20" i="3"/>
  <c r="AG19" i="3"/>
  <c r="AH31" i="3"/>
  <c r="AE32" i="3"/>
  <c r="AE30" i="3"/>
  <c r="AH29" i="3"/>
  <c r="AE29" i="3"/>
  <c r="AE28" i="3"/>
  <c r="AE27" i="3"/>
  <c r="AH27" i="3"/>
  <c r="AH26" i="3"/>
  <c r="AH25" i="3"/>
  <c r="AH24" i="3"/>
  <c r="AH23" i="3"/>
  <c r="AE21" i="3"/>
  <c r="AE23" i="3"/>
  <c r="AE24" i="3"/>
  <c r="AE25" i="3"/>
  <c r="AE26" i="3"/>
  <c r="AE22" i="3"/>
  <c r="AH22" i="3"/>
  <c r="AC188" i="3"/>
  <c r="AH19" i="3"/>
  <c r="AE20" i="3"/>
  <c r="AD188" i="3"/>
  <c r="AE149" i="3"/>
  <c r="AG188" i="3" l="1"/>
  <c r="AH20" i="3"/>
  <c r="AH188" i="3" s="1"/>
  <c r="AE31" i="3"/>
  <c r="AE188" i="3" s="1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<sst xmlns="http://schemas.openxmlformats.org/spreadsheetml/2006/main" count="2049" uniqueCount="673">
  <si>
    <t>PODER EXECUTIVO MUNICIPAL</t>
  </si>
  <si>
    <t>PRESTAÇÃO DE CONTAS MENSAL - EXERCÍCIO 2017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</si>
  <si>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</si>
  <si>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</si>
  <si>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</si>
  <si>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</si>
  <si>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</si>
  <si>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</si>
  <si>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</si>
  <si>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</si>
  <si>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</si>
  <si>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</si>
  <si>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</si>
  <si>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</si>
  <si>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</si>
  <si>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</si>
  <si>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</si>
  <si>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</si>
  <si>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</si>
  <si>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</si>
  <si>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</si>
  <si>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</si>
  <si>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</si>
  <si>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</si>
  <si>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</si>
  <si>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</si>
  <si>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</si>
  <si>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</si>
  <si>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</si>
  <si>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</si>
  <si>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</si>
  <si>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</si>
  <si>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</si>
  <si>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</si>
  <si>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</si>
  <si>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</si>
  <si>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</si>
  <si>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</si>
  <si>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</si>
  <si>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</si>
  <si>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</si>
  <si>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</si>
  <si>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</si>
  <si>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</si>
  <si>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</si>
  <si>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</si>
  <si>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</si>
  <si>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</si>
  <si>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</si>
  <si>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</si>
  <si>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</si>
  <si>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</si>
  <si>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</si>
  <si>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</si>
  <si>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2016</t>
  </si>
  <si>
    <t xml:space="preserve"> Executado no Exercício 2017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</si>
  <si>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</si>
  <si>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</si>
  <si>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</si>
  <si>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</si>
  <si>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</si>
  <si>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</si>
  <si>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</si>
  <si>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</si>
  <si>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</si>
  <si>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</si>
  <si>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</si>
  <si>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</si>
  <si>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</si>
  <si>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</si>
  <si>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</si>
  <si>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</si>
  <si>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</si>
  <si>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</si>
  <si>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</si>
  <si>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</si>
  <si>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</si>
  <si>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</si>
  <si>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</si>
  <si>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</si>
  <si>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</si>
  <si>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</si>
  <si>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</si>
  <si>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</si>
  <si>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</si>
  <si>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</si>
  <si>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</si>
  <si>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</si>
  <si>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</si>
  <si>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</si>
  <si>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</si>
  <si>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</si>
  <si>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</si>
  <si>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</si>
  <si>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</si>
  <si>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</si>
  <si>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</si>
  <si>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</si>
  <si>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</si>
  <si>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</si>
  <si>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</si>
  <si>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</si>
  <si>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</si>
  <si>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</si>
  <si>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</si>
  <si>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</si>
  <si>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</si>
  <si>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</si>
  <si>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</si>
  <si>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</si>
  <si>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</si>
  <si>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</si>
  <si>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</si>
  <si>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</si>
  <si>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</si>
  <si>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</si>
  <si>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</si>
  <si>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</si>
  <si>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</si>
  <si>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</si>
  <si>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</si>
  <si>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</si>
  <si>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</si>
  <si>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</si>
  <si>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</si>
  <si>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</si>
  <si>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</si>
  <si>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</si>
  <si>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</si>
  <si>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</si>
  <si>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</si>
  <si>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</si>
  <si>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</si>
  <si>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</si>
  <si>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</si>
  <si>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</si>
  <si>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</si>
  <si>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</si>
  <si>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</si>
  <si>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</si>
  <si>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</si>
  <si>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</si>
  <si>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</si>
  <si>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</si>
  <si>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</si>
  <si>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</si>
  <si>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</si>
  <si>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</si>
  <si>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</si>
  <si>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</si>
  <si>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</si>
  <si>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</si>
  <si>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</si>
  <si>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</si>
  <si>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</si>
  <si>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</si>
  <si>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224/2015</t>
  </si>
  <si>
    <t>084/2015</t>
  </si>
  <si>
    <t>Prestação de serviços (limeza, consevação, copeiragem, agente de portaria, auxiliar de serviços diversos, recepção e digitação)</t>
  </si>
  <si>
    <t>-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</si>
  <si>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</si>
  <si>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</si>
  <si>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</si>
  <si>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</si>
  <si>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</si>
  <si>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</si>
  <si>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Acréscimo de Valor</t>
  </si>
  <si>
    <t>01/2017</t>
  </si>
  <si>
    <t>103/2016</t>
  </si>
  <si>
    <t>Material esportivo, gráfico e de expediente</t>
  </si>
  <si>
    <t>11.841/2016</t>
  </si>
  <si>
    <t>RICHARD S. MIRANDA - ME</t>
  </si>
  <si>
    <t>07.650.136/0001-96</t>
  </si>
  <si>
    <t>11.983/17</t>
  </si>
  <si>
    <t>31/12/2017</t>
  </si>
  <si>
    <t>818.185/2015</t>
  </si>
  <si>
    <t>3.3.90.30.00</t>
  </si>
  <si>
    <t>02/2017</t>
  </si>
  <si>
    <t xml:space="preserve">M C CAVALCANTE OLIVEIRA -ME </t>
  </si>
  <si>
    <t>17.483.432/0001-01</t>
  </si>
  <si>
    <t>11.980/17</t>
  </si>
  <si>
    <t>03/2017</t>
  </si>
  <si>
    <t>Material de expediente</t>
  </si>
  <si>
    <t>ARNALDO COMÉRCIO E REPRESENTAÇÕES</t>
  </si>
  <si>
    <t>04.517.439/0001-47</t>
  </si>
  <si>
    <t>04/2017</t>
  </si>
  <si>
    <t>J S CORDEIRO-ME</t>
  </si>
  <si>
    <t>18.255.882/0001-00</t>
  </si>
  <si>
    <t>05/2017</t>
  </si>
  <si>
    <t>Serviços gráficos</t>
  </si>
  <si>
    <t>DIGICOPIAS LTDA</t>
  </si>
  <si>
    <t>06.234.024/0001-91</t>
  </si>
  <si>
    <t>06/2017</t>
  </si>
  <si>
    <t>07/2017</t>
  </si>
  <si>
    <t>Material esportivo</t>
  </si>
  <si>
    <t>18/2017</t>
  </si>
  <si>
    <t>060/2017</t>
  </si>
  <si>
    <t>Serviço de transporte - Moto boy</t>
  </si>
  <si>
    <t>12.003/2017</t>
  </si>
  <si>
    <t>16/2017</t>
  </si>
  <si>
    <t>12.025/17</t>
  </si>
  <si>
    <t>30/03/2017</t>
  </si>
  <si>
    <t>09/2017</t>
  </si>
  <si>
    <t>003/2016</t>
  </si>
  <si>
    <t>fornecimentos de areia lavada</t>
  </si>
  <si>
    <t>11.952/2016</t>
  </si>
  <si>
    <t>11/2017</t>
  </si>
  <si>
    <t>M J D MARQUES COMÉRCIO E SERVIÇOS LTDA</t>
  </si>
  <si>
    <t>10.199.858/0001-80</t>
  </si>
  <si>
    <t>12.015/17</t>
  </si>
  <si>
    <t>13/2017</t>
  </si>
  <si>
    <t>083/2017</t>
  </si>
  <si>
    <t>Serviços terceirizados de apoio administrativo</t>
  </si>
  <si>
    <t>11.807/2016</t>
  </si>
  <si>
    <t>14/2017</t>
  </si>
  <si>
    <t>J.F.R CONSTRUÇÕES LTDA</t>
  </si>
  <si>
    <t>10.737.864/0001-88</t>
  </si>
  <si>
    <t>12.030/17</t>
  </si>
  <si>
    <t>30/03/2018</t>
  </si>
  <si>
    <t>49/2017</t>
  </si>
  <si>
    <t>12/2017</t>
  </si>
  <si>
    <t>034/2016</t>
  </si>
  <si>
    <t>Locação de impressora e manutenção</t>
  </si>
  <si>
    <t>10/2017</t>
  </si>
  <si>
    <t>ACRE COMÉRCIO IMP. EXP. LTDA</t>
  </si>
  <si>
    <t>06.234.024/0001/91</t>
  </si>
  <si>
    <t>12.020/17</t>
  </si>
  <si>
    <t>005/2016</t>
  </si>
  <si>
    <t>11.820/16</t>
  </si>
  <si>
    <t>Instituto de Previdência do Mun. Rio Branco</t>
  </si>
  <si>
    <t>08/2017</t>
  </si>
  <si>
    <t>001/2017</t>
  </si>
  <si>
    <t>Dispensa de licitção</t>
  </si>
  <si>
    <t>12.007/2017</t>
  </si>
  <si>
    <t xml:space="preserve">F DE FREITAS SILVA - ME </t>
  </si>
  <si>
    <t>05.897.982/0001-80</t>
  </si>
  <si>
    <t>12.052/17</t>
  </si>
  <si>
    <t>06/06/2018</t>
  </si>
  <si>
    <t>D</t>
  </si>
  <si>
    <t>LEI 8.666/93</t>
  </si>
  <si>
    <t>12.07/2017</t>
  </si>
  <si>
    <t>27/2017</t>
  </si>
  <si>
    <t>007/2016</t>
  </si>
  <si>
    <t xml:space="preserve">Locação veiculo utilitário </t>
  </si>
  <si>
    <t>51/2017</t>
  </si>
  <si>
    <t>ACRE - IMPORTAÇÃO E EXPORTAÇÃO - EIRELLI</t>
  </si>
  <si>
    <t>21.467.044/0001-04</t>
  </si>
  <si>
    <t>0905/2017</t>
  </si>
  <si>
    <t>09/05/2018</t>
  </si>
  <si>
    <t>30/2017</t>
  </si>
  <si>
    <t>50/2017</t>
  </si>
  <si>
    <t>W. O. PEREIRA - ME</t>
  </si>
  <si>
    <t>18.765.432/0001-59</t>
  </si>
  <si>
    <t>12.177/17</t>
  </si>
  <si>
    <t>24/04/2018</t>
  </si>
  <si>
    <t>240/2016</t>
  </si>
  <si>
    <t>Serviço de sonorização e iluminação</t>
  </si>
  <si>
    <t>11.786/2016</t>
  </si>
  <si>
    <t>T. P. P. SILVA -ME</t>
  </si>
  <si>
    <t>01.805.533/0001-03</t>
  </si>
  <si>
    <t>12.007/17</t>
  </si>
  <si>
    <t>26/02/2017</t>
  </si>
  <si>
    <t>Secretaria de Estado de Turismo e Lazer - SETUL</t>
  </si>
  <si>
    <t>71/2017</t>
  </si>
  <si>
    <t>002/2017</t>
  </si>
  <si>
    <t>Aquisição de material de consumo - Tinta acrílica</t>
  </si>
  <si>
    <t>12.091/2017</t>
  </si>
  <si>
    <t>141/2017</t>
  </si>
  <si>
    <t>A. JACOME EIRELI-ME</t>
  </si>
  <si>
    <t>63.590103/0001-79</t>
  </si>
  <si>
    <t>12.091/17</t>
  </si>
  <si>
    <t>25/2017</t>
  </si>
  <si>
    <t>068/2017</t>
  </si>
  <si>
    <t>Fornecimento de material de consumo</t>
  </si>
  <si>
    <t>23/2017</t>
  </si>
  <si>
    <t>ACRE PARAFUSOS IMP. E EXP. LTDA</t>
  </si>
  <si>
    <t>02.301.164/0001-84</t>
  </si>
  <si>
    <t>12.039/17</t>
  </si>
  <si>
    <t>029/2017</t>
  </si>
  <si>
    <t>Fornecimento de água a gelo</t>
  </si>
  <si>
    <t>11.988/2017</t>
  </si>
  <si>
    <t>R &amp; N LIMA - ME</t>
  </si>
  <si>
    <t>11.060.224/0001-05</t>
  </si>
  <si>
    <t>12.013/17</t>
  </si>
  <si>
    <t>21/2017</t>
  </si>
  <si>
    <t>037/2017</t>
  </si>
  <si>
    <t>Locação de banheiro químicos</t>
  </si>
  <si>
    <t>11.993/2017</t>
  </si>
  <si>
    <t>22/2017</t>
  </si>
  <si>
    <t>E. DE AGUIAR FROTA EIRELI - ME</t>
  </si>
  <si>
    <t>04.758.482/0001-02</t>
  </si>
  <si>
    <t>12.036/17</t>
  </si>
  <si>
    <t>32/2017</t>
  </si>
  <si>
    <t>073/2017</t>
  </si>
  <si>
    <t>Fornecimento de material de escritório</t>
  </si>
  <si>
    <t>12.028/2017</t>
  </si>
  <si>
    <t>52/2017</t>
  </si>
  <si>
    <t>MARCUS V. DA S. AMORIM - ME</t>
  </si>
  <si>
    <t>23.089.046/0001-24</t>
  </si>
  <si>
    <t>12.128/17</t>
  </si>
  <si>
    <t>80/2017</t>
  </si>
  <si>
    <t>Credenciamento</t>
  </si>
  <si>
    <t>Arbitragem de competições esportivas</t>
  </si>
  <si>
    <t>12.029/2017</t>
  </si>
  <si>
    <t xml:space="preserve">121/2017                        </t>
  </si>
  <si>
    <t>MARCOS NOGUEIRA MORAIS</t>
  </si>
  <si>
    <t>004.403.402-41</t>
  </si>
  <si>
    <t>12.112/17</t>
  </si>
  <si>
    <t>3.3.90.36.00</t>
  </si>
  <si>
    <t>83/2017</t>
  </si>
  <si>
    <t>59/2017</t>
  </si>
  <si>
    <t>ALAM ROGER PORTELA LOPES</t>
  </si>
  <si>
    <t>719.211.092-20</t>
  </si>
  <si>
    <t>81/2017</t>
  </si>
  <si>
    <t>124/2017</t>
  </si>
  <si>
    <t>OSMARILDO NOGUEIRA BARBOSA</t>
  </si>
  <si>
    <t>233.211.722-91</t>
  </si>
  <si>
    <t>12.208/17</t>
  </si>
  <si>
    <t>111/2017</t>
  </si>
  <si>
    <t>107/2017</t>
  </si>
  <si>
    <t>ANTONIO MARIVALDO RODRIGUES DE SOUZA</t>
  </si>
  <si>
    <t>638.700.102-15</t>
  </si>
  <si>
    <t>109/2017</t>
  </si>
  <si>
    <t>98/2017</t>
  </si>
  <si>
    <t>VERONICA DO VALE SEVERINO</t>
  </si>
  <si>
    <t>000.003.332-47</t>
  </si>
  <si>
    <t>62/2017</t>
  </si>
  <si>
    <t>42/2017</t>
  </si>
  <si>
    <t>ALAN ALENCAR DE SOUZA</t>
  </si>
  <si>
    <t>045.455.052-95</t>
  </si>
  <si>
    <t>39/2017</t>
  </si>
  <si>
    <t>ROSEANE AMORIM DA SILVA</t>
  </si>
  <si>
    <t>761.428.412-72</t>
  </si>
  <si>
    <t>89/2017</t>
  </si>
  <si>
    <t>90/2017</t>
  </si>
  <si>
    <t>MAXIMILLE DE OLIVEIRA LIMA</t>
  </si>
  <si>
    <t>024.200.932-83</t>
  </si>
  <si>
    <t>66/2017</t>
  </si>
  <si>
    <t>46/2017</t>
  </si>
  <si>
    <t>JACKSON ROGRIGUES DA SILVA</t>
  </si>
  <si>
    <t>987.335.085-91</t>
  </si>
  <si>
    <t>100/2017</t>
  </si>
  <si>
    <t>EDSON CORREIA GOMES</t>
  </si>
  <si>
    <t>433.895.202-44</t>
  </si>
  <si>
    <t>12.114/17</t>
  </si>
  <si>
    <t>110/2017</t>
  </si>
  <si>
    <t>113/2017</t>
  </si>
  <si>
    <t>ANTONIO DA SILVA DO NASCIMENTO</t>
  </si>
  <si>
    <t>443.955.582-91</t>
  </si>
  <si>
    <t>64/2017</t>
  </si>
  <si>
    <t>44/2017</t>
  </si>
  <si>
    <t>WELISSON HESPANHOL DE MESQUITA</t>
  </si>
  <si>
    <t>010.882.602-33</t>
  </si>
  <si>
    <t>28/2017</t>
  </si>
  <si>
    <t>FRANCIMAR MOURA DA SILVA</t>
  </si>
  <si>
    <t>435.174.202-04</t>
  </si>
  <si>
    <t>105/2017</t>
  </si>
  <si>
    <t>118/2017</t>
  </si>
  <si>
    <t>MARIA IRLENE LINS COSTA</t>
  </si>
  <si>
    <t>652.704.952-87</t>
  </si>
  <si>
    <t>68/2017</t>
  </si>
  <si>
    <t>48/2017</t>
  </si>
  <si>
    <t>CASSIO BARBOSA DA CUNHA</t>
  </si>
  <si>
    <t>013.488.532-55</t>
  </si>
  <si>
    <t>94/2017</t>
  </si>
  <si>
    <t>122/2017</t>
  </si>
  <si>
    <t>ADRIANE OLIVEIRA DA SILVA</t>
  </si>
  <si>
    <t>510.999.182-00</t>
  </si>
  <si>
    <t>101/2017</t>
  </si>
  <si>
    <t>CARLOS SANTOS DE ALMEIDA</t>
  </si>
  <si>
    <t>617.966.702-00</t>
  </si>
  <si>
    <t>97/2017</t>
  </si>
  <si>
    <t>CARLOS ALBERTO RAMOS DE SOUZA</t>
  </si>
  <si>
    <t>391.061.872-34</t>
  </si>
  <si>
    <t>95/2017</t>
  </si>
  <si>
    <t>123/2017</t>
  </si>
  <si>
    <t>JEAN CARLOS BEZERRA REIS</t>
  </si>
  <si>
    <t>444.127.892-68</t>
  </si>
  <si>
    <t>12.1125/17</t>
  </si>
  <si>
    <t>78/2017</t>
  </si>
  <si>
    <t>120/2017</t>
  </si>
  <si>
    <t>ELLEN RAIANE MENEZES DE CARVALHO</t>
  </si>
  <si>
    <t>032.348.462-00</t>
  </si>
  <si>
    <t>70/2017</t>
  </si>
  <si>
    <t>35/2017</t>
  </si>
  <si>
    <t>ANTONIO NEURICLAUDIO DO REGO COSTA</t>
  </si>
  <si>
    <t>575.338.062-04</t>
  </si>
  <si>
    <t>99/2017</t>
  </si>
  <si>
    <t>ISRAEL SAMPAIO DE SOUZA</t>
  </si>
  <si>
    <t>522.145.752-00</t>
  </si>
  <si>
    <t>104/2017</t>
  </si>
  <si>
    <t>108/2017</t>
  </si>
  <si>
    <t>LEONEL DE SOUZA GARCIA</t>
  </si>
  <si>
    <t>734.552.612-72</t>
  </si>
  <si>
    <t>91/2017</t>
  </si>
  <si>
    <t>77/2017</t>
  </si>
  <si>
    <t>FRANCISCO DAS CHAGAS DE LIMA LIRA</t>
  </si>
  <si>
    <t>635.837.122-34</t>
  </si>
  <si>
    <t>88/2017</t>
  </si>
  <si>
    <t>96/2017</t>
  </si>
  <si>
    <t>VANDERLEY OLIVERIRA DE LIMA</t>
  </si>
  <si>
    <t>778.182.882-87</t>
  </si>
  <si>
    <t>84/2017</t>
  </si>
  <si>
    <t>93/2017</t>
  </si>
  <si>
    <t>RICARDO DA COSTA GOIS</t>
  </si>
  <si>
    <t>565.989.632-49</t>
  </si>
  <si>
    <t>79/2017</t>
  </si>
  <si>
    <t>125/2017</t>
  </si>
  <si>
    <t>BRUNA CAROLINE RODRIGUES DE ALBUQUERQUE</t>
  </si>
  <si>
    <t>013.120.592-73</t>
  </si>
  <si>
    <t>86/2017</t>
  </si>
  <si>
    <t>MARCELO DE OLIVERIA SILVA</t>
  </si>
  <si>
    <t>991.044.152-72</t>
  </si>
  <si>
    <t>115/2017</t>
  </si>
  <si>
    <t>IANE VERAS ANDRADE</t>
  </si>
  <si>
    <t>026.648.992-36</t>
  </si>
  <si>
    <t>GILSOMAR LOPES  DA SILVA</t>
  </si>
  <si>
    <t>461.394.602-63</t>
  </si>
  <si>
    <t>60/2017</t>
  </si>
  <si>
    <t>40/2017</t>
  </si>
  <si>
    <t>WENDERSON CABRAL ARAÚJO</t>
  </si>
  <si>
    <t>030.682.882-07</t>
  </si>
  <si>
    <t>82/2017</t>
  </si>
  <si>
    <t>CHARLE CHAP GMES DA SILVA</t>
  </si>
  <si>
    <t>833.915.502-44</t>
  </si>
  <si>
    <t>54/2017</t>
  </si>
  <si>
    <t>JOSÉ HENRIQUE PEREIRA FILHO</t>
  </si>
  <si>
    <t>435.373.592-68</t>
  </si>
  <si>
    <t>75/2017</t>
  </si>
  <si>
    <t>FABIO NASCIMENTO DA SILVA</t>
  </si>
  <si>
    <t>008.243.832-30</t>
  </si>
  <si>
    <t>103/2017</t>
  </si>
  <si>
    <t>JOSE COSTA DE LIMA</t>
  </si>
  <si>
    <t>322.412.402-49</t>
  </si>
  <si>
    <t>DEMOSTHYNES DE SOUZA MIRANDA</t>
  </si>
  <si>
    <t>663.401.442-68</t>
  </si>
  <si>
    <t>58/2017</t>
  </si>
  <si>
    <t>38/2017</t>
  </si>
  <si>
    <t>EILSON ABREU DE PAIVA</t>
  </si>
  <si>
    <t>885.267.392-04</t>
  </si>
  <si>
    <t>MARIO JORGE FERREIRA LIMA</t>
  </si>
  <si>
    <t>340.011.232-15</t>
  </si>
  <si>
    <t>92/2017</t>
  </si>
  <si>
    <t>117/2017</t>
  </si>
  <si>
    <t>SANCLEY LUZ DE LIMA</t>
  </si>
  <si>
    <t>461.697.092-00</t>
  </si>
  <si>
    <t>61/2017</t>
  </si>
  <si>
    <t>41/2017</t>
  </si>
  <si>
    <t>KENNEDY DE SOUZA LIMA</t>
  </si>
  <si>
    <t>007.264.382-00</t>
  </si>
  <si>
    <t>69/2017</t>
  </si>
  <si>
    <t>37/2017</t>
  </si>
  <si>
    <t>EDMUNDO LIRA DA COSTA</t>
  </si>
  <si>
    <t>819.946.563-87</t>
  </si>
  <si>
    <t>12.117/17</t>
  </si>
  <si>
    <t>67/2017</t>
  </si>
  <si>
    <t>47/2017</t>
  </si>
  <si>
    <t>DEJAILTON SANTOS DA SILVA</t>
  </si>
  <si>
    <t>656.848.502-00</t>
  </si>
  <si>
    <t>65/2017</t>
  </si>
  <si>
    <t>45/2017</t>
  </si>
  <si>
    <t>JARANDI DE SOUZA BANDEIRA</t>
  </si>
  <si>
    <t>360.682.502-10</t>
  </si>
  <si>
    <t>JANILDA MELO DA ROCHA</t>
  </si>
  <si>
    <t>412.448.772-04</t>
  </si>
  <si>
    <t>57/2017</t>
  </si>
  <si>
    <t>36/2017</t>
  </si>
  <si>
    <t>FLÁVIA FERNADES DE COSTA</t>
  </si>
  <si>
    <t>872.305.342-91</t>
  </si>
  <si>
    <t>55/2017</t>
  </si>
  <si>
    <t>33/2017</t>
  </si>
  <si>
    <t>PAULO CELIO FELIX DE LIMA</t>
  </si>
  <si>
    <t>196.170.202-97</t>
  </si>
  <si>
    <t>63/2017</t>
  </si>
  <si>
    <t>43/2017</t>
  </si>
  <si>
    <t>MARIA AURICELIA DE SOUZA MESQUITA</t>
  </si>
  <si>
    <t>687.262.522-87</t>
  </si>
  <si>
    <t>102/2017</t>
  </si>
  <si>
    <t>119/2017</t>
  </si>
  <si>
    <t>VERA LUCIA CAVALCANTE DE ARAÚJO</t>
  </si>
  <si>
    <t>339.928.862-04</t>
  </si>
  <si>
    <t>075/2017</t>
  </si>
  <si>
    <t>Material de premiação - troefus e medalias</t>
  </si>
  <si>
    <t>157/2017</t>
  </si>
  <si>
    <t>H . J. RODRIGUES FILHO - ME</t>
  </si>
  <si>
    <t>00.531.615/0001-44</t>
  </si>
  <si>
    <t>12.132/17</t>
  </si>
  <si>
    <t>3.3.90.31.00</t>
  </si>
  <si>
    <t>72/2017</t>
  </si>
  <si>
    <t>074/2017</t>
  </si>
  <si>
    <t>Material de consumo - material esportivo</t>
  </si>
  <si>
    <t>139/2017</t>
  </si>
  <si>
    <t>ASTOR STAUD ME</t>
  </si>
  <si>
    <t>91.824.383/0001-78</t>
  </si>
  <si>
    <t>12.126/17</t>
  </si>
  <si>
    <t>Material de escritório, limpeza expediente</t>
  </si>
  <si>
    <t>53/2017</t>
  </si>
  <si>
    <t>T. M. PERES - ME</t>
  </si>
  <si>
    <t>24.033.337/0001-63</t>
  </si>
  <si>
    <t>12..216/17</t>
  </si>
  <si>
    <t xml:space="preserve">     </t>
  </si>
  <si>
    <t xml:space="preserve">Serviço de recrutamento, seleção e acompanhamento de estágiario </t>
  </si>
  <si>
    <t>12.079/2017</t>
  </si>
  <si>
    <t>143/2017</t>
  </si>
  <si>
    <t>CENTRO DE INTEGRAÇÃO E EMPRES - ESCOLAR - CIEE</t>
  </si>
  <si>
    <t>61.600.839/0001-55</t>
  </si>
  <si>
    <t>12.104/17</t>
  </si>
  <si>
    <t>09/04/2017</t>
  </si>
  <si>
    <t>76/2017</t>
  </si>
  <si>
    <t>142/2017</t>
  </si>
  <si>
    <t>INSTITUTO EVALDO LODI - IEL/NR-AC</t>
  </si>
  <si>
    <t>02.373.341/0001-38</t>
  </si>
  <si>
    <t>17/2017</t>
  </si>
  <si>
    <t>034/2017</t>
  </si>
  <si>
    <t>Locação de messas e cadeiras plástica</t>
  </si>
  <si>
    <t>EDIFICARE ENGENHARIA LTDA</t>
  </si>
  <si>
    <t>11.656.910/0001-43</t>
  </si>
  <si>
    <t>12.035/17</t>
  </si>
  <si>
    <t>3.390.39.00</t>
  </si>
  <si>
    <t>OSVALDO TOMAZ FILHO</t>
  </si>
  <si>
    <t>216.150.632-34</t>
  </si>
  <si>
    <t>126/2017</t>
  </si>
  <si>
    <t>ERISBERTO RODRIGUES DE MENDONÇA</t>
  </si>
  <si>
    <t>643.987.142-00</t>
  </si>
  <si>
    <t>29/2017</t>
  </si>
  <si>
    <t>JOSIMAR SOUZA DE ALMEIDA</t>
  </si>
  <si>
    <t>308.564.422-91</t>
  </si>
  <si>
    <t>3.390.36.00</t>
  </si>
  <si>
    <t>DENIS SANTANA DE OLIVEIRA</t>
  </si>
  <si>
    <t>661.315.022-34</t>
  </si>
  <si>
    <t>11/05/201</t>
  </si>
  <si>
    <t>85/2017</t>
  </si>
  <si>
    <t>112/2017</t>
  </si>
  <si>
    <t>ANDRE DA SILVA FORTUNATO</t>
  </si>
  <si>
    <t>788.439.442-15</t>
  </si>
  <si>
    <t>87/2017</t>
  </si>
  <si>
    <t xml:space="preserve">FRANCISCO MACARIO VASCONCELOS </t>
  </si>
  <si>
    <t>665.307.412-91</t>
  </si>
  <si>
    <t>106/2017</t>
  </si>
  <si>
    <t>114/2017</t>
  </si>
  <si>
    <t>Guia Previdência Social GPS (Parte Patronal)</t>
  </si>
  <si>
    <t>INSTITUTO NACIONAL DO SEGURO SOCIAL</t>
  </si>
  <si>
    <t>29.979.036/0423-07</t>
  </si>
  <si>
    <t>3.1.90.13.00</t>
  </si>
  <si>
    <t>116/2017</t>
  </si>
  <si>
    <t>JURANDI DE SOUZA BANDEIRA</t>
  </si>
  <si>
    <t>12.115/17</t>
  </si>
  <si>
    <t>Pagamento de seguro e licenciamento</t>
  </si>
  <si>
    <t>SECRETARIA DE ESTADO E FAZENDA - SEFAZ</t>
  </si>
  <si>
    <t>04.034.484/0001-40</t>
  </si>
  <si>
    <t>3.3.90.47.00</t>
  </si>
  <si>
    <t>ANTONIO ECIDIO PINTO DA COSTA</t>
  </si>
  <si>
    <t>484.412.102-25</t>
  </si>
  <si>
    <t>161/2017</t>
  </si>
  <si>
    <t>12.183/17</t>
  </si>
  <si>
    <t>131/2017</t>
  </si>
  <si>
    <t>135/2017</t>
  </si>
  <si>
    <t>12112/17</t>
  </si>
  <si>
    <t>73/2017</t>
  </si>
  <si>
    <t>133/2017</t>
  </si>
  <si>
    <t>128/2017</t>
  </si>
  <si>
    <t>12.121/17</t>
  </si>
  <si>
    <t>145/2017</t>
  </si>
  <si>
    <t>GRUPO E IMP. E EXP. LTDA</t>
  </si>
  <si>
    <t>17.410.071/0001-65</t>
  </si>
  <si>
    <t>167/2017</t>
  </si>
  <si>
    <t>12.185/17</t>
  </si>
  <si>
    <t>134/2017</t>
  </si>
  <si>
    <t>170/2017</t>
  </si>
  <si>
    <t>173/2017</t>
  </si>
  <si>
    <t>137/2017</t>
  </si>
  <si>
    <t>172/2017</t>
  </si>
  <si>
    <t>12.188/17</t>
  </si>
  <si>
    <t>004/2017</t>
  </si>
  <si>
    <t>Prestação de pintura e marcação de campos de futebol</t>
  </si>
  <si>
    <t>12.189/2017</t>
  </si>
  <si>
    <t>174/2017</t>
  </si>
  <si>
    <t>MASTER SERVIÇOS EIRELI-EPP</t>
  </si>
  <si>
    <t>20.276.206/0001-56</t>
  </si>
  <si>
    <t>12.193/17</t>
  </si>
  <si>
    <t>166/2017</t>
  </si>
  <si>
    <t>12.184/17</t>
  </si>
  <si>
    <t>171/2017</t>
  </si>
  <si>
    <t>127/2017</t>
  </si>
  <si>
    <t>SERGIO LUIZ DOS SANTOS</t>
  </si>
  <si>
    <t>155.378.622-04</t>
  </si>
  <si>
    <t>31/2017</t>
  </si>
  <si>
    <t>165/2017</t>
  </si>
  <si>
    <t>136/2017</t>
  </si>
  <si>
    <t>015/2017</t>
  </si>
  <si>
    <t>149/2017</t>
  </si>
  <si>
    <t>12.125/17</t>
  </si>
  <si>
    <t>017/2017</t>
  </si>
  <si>
    <t>147/2017</t>
  </si>
  <si>
    <t>Material permanente</t>
  </si>
  <si>
    <t>150/2017</t>
  </si>
  <si>
    <t>4.4.90.52.00</t>
  </si>
  <si>
    <t>Processo Seletivo</t>
  </si>
  <si>
    <t>Contratação temporaria de coordenado pedagogico e educação fisica</t>
  </si>
  <si>
    <t>12.081/2017</t>
  </si>
  <si>
    <t>152/2017</t>
  </si>
  <si>
    <t>JAQUELINE CASTELO DE SOUZA</t>
  </si>
  <si>
    <t>909.695.452-15</t>
  </si>
  <si>
    <t>25/03/2019</t>
  </si>
  <si>
    <t>3.1.90.04.00    3.1.90.13.00</t>
  </si>
  <si>
    <t>154/2017</t>
  </si>
  <si>
    <t>ELIZANGELA DE ALMEIDA MOREIRA</t>
  </si>
  <si>
    <t>749.889.722-91</t>
  </si>
  <si>
    <t>151/2017</t>
  </si>
  <si>
    <t>GEOVANGELA GALDINO ALVES</t>
  </si>
  <si>
    <t>530.583.212-87</t>
  </si>
  <si>
    <t>155/2017</t>
  </si>
  <si>
    <t>153/2017</t>
  </si>
  <si>
    <t>RAIMUNDA NONATA CHAVES DA SILVA</t>
  </si>
  <si>
    <t>927.824.180-68</t>
  </si>
  <si>
    <t>26/04/2019</t>
  </si>
  <si>
    <t>012/2017</t>
  </si>
  <si>
    <t>144/2017</t>
  </si>
  <si>
    <t>F B DE AMORIM JUNIOR</t>
  </si>
  <si>
    <t>03.802.085/0001-10</t>
  </si>
  <si>
    <t>74/2017</t>
  </si>
  <si>
    <t>003/2017</t>
  </si>
  <si>
    <t>Material de consumo - camisas e calças</t>
  </si>
  <si>
    <t>12.163/2017</t>
  </si>
  <si>
    <t>162/2017</t>
  </si>
  <si>
    <t xml:space="preserve">ILZA MARIA SOUZA DA SILVA </t>
  </si>
  <si>
    <t>14.004.742/0001-08</t>
  </si>
  <si>
    <t>12.165/17</t>
  </si>
  <si>
    <t xml:space="preserve">D </t>
  </si>
  <si>
    <t>20/2017</t>
  </si>
  <si>
    <t>067/2017</t>
  </si>
  <si>
    <t>Confecção de carimbos, chaves e fotocopias</t>
  </si>
  <si>
    <t>S. L. DE CASTRO - ME</t>
  </si>
  <si>
    <t>08.629.283/0001-47</t>
  </si>
  <si>
    <t>12.038/17</t>
  </si>
  <si>
    <t>15/2017</t>
  </si>
  <si>
    <t>651/2017</t>
  </si>
  <si>
    <t xml:space="preserve">Fotocopias monocromaticas, fotocopias coloridas </t>
  </si>
  <si>
    <t>189/2017</t>
  </si>
  <si>
    <t>188/2017</t>
  </si>
  <si>
    <t>184/2017</t>
  </si>
  <si>
    <t>196/2017</t>
  </si>
  <si>
    <t>176/2017</t>
  </si>
  <si>
    <t>12.196/17</t>
  </si>
  <si>
    <t>12.112./17</t>
  </si>
  <si>
    <t>183/2017</t>
  </si>
  <si>
    <t>12.207/17</t>
  </si>
  <si>
    <t>182/2017</t>
  </si>
  <si>
    <t>130/2017</t>
  </si>
  <si>
    <t>185/2017</t>
  </si>
  <si>
    <t>187/2017</t>
  </si>
  <si>
    <t>193/2017</t>
  </si>
  <si>
    <t>186/2017</t>
  </si>
  <si>
    <t>190/2017</t>
  </si>
  <si>
    <t>160/2017</t>
  </si>
  <si>
    <t>191/2017</t>
  </si>
  <si>
    <t>12.208/20</t>
  </si>
  <si>
    <t>192/2017</t>
  </si>
  <si>
    <t>12.209/17</t>
  </si>
  <si>
    <t>194/2017</t>
  </si>
  <si>
    <t>148/2017</t>
  </si>
  <si>
    <t>006/2017</t>
  </si>
  <si>
    <t>12.198/2017</t>
  </si>
  <si>
    <t>177/2017</t>
  </si>
  <si>
    <t>12.205/17</t>
  </si>
  <si>
    <t>195/2017</t>
  </si>
  <si>
    <t xml:space="preserve"> 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</si>
  <si>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SECRETARIA MUNICIPAL DE ESPORTE E LAZER - SEMEL</t>
    </r>
  </si>
  <si>
    <r>
      <t xml:space="preserve">MÊS/ANO: </t>
    </r>
    <r>
      <rPr>
        <b/>
        <sz val="11"/>
        <rFont val="Arial"/>
        <family val="2"/>
      </rPr>
      <t>JANEIRO À DEZEMBRO/2017</t>
    </r>
  </si>
  <si>
    <r>
      <t xml:space="preserve">DATA DA ÚLTIMA ATUALIZAÇÃO: </t>
    </r>
    <r>
      <rPr>
        <b/>
        <sz val="11"/>
        <rFont val="Arial"/>
        <family val="2"/>
      </rPr>
      <t>30/01/2018</t>
    </r>
  </si>
  <si>
    <t>TOTAL</t>
  </si>
  <si>
    <r>
      <t>Nome do responsável pela elaboração:</t>
    </r>
    <r>
      <rPr>
        <b/>
        <sz val="11"/>
        <rFont val="Arial"/>
        <family val="2"/>
      </rPr>
      <t xml:space="preserve"> Halison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</si>
  <si>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 xml:space="preserve">Afrânio Moura de Lima </t>
    </r>
    <r>
      <rPr>
        <sz val="11"/>
        <rFont val="Arial"/>
        <family val="2"/>
      </rPr>
      <t>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</si>
</sst>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\ #,##0.0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6" fillId="0" borderId="40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0" fontId="3" fillId="0" borderId="8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14" fontId="3" fillId="0" borderId="4" xfId="0" applyNumberFormat="1" applyFont="1" applyFill="1" applyBorder="1" applyAlignment="1">
      <alignment horizontal="right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right" vertical="center" wrapText="1"/>
    </xf>
    <xf numFmtId="0" fontId="3" fillId="0" borderId="34" xfId="0" applyNumberFormat="1" applyFont="1" applyFill="1" applyBorder="1" applyAlignment="1">
      <alignment horizontal="right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4" xfId="0" applyNumberFormat="1" applyFont="1" applyFill="1" applyBorder="1" applyAlignment="1">
      <alignment horizontal="right" vertical="center" wrapText="1"/>
    </xf>
    <xf numFmtId="14" fontId="3" fillId="0" borderId="34" xfId="0" applyNumberFormat="1" applyFont="1" applyFill="1" applyBorder="1" applyAlignment="1">
      <alignment horizontal="right" vertical="center" wrapText="1"/>
    </xf>
    <xf numFmtId="2" fontId="3" fillId="0" borderId="35" xfId="0" applyNumberFormat="1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/>
    </xf>
    <xf numFmtId="14" fontId="3" fillId="0" borderId="27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right" vertical="center"/>
    </xf>
    <xf numFmtId="3" fontId="3" fillId="0" borderId="27" xfId="0" applyNumberFormat="1" applyFont="1" applyFill="1" applyBorder="1" applyAlignment="1">
      <alignment horizontal="center" vertical="center"/>
    </xf>
    <xf numFmtId="4" fontId="3" fillId="0" borderId="27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29" xfId="0" applyNumberFormat="1" applyFont="1" applyFill="1" applyBorder="1" applyAlignment="1">
      <alignment horizontal="center" vertical="center"/>
    </xf>
    <xf numFmtId="2" fontId="3" fillId="0" borderId="28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34" xfId="0" applyNumberFormat="1" applyFont="1" applyFill="1" applyBorder="1" applyAlignment="1">
      <alignment horizontal="right" vertical="center"/>
    </xf>
    <xf numFmtId="14" fontId="3" fillId="0" borderId="34" xfId="0" applyNumberFormat="1" applyFont="1" applyFill="1" applyBorder="1" applyAlignment="1">
      <alignment horizontal="right" vertical="center"/>
    </xf>
    <xf numFmtId="2" fontId="3" fillId="0" borderId="35" xfId="0" applyNumberFormat="1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17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14" fontId="3" fillId="0" borderId="27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4" fontId="3" fillId="0" borderId="27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right" vertical="center" wrapText="1"/>
    </xf>
    <xf numFmtId="0" fontId="3" fillId="0" borderId="27" xfId="0" applyNumberFormat="1" applyFont="1" applyFill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center" vertical="center"/>
    </xf>
    <xf numFmtId="2" fontId="3" fillId="0" borderId="29" xfId="0" applyNumberFormat="1" applyFont="1" applyFill="1" applyBorder="1" applyAlignment="1">
      <alignment horizontal="center" vertical="center"/>
    </xf>
    <xf numFmtId="2" fontId="3" fillId="0" borderId="28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 wrapText="1"/>
    </xf>
    <xf numFmtId="17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right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2" fontId="3" fillId="0" borderId="30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17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center" vertical="center" wrapText="1"/>
    </xf>
    <xf numFmtId="165" fontId="3" fillId="0" borderId="27" xfId="0" applyNumberFormat="1" applyFont="1" applyFill="1" applyBorder="1" applyAlignment="1">
      <alignment horizontal="center" vertical="center"/>
    </xf>
    <xf numFmtId="17" fontId="3" fillId="0" borderId="27" xfId="0" applyNumberFormat="1" applyFont="1" applyFill="1" applyBorder="1" applyAlignment="1">
      <alignment horizontal="center" vertical="center"/>
    </xf>
    <xf numFmtId="12" fontId="3" fillId="0" borderId="2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3" fillId="0" borderId="47" xfId="0" applyNumberFormat="1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164" fontId="6" fillId="0" borderId="51" xfId="0" applyNumberFormat="1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4" fontId="6" fillId="0" borderId="51" xfId="0" applyNumberFormat="1" applyFont="1" applyFill="1" applyBorder="1" applyAlignment="1">
      <alignment vertical="center" wrapText="1"/>
    </xf>
    <xf numFmtId="2" fontId="6" fillId="0" borderId="51" xfId="0" applyNumberFormat="1" applyFont="1" applyFill="1" applyBorder="1" applyAlignment="1">
      <alignment vertical="center" wrapText="1"/>
    </xf>
    <xf numFmtId="164" fontId="6" fillId="0" borderId="52" xfId="0" applyNumberFormat="1" applyFont="1" applyFill="1" applyBorder="1" applyAlignment="1">
      <alignment horizontal="center" vertical="center" wrapText="1"/>
    </xf>
    <xf numFmtId="2" fontId="6" fillId="0" borderId="53" xfId="0" applyNumberFormat="1" applyFont="1" applyFill="1" applyBorder="1" applyAlignment="1">
      <alignment vertical="center" wrapText="1"/>
    </xf>
    <xf numFmtId="2" fontId="6" fillId="0" borderId="54" xfId="0" applyNumberFormat="1" applyFont="1" applyFill="1" applyBorder="1" applyAlignment="1">
      <alignment vertical="center" wrapText="1"/>
    </xf>
    <xf numFmtId="2" fontId="6" fillId="0" borderId="50" xfId="0" applyNumberFormat="1" applyFont="1" applyFill="1" applyBorder="1" applyAlignment="1">
      <alignment vertical="center" wrapText="1"/>
    </xf>
    <xf numFmtId="14" fontId="6" fillId="0" borderId="50" xfId="0" applyNumberFormat="1" applyFont="1" applyFill="1" applyBorder="1" applyAlignment="1">
      <alignment vertical="center" wrapText="1"/>
    </xf>
    <xf numFmtId="2" fontId="6" fillId="0" borderId="55" xfId="0" applyNumberFormat="1" applyFont="1" applyFill="1" applyBorder="1" applyAlignment="1">
      <alignment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85725</xdr:rowOff>
    </xdr:from>
    <xdr:to>
      <xdr:col>1</xdr:col>
      <xdr:colOff>733425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85725"/>
          <a:ext cx="4857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260"/>
  <sheetViews>
    <sheetView tabSelected="1" zoomScaleNormal="100" workbookViewId="0">
      <selection activeCell="B195" sqref="B195:G197"/>
    </sheetView>
  </sheetViews>
  <sheetFormatPr defaultRowHeight="12.75" x14ac:dyDescent="0.25"/>
  <cols>
    <col min="1" max="1" width="6.85546875" style="15" customWidth="1"/>
    <col min="2" max="2" width="13.5703125" style="15" customWidth="1"/>
    <col min="3" max="3" width="11.5703125" style="15" customWidth="1"/>
    <col min="4" max="4" width="32.5703125" style="15" customWidth="1"/>
    <col min="5" max="5" width="13.7109375" style="15" customWidth="1"/>
    <col min="6" max="6" width="55.7109375" style="15" customWidth="1"/>
    <col min="7" max="7" width="18.140625" style="15" customWidth="1"/>
    <col min="8" max="8" width="12.7109375" style="189" customWidth="1"/>
    <col min="9" max="9" width="50.140625" style="15" customWidth="1"/>
    <col min="10" max="10" width="21.5703125" style="15" customWidth="1"/>
    <col min="11" max="11" width="11.85546875" style="15" customWidth="1"/>
    <col min="12" max="12" width="14.42578125" style="15" customWidth="1"/>
    <col min="13" max="13" width="10.5703125" style="15" customWidth="1"/>
    <col min="14" max="14" width="11.5703125" style="15" customWidth="1"/>
    <col min="15" max="15" width="11.7109375" style="15" customWidth="1"/>
    <col min="16" max="16" width="10.5703125" style="15" customWidth="1"/>
    <col min="17" max="17" width="12" style="15" customWidth="1"/>
    <col min="18" max="18" width="10.5703125" style="15" customWidth="1"/>
    <col min="19" max="19" width="12.7109375" style="15" customWidth="1"/>
    <col min="20" max="20" width="13" style="15" customWidth="1"/>
    <col min="21" max="21" width="10.5703125" style="15" customWidth="1"/>
    <col min="22" max="22" width="17.7109375" style="15" bestFit="1" customWidth="1"/>
    <col min="23" max="23" width="14.7109375" style="15" customWidth="1"/>
    <col min="24" max="24" width="42.42578125" style="15" customWidth="1"/>
    <col min="25" max="25" width="13.7109375" style="15" customWidth="1"/>
    <col min="26" max="26" width="12.7109375" style="15" bestFit="1" customWidth="1"/>
    <col min="27" max="28" width="10.5703125" style="15" customWidth="1"/>
    <col min="29" max="29" width="14.140625" style="15" customWidth="1"/>
    <col min="30" max="30" width="10.5703125" style="15" customWidth="1"/>
    <col min="31" max="31" width="21" style="15" customWidth="1"/>
    <col min="32" max="32" width="18.7109375" style="15" customWidth="1"/>
    <col min="33" max="33" width="16.140625" style="15" customWidth="1"/>
    <col min="34" max="34" width="20.85546875" style="15" customWidth="1"/>
    <col min="35" max="35" width="11.5703125" style="15" customWidth="1"/>
    <col min="36" max="36" width="13.85546875" style="15" customWidth="1"/>
    <col min="37" max="37" width="33.140625" style="15" customWidth="1"/>
    <col min="38" max="38" width="13.140625" style="15" customWidth="1"/>
    <col min="39" max="39" width="14.5703125" style="15" customWidth="1"/>
    <col min="40" max="40" width="14.42578125" style="15" customWidth="1"/>
    <col min="41" max="41" width="13.85546875" style="15" customWidth="1"/>
    <col min="42" max="42" width="15.7109375" style="15" customWidth="1"/>
    <col min="43" max="43" width="13.28515625" style="15" customWidth="1"/>
    <col min="44" max="44" width="12.28515625" style="15" customWidth="1"/>
    <col min="45" max="52" width="9.140625" style="15"/>
    <col min="53" max="53" width="10.140625" style="15" customWidth="1"/>
    <col min="54" max="55" width="9.140625" style="15"/>
    <col min="56" max="56" width="55.28515625" style="15" customWidth="1"/>
    <col min="57" max="16384" width="9.140625" style="15"/>
  </cols>
  <sheetData>
    <row r="1" spans="1:56" s="4" customFormat="1" ht="14.2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56" s="4" customFormat="1" ht="14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56" s="4" customFormat="1" ht="14.2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56" s="6" customFormat="1" ht="15" x14ac:dyDescent="0.25">
      <c r="A4" s="6" t="s">
        <v>0</v>
      </c>
    </row>
    <row r="5" spans="1:56" s="4" customFormat="1" ht="14.25" x14ac:dyDescent="0.25"/>
    <row r="6" spans="1:56" s="6" customFormat="1" ht="15" x14ac:dyDescent="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56" s="4" customFormat="1" ht="14.25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</row>
    <row r="8" spans="1:56" s="4" customFormat="1" ht="14.25" x14ac:dyDescent="0.25">
      <c r="A8" s="5" t="s">
        <v>3</v>
      </c>
      <c r="B8" s="5"/>
      <c r="C8" s="5"/>
      <c r="D8" s="5"/>
      <c r="E8" s="5"/>
    </row>
    <row r="9" spans="1:56" s="4" customFormat="1" ht="14.25" x14ac:dyDescent="0.25"/>
    <row r="10" spans="1:56" s="4" customFormat="1" ht="15" x14ac:dyDescent="0.25">
      <c r="A10" s="5" t="s">
        <v>667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56" s="4" customFormat="1" ht="15" x14ac:dyDescent="0.25">
      <c r="A11" s="5" t="s">
        <v>668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56" s="4" customFormat="1" ht="15" x14ac:dyDescent="0.25">
      <c r="A12" s="5" t="s">
        <v>669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56" s="4" customFormat="1" ht="15" thickBot="1" x14ac:dyDescent="0.3"/>
    <row r="14" spans="1:56" s="4" customFormat="1" ht="15.75" thickBot="1" x14ac:dyDescent="0.3">
      <c r="A14" s="1" t="s">
        <v>666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3"/>
    </row>
    <row r="15" spans="1:56" x14ac:dyDescent="0.25">
      <c r="A15" s="8" t="s">
        <v>4</v>
      </c>
      <c r="B15" s="9" t="s">
        <v>5</v>
      </c>
      <c r="C15" s="10"/>
      <c r="D15" s="10"/>
      <c r="E15" s="10"/>
      <c r="F15" s="10"/>
      <c r="G15" s="11"/>
      <c r="H15" s="12" t="s">
        <v>6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4"/>
      <c r="AI15" s="12" t="s">
        <v>7</v>
      </c>
      <c r="AJ15" s="13"/>
      <c r="AK15" s="13"/>
      <c r="AL15" s="14"/>
      <c r="AM15" s="12" t="s">
        <v>8</v>
      </c>
      <c r="AN15" s="13"/>
      <c r="AO15" s="13"/>
      <c r="AP15" s="13"/>
      <c r="AQ15" s="13"/>
      <c r="AR15" s="14"/>
      <c r="AS15" s="12" t="s">
        <v>9</v>
      </c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4"/>
    </row>
    <row r="16" spans="1:56" x14ac:dyDescent="0.25">
      <c r="A16" s="16"/>
      <c r="B16" s="17"/>
      <c r="C16" s="18"/>
      <c r="D16" s="18"/>
      <c r="E16" s="18"/>
      <c r="F16" s="18"/>
      <c r="G16" s="19"/>
      <c r="H16" s="20" t="s">
        <v>10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2"/>
      <c r="U16" s="23" t="s">
        <v>11</v>
      </c>
      <c r="V16" s="21"/>
      <c r="W16" s="21"/>
      <c r="X16" s="21"/>
      <c r="Y16" s="21"/>
      <c r="Z16" s="21"/>
      <c r="AA16" s="21"/>
      <c r="AB16" s="21"/>
      <c r="AC16" s="21"/>
      <c r="AD16" s="22"/>
      <c r="AE16" s="23" t="s">
        <v>12</v>
      </c>
      <c r="AF16" s="21"/>
      <c r="AG16" s="21"/>
      <c r="AH16" s="24"/>
      <c r="AI16" s="25" t="s">
        <v>13</v>
      </c>
      <c r="AJ16" s="26" t="s">
        <v>14</v>
      </c>
      <c r="AK16" s="26" t="s">
        <v>15</v>
      </c>
      <c r="AL16" s="27" t="s">
        <v>16</v>
      </c>
      <c r="AM16" s="25" t="s">
        <v>17</v>
      </c>
      <c r="AN16" s="26" t="s">
        <v>18</v>
      </c>
      <c r="AO16" s="26" t="s">
        <v>19</v>
      </c>
      <c r="AP16" s="26" t="s">
        <v>20</v>
      </c>
      <c r="AQ16" s="26" t="s">
        <v>21</v>
      </c>
      <c r="AR16" s="27" t="s">
        <v>20</v>
      </c>
      <c r="AS16" s="25" t="s">
        <v>22</v>
      </c>
      <c r="AT16" s="26" t="s">
        <v>23</v>
      </c>
      <c r="AU16" s="28" t="s">
        <v>24</v>
      </c>
      <c r="AV16" s="29"/>
      <c r="AW16" s="30"/>
      <c r="AX16" s="28" t="s">
        <v>25</v>
      </c>
      <c r="AY16" s="30"/>
      <c r="AZ16" s="26" t="s">
        <v>26</v>
      </c>
      <c r="BA16" s="26" t="s">
        <v>27</v>
      </c>
      <c r="BB16" s="28" t="s">
        <v>28</v>
      </c>
      <c r="BC16" s="29"/>
      <c r="BD16" s="31"/>
    </row>
    <row r="17" spans="1:56" ht="51" x14ac:dyDescent="0.25">
      <c r="A17" s="16"/>
      <c r="B17" s="32" t="s">
        <v>29</v>
      </c>
      <c r="C17" s="33" t="s">
        <v>30</v>
      </c>
      <c r="D17" s="33" t="s">
        <v>31</v>
      </c>
      <c r="E17" s="33" t="s">
        <v>22</v>
      </c>
      <c r="F17" s="33" t="s">
        <v>32</v>
      </c>
      <c r="G17" s="34" t="s">
        <v>33</v>
      </c>
      <c r="H17" s="35" t="s">
        <v>34</v>
      </c>
      <c r="I17" s="33" t="s">
        <v>35</v>
      </c>
      <c r="J17" s="33" t="s">
        <v>36</v>
      </c>
      <c r="K17" s="33" t="s">
        <v>37</v>
      </c>
      <c r="L17" s="33" t="s">
        <v>38</v>
      </c>
      <c r="M17" s="33" t="s">
        <v>39</v>
      </c>
      <c r="N17" s="33" t="s">
        <v>40</v>
      </c>
      <c r="O17" s="33" t="s">
        <v>41</v>
      </c>
      <c r="P17" s="33" t="s">
        <v>42</v>
      </c>
      <c r="Q17" s="33" t="s">
        <v>43</v>
      </c>
      <c r="R17" s="33" t="s">
        <v>44</v>
      </c>
      <c r="S17" s="33" t="s">
        <v>45</v>
      </c>
      <c r="T17" s="33" t="s">
        <v>46</v>
      </c>
      <c r="U17" s="33" t="s">
        <v>47</v>
      </c>
      <c r="V17" s="33" t="s">
        <v>37</v>
      </c>
      <c r="W17" s="33" t="s">
        <v>39</v>
      </c>
      <c r="X17" s="33" t="s">
        <v>48</v>
      </c>
      <c r="Y17" s="33" t="s">
        <v>40</v>
      </c>
      <c r="Z17" s="33" t="s">
        <v>41</v>
      </c>
      <c r="AA17" s="33" t="s">
        <v>49</v>
      </c>
      <c r="AB17" s="33" t="s">
        <v>50</v>
      </c>
      <c r="AC17" s="33" t="s">
        <v>51</v>
      </c>
      <c r="AD17" s="33" t="s">
        <v>52</v>
      </c>
      <c r="AE17" s="33" t="s">
        <v>53</v>
      </c>
      <c r="AF17" s="33" t="s">
        <v>54</v>
      </c>
      <c r="AG17" s="33" t="s">
        <v>55</v>
      </c>
      <c r="AH17" s="36" t="s">
        <v>56</v>
      </c>
      <c r="AI17" s="37"/>
      <c r="AJ17" s="38"/>
      <c r="AK17" s="38"/>
      <c r="AL17" s="39"/>
      <c r="AM17" s="37"/>
      <c r="AN17" s="38"/>
      <c r="AO17" s="38"/>
      <c r="AP17" s="38"/>
      <c r="AQ17" s="38"/>
      <c r="AR17" s="39"/>
      <c r="AS17" s="37"/>
      <c r="AT17" s="38"/>
      <c r="AU17" s="40" t="s">
        <v>57</v>
      </c>
      <c r="AV17" s="40" t="s">
        <v>58</v>
      </c>
      <c r="AW17" s="40" t="s">
        <v>59</v>
      </c>
      <c r="AX17" s="40" t="s">
        <v>60</v>
      </c>
      <c r="AY17" s="33" t="s">
        <v>61</v>
      </c>
      <c r="AZ17" s="38"/>
      <c r="BA17" s="38"/>
      <c r="BB17" s="40" t="s">
        <v>57</v>
      </c>
      <c r="BC17" s="40" t="s">
        <v>62</v>
      </c>
      <c r="BD17" s="41" t="s">
        <v>63</v>
      </c>
    </row>
    <row r="18" spans="1:56" ht="13.5" thickBot="1" x14ac:dyDescent="0.3">
      <c r="A18" s="42"/>
      <c r="B18" s="43" t="s">
        <v>64</v>
      </c>
      <c r="C18" s="44" t="s">
        <v>65</v>
      </c>
      <c r="D18" s="45" t="s">
        <v>66</v>
      </c>
      <c r="E18" s="44" t="s">
        <v>67</v>
      </c>
      <c r="F18" s="44" t="s">
        <v>68</v>
      </c>
      <c r="G18" s="46" t="s">
        <v>69</v>
      </c>
      <c r="H18" s="47" t="s">
        <v>70</v>
      </c>
      <c r="I18" s="44" t="s">
        <v>71</v>
      </c>
      <c r="J18" s="44" t="s">
        <v>72</v>
      </c>
      <c r="K18" s="44" t="s">
        <v>73</v>
      </c>
      <c r="L18" s="48" t="s">
        <v>74</v>
      </c>
      <c r="M18" s="44" t="s">
        <v>75</v>
      </c>
      <c r="N18" s="44" t="s">
        <v>76</v>
      </c>
      <c r="O18" s="44" t="s">
        <v>77</v>
      </c>
      <c r="P18" s="44" t="s">
        <v>78</v>
      </c>
      <c r="Q18" s="44" t="s">
        <v>79</v>
      </c>
      <c r="R18" s="44" t="s">
        <v>80</v>
      </c>
      <c r="S18" s="44" t="s">
        <v>81</v>
      </c>
      <c r="T18" s="44" t="s">
        <v>82</v>
      </c>
      <c r="U18" s="44" t="s">
        <v>83</v>
      </c>
      <c r="V18" s="44" t="s">
        <v>84</v>
      </c>
      <c r="W18" s="44" t="s">
        <v>85</v>
      </c>
      <c r="X18" s="44" t="s">
        <v>86</v>
      </c>
      <c r="Y18" s="44" t="s">
        <v>87</v>
      </c>
      <c r="Z18" s="44" t="s">
        <v>88</v>
      </c>
      <c r="AA18" s="44" t="s">
        <v>89</v>
      </c>
      <c r="AB18" s="44" t="s">
        <v>90</v>
      </c>
      <c r="AC18" s="44" t="s">
        <v>91</v>
      </c>
      <c r="AD18" s="44" t="s">
        <v>92</v>
      </c>
      <c r="AE18" s="44" t="s">
        <v>93</v>
      </c>
      <c r="AF18" s="44" t="s">
        <v>94</v>
      </c>
      <c r="AG18" s="49" t="s">
        <v>95</v>
      </c>
      <c r="AH18" s="50" t="s">
        <v>96</v>
      </c>
      <c r="AI18" s="43" t="s">
        <v>97</v>
      </c>
      <c r="AJ18" s="51" t="s">
        <v>98</v>
      </c>
      <c r="AK18" s="51" t="s">
        <v>99</v>
      </c>
      <c r="AL18" s="52" t="s">
        <v>100</v>
      </c>
      <c r="AM18" s="53" t="s">
        <v>101</v>
      </c>
      <c r="AN18" s="54" t="s">
        <v>102</v>
      </c>
      <c r="AO18" s="54" t="s">
        <v>103</v>
      </c>
      <c r="AP18" s="54" t="s">
        <v>104</v>
      </c>
      <c r="AQ18" s="54" t="s">
        <v>105</v>
      </c>
      <c r="AR18" s="55" t="s">
        <v>106</v>
      </c>
      <c r="AS18" s="56" t="s">
        <v>107</v>
      </c>
      <c r="AT18" s="54" t="s">
        <v>108</v>
      </c>
      <c r="AU18" s="54" t="s">
        <v>109</v>
      </c>
      <c r="AV18" s="54" t="s">
        <v>110</v>
      </c>
      <c r="AW18" s="55" t="s">
        <v>111</v>
      </c>
      <c r="AX18" s="55" t="s">
        <v>112</v>
      </c>
      <c r="AY18" s="55" t="s">
        <v>113</v>
      </c>
      <c r="AZ18" s="54" t="s">
        <v>114</v>
      </c>
      <c r="BA18" s="54" t="s">
        <v>115</v>
      </c>
      <c r="BB18" s="54" t="s">
        <v>116</v>
      </c>
      <c r="BC18" s="55" t="s">
        <v>117</v>
      </c>
      <c r="BD18" s="55" t="s">
        <v>118</v>
      </c>
    </row>
    <row r="19" spans="1:56" ht="25.5" x14ac:dyDescent="0.25">
      <c r="A19" s="57">
        <v>1</v>
      </c>
      <c r="B19" s="58" t="s">
        <v>119</v>
      </c>
      <c r="C19" s="59" t="s">
        <v>120</v>
      </c>
      <c r="D19" s="59" t="s">
        <v>121</v>
      </c>
      <c r="E19" s="59" t="s">
        <v>122</v>
      </c>
      <c r="F19" s="60" t="s">
        <v>123</v>
      </c>
      <c r="G19" s="61" t="s">
        <v>124</v>
      </c>
      <c r="H19" s="62" t="s">
        <v>125</v>
      </c>
      <c r="I19" s="61" t="s">
        <v>126</v>
      </c>
      <c r="J19" s="61" t="s">
        <v>127</v>
      </c>
      <c r="K19" s="63">
        <v>41389</v>
      </c>
      <c r="L19" s="64">
        <v>71340</v>
      </c>
      <c r="M19" s="61" t="s">
        <v>128</v>
      </c>
      <c r="N19" s="65">
        <v>41389</v>
      </c>
      <c r="O19" s="65">
        <v>41754</v>
      </c>
      <c r="P19" s="59">
        <v>1</v>
      </c>
      <c r="Q19" s="59"/>
      <c r="R19" s="59"/>
      <c r="S19" s="66"/>
      <c r="T19" s="59" t="s">
        <v>129</v>
      </c>
      <c r="U19" s="59" t="s">
        <v>130</v>
      </c>
      <c r="V19" s="65">
        <v>41754</v>
      </c>
      <c r="W19" s="59" t="s">
        <v>131</v>
      </c>
      <c r="X19" s="59" t="s">
        <v>132</v>
      </c>
      <c r="Y19" s="65">
        <v>41754</v>
      </c>
      <c r="Z19" s="65">
        <v>42852</v>
      </c>
      <c r="AA19" s="59"/>
      <c r="AB19" s="59"/>
      <c r="AC19" s="67"/>
      <c r="AD19" s="59"/>
      <c r="AE19" s="66"/>
      <c r="AF19" s="64">
        <v>239755</v>
      </c>
      <c r="AG19" s="68">
        <f>5945+5945+5945+5350.5</f>
        <v>23185.5</v>
      </c>
      <c r="AH19" s="69">
        <f>AF19+AG19</f>
        <v>262940.5</v>
      </c>
      <c r="AI19" s="70" t="s">
        <v>133</v>
      </c>
      <c r="AJ19" s="58" t="s">
        <v>134</v>
      </c>
      <c r="AK19" s="58" t="s">
        <v>135</v>
      </c>
      <c r="AL19" s="58" t="s">
        <v>136</v>
      </c>
      <c r="AM19" s="71"/>
      <c r="AN19" s="72"/>
      <c r="AO19" s="72"/>
      <c r="AP19" s="72"/>
      <c r="AQ19" s="72"/>
      <c r="AR19" s="73"/>
      <c r="AS19" s="74"/>
      <c r="AT19" s="75"/>
      <c r="AU19" s="75"/>
      <c r="AV19" s="75"/>
      <c r="AW19" s="76"/>
      <c r="AX19" s="76"/>
      <c r="AY19" s="76"/>
      <c r="AZ19" s="75"/>
      <c r="BA19" s="75"/>
      <c r="BB19" s="75"/>
      <c r="BC19" s="76"/>
      <c r="BD19" s="77"/>
    </row>
    <row r="20" spans="1:56" x14ac:dyDescent="0.25">
      <c r="A20" s="78">
        <v>2</v>
      </c>
      <c r="B20" s="79" t="s">
        <v>137</v>
      </c>
      <c r="C20" s="80" t="s">
        <v>138</v>
      </c>
      <c r="D20" s="59" t="s">
        <v>121</v>
      </c>
      <c r="E20" s="59" t="s">
        <v>122</v>
      </c>
      <c r="F20" s="81" t="s">
        <v>139</v>
      </c>
      <c r="G20" s="80" t="s">
        <v>140</v>
      </c>
      <c r="H20" s="82" t="s">
        <v>141</v>
      </c>
      <c r="I20" s="80" t="s">
        <v>126</v>
      </c>
      <c r="J20" s="61" t="s">
        <v>127</v>
      </c>
      <c r="K20" s="83">
        <v>41715</v>
      </c>
      <c r="L20" s="84">
        <v>21000</v>
      </c>
      <c r="M20" s="80" t="s">
        <v>142</v>
      </c>
      <c r="N20" s="83">
        <v>41715</v>
      </c>
      <c r="O20" s="83">
        <v>42080</v>
      </c>
      <c r="P20" s="59">
        <v>1</v>
      </c>
      <c r="Q20" s="80"/>
      <c r="R20" s="80"/>
      <c r="S20" s="84"/>
      <c r="T20" s="80" t="s">
        <v>129</v>
      </c>
      <c r="U20" s="82" t="s">
        <v>143</v>
      </c>
      <c r="V20" s="83">
        <v>42081</v>
      </c>
      <c r="W20" s="80" t="s">
        <v>144</v>
      </c>
      <c r="X20" s="80" t="s">
        <v>132</v>
      </c>
      <c r="Y20" s="83">
        <v>42081</v>
      </c>
      <c r="Z20" s="83">
        <v>42813</v>
      </c>
      <c r="AA20" s="80"/>
      <c r="AB20" s="80"/>
      <c r="AC20" s="85"/>
      <c r="AD20" s="80"/>
      <c r="AE20" s="86">
        <f t="shared" ref="AE20" si="0">L20-AD20+AC20</f>
        <v>21000</v>
      </c>
      <c r="AF20" s="84">
        <v>52500</v>
      </c>
      <c r="AG20" s="84">
        <f>1750+1750+1108.33</f>
        <v>4608.33</v>
      </c>
      <c r="AH20" s="69">
        <f t="shared" ref="AH20" si="1">AF20+AG20</f>
        <v>57108.33</v>
      </c>
      <c r="AI20" s="87" t="s">
        <v>145</v>
      </c>
      <c r="AJ20" s="88" t="s">
        <v>146</v>
      </c>
      <c r="AK20" s="88" t="s">
        <v>147</v>
      </c>
      <c r="AL20" s="89" t="s">
        <v>142</v>
      </c>
      <c r="AM20" s="90"/>
      <c r="AN20" s="91"/>
      <c r="AO20" s="91"/>
      <c r="AP20" s="92"/>
      <c r="AQ20" s="91"/>
      <c r="AR20" s="93"/>
      <c r="AS20" s="79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5"/>
    </row>
    <row r="21" spans="1:56" x14ac:dyDescent="0.25">
      <c r="A21" s="78">
        <v>3</v>
      </c>
      <c r="B21" s="79" t="s">
        <v>137</v>
      </c>
      <c r="C21" s="80" t="s">
        <v>138</v>
      </c>
      <c r="D21" s="59" t="s">
        <v>121</v>
      </c>
      <c r="E21" s="59" t="s">
        <v>122</v>
      </c>
      <c r="F21" s="81" t="s">
        <v>148</v>
      </c>
      <c r="G21" s="80" t="s">
        <v>140</v>
      </c>
      <c r="H21" s="82" t="s">
        <v>149</v>
      </c>
      <c r="I21" s="80" t="s">
        <v>150</v>
      </c>
      <c r="J21" s="80" t="s">
        <v>151</v>
      </c>
      <c r="K21" s="83">
        <v>41715</v>
      </c>
      <c r="L21" s="84">
        <v>36000</v>
      </c>
      <c r="M21" s="80" t="s">
        <v>152</v>
      </c>
      <c r="N21" s="83" t="s">
        <v>153</v>
      </c>
      <c r="O21" s="83">
        <v>42080</v>
      </c>
      <c r="P21" s="59">
        <v>1</v>
      </c>
      <c r="Q21" s="80"/>
      <c r="R21" s="80"/>
      <c r="S21" s="84"/>
      <c r="T21" s="80" t="s">
        <v>129</v>
      </c>
      <c r="U21" s="82" t="s">
        <v>143</v>
      </c>
      <c r="V21" s="83">
        <v>42081</v>
      </c>
      <c r="W21" s="80" t="s">
        <v>154</v>
      </c>
      <c r="X21" s="80" t="s">
        <v>132</v>
      </c>
      <c r="Y21" s="83">
        <v>42081</v>
      </c>
      <c r="Z21" s="83">
        <v>42852</v>
      </c>
      <c r="AA21" s="80"/>
      <c r="AB21" s="80"/>
      <c r="AC21" s="85"/>
      <c r="AD21" s="80"/>
      <c r="AE21" s="86">
        <f>L21-AD21+AC21</f>
        <v>36000</v>
      </c>
      <c r="AF21" s="84">
        <v>90000</v>
      </c>
      <c r="AG21" s="84">
        <f>3000+3000+1900+1900</f>
        <v>9800</v>
      </c>
      <c r="AH21" s="69">
        <f>AF21+AG21</f>
        <v>99800</v>
      </c>
      <c r="AI21" s="87" t="s">
        <v>145</v>
      </c>
      <c r="AJ21" s="88" t="s">
        <v>146</v>
      </c>
      <c r="AK21" s="88" t="s">
        <v>147</v>
      </c>
      <c r="AL21" s="89" t="s">
        <v>155</v>
      </c>
      <c r="AM21" s="90"/>
      <c r="AN21" s="91"/>
      <c r="AO21" s="91"/>
      <c r="AP21" s="92"/>
      <c r="AQ21" s="91"/>
      <c r="AR21" s="93"/>
      <c r="AS21" s="79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5"/>
    </row>
    <row r="22" spans="1:56" ht="25.5" x14ac:dyDescent="0.25">
      <c r="A22" s="78">
        <v>4</v>
      </c>
      <c r="B22" s="96" t="s">
        <v>156</v>
      </c>
      <c r="C22" s="97" t="s">
        <v>157</v>
      </c>
      <c r="D22" s="59" t="s">
        <v>121</v>
      </c>
      <c r="E22" s="59" t="s">
        <v>122</v>
      </c>
      <c r="F22" s="81" t="s">
        <v>158</v>
      </c>
      <c r="G22" s="80" t="s">
        <v>159</v>
      </c>
      <c r="H22" s="98" t="s">
        <v>160</v>
      </c>
      <c r="I22" s="98" t="s">
        <v>161</v>
      </c>
      <c r="J22" s="80" t="s">
        <v>162</v>
      </c>
      <c r="K22" s="99">
        <v>42373</v>
      </c>
      <c r="L22" s="100">
        <v>344900.4</v>
      </c>
      <c r="M22" s="101" t="s">
        <v>163</v>
      </c>
      <c r="N22" s="99">
        <v>42373</v>
      </c>
      <c r="O22" s="102" t="s">
        <v>164</v>
      </c>
      <c r="P22" s="80">
        <v>1</v>
      </c>
      <c r="Q22" s="103"/>
      <c r="R22" s="103"/>
      <c r="S22" s="100"/>
      <c r="T22" s="103" t="s">
        <v>165</v>
      </c>
      <c r="U22" s="103">
        <v>1</v>
      </c>
      <c r="V22" s="99">
        <v>42404</v>
      </c>
      <c r="W22" s="101">
        <v>11740</v>
      </c>
      <c r="X22" s="59" t="s">
        <v>166</v>
      </c>
      <c r="Y22" s="103"/>
      <c r="Z22" s="103"/>
      <c r="AA22" s="103"/>
      <c r="AB22" s="103"/>
      <c r="AC22" s="104"/>
      <c r="AD22" s="103"/>
      <c r="AE22" s="105">
        <f>L22-AD22+AC22</f>
        <v>344900.4</v>
      </c>
      <c r="AF22" s="100">
        <v>323722.74</v>
      </c>
      <c r="AG22" s="100">
        <v>19260.240000000002</v>
      </c>
      <c r="AH22" s="84">
        <f t="shared" ref="AH22:AH28" si="2">AF22+AG22</f>
        <v>342982.98</v>
      </c>
      <c r="AI22" s="106"/>
      <c r="AJ22" s="107"/>
      <c r="AK22" s="88"/>
      <c r="AL22" s="108"/>
      <c r="AM22" s="109"/>
      <c r="AN22" s="110"/>
      <c r="AO22" s="111"/>
      <c r="AP22" s="112"/>
      <c r="AQ22" s="111"/>
      <c r="AR22" s="113"/>
      <c r="AS22" s="114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6"/>
    </row>
    <row r="23" spans="1:56" ht="25.5" x14ac:dyDescent="0.25">
      <c r="A23" s="78">
        <v>5</v>
      </c>
      <c r="B23" s="96" t="s">
        <v>167</v>
      </c>
      <c r="C23" s="97" t="s">
        <v>168</v>
      </c>
      <c r="D23" s="59" t="s">
        <v>121</v>
      </c>
      <c r="E23" s="59" t="s">
        <v>122</v>
      </c>
      <c r="F23" s="81" t="s">
        <v>169</v>
      </c>
      <c r="G23" s="80" t="s">
        <v>170</v>
      </c>
      <c r="H23" s="98" t="s">
        <v>167</v>
      </c>
      <c r="I23" s="98" t="s">
        <v>171</v>
      </c>
      <c r="J23" s="80" t="s">
        <v>172</v>
      </c>
      <c r="K23" s="99">
        <v>42747</v>
      </c>
      <c r="L23" s="100">
        <v>21202.240000000002</v>
      </c>
      <c r="M23" s="101" t="s">
        <v>173</v>
      </c>
      <c r="N23" s="99">
        <v>42747</v>
      </c>
      <c r="O23" s="102" t="s">
        <v>174</v>
      </c>
      <c r="P23" s="80">
        <v>6</v>
      </c>
      <c r="Q23" s="103" t="s">
        <v>175</v>
      </c>
      <c r="R23" s="103"/>
      <c r="S23" s="100"/>
      <c r="T23" s="103" t="s">
        <v>176</v>
      </c>
      <c r="U23" s="103"/>
      <c r="V23" s="99"/>
      <c r="W23" s="101"/>
      <c r="X23" s="59"/>
      <c r="Y23" s="103"/>
      <c r="Z23" s="103"/>
      <c r="AA23" s="103"/>
      <c r="AB23" s="103"/>
      <c r="AC23" s="104"/>
      <c r="AD23" s="103"/>
      <c r="AE23" s="105">
        <f t="shared" ref="AE23:AE26" si="3">L23-AD23+AC23</f>
        <v>21202.240000000002</v>
      </c>
      <c r="AF23" s="100">
        <v>0</v>
      </c>
      <c r="AG23" s="100"/>
      <c r="AH23" s="84">
        <f t="shared" si="2"/>
        <v>0</v>
      </c>
      <c r="AI23" s="106"/>
      <c r="AJ23" s="107"/>
      <c r="AK23" s="88"/>
      <c r="AL23" s="108"/>
      <c r="AM23" s="109"/>
      <c r="AN23" s="110"/>
      <c r="AO23" s="111"/>
      <c r="AP23" s="112"/>
      <c r="AQ23" s="111"/>
      <c r="AR23" s="113"/>
      <c r="AS23" s="114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6"/>
    </row>
    <row r="24" spans="1:56" ht="25.5" x14ac:dyDescent="0.25">
      <c r="A24" s="78">
        <v>6</v>
      </c>
      <c r="B24" s="96" t="s">
        <v>177</v>
      </c>
      <c r="C24" s="97" t="s">
        <v>168</v>
      </c>
      <c r="D24" s="59" t="s">
        <v>121</v>
      </c>
      <c r="E24" s="59" t="s">
        <v>122</v>
      </c>
      <c r="F24" s="81" t="s">
        <v>169</v>
      </c>
      <c r="G24" s="80" t="s">
        <v>170</v>
      </c>
      <c r="H24" s="98" t="s">
        <v>177</v>
      </c>
      <c r="I24" s="98" t="s">
        <v>178</v>
      </c>
      <c r="J24" s="80" t="s">
        <v>179</v>
      </c>
      <c r="K24" s="99">
        <v>42747</v>
      </c>
      <c r="L24" s="100">
        <v>15512</v>
      </c>
      <c r="M24" s="101" t="s">
        <v>180</v>
      </c>
      <c r="N24" s="99">
        <v>42747</v>
      </c>
      <c r="O24" s="102" t="s">
        <v>174</v>
      </c>
      <c r="P24" s="80">
        <v>6</v>
      </c>
      <c r="Q24" s="103" t="s">
        <v>175</v>
      </c>
      <c r="R24" s="103"/>
      <c r="S24" s="100"/>
      <c r="T24" s="103" t="s">
        <v>176</v>
      </c>
      <c r="U24" s="103"/>
      <c r="V24" s="99"/>
      <c r="W24" s="101"/>
      <c r="X24" s="59"/>
      <c r="Y24" s="103"/>
      <c r="Z24" s="103"/>
      <c r="AA24" s="103"/>
      <c r="AB24" s="103"/>
      <c r="AC24" s="104"/>
      <c r="AD24" s="103"/>
      <c r="AE24" s="105">
        <f t="shared" si="3"/>
        <v>15512</v>
      </c>
      <c r="AF24" s="100">
        <v>0</v>
      </c>
      <c r="AG24" s="100">
        <v>14792</v>
      </c>
      <c r="AH24" s="84">
        <f t="shared" si="2"/>
        <v>14792</v>
      </c>
      <c r="AI24" s="106"/>
      <c r="AJ24" s="107"/>
      <c r="AK24" s="88"/>
      <c r="AL24" s="108"/>
      <c r="AM24" s="109"/>
      <c r="AN24" s="110"/>
      <c r="AO24" s="111"/>
      <c r="AP24" s="112"/>
      <c r="AQ24" s="111"/>
      <c r="AR24" s="113"/>
      <c r="AS24" s="114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6"/>
    </row>
    <row r="25" spans="1:56" ht="25.5" x14ac:dyDescent="0.25">
      <c r="A25" s="78">
        <v>7</v>
      </c>
      <c r="B25" s="96" t="s">
        <v>181</v>
      </c>
      <c r="C25" s="97" t="s">
        <v>168</v>
      </c>
      <c r="D25" s="59" t="s">
        <v>121</v>
      </c>
      <c r="E25" s="59" t="s">
        <v>122</v>
      </c>
      <c r="F25" s="81" t="s">
        <v>182</v>
      </c>
      <c r="G25" s="80" t="s">
        <v>170</v>
      </c>
      <c r="H25" s="98" t="s">
        <v>181</v>
      </c>
      <c r="I25" s="98" t="s">
        <v>183</v>
      </c>
      <c r="J25" s="80" t="s">
        <v>184</v>
      </c>
      <c r="K25" s="99">
        <v>42747</v>
      </c>
      <c r="L25" s="100">
        <v>7487.46</v>
      </c>
      <c r="M25" s="101" t="s">
        <v>180</v>
      </c>
      <c r="N25" s="99">
        <v>42747</v>
      </c>
      <c r="O25" s="102" t="s">
        <v>174</v>
      </c>
      <c r="P25" s="80">
        <v>6</v>
      </c>
      <c r="Q25" s="103" t="s">
        <v>175</v>
      </c>
      <c r="R25" s="103"/>
      <c r="S25" s="100"/>
      <c r="T25" s="103" t="s">
        <v>176</v>
      </c>
      <c r="U25" s="103"/>
      <c r="V25" s="99"/>
      <c r="W25" s="101"/>
      <c r="X25" s="59"/>
      <c r="Y25" s="103"/>
      <c r="Z25" s="103"/>
      <c r="AA25" s="103"/>
      <c r="AB25" s="103"/>
      <c r="AC25" s="104"/>
      <c r="AD25" s="103"/>
      <c r="AE25" s="105">
        <f t="shared" si="3"/>
        <v>7487.46</v>
      </c>
      <c r="AF25" s="100">
        <v>0</v>
      </c>
      <c r="AG25" s="100">
        <v>7487.46</v>
      </c>
      <c r="AH25" s="84">
        <f t="shared" si="2"/>
        <v>7487.46</v>
      </c>
      <c r="AI25" s="106"/>
      <c r="AJ25" s="107"/>
      <c r="AK25" s="88"/>
      <c r="AL25" s="108"/>
      <c r="AM25" s="109"/>
      <c r="AN25" s="110"/>
      <c r="AO25" s="111"/>
      <c r="AP25" s="112"/>
      <c r="AQ25" s="111"/>
      <c r="AR25" s="113"/>
      <c r="AS25" s="114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6"/>
    </row>
    <row r="26" spans="1:56" x14ac:dyDescent="0.25">
      <c r="A26" s="78">
        <v>8</v>
      </c>
      <c r="B26" s="96" t="s">
        <v>185</v>
      </c>
      <c r="C26" s="97" t="s">
        <v>168</v>
      </c>
      <c r="D26" s="59" t="s">
        <v>121</v>
      </c>
      <c r="E26" s="59" t="s">
        <v>122</v>
      </c>
      <c r="F26" s="81" t="s">
        <v>182</v>
      </c>
      <c r="G26" s="80" t="s">
        <v>170</v>
      </c>
      <c r="H26" s="98" t="s">
        <v>185</v>
      </c>
      <c r="I26" s="98" t="s">
        <v>186</v>
      </c>
      <c r="J26" s="80" t="s">
        <v>187</v>
      </c>
      <c r="K26" s="99">
        <v>42747</v>
      </c>
      <c r="L26" s="100">
        <v>4699.03</v>
      </c>
      <c r="M26" s="101" t="s">
        <v>180</v>
      </c>
      <c r="N26" s="99">
        <v>42747</v>
      </c>
      <c r="O26" s="102" t="s">
        <v>174</v>
      </c>
      <c r="P26" s="80">
        <v>6</v>
      </c>
      <c r="Q26" s="115" t="s">
        <v>175</v>
      </c>
      <c r="R26" s="103"/>
      <c r="S26" s="100"/>
      <c r="T26" s="103" t="s">
        <v>176</v>
      </c>
      <c r="U26" s="103"/>
      <c r="V26" s="99"/>
      <c r="W26" s="101"/>
      <c r="X26" s="59"/>
      <c r="Y26" s="103"/>
      <c r="Z26" s="103"/>
      <c r="AA26" s="103"/>
      <c r="AB26" s="103"/>
      <c r="AC26" s="104"/>
      <c r="AD26" s="103"/>
      <c r="AE26" s="105">
        <f t="shared" si="3"/>
        <v>4699.03</v>
      </c>
      <c r="AF26" s="100">
        <v>0</v>
      </c>
      <c r="AG26" s="100">
        <v>4699.03</v>
      </c>
      <c r="AH26" s="84">
        <f t="shared" si="2"/>
        <v>4699.03</v>
      </c>
      <c r="AI26" s="106"/>
      <c r="AJ26" s="107"/>
      <c r="AK26" s="88"/>
      <c r="AL26" s="108"/>
      <c r="AM26" s="109"/>
      <c r="AN26" s="110"/>
      <c r="AO26" s="111"/>
      <c r="AP26" s="112"/>
      <c r="AQ26" s="111"/>
      <c r="AR26" s="113"/>
      <c r="AS26" s="114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6"/>
    </row>
    <row r="27" spans="1:56" x14ac:dyDescent="0.25">
      <c r="A27" s="78">
        <v>9</v>
      </c>
      <c r="B27" s="96" t="s">
        <v>188</v>
      </c>
      <c r="C27" s="97" t="s">
        <v>168</v>
      </c>
      <c r="D27" s="59" t="s">
        <v>121</v>
      </c>
      <c r="E27" s="59" t="s">
        <v>122</v>
      </c>
      <c r="F27" s="81" t="s">
        <v>189</v>
      </c>
      <c r="G27" s="80" t="s">
        <v>170</v>
      </c>
      <c r="H27" s="98" t="s">
        <v>188</v>
      </c>
      <c r="I27" s="98" t="s">
        <v>190</v>
      </c>
      <c r="J27" s="80" t="s">
        <v>191</v>
      </c>
      <c r="K27" s="99">
        <v>42747</v>
      </c>
      <c r="L27" s="100">
        <v>720</v>
      </c>
      <c r="M27" s="101" t="s">
        <v>180</v>
      </c>
      <c r="N27" s="99">
        <v>42747</v>
      </c>
      <c r="O27" s="102" t="s">
        <v>174</v>
      </c>
      <c r="P27" s="80">
        <v>1</v>
      </c>
      <c r="Q27" s="115" t="s">
        <v>175</v>
      </c>
      <c r="R27" s="103"/>
      <c r="S27" s="100"/>
      <c r="T27" s="103" t="s">
        <v>165</v>
      </c>
      <c r="U27" s="103"/>
      <c r="V27" s="99"/>
      <c r="W27" s="101"/>
      <c r="X27" s="59"/>
      <c r="Y27" s="103"/>
      <c r="Z27" s="103"/>
      <c r="AA27" s="103"/>
      <c r="AB27" s="103"/>
      <c r="AC27" s="104"/>
      <c r="AD27" s="103"/>
      <c r="AE27" s="105">
        <f>L27-AD27+AC27</f>
        <v>720</v>
      </c>
      <c r="AF27" s="100">
        <v>0</v>
      </c>
      <c r="AG27" s="100">
        <f>720</f>
        <v>720</v>
      </c>
      <c r="AH27" s="84">
        <f t="shared" si="2"/>
        <v>720</v>
      </c>
      <c r="AI27" s="106"/>
      <c r="AJ27" s="107"/>
      <c r="AK27" s="88"/>
      <c r="AL27" s="108"/>
      <c r="AM27" s="109"/>
      <c r="AN27" s="110"/>
      <c r="AO27" s="111"/>
      <c r="AP27" s="112"/>
      <c r="AQ27" s="111"/>
      <c r="AR27" s="113"/>
      <c r="AS27" s="114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6"/>
    </row>
    <row r="28" spans="1:56" x14ac:dyDescent="0.25">
      <c r="A28" s="78">
        <v>10</v>
      </c>
      <c r="B28" s="96" t="s">
        <v>192</v>
      </c>
      <c r="C28" s="97" t="s">
        <v>168</v>
      </c>
      <c r="D28" s="59" t="s">
        <v>121</v>
      </c>
      <c r="E28" s="59" t="s">
        <v>122</v>
      </c>
      <c r="F28" s="81" t="s">
        <v>189</v>
      </c>
      <c r="G28" s="80" t="s">
        <v>170</v>
      </c>
      <c r="H28" s="98" t="s">
        <v>193</v>
      </c>
      <c r="I28" s="98" t="s">
        <v>178</v>
      </c>
      <c r="J28" s="80" t="s">
        <v>179</v>
      </c>
      <c r="K28" s="99">
        <v>42747</v>
      </c>
      <c r="L28" s="100">
        <v>1920</v>
      </c>
      <c r="M28" s="101" t="s">
        <v>180</v>
      </c>
      <c r="N28" s="99">
        <v>42747</v>
      </c>
      <c r="O28" s="102" t="s">
        <v>174</v>
      </c>
      <c r="P28" s="80">
        <v>1</v>
      </c>
      <c r="Q28" s="115" t="s">
        <v>175</v>
      </c>
      <c r="R28" s="103"/>
      <c r="S28" s="100"/>
      <c r="T28" s="103" t="s">
        <v>165</v>
      </c>
      <c r="U28" s="103"/>
      <c r="V28" s="99"/>
      <c r="W28" s="101"/>
      <c r="X28" s="59"/>
      <c r="Y28" s="103"/>
      <c r="Z28" s="103"/>
      <c r="AA28" s="103"/>
      <c r="AB28" s="103"/>
      <c r="AC28" s="104"/>
      <c r="AD28" s="103"/>
      <c r="AE28" s="105">
        <f t="shared" ref="AE28:AE29" si="4">L28-AD28+AC28</f>
        <v>1920</v>
      </c>
      <c r="AF28" s="100">
        <v>0</v>
      </c>
      <c r="AG28" s="100">
        <f>1920</f>
        <v>1920</v>
      </c>
      <c r="AH28" s="84">
        <f t="shared" si="2"/>
        <v>1920</v>
      </c>
      <c r="AI28" s="106"/>
      <c r="AJ28" s="107"/>
      <c r="AK28" s="88"/>
      <c r="AL28" s="108"/>
      <c r="AM28" s="109"/>
      <c r="AN28" s="110"/>
      <c r="AO28" s="111"/>
      <c r="AP28" s="112"/>
      <c r="AQ28" s="111"/>
      <c r="AR28" s="113"/>
      <c r="AS28" s="114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6"/>
    </row>
    <row r="29" spans="1:56" x14ac:dyDescent="0.25">
      <c r="A29" s="78">
        <v>11</v>
      </c>
      <c r="B29" s="96" t="s">
        <v>193</v>
      </c>
      <c r="C29" s="97" t="s">
        <v>168</v>
      </c>
      <c r="D29" s="59" t="s">
        <v>121</v>
      </c>
      <c r="E29" s="59" t="s">
        <v>122</v>
      </c>
      <c r="F29" s="81" t="s">
        <v>194</v>
      </c>
      <c r="G29" s="80" t="s">
        <v>170</v>
      </c>
      <c r="H29" s="98" t="s">
        <v>192</v>
      </c>
      <c r="I29" s="117" t="s">
        <v>171</v>
      </c>
      <c r="J29" s="94" t="s">
        <v>172</v>
      </c>
      <c r="K29" s="118">
        <v>42747</v>
      </c>
      <c r="L29" s="119">
        <v>392</v>
      </c>
      <c r="M29" s="101" t="s">
        <v>180</v>
      </c>
      <c r="N29" s="118">
        <v>42747</v>
      </c>
      <c r="O29" s="120" t="s">
        <v>174</v>
      </c>
      <c r="P29" s="94">
        <v>6</v>
      </c>
      <c r="Q29" s="115" t="s">
        <v>175</v>
      </c>
      <c r="R29" s="115"/>
      <c r="S29" s="119"/>
      <c r="T29" s="115" t="s">
        <v>176</v>
      </c>
      <c r="U29" s="115"/>
      <c r="V29" s="118"/>
      <c r="W29" s="121"/>
      <c r="X29" s="75"/>
      <c r="Y29" s="115"/>
      <c r="Z29" s="115"/>
      <c r="AA29" s="115"/>
      <c r="AB29" s="115"/>
      <c r="AC29" s="122"/>
      <c r="AD29" s="115"/>
      <c r="AE29" s="123">
        <f t="shared" si="4"/>
        <v>392</v>
      </c>
      <c r="AF29" s="119">
        <v>0</v>
      </c>
      <c r="AG29" s="119">
        <v>392</v>
      </c>
      <c r="AH29" s="124">
        <f t="shared" ref="AH29" si="5">AF29+AG29</f>
        <v>392</v>
      </c>
      <c r="AI29" s="125"/>
      <c r="AJ29" s="126"/>
      <c r="AK29" s="127"/>
      <c r="AL29" s="128"/>
      <c r="AM29" s="129"/>
      <c r="AN29" s="130"/>
      <c r="AO29" s="131"/>
      <c r="AP29" s="132"/>
      <c r="AQ29" s="131"/>
      <c r="AR29" s="133"/>
      <c r="AS29" s="134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6"/>
    </row>
    <row r="30" spans="1:56" x14ac:dyDescent="0.25">
      <c r="A30" s="78">
        <v>12</v>
      </c>
      <c r="B30" s="96" t="s">
        <v>195</v>
      </c>
      <c r="C30" s="97" t="s">
        <v>196</v>
      </c>
      <c r="D30" s="59" t="s">
        <v>121</v>
      </c>
      <c r="E30" s="59" t="s">
        <v>122</v>
      </c>
      <c r="F30" s="81" t="s">
        <v>197</v>
      </c>
      <c r="G30" s="80" t="s">
        <v>198</v>
      </c>
      <c r="H30" s="98" t="s">
        <v>199</v>
      </c>
      <c r="I30" s="98" t="s">
        <v>178</v>
      </c>
      <c r="J30" s="94" t="s">
        <v>179</v>
      </c>
      <c r="K30" s="118">
        <v>42824</v>
      </c>
      <c r="L30" s="119">
        <v>18000</v>
      </c>
      <c r="M30" s="101" t="s">
        <v>200</v>
      </c>
      <c r="N30" s="118">
        <v>42824</v>
      </c>
      <c r="O30" s="120" t="s">
        <v>201</v>
      </c>
      <c r="P30" s="94">
        <v>1</v>
      </c>
      <c r="Q30" s="115"/>
      <c r="R30" s="115"/>
      <c r="S30" s="119"/>
      <c r="T30" s="115" t="s">
        <v>129</v>
      </c>
      <c r="U30" s="115"/>
      <c r="V30" s="118"/>
      <c r="W30" s="121"/>
      <c r="X30" s="75"/>
      <c r="Y30" s="115"/>
      <c r="Z30" s="115"/>
      <c r="AA30" s="115"/>
      <c r="AB30" s="115"/>
      <c r="AC30" s="122"/>
      <c r="AD30" s="115"/>
      <c r="AE30" s="123">
        <f t="shared" ref="AE30" si="6">L30-AD30+AC30</f>
        <v>18000</v>
      </c>
      <c r="AF30" s="119">
        <v>0</v>
      </c>
      <c r="AG30" s="119">
        <f>1500+1500+1500+1500+1500+1500+1500+1500+1500+1500</f>
        <v>15000</v>
      </c>
      <c r="AH30" s="124">
        <f t="shared" ref="AH30" si="7">AF30+AG30</f>
        <v>15000</v>
      </c>
      <c r="AI30" s="125"/>
      <c r="AJ30" s="126"/>
      <c r="AK30" s="127"/>
      <c r="AL30" s="128"/>
      <c r="AM30" s="129"/>
      <c r="AN30" s="130"/>
      <c r="AO30" s="131"/>
      <c r="AP30" s="132"/>
      <c r="AQ30" s="131"/>
      <c r="AR30" s="133"/>
      <c r="AS30" s="134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6"/>
    </row>
    <row r="31" spans="1:56" x14ac:dyDescent="0.25">
      <c r="A31" s="78">
        <v>13</v>
      </c>
      <c r="B31" s="96" t="s">
        <v>202</v>
      </c>
      <c r="C31" s="97" t="s">
        <v>203</v>
      </c>
      <c r="D31" s="59" t="s">
        <v>121</v>
      </c>
      <c r="E31" s="59" t="s">
        <v>122</v>
      </c>
      <c r="F31" s="81" t="s">
        <v>204</v>
      </c>
      <c r="G31" s="80" t="s">
        <v>205</v>
      </c>
      <c r="H31" s="98" t="s">
        <v>206</v>
      </c>
      <c r="I31" s="117" t="s">
        <v>207</v>
      </c>
      <c r="J31" s="94" t="s">
        <v>208</v>
      </c>
      <c r="K31" s="118">
        <v>42794</v>
      </c>
      <c r="L31" s="119">
        <f>40000+12500</f>
        <v>52500</v>
      </c>
      <c r="M31" s="101" t="s">
        <v>209</v>
      </c>
      <c r="N31" s="118">
        <v>42794</v>
      </c>
      <c r="O31" s="120" t="s">
        <v>174</v>
      </c>
      <c r="P31" s="94">
        <v>1</v>
      </c>
      <c r="Q31" s="115"/>
      <c r="R31" s="115"/>
      <c r="S31" s="119"/>
      <c r="T31" s="115" t="s">
        <v>176</v>
      </c>
      <c r="U31" s="115"/>
      <c r="V31" s="118"/>
      <c r="W31" s="121"/>
      <c r="X31" s="75"/>
      <c r="Y31" s="115"/>
      <c r="Z31" s="115"/>
      <c r="AA31" s="115"/>
      <c r="AB31" s="115"/>
      <c r="AC31" s="122"/>
      <c r="AD31" s="115"/>
      <c r="AE31" s="123">
        <f>L31-AD31+AC31</f>
        <v>52500</v>
      </c>
      <c r="AF31" s="119">
        <v>0</v>
      </c>
      <c r="AG31" s="119">
        <f>12920+11560+6000+7000</f>
        <v>37480</v>
      </c>
      <c r="AH31" s="124">
        <f>AF31+AG31</f>
        <v>37480</v>
      </c>
      <c r="AI31" s="125"/>
      <c r="AJ31" s="126"/>
      <c r="AK31" s="127"/>
      <c r="AL31" s="128"/>
      <c r="AM31" s="129"/>
      <c r="AN31" s="130"/>
      <c r="AO31" s="131"/>
      <c r="AP31" s="132"/>
      <c r="AQ31" s="131"/>
      <c r="AR31" s="133"/>
      <c r="AS31" s="134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6"/>
    </row>
    <row r="32" spans="1:56" x14ac:dyDescent="0.25">
      <c r="A32" s="135">
        <v>14</v>
      </c>
      <c r="B32" s="136" t="s">
        <v>210</v>
      </c>
      <c r="C32" s="137" t="s">
        <v>211</v>
      </c>
      <c r="D32" s="138" t="s">
        <v>121</v>
      </c>
      <c r="E32" s="138" t="s">
        <v>122</v>
      </c>
      <c r="F32" s="139" t="s">
        <v>212</v>
      </c>
      <c r="G32" s="138" t="s">
        <v>213</v>
      </c>
      <c r="H32" s="98" t="s">
        <v>214</v>
      </c>
      <c r="I32" s="140" t="s">
        <v>215</v>
      </c>
      <c r="J32" s="138" t="s">
        <v>216</v>
      </c>
      <c r="K32" s="141">
        <v>42824</v>
      </c>
      <c r="L32" s="142">
        <f>279124.56+457891.32+240320.7</f>
        <v>977336.58000000007</v>
      </c>
      <c r="M32" s="143" t="s">
        <v>217</v>
      </c>
      <c r="N32" s="141">
        <v>42824</v>
      </c>
      <c r="O32" s="140" t="s">
        <v>218</v>
      </c>
      <c r="P32" s="138">
        <v>1</v>
      </c>
      <c r="Q32" s="144"/>
      <c r="R32" s="144"/>
      <c r="S32" s="145"/>
      <c r="T32" s="138" t="s">
        <v>129</v>
      </c>
      <c r="U32" s="144"/>
      <c r="V32" s="146"/>
      <c r="W32" s="147"/>
      <c r="X32" s="144"/>
      <c r="Y32" s="144"/>
      <c r="Z32" s="144"/>
      <c r="AA32" s="144"/>
      <c r="AB32" s="144"/>
      <c r="AC32" s="148"/>
      <c r="AD32" s="144"/>
      <c r="AE32" s="149">
        <f>L32-AD33+AC33</f>
        <v>977336.58000000007</v>
      </c>
      <c r="AF32" s="142">
        <v>0</v>
      </c>
      <c r="AG32" s="142">
        <f>23260.38+23260.38+23260.38+54918.97+54918.97+54918.97+80106.9+54918.97+80106.9+54918.97+80106.9+49578.51+5340.46+49578.51+5340.46</f>
        <v>694534.63</v>
      </c>
      <c r="AH32" s="142">
        <f>AF32+AG32</f>
        <v>694534.63</v>
      </c>
      <c r="AI32" s="150"/>
      <c r="AJ32" s="151"/>
      <c r="AK32" s="151"/>
      <c r="AL32" s="152"/>
      <c r="AM32" s="153"/>
      <c r="AN32" s="151"/>
      <c r="AO32" s="151"/>
      <c r="AP32" s="146"/>
      <c r="AQ32" s="151"/>
      <c r="AR32" s="152"/>
      <c r="AS32" s="15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55"/>
    </row>
    <row r="33" spans="1:56" x14ac:dyDescent="0.25">
      <c r="A33" s="156"/>
      <c r="B33" s="157"/>
      <c r="C33" s="158"/>
      <c r="D33" s="159"/>
      <c r="E33" s="159"/>
      <c r="F33" s="160"/>
      <c r="G33" s="159"/>
      <c r="H33" s="82" t="s">
        <v>219</v>
      </c>
      <c r="I33" s="161"/>
      <c r="J33" s="159"/>
      <c r="K33" s="162"/>
      <c r="L33" s="163"/>
      <c r="M33" s="164"/>
      <c r="N33" s="162"/>
      <c r="O33" s="161"/>
      <c r="P33" s="159"/>
      <c r="Q33" s="165"/>
      <c r="R33" s="165"/>
      <c r="S33" s="166"/>
      <c r="T33" s="159"/>
      <c r="U33" s="165"/>
      <c r="V33" s="167"/>
      <c r="W33" s="168"/>
      <c r="X33" s="165"/>
      <c r="Y33" s="165"/>
      <c r="Z33" s="165"/>
      <c r="AA33" s="165"/>
      <c r="AB33" s="165"/>
      <c r="AC33" s="169"/>
      <c r="AD33" s="165"/>
      <c r="AE33" s="170"/>
      <c r="AF33" s="163"/>
      <c r="AG33" s="163"/>
      <c r="AH33" s="163"/>
      <c r="AI33" s="171"/>
      <c r="AJ33" s="172"/>
      <c r="AK33" s="172"/>
      <c r="AL33" s="173"/>
      <c r="AM33" s="174"/>
      <c r="AN33" s="172"/>
      <c r="AO33" s="172"/>
      <c r="AP33" s="167"/>
      <c r="AQ33" s="172"/>
      <c r="AR33" s="173"/>
      <c r="AS33" s="17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76"/>
    </row>
    <row r="34" spans="1:56" ht="25.5" x14ac:dyDescent="0.25">
      <c r="A34" s="177">
        <v>15</v>
      </c>
      <c r="B34" s="178" t="s">
        <v>220</v>
      </c>
      <c r="C34" s="179" t="s">
        <v>221</v>
      </c>
      <c r="D34" s="103" t="s">
        <v>121</v>
      </c>
      <c r="E34" s="103" t="s">
        <v>122</v>
      </c>
      <c r="F34" s="180" t="s">
        <v>222</v>
      </c>
      <c r="G34" s="103" t="s">
        <v>159</v>
      </c>
      <c r="H34" s="98" t="s">
        <v>223</v>
      </c>
      <c r="I34" s="181" t="s">
        <v>224</v>
      </c>
      <c r="J34" s="103" t="s">
        <v>225</v>
      </c>
      <c r="K34" s="99">
        <v>42793</v>
      </c>
      <c r="L34" s="100">
        <v>3740</v>
      </c>
      <c r="M34" s="101" t="s">
        <v>226</v>
      </c>
      <c r="N34" s="99">
        <v>42793</v>
      </c>
      <c r="O34" s="181" t="s">
        <v>174</v>
      </c>
      <c r="P34" s="103">
        <v>1</v>
      </c>
      <c r="Q34" s="115"/>
      <c r="R34" s="115"/>
      <c r="S34" s="119"/>
      <c r="T34" s="103" t="s">
        <v>129</v>
      </c>
      <c r="U34" s="115"/>
      <c r="V34" s="118"/>
      <c r="W34" s="121"/>
      <c r="X34" s="115"/>
      <c r="Y34" s="115"/>
      <c r="Z34" s="115"/>
      <c r="AA34" s="115"/>
      <c r="AB34" s="115"/>
      <c r="AC34" s="122"/>
      <c r="AD34" s="115"/>
      <c r="AE34" s="105">
        <f t="shared" ref="AE34:AE99" si="8">L34-AD34+AC34</f>
        <v>3740</v>
      </c>
      <c r="AF34" s="100">
        <v>0</v>
      </c>
      <c r="AG34" s="100">
        <f>340+170+340+340+680+340+340</f>
        <v>2550</v>
      </c>
      <c r="AH34" s="100">
        <f t="shared" ref="AH34:AH94" si="9">AF34+AG34</f>
        <v>2550</v>
      </c>
      <c r="AI34" s="182" t="s">
        <v>227</v>
      </c>
      <c r="AJ34" s="126" t="s">
        <v>228</v>
      </c>
      <c r="AK34" s="107" t="s">
        <v>229</v>
      </c>
      <c r="AL34" s="128" t="s">
        <v>228</v>
      </c>
      <c r="AM34" s="129"/>
      <c r="AN34" s="126"/>
      <c r="AO34" s="126"/>
      <c r="AP34" s="118"/>
      <c r="AQ34" s="126"/>
      <c r="AR34" s="128"/>
      <c r="AS34" s="183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6"/>
    </row>
    <row r="35" spans="1:56" x14ac:dyDescent="0.25">
      <c r="A35" s="177">
        <v>16</v>
      </c>
      <c r="B35" s="178" t="s">
        <v>230</v>
      </c>
      <c r="C35" s="179" t="s">
        <v>231</v>
      </c>
      <c r="D35" s="103" t="s">
        <v>232</v>
      </c>
      <c r="E35" s="103"/>
      <c r="F35" s="180" t="s">
        <v>222</v>
      </c>
      <c r="G35" s="184" t="s">
        <v>233</v>
      </c>
      <c r="H35" s="98" t="s">
        <v>202</v>
      </c>
      <c r="I35" s="181" t="s">
        <v>234</v>
      </c>
      <c r="J35" s="103" t="s">
        <v>235</v>
      </c>
      <c r="K35" s="99">
        <v>42800</v>
      </c>
      <c r="L35" s="100">
        <v>7998</v>
      </c>
      <c r="M35" s="101" t="s">
        <v>236</v>
      </c>
      <c r="N35" s="99">
        <v>42800</v>
      </c>
      <c r="O35" s="181" t="s">
        <v>237</v>
      </c>
      <c r="P35" s="103">
        <v>1</v>
      </c>
      <c r="Q35" s="115"/>
      <c r="R35" s="115"/>
      <c r="S35" s="119"/>
      <c r="T35" s="103" t="s">
        <v>129</v>
      </c>
      <c r="U35" s="115"/>
      <c r="V35" s="118"/>
      <c r="W35" s="121"/>
      <c r="X35" s="115"/>
      <c r="Y35" s="115"/>
      <c r="Z35" s="115"/>
      <c r="AA35" s="115"/>
      <c r="AB35" s="115"/>
      <c r="AC35" s="122"/>
      <c r="AD35" s="115"/>
      <c r="AE35" s="105">
        <f t="shared" si="8"/>
        <v>7998</v>
      </c>
      <c r="AF35" s="100">
        <v>0</v>
      </c>
      <c r="AG35" s="100">
        <v>7998</v>
      </c>
      <c r="AH35" s="100">
        <f t="shared" si="9"/>
        <v>7998</v>
      </c>
      <c r="AI35" s="182"/>
      <c r="AJ35" s="126"/>
      <c r="AK35" s="107"/>
      <c r="AL35" s="128"/>
      <c r="AM35" s="129" t="s">
        <v>238</v>
      </c>
      <c r="AN35" s="126" t="s">
        <v>239</v>
      </c>
      <c r="AO35" s="126"/>
      <c r="AP35" s="118">
        <v>42801</v>
      </c>
      <c r="AQ35" s="185">
        <v>42801</v>
      </c>
      <c r="AR35" s="128" t="s">
        <v>240</v>
      </c>
      <c r="AS35" s="183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6"/>
    </row>
    <row r="36" spans="1:56" x14ac:dyDescent="0.25">
      <c r="A36" s="177">
        <v>17</v>
      </c>
      <c r="B36" s="178" t="s">
        <v>241</v>
      </c>
      <c r="C36" s="179" t="s">
        <v>242</v>
      </c>
      <c r="D36" s="103" t="s">
        <v>121</v>
      </c>
      <c r="E36" s="103" t="s">
        <v>122</v>
      </c>
      <c r="F36" s="180" t="s">
        <v>243</v>
      </c>
      <c r="G36" s="101" t="s">
        <v>159</v>
      </c>
      <c r="H36" s="98" t="s">
        <v>244</v>
      </c>
      <c r="I36" s="181" t="s">
        <v>245</v>
      </c>
      <c r="J36" s="103" t="s">
        <v>246</v>
      </c>
      <c r="K36" s="99" t="s">
        <v>247</v>
      </c>
      <c r="L36" s="100">
        <v>40800</v>
      </c>
      <c r="M36" s="101"/>
      <c r="N36" s="99">
        <v>42864</v>
      </c>
      <c r="O36" s="181" t="s">
        <v>248</v>
      </c>
      <c r="P36" s="103">
        <v>1</v>
      </c>
      <c r="Q36" s="115"/>
      <c r="R36" s="115"/>
      <c r="S36" s="119"/>
      <c r="T36" s="103" t="s">
        <v>129</v>
      </c>
      <c r="U36" s="115"/>
      <c r="V36" s="118"/>
      <c r="W36" s="121"/>
      <c r="X36" s="115"/>
      <c r="Y36" s="115"/>
      <c r="Z36" s="115"/>
      <c r="AA36" s="115"/>
      <c r="AB36" s="115"/>
      <c r="AC36" s="122"/>
      <c r="AD36" s="115"/>
      <c r="AE36" s="105">
        <f t="shared" si="8"/>
        <v>40800</v>
      </c>
      <c r="AF36" s="100">
        <v>0</v>
      </c>
      <c r="AG36" s="100">
        <f>3400+3400+3400+3400+3400+3400+3400</f>
        <v>23800</v>
      </c>
      <c r="AH36" s="100">
        <f t="shared" si="9"/>
        <v>23800</v>
      </c>
      <c r="AI36" s="182"/>
      <c r="AJ36" s="126"/>
      <c r="AK36" s="107"/>
      <c r="AL36" s="128"/>
      <c r="AM36" s="129"/>
      <c r="AN36" s="126"/>
      <c r="AO36" s="126"/>
      <c r="AP36" s="118"/>
      <c r="AQ36" s="185"/>
      <c r="AR36" s="128"/>
      <c r="AS36" s="183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6"/>
    </row>
    <row r="37" spans="1:56" x14ac:dyDescent="0.25">
      <c r="A37" s="177">
        <v>18</v>
      </c>
      <c r="B37" s="178" t="s">
        <v>249</v>
      </c>
      <c r="C37" s="179"/>
      <c r="D37" s="103" t="s">
        <v>121</v>
      </c>
      <c r="E37" s="103" t="s">
        <v>122</v>
      </c>
      <c r="F37" s="180" t="s">
        <v>243</v>
      </c>
      <c r="G37" s="101" t="s">
        <v>159</v>
      </c>
      <c r="H37" s="98" t="s">
        <v>250</v>
      </c>
      <c r="I37" s="181" t="s">
        <v>251</v>
      </c>
      <c r="J37" s="103" t="s">
        <v>252</v>
      </c>
      <c r="K37" s="99">
        <v>42853</v>
      </c>
      <c r="L37" s="100">
        <v>47382</v>
      </c>
      <c r="M37" s="101" t="s">
        <v>253</v>
      </c>
      <c r="N37" s="99">
        <v>42849</v>
      </c>
      <c r="O37" s="181" t="s">
        <v>254</v>
      </c>
      <c r="P37" s="103">
        <v>1</v>
      </c>
      <c r="Q37" s="115"/>
      <c r="R37" s="115"/>
      <c r="S37" s="119"/>
      <c r="T37" s="103" t="s">
        <v>129</v>
      </c>
      <c r="U37" s="115"/>
      <c r="V37" s="118"/>
      <c r="W37" s="121"/>
      <c r="X37" s="115"/>
      <c r="Y37" s="115"/>
      <c r="Z37" s="115"/>
      <c r="AA37" s="115"/>
      <c r="AB37" s="115"/>
      <c r="AC37" s="122"/>
      <c r="AD37" s="115"/>
      <c r="AE37" s="105">
        <f t="shared" si="8"/>
        <v>47382</v>
      </c>
      <c r="AF37" s="100">
        <v>0</v>
      </c>
      <c r="AG37" s="100">
        <f>3948.5+3948.5+3948.5+3948.5+3945.5+3948.5+3948.5</f>
        <v>27636.5</v>
      </c>
      <c r="AH37" s="100">
        <f t="shared" si="9"/>
        <v>27636.5</v>
      </c>
      <c r="AI37" s="182"/>
      <c r="AJ37" s="126"/>
      <c r="AK37" s="107"/>
      <c r="AL37" s="128"/>
      <c r="AM37" s="129"/>
      <c r="AN37" s="126"/>
      <c r="AO37" s="126"/>
      <c r="AP37" s="118"/>
      <c r="AQ37" s="185"/>
      <c r="AR37" s="128"/>
      <c r="AS37" s="183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6"/>
    </row>
    <row r="38" spans="1:56" ht="25.5" x14ac:dyDescent="0.25">
      <c r="A38" s="177">
        <v>19</v>
      </c>
      <c r="B38" s="178" t="s">
        <v>214</v>
      </c>
      <c r="C38" s="179" t="s">
        <v>255</v>
      </c>
      <c r="D38" s="103" t="s">
        <v>121</v>
      </c>
      <c r="E38" s="103" t="s">
        <v>122</v>
      </c>
      <c r="F38" s="180" t="s">
        <v>256</v>
      </c>
      <c r="G38" s="101" t="s">
        <v>257</v>
      </c>
      <c r="H38" s="98" t="s">
        <v>230</v>
      </c>
      <c r="I38" s="181" t="s">
        <v>258</v>
      </c>
      <c r="J38" s="103" t="s">
        <v>259</v>
      </c>
      <c r="K38" s="99">
        <v>42793</v>
      </c>
      <c r="L38" s="100">
        <v>210897</v>
      </c>
      <c r="M38" s="101" t="s">
        <v>260</v>
      </c>
      <c r="N38" s="99">
        <v>42793</v>
      </c>
      <c r="O38" s="181" t="s">
        <v>261</v>
      </c>
      <c r="P38" s="103">
        <v>1</v>
      </c>
      <c r="Q38" s="115"/>
      <c r="R38" s="115"/>
      <c r="S38" s="119"/>
      <c r="T38" s="103" t="s">
        <v>129</v>
      </c>
      <c r="U38" s="115"/>
      <c r="V38" s="118"/>
      <c r="W38" s="121"/>
      <c r="X38" s="115"/>
      <c r="Y38" s="115"/>
      <c r="Z38" s="115"/>
      <c r="AA38" s="115"/>
      <c r="AB38" s="115"/>
      <c r="AC38" s="122"/>
      <c r="AD38" s="115"/>
      <c r="AE38" s="105">
        <f t="shared" si="8"/>
        <v>210897</v>
      </c>
      <c r="AF38" s="100">
        <v>0</v>
      </c>
      <c r="AG38" s="100">
        <f>70000+5000+25000+45000+42220</f>
        <v>187220</v>
      </c>
      <c r="AH38" s="100">
        <f t="shared" si="9"/>
        <v>187220</v>
      </c>
      <c r="AI38" s="186" t="s">
        <v>231</v>
      </c>
      <c r="AJ38" s="126" t="s">
        <v>233</v>
      </c>
      <c r="AK38" s="107" t="s">
        <v>262</v>
      </c>
      <c r="AL38" s="128"/>
      <c r="AM38" s="129"/>
      <c r="AN38" s="126"/>
      <c r="AO38" s="126"/>
      <c r="AP38" s="118"/>
      <c r="AQ38" s="185"/>
      <c r="AR38" s="128"/>
      <c r="AS38" s="183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6"/>
    </row>
    <row r="39" spans="1:56" x14ac:dyDescent="0.25">
      <c r="A39" s="177">
        <v>20</v>
      </c>
      <c r="B39" s="178" t="s">
        <v>263</v>
      </c>
      <c r="C39" s="179" t="s">
        <v>264</v>
      </c>
      <c r="D39" s="103" t="s">
        <v>232</v>
      </c>
      <c r="E39" s="103"/>
      <c r="F39" s="180" t="s">
        <v>265</v>
      </c>
      <c r="G39" s="101" t="s">
        <v>266</v>
      </c>
      <c r="H39" s="98" t="s">
        <v>267</v>
      </c>
      <c r="I39" s="181" t="s">
        <v>268</v>
      </c>
      <c r="J39" s="103" t="s">
        <v>269</v>
      </c>
      <c r="K39" s="99">
        <v>42922</v>
      </c>
      <c r="L39" s="100">
        <v>4425</v>
      </c>
      <c r="M39" s="101" t="s">
        <v>270</v>
      </c>
      <c r="N39" s="99">
        <v>42921</v>
      </c>
      <c r="O39" s="181" t="s">
        <v>174</v>
      </c>
      <c r="P39" s="103">
        <v>1</v>
      </c>
      <c r="Q39" s="115"/>
      <c r="R39" s="115"/>
      <c r="S39" s="119"/>
      <c r="T39" s="103" t="s">
        <v>176</v>
      </c>
      <c r="U39" s="115"/>
      <c r="V39" s="118"/>
      <c r="W39" s="121"/>
      <c r="X39" s="115"/>
      <c r="Y39" s="115"/>
      <c r="Z39" s="115"/>
      <c r="AA39" s="115"/>
      <c r="AB39" s="115"/>
      <c r="AC39" s="122"/>
      <c r="AD39" s="115"/>
      <c r="AE39" s="105">
        <f t="shared" si="8"/>
        <v>4425</v>
      </c>
      <c r="AF39" s="100">
        <v>0</v>
      </c>
      <c r="AG39" s="100">
        <v>4425</v>
      </c>
      <c r="AH39" s="100">
        <f t="shared" si="9"/>
        <v>4425</v>
      </c>
      <c r="AI39" s="186"/>
      <c r="AJ39" s="126"/>
      <c r="AK39" s="107"/>
      <c r="AL39" s="128"/>
      <c r="AM39" s="129" t="s">
        <v>238</v>
      </c>
      <c r="AN39" s="126" t="s">
        <v>239</v>
      </c>
      <c r="AO39" s="126" t="s">
        <v>266</v>
      </c>
      <c r="AP39" s="118">
        <v>42926</v>
      </c>
      <c r="AQ39" s="185"/>
      <c r="AR39" s="128"/>
      <c r="AS39" s="183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6"/>
    </row>
    <row r="40" spans="1:56" x14ac:dyDescent="0.25">
      <c r="A40" s="177">
        <v>21</v>
      </c>
      <c r="B40" s="178" t="s">
        <v>271</v>
      </c>
      <c r="C40" s="179" t="s">
        <v>272</v>
      </c>
      <c r="D40" s="103" t="s">
        <v>121</v>
      </c>
      <c r="E40" s="103" t="s">
        <v>122</v>
      </c>
      <c r="F40" s="180" t="s">
        <v>273</v>
      </c>
      <c r="G40" s="101"/>
      <c r="H40" s="98" t="s">
        <v>274</v>
      </c>
      <c r="I40" s="181" t="s">
        <v>275</v>
      </c>
      <c r="J40" s="103" t="s">
        <v>276</v>
      </c>
      <c r="K40" s="99">
        <v>42843</v>
      </c>
      <c r="L40" s="100">
        <v>3165.16</v>
      </c>
      <c r="M40" s="101" t="s">
        <v>277</v>
      </c>
      <c r="N40" s="99">
        <v>42843</v>
      </c>
      <c r="O40" s="181" t="s">
        <v>174</v>
      </c>
      <c r="P40" s="103">
        <v>1</v>
      </c>
      <c r="Q40" s="115"/>
      <c r="R40" s="115"/>
      <c r="S40" s="119"/>
      <c r="T40" s="103" t="s">
        <v>176</v>
      </c>
      <c r="U40" s="115"/>
      <c r="V40" s="118"/>
      <c r="W40" s="121"/>
      <c r="X40" s="115"/>
      <c r="Y40" s="115"/>
      <c r="Z40" s="115"/>
      <c r="AA40" s="115"/>
      <c r="AB40" s="115"/>
      <c r="AC40" s="122"/>
      <c r="AD40" s="115"/>
      <c r="AE40" s="105">
        <f t="shared" si="8"/>
        <v>3165.16</v>
      </c>
      <c r="AF40" s="100">
        <v>0</v>
      </c>
      <c r="AG40" s="100">
        <f>1381.4+575.34</f>
        <v>1956.7400000000002</v>
      </c>
      <c r="AH40" s="100">
        <f t="shared" si="9"/>
        <v>1956.7400000000002</v>
      </c>
      <c r="AI40" s="186"/>
      <c r="AJ40" s="126"/>
      <c r="AK40" s="107"/>
      <c r="AL40" s="128"/>
      <c r="AM40" s="129"/>
      <c r="AN40" s="126"/>
      <c r="AO40" s="126"/>
      <c r="AP40" s="118"/>
      <c r="AQ40" s="185"/>
      <c r="AR40" s="128"/>
      <c r="AS40" s="183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6"/>
    </row>
    <row r="41" spans="1:56" x14ac:dyDescent="0.25">
      <c r="A41" s="177">
        <v>22</v>
      </c>
      <c r="B41" s="178" t="s">
        <v>199</v>
      </c>
      <c r="C41" s="179" t="s">
        <v>278</v>
      </c>
      <c r="D41" s="103" t="s">
        <v>121</v>
      </c>
      <c r="E41" s="103" t="s">
        <v>122</v>
      </c>
      <c r="F41" s="180" t="s">
        <v>279</v>
      </c>
      <c r="G41" s="101" t="s">
        <v>280</v>
      </c>
      <c r="H41" s="98" t="s">
        <v>220</v>
      </c>
      <c r="I41" s="181" t="s">
        <v>281</v>
      </c>
      <c r="J41" s="103" t="s">
        <v>282</v>
      </c>
      <c r="K41" s="99">
        <v>42803</v>
      </c>
      <c r="L41" s="100">
        <v>21060</v>
      </c>
      <c r="M41" s="101" t="s">
        <v>283</v>
      </c>
      <c r="N41" s="99">
        <v>42803</v>
      </c>
      <c r="O41" s="181" t="s">
        <v>174</v>
      </c>
      <c r="P41" s="103">
        <v>1</v>
      </c>
      <c r="Q41" s="115"/>
      <c r="R41" s="115"/>
      <c r="S41" s="119"/>
      <c r="T41" s="103" t="s">
        <v>176</v>
      </c>
      <c r="U41" s="115"/>
      <c r="V41" s="118"/>
      <c r="W41" s="121"/>
      <c r="X41" s="115"/>
      <c r="Y41" s="115"/>
      <c r="Z41" s="115"/>
      <c r="AA41" s="115"/>
      <c r="AB41" s="115"/>
      <c r="AC41" s="122"/>
      <c r="AD41" s="115"/>
      <c r="AE41" s="105">
        <f t="shared" si="8"/>
        <v>21060</v>
      </c>
      <c r="AF41" s="100">
        <v>0</v>
      </c>
      <c r="AG41" s="100">
        <f>1691.4+1039+1360</f>
        <v>4090.4</v>
      </c>
      <c r="AH41" s="100">
        <f t="shared" si="9"/>
        <v>4090.4</v>
      </c>
      <c r="AI41" s="186"/>
      <c r="AJ41" s="126"/>
      <c r="AK41" s="107"/>
      <c r="AL41" s="128"/>
      <c r="AM41" s="129"/>
      <c r="AN41" s="126"/>
      <c r="AO41" s="126"/>
      <c r="AP41" s="118"/>
      <c r="AQ41" s="185"/>
      <c r="AR41" s="128"/>
      <c r="AS41" s="183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6"/>
    </row>
    <row r="42" spans="1:56" x14ac:dyDescent="0.25">
      <c r="A42" s="177">
        <v>23</v>
      </c>
      <c r="B42" s="178" t="s">
        <v>284</v>
      </c>
      <c r="C42" s="179" t="s">
        <v>285</v>
      </c>
      <c r="D42" s="103" t="s">
        <v>121</v>
      </c>
      <c r="E42" s="103" t="s">
        <v>122</v>
      </c>
      <c r="F42" s="180" t="s">
        <v>286</v>
      </c>
      <c r="G42" s="101" t="s">
        <v>287</v>
      </c>
      <c r="H42" s="98" t="s">
        <v>288</v>
      </c>
      <c r="I42" s="181" t="s">
        <v>289</v>
      </c>
      <c r="J42" s="103" t="s">
        <v>290</v>
      </c>
      <c r="K42" s="99">
        <v>42832</v>
      </c>
      <c r="L42" s="100">
        <v>3050</v>
      </c>
      <c r="M42" s="101" t="s">
        <v>291</v>
      </c>
      <c r="N42" s="99">
        <v>42832</v>
      </c>
      <c r="O42" s="181" t="s">
        <v>174</v>
      </c>
      <c r="P42" s="103">
        <v>1</v>
      </c>
      <c r="Q42" s="115"/>
      <c r="R42" s="115"/>
      <c r="S42" s="119"/>
      <c r="T42" s="103" t="s">
        <v>129</v>
      </c>
      <c r="U42" s="115"/>
      <c r="V42" s="118"/>
      <c r="W42" s="121"/>
      <c r="X42" s="115"/>
      <c r="Y42" s="115"/>
      <c r="Z42" s="115"/>
      <c r="AA42" s="115"/>
      <c r="AB42" s="115"/>
      <c r="AC42" s="122"/>
      <c r="AD42" s="115"/>
      <c r="AE42" s="105">
        <f t="shared" si="8"/>
        <v>3050</v>
      </c>
      <c r="AF42" s="100">
        <v>0</v>
      </c>
      <c r="AG42" s="100">
        <v>1416</v>
      </c>
      <c r="AH42" s="100">
        <f t="shared" si="9"/>
        <v>1416</v>
      </c>
      <c r="AI42" s="186"/>
      <c r="AJ42" s="126"/>
      <c r="AK42" s="107"/>
      <c r="AL42" s="128"/>
      <c r="AM42" s="129"/>
      <c r="AN42" s="126"/>
      <c r="AO42" s="126"/>
      <c r="AP42" s="118"/>
      <c r="AQ42" s="185"/>
      <c r="AR42" s="128"/>
      <c r="AS42" s="183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6"/>
    </row>
    <row r="43" spans="1:56" x14ac:dyDescent="0.25">
      <c r="A43" s="177">
        <v>24</v>
      </c>
      <c r="B43" s="178" t="s">
        <v>292</v>
      </c>
      <c r="C43" s="179" t="s">
        <v>293</v>
      </c>
      <c r="D43" s="103" t="s">
        <v>121</v>
      </c>
      <c r="E43" s="103" t="s">
        <v>122</v>
      </c>
      <c r="F43" s="180" t="s">
        <v>294</v>
      </c>
      <c r="G43" s="101" t="s">
        <v>295</v>
      </c>
      <c r="H43" s="98" t="s">
        <v>296</v>
      </c>
      <c r="I43" s="181" t="s">
        <v>297</v>
      </c>
      <c r="J43" s="103" t="s">
        <v>298</v>
      </c>
      <c r="K43" s="99">
        <v>42865</v>
      </c>
      <c r="L43" s="100">
        <v>7526.9</v>
      </c>
      <c r="M43" s="101" t="s">
        <v>299</v>
      </c>
      <c r="N43" s="99">
        <v>42865</v>
      </c>
      <c r="O43" s="181" t="s">
        <v>174</v>
      </c>
      <c r="P43" s="103">
        <v>1</v>
      </c>
      <c r="Q43" s="115"/>
      <c r="R43" s="115"/>
      <c r="S43" s="119"/>
      <c r="T43" s="103" t="s">
        <v>176</v>
      </c>
      <c r="U43" s="115"/>
      <c r="V43" s="118"/>
      <c r="W43" s="121"/>
      <c r="X43" s="115"/>
      <c r="Y43" s="115"/>
      <c r="Z43" s="115"/>
      <c r="AA43" s="115"/>
      <c r="AB43" s="115"/>
      <c r="AC43" s="122"/>
      <c r="AD43" s="115"/>
      <c r="AE43" s="105">
        <f t="shared" si="8"/>
        <v>7526.9</v>
      </c>
      <c r="AF43" s="100">
        <v>0</v>
      </c>
      <c r="AG43" s="100">
        <v>2627.3</v>
      </c>
      <c r="AH43" s="100">
        <f t="shared" si="9"/>
        <v>2627.3</v>
      </c>
      <c r="AI43" s="186"/>
      <c r="AJ43" s="126"/>
      <c r="AK43" s="107"/>
      <c r="AL43" s="128"/>
      <c r="AM43" s="129"/>
      <c r="AN43" s="126"/>
      <c r="AO43" s="126"/>
      <c r="AP43" s="118"/>
      <c r="AQ43" s="185"/>
      <c r="AR43" s="128"/>
      <c r="AS43" s="183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6"/>
    </row>
    <row r="44" spans="1:56" x14ac:dyDescent="0.25">
      <c r="A44" s="177">
        <v>25</v>
      </c>
      <c r="B44" s="178" t="s">
        <v>300</v>
      </c>
      <c r="C44" s="179" t="s">
        <v>231</v>
      </c>
      <c r="D44" s="103" t="s">
        <v>301</v>
      </c>
      <c r="E44" s="103"/>
      <c r="F44" s="180" t="s">
        <v>302</v>
      </c>
      <c r="G44" s="101" t="s">
        <v>303</v>
      </c>
      <c r="H44" s="98" t="s">
        <v>304</v>
      </c>
      <c r="I44" s="181" t="s">
        <v>305</v>
      </c>
      <c r="J44" s="101" t="s">
        <v>306</v>
      </c>
      <c r="K44" s="99">
        <v>42866</v>
      </c>
      <c r="L44" s="100">
        <v>2415</v>
      </c>
      <c r="M44" s="99" t="s">
        <v>307</v>
      </c>
      <c r="N44" s="99">
        <v>42866</v>
      </c>
      <c r="O44" s="181" t="s">
        <v>174</v>
      </c>
      <c r="P44" s="103">
        <v>1</v>
      </c>
      <c r="Q44" s="115"/>
      <c r="R44" s="115"/>
      <c r="S44" s="119"/>
      <c r="T44" s="103" t="s">
        <v>308</v>
      </c>
      <c r="U44" s="115"/>
      <c r="V44" s="118"/>
      <c r="W44" s="121"/>
      <c r="X44" s="115"/>
      <c r="Y44" s="115"/>
      <c r="Z44" s="115"/>
      <c r="AA44" s="115"/>
      <c r="AB44" s="115"/>
      <c r="AC44" s="122"/>
      <c r="AD44" s="115"/>
      <c r="AE44" s="105">
        <f t="shared" si="8"/>
        <v>2415</v>
      </c>
      <c r="AF44" s="100">
        <v>0</v>
      </c>
      <c r="AG44" s="100">
        <v>2415</v>
      </c>
      <c r="AH44" s="100">
        <f t="shared" si="9"/>
        <v>2415</v>
      </c>
      <c r="AI44" s="186"/>
      <c r="AJ44" s="126"/>
      <c r="AK44" s="107"/>
      <c r="AL44" s="128"/>
      <c r="AM44" s="129"/>
      <c r="AN44" s="126"/>
      <c r="AO44" s="126"/>
      <c r="AP44" s="118"/>
      <c r="AQ44" s="185"/>
      <c r="AR44" s="128"/>
      <c r="AS44" s="183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6"/>
    </row>
    <row r="45" spans="1:56" x14ac:dyDescent="0.25">
      <c r="A45" s="177">
        <v>26</v>
      </c>
      <c r="B45" s="178" t="s">
        <v>309</v>
      </c>
      <c r="C45" s="179" t="s">
        <v>231</v>
      </c>
      <c r="D45" s="103" t="s">
        <v>301</v>
      </c>
      <c r="E45" s="103"/>
      <c r="F45" s="180" t="s">
        <v>302</v>
      </c>
      <c r="G45" s="101" t="s">
        <v>303</v>
      </c>
      <c r="H45" s="98" t="s">
        <v>310</v>
      </c>
      <c r="I45" s="181" t="s">
        <v>311</v>
      </c>
      <c r="J45" s="103" t="s">
        <v>312</v>
      </c>
      <c r="K45" s="99">
        <v>42866</v>
      </c>
      <c r="L45" s="100">
        <v>4150</v>
      </c>
      <c r="M45" s="99" t="s">
        <v>307</v>
      </c>
      <c r="N45" s="99">
        <v>42866</v>
      </c>
      <c r="O45" s="181" t="s">
        <v>174</v>
      </c>
      <c r="P45" s="103">
        <v>1</v>
      </c>
      <c r="Q45" s="115"/>
      <c r="R45" s="115"/>
      <c r="S45" s="119"/>
      <c r="T45" s="103" t="s">
        <v>308</v>
      </c>
      <c r="U45" s="115"/>
      <c r="V45" s="118"/>
      <c r="W45" s="121"/>
      <c r="X45" s="115"/>
      <c r="Y45" s="115"/>
      <c r="Z45" s="115"/>
      <c r="AA45" s="115"/>
      <c r="AB45" s="115"/>
      <c r="AC45" s="122"/>
      <c r="AD45" s="115"/>
      <c r="AE45" s="105">
        <f t="shared" si="8"/>
        <v>4150</v>
      </c>
      <c r="AF45" s="100">
        <v>0</v>
      </c>
      <c r="AG45" s="100">
        <f>200+1150+437.5+100</f>
        <v>1887.5</v>
      </c>
      <c r="AH45" s="100">
        <f t="shared" si="9"/>
        <v>1887.5</v>
      </c>
      <c r="AI45" s="186"/>
      <c r="AJ45" s="126"/>
      <c r="AK45" s="107"/>
      <c r="AL45" s="128"/>
      <c r="AM45" s="129"/>
      <c r="AN45" s="126"/>
      <c r="AO45" s="126"/>
      <c r="AP45" s="118"/>
      <c r="AQ45" s="185"/>
      <c r="AR45" s="128"/>
      <c r="AS45" s="183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6"/>
    </row>
    <row r="46" spans="1:56" x14ac:dyDescent="0.25">
      <c r="A46" s="177">
        <v>27</v>
      </c>
      <c r="B46" s="178" t="s">
        <v>313</v>
      </c>
      <c r="C46" s="179" t="s">
        <v>231</v>
      </c>
      <c r="D46" s="103" t="s">
        <v>301</v>
      </c>
      <c r="E46" s="103"/>
      <c r="F46" s="180" t="s">
        <v>302</v>
      </c>
      <c r="G46" s="101" t="s">
        <v>303</v>
      </c>
      <c r="H46" s="98" t="s">
        <v>314</v>
      </c>
      <c r="I46" s="181" t="s">
        <v>315</v>
      </c>
      <c r="J46" s="103" t="s">
        <v>316</v>
      </c>
      <c r="K46" s="99">
        <v>42866</v>
      </c>
      <c r="L46" s="100">
        <v>2175</v>
      </c>
      <c r="M46" s="99" t="s">
        <v>317</v>
      </c>
      <c r="N46" s="99">
        <v>42866</v>
      </c>
      <c r="O46" s="181" t="s">
        <v>174</v>
      </c>
      <c r="P46" s="103">
        <v>1</v>
      </c>
      <c r="Q46" s="115"/>
      <c r="R46" s="115"/>
      <c r="S46" s="119"/>
      <c r="T46" s="103" t="s">
        <v>308</v>
      </c>
      <c r="U46" s="115"/>
      <c r="V46" s="118"/>
      <c r="W46" s="121"/>
      <c r="X46" s="115"/>
      <c r="Y46" s="115"/>
      <c r="Z46" s="115"/>
      <c r="AA46" s="115"/>
      <c r="AB46" s="115"/>
      <c r="AC46" s="122"/>
      <c r="AD46" s="115"/>
      <c r="AE46" s="105">
        <f t="shared" si="8"/>
        <v>2175</v>
      </c>
      <c r="AF46" s="100">
        <v>0</v>
      </c>
      <c r="AG46" s="100">
        <v>1450</v>
      </c>
      <c r="AH46" s="100">
        <f t="shared" si="9"/>
        <v>1450</v>
      </c>
      <c r="AI46" s="186"/>
      <c r="AJ46" s="126"/>
      <c r="AK46" s="107"/>
      <c r="AL46" s="128"/>
      <c r="AM46" s="129"/>
      <c r="AN46" s="126"/>
      <c r="AO46" s="126"/>
      <c r="AP46" s="118"/>
      <c r="AQ46" s="185"/>
      <c r="AR46" s="128"/>
      <c r="AS46" s="183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6"/>
    </row>
    <row r="47" spans="1:56" x14ac:dyDescent="0.25">
      <c r="A47" s="177">
        <v>28</v>
      </c>
      <c r="B47" s="178" t="s">
        <v>318</v>
      </c>
      <c r="C47" s="179" t="s">
        <v>231</v>
      </c>
      <c r="D47" s="103" t="s">
        <v>301</v>
      </c>
      <c r="E47" s="103"/>
      <c r="F47" s="180" t="s">
        <v>302</v>
      </c>
      <c r="G47" s="101" t="s">
        <v>303</v>
      </c>
      <c r="H47" s="98" t="s">
        <v>319</v>
      </c>
      <c r="I47" s="181" t="s">
        <v>320</v>
      </c>
      <c r="J47" s="103" t="s">
        <v>321</v>
      </c>
      <c r="K47" s="99">
        <v>42866</v>
      </c>
      <c r="L47" s="100">
        <v>4675</v>
      </c>
      <c r="M47" s="99" t="s">
        <v>307</v>
      </c>
      <c r="N47" s="99">
        <v>42866</v>
      </c>
      <c r="O47" s="181" t="s">
        <v>174</v>
      </c>
      <c r="P47" s="103">
        <v>1</v>
      </c>
      <c r="Q47" s="115"/>
      <c r="R47" s="115"/>
      <c r="S47" s="119"/>
      <c r="T47" s="103" t="s">
        <v>308</v>
      </c>
      <c r="U47" s="115"/>
      <c r="V47" s="118"/>
      <c r="W47" s="121"/>
      <c r="X47" s="115"/>
      <c r="Y47" s="115"/>
      <c r="Z47" s="115"/>
      <c r="AA47" s="115"/>
      <c r="AB47" s="115"/>
      <c r="AC47" s="122"/>
      <c r="AD47" s="115"/>
      <c r="AE47" s="105">
        <f t="shared" si="8"/>
        <v>4675</v>
      </c>
      <c r="AF47" s="100">
        <v>0</v>
      </c>
      <c r="AG47" s="100">
        <f>1595+500+900+800+400+400</f>
        <v>4595</v>
      </c>
      <c r="AH47" s="100">
        <f t="shared" si="9"/>
        <v>4595</v>
      </c>
      <c r="AI47" s="186"/>
      <c r="AJ47" s="126"/>
      <c r="AK47" s="107"/>
      <c r="AL47" s="128"/>
      <c r="AM47" s="129"/>
      <c r="AN47" s="126"/>
      <c r="AO47" s="126"/>
      <c r="AP47" s="118"/>
      <c r="AQ47" s="185"/>
      <c r="AR47" s="128"/>
      <c r="AS47" s="183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6"/>
    </row>
    <row r="48" spans="1:56" x14ac:dyDescent="0.25">
      <c r="A48" s="177">
        <v>29</v>
      </c>
      <c r="B48" s="178" t="s">
        <v>322</v>
      </c>
      <c r="C48" s="179" t="s">
        <v>231</v>
      </c>
      <c r="D48" s="103" t="s">
        <v>301</v>
      </c>
      <c r="E48" s="103"/>
      <c r="F48" s="180" t="s">
        <v>302</v>
      </c>
      <c r="G48" s="101" t="s">
        <v>303</v>
      </c>
      <c r="H48" s="98" t="s">
        <v>323</v>
      </c>
      <c r="I48" s="181" t="s">
        <v>324</v>
      </c>
      <c r="J48" s="103" t="s">
        <v>325</v>
      </c>
      <c r="K48" s="99">
        <v>42866</v>
      </c>
      <c r="L48" s="100">
        <v>4150</v>
      </c>
      <c r="M48" s="99" t="s">
        <v>307</v>
      </c>
      <c r="N48" s="99">
        <v>42866</v>
      </c>
      <c r="O48" s="181" t="s">
        <v>174</v>
      </c>
      <c r="P48" s="103">
        <v>1</v>
      </c>
      <c r="Q48" s="115"/>
      <c r="R48" s="115"/>
      <c r="S48" s="119"/>
      <c r="T48" s="103" t="s">
        <v>308</v>
      </c>
      <c r="U48" s="115"/>
      <c r="V48" s="118"/>
      <c r="W48" s="121"/>
      <c r="X48" s="115"/>
      <c r="Y48" s="115"/>
      <c r="Z48" s="115"/>
      <c r="AA48" s="115"/>
      <c r="AB48" s="115"/>
      <c r="AC48" s="122"/>
      <c r="AD48" s="115"/>
      <c r="AE48" s="105">
        <f t="shared" si="8"/>
        <v>4150</v>
      </c>
      <c r="AF48" s="100">
        <v>0</v>
      </c>
      <c r="AG48" s="100">
        <f>600+400+850+400+100+50</f>
        <v>2400</v>
      </c>
      <c r="AH48" s="100">
        <f t="shared" si="9"/>
        <v>2400</v>
      </c>
      <c r="AI48" s="186"/>
      <c r="AJ48" s="126"/>
      <c r="AK48" s="107"/>
      <c r="AL48" s="128"/>
      <c r="AM48" s="129"/>
      <c r="AN48" s="126"/>
      <c r="AO48" s="126"/>
      <c r="AP48" s="118"/>
      <c r="AQ48" s="185"/>
      <c r="AR48" s="128"/>
      <c r="AS48" s="183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6"/>
    </row>
    <row r="49" spans="1:56" x14ac:dyDescent="0.25">
      <c r="A49" s="177">
        <v>30</v>
      </c>
      <c r="B49" s="178" t="s">
        <v>326</v>
      </c>
      <c r="C49" s="179" t="s">
        <v>231</v>
      </c>
      <c r="D49" s="103" t="s">
        <v>301</v>
      </c>
      <c r="E49" s="103"/>
      <c r="F49" s="180" t="s">
        <v>302</v>
      </c>
      <c r="G49" s="101" t="s">
        <v>303</v>
      </c>
      <c r="H49" s="98" t="s">
        <v>327</v>
      </c>
      <c r="I49" s="181" t="s">
        <v>328</v>
      </c>
      <c r="J49" s="103" t="s">
        <v>329</v>
      </c>
      <c r="K49" s="99">
        <v>42845</v>
      </c>
      <c r="L49" s="100">
        <v>2525</v>
      </c>
      <c r="M49" s="99" t="s">
        <v>307</v>
      </c>
      <c r="N49" s="99">
        <v>42845</v>
      </c>
      <c r="O49" s="181" t="s">
        <v>174</v>
      </c>
      <c r="P49" s="103">
        <v>1</v>
      </c>
      <c r="Q49" s="115"/>
      <c r="R49" s="115"/>
      <c r="S49" s="119"/>
      <c r="T49" s="103" t="s">
        <v>308</v>
      </c>
      <c r="U49" s="115"/>
      <c r="V49" s="118"/>
      <c r="W49" s="121"/>
      <c r="X49" s="115"/>
      <c r="Y49" s="115"/>
      <c r="Z49" s="115"/>
      <c r="AA49" s="115"/>
      <c r="AB49" s="115"/>
      <c r="AC49" s="122"/>
      <c r="AD49" s="115"/>
      <c r="AE49" s="105">
        <f t="shared" si="8"/>
        <v>2525</v>
      </c>
      <c r="AF49" s="100">
        <v>0</v>
      </c>
      <c r="AG49" s="100">
        <f>680+255</f>
        <v>935</v>
      </c>
      <c r="AH49" s="100">
        <f t="shared" si="9"/>
        <v>935</v>
      </c>
      <c r="AI49" s="186"/>
      <c r="AJ49" s="126"/>
      <c r="AK49" s="107"/>
      <c r="AL49" s="128"/>
      <c r="AM49" s="129"/>
      <c r="AN49" s="126"/>
      <c r="AO49" s="126"/>
      <c r="AP49" s="118"/>
      <c r="AQ49" s="185"/>
      <c r="AR49" s="128"/>
      <c r="AS49" s="183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6"/>
    </row>
    <row r="50" spans="1:56" x14ac:dyDescent="0.25">
      <c r="A50" s="177">
        <v>31</v>
      </c>
      <c r="B50" s="178" t="s">
        <v>310</v>
      </c>
      <c r="C50" s="179" t="s">
        <v>231</v>
      </c>
      <c r="D50" s="103" t="s">
        <v>301</v>
      </c>
      <c r="E50" s="103"/>
      <c r="F50" s="180" t="s">
        <v>302</v>
      </c>
      <c r="G50" s="101" t="s">
        <v>303</v>
      </c>
      <c r="H50" s="98" t="s">
        <v>330</v>
      </c>
      <c r="I50" s="181" t="s">
        <v>331</v>
      </c>
      <c r="J50" s="103" t="s">
        <v>332</v>
      </c>
      <c r="K50" s="99">
        <v>42845</v>
      </c>
      <c r="L50" s="100">
        <v>3695</v>
      </c>
      <c r="M50" s="99" t="s">
        <v>307</v>
      </c>
      <c r="N50" s="99">
        <v>42845</v>
      </c>
      <c r="O50" s="181" t="s">
        <v>174</v>
      </c>
      <c r="P50" s="103">
        <v>1</v>
      </c>
      <c r="Q50" s="115"/>
      <c r="R50" s="115"/>
      <c r="S50" s="119"/>
      <c r="T50" s="103" t="s">
        <v>308</v>
      </c>
      <c r="U50" s="115"/>
      <c r="V50" s="118"/>
      <c r="W50" s="121"/>
      <c r="X50" s="115"/>
      <c r="Y50" s="115"/>
      <c r="Z50" s="115"/>
      <c r="AA50" s="115"/>
      <c r="AB50" s="115"/>
      <c r="AC50" s="122"/>
      <c r="AD50" s="115"/>
      <c r="AE50" s="105">
        <f t="shared" si="8"/>
        <v>3695</v>
      </c>
      <c r="AF50" s="100">
        <v>0</v>
      </c>
      <c r="AG50" s="100">
        <v>1635.5</v>
      </c>
      <c r="AH50" s="100">
        <f t="shared" si="9"/>
        <v>1635.5</v>
      </c>
      <c r="AI50" s="186"/>
      <c r="AJ50" s="126"/>
      <c r="AK50" s="107"/>
      <c r="AL50" s="128"/>
      <c r="AM50" s="129"/>
      <c r="AN50" s="126"/>
      <c r="AO50" s="126"/>
      <c r="AP50" s="118"/>
      <c r="AQ50" s="185"/>
      <c r="AR50" s="128"/>
      <c r="AS50" s="183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6"/>
    </row>
    <row r="51" spans="1:56" x14ac:dyDescent="0.25">
      <c r="A51" s="177">
        <v>32</v>
      </c>
      <c r="B51" s="178" t="s">
        <v>333</v>
      </c>
      <c r="C51" s="179" t="s">
        <v>231</v>
      </c>
      <c r="D51" s="103" t="s">
        <v>301</v>
      </c>
      <c r="E51" s="103"/>
      <c r="F51" s="180" t="s">
        <v>302</v>
      </c>
      <c r="G51" s="101" t="s">
        <v>303</v>
      </c>
      <c r="H51" s="98" t="s">
        <v>334</v>
      </c>
      <c r="I51" s="181" t="s">
        <v>335</v>
      </c>
      <c r="J51" s="103" t="s">
        <v>336</v>
      </c>
      <c r="K51" s="99">
        <v>42866</v>
      </c>
      <c r="L51" s="100">
        <v>4150</v>
      </c>
      <c r="M51" s="99" t="s">
        <v>307</v>
      </c>
      <c r="N51" s="99">
        <v>42866</v>
      </c>
      <c r="O51" s="181" t="s">
        <v>174</v>
      </c>
      <c r="P51" s="103">
        <v>1</v>
      </c>
      <c r="Q51" s="115"/>
      <c r="R51" s="115"/>
      <c r="S51" s="119"/>
      <c r="T51" s="103" t="s">
        <v>308</v>
      </c>
      <c r="U51" s="115"/>
      <c r="V51" s="118"/>
      <c r="W51" s="121"/>
      <c r="X51" s="115"/>
      <c r="Y51" s="115"/>
      <c r="Z51" s="115"/>
      <c r="AA51" s="115"/>
      <c r="AB51" s="115"/>
      <c r="AC51" s="122"/>
      <c r="AD51" s="115"/>
      <c r="AE51" s="105">
        <f t="shared" si="8"/>
        <v>4150</v>
      </c>
      <c r="AF51" s="100">
        <v>0</v>
      </c>
      <c r="AG51" s="100">
        <f>850+1300+250+250+300+1075</f>
        <v>4025</v>
      </c>
      <c r="AH51" s="100">
        <f t="shared" si="9"/>
        <v>4025</v>
      </c>
      <c r="AI51" s="186"/>
      <c r="AJ51" s="126"/>
      <c r="AK51" s="107"/>
      <c r="AL51" s="128"/>
      <c r="AM51" s="129"/>
      <c r="AN51" s="126"/>
      <c r="AO51" s="126"/>
      <c r="AP51" s="118"/>
      <c r="AQ51" s="185"/>
      <c r="AR51" s="128"/>
      <c r="AS51" s="183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6"/>
    </row>
    <row r="52" spans="1:56" x14ac:dyDescent="0.25">
      <c r="A52" s="177">
        <v>33</v>
      </c>
      <c r="B52" s="178" t="s">
        <v>337</v>
      </c>
      <c r="C52" s="179" t="s">
        <v>231</v>
      </c>
      <c r="D52" s="103" t="s">
        <v>301</v>
      </c>
      <c r="E52" s="103"/>
      <c r="F52" s="180" t="s">
        <v>302</v>
      </c>
      <c r="G52" s="101" t="s">
        <v>303</v>
      </c>
      <c r="H52" s="98" t="s">
        <v>338</v>
      </c>
      <c r="I52" s="181" t="s">
        <v>339</v>
      </c>
      <c r="J52" s="103" t="s">
        <v>340</v>
      </c>
      <c r="K52" s="99">
        <v>42845</v>
      </c>
      <c r="L52" s="100">
        <v>4150</v>
      </c>
      <c r="M52" s="99" t="s">
        <v>307</v>
      </c>
      <c r="N52" s="99">
        <v>42866</v>
      </c>
      <c r="O52" s="181" t="s">
        <v>174</v>
      </c>
      <c r="P52" s="103">
        <v>1</v>
      </c>
      <c r="Q52" s="115"/>
      <c r="R52" s="115"/>
      <c r="S52" s="119"/>
      <c r="T52" s="103" t="s">
        <v>308</v>
      </c>
      <c r="U52" s="115"/>
      <c r="V52" s="118"/>
      <c r="W52" s="121"/>
      <c r="X52" s="115"/>
      <c r="Y52" s="115"/>
      <c r="Z52" s="115"/>
      <c r="AA52" s="115"/>
      <c r="AB52" s="115"/>
      <c r="AC52" s="122"/>
      <c r="AD52" s="115"/>
      <c r="AE52" s="105">
        <f t="shared" si="8"/>
        <v>4150</v>
      </c>
      <c r="AF52" s="100">
        <v>0</v>
      </c>
      <c r="AG52" s="100">
        <f>1662.5+385</f>
        <v>2047.5</v>
      </c>
      <c r="AH52" s="100">
        <f t="shared" si="9"/>
        <v>2047.5</v>
      </c>
      <c r="AI52" s="186"/>
      <c r="AJ52" s="126"/>
      <c r="AK52" s="107"/>
      <c r="AL52" s="128"/>
      <c r="AM52" s="129"/>
      <c r="AN52" s="126"/>
      <c r="AO52" s="126"/>
      <c r="AP52" s="118"/>
      <c r="AQ52" s="185"/>
      <c r="AR52" s="128"/>
      <c r="AS52" s="183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6"/>
    </row>
    <row r="53" spans="1:56" x14ac:dyDescent="0.25">
      <c r="A53" s="177">
        <v>34</v>
      </c>
      <c r="B53" s="178" t="s">
        <v>341</v>
      </c>
      <c r="C53" s="179" t="s">
        <v>231</v>
      </c>
      <c r="D53" s="103" t="s">
        <v>301</v>
      </c>
      <c r="E53" s="103"/>
      <c r="F53" s="180" t="s">
        <v>302</v>
      </c>
      <c r="G53" s="101" t="s">
        <v>303</v>
      </c>
      <c r="H53" s="98" t="s">
        <v>318</v>
      </c>
      <c r="I53" s="181" t="s">
        <v>342</v>
      </c>
      <c r="J53" s="103" t="s">
        <v>343</v>
      </c>
      <c r="K53" s="99">
        <v>42866</v>
      </c>
      <c r="L53" s="100">
        <v>4675</v>
      </c>
      <c r="M53" s="99" t="s">
        <v>344</v>
      </c>
      <c r="N53" s="99">
        <v>42866</v>
      </c>
      <c r="O53" s="181" t="s">
        <v>174</v>
      </c>
      <c r="P53" s="103">
        <v>1</v>
      </c>
      <c r="Q53" s="115"/>
      <c r="R53" s="115"/>
      <c r="S53" s="119"/>
      <c r="T53" s="103" t="s">
        <v>308</v>
      </c>
      <c r="U53" s="115"/>
      <c r="V53" s="118"/>
      <c r="W53" s="121"/>
      <c r="X53" s="115"/>
      <c r="Y53" s="115"/>
      <c r="Z53" s="115"/>
      <c r="AA53" s="115"/>
      <c r="AB53" s="115"/>
      <c r="AC53" s="122"/>
      <c r="AD53" s="115"/>
      <c r="AE53" s="105">
        <f t="shared" si="8"/>
        <v>4675</v>
      </c>
      <c r="AF53" s="100">
        <v>0</v>
      </c>
      <c r="AG53" s="100">
        <f>2175+50+2150+172.5+127.5</f>
        <v>4675</v>
      </c>
      <c r="AH53" s="100">
        <f t="shared" si="9"/>
        <v>4675</v>
      </c>
      <c r="AI53" s="119"/>
      <c r="AJ53" s="126"/>
      <c r="AK53" s="107"/>
      <c r="AL53" s="128"/>
      <c r="AM53" s="129"/>
      <c r="AN53" s="126"/>
      <c r="AO53" s="126"/>
      <c r="AP53" s="118"/>
      <c r="AQ53" s="185"/>
      <c r="AR53" s="128"/>
      <c r="AS53" s="183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6"/>
    </row>
    <row r="54" spans="1:56" x14ac:dyDescent="0.25">
      <c r="A54" s="177">
        <v>35</v>
      </c>
      <c r="B54" s="178" t="s">
        <v>345</v>
      </c>
      <c r="C54" s="179" t="s">
        <v>231</v>
      </c>
      <c r="D54" s="103" t="s">
        <v>301</v>
      </c>
      <c r="E54" s="103"/>
      <c r="F54" s="180" t="s">
        <v>302</v>
      </c>
      <c r="G54" s="101" t="s">
        <v>303</v>
      </c>
      <c r="H54" s="98" t="s">
        <v>346</v>
      </c>
      <c r="I54" s="181" t="s">
        <v>347</v>
      </c>
      <c r="J54" s="103" t="s">
        <v>348</v>
      </c>
      <c r="K54" s="99">
        <v>42866</v>
      </c>
      <c r="L54" s="100">
        <v>2500</v>
      </c>
      <c r="M54" s="99" t="s">
        <v>307</v>
      </c>
      <c r="N54" s="99">
        <v>42866</v>
      </c>
      <c r="O54" s="181" t="s">
        <v>174</v>
      </c>
      <c r="P54" s="103">
        <v>1</v>
      </c>
      <c r="Q54" s="115"/>
      <c r="R54" s="115"/>
      <c r="S54" s="119"/>
      <c r="T54" s="103" t="s">
        <v>308</v>
      </c>
      <c r="U54" s="115"/>
      <c r="V54" s="118"/>
      <c r="W54" s="121"/>
      <c r="X54" s="115"/>
      <c r="Y54" s="115"/>
      <c r="Z54" s="115"/>
      <c r="AA54" s="115"/>
      <c r="AB54" s="115"/>
      <c r="AC54" s="122"/>
      <c r="AD54" s="115"/>
      <c r="AE54" s="105">
        <f t="shared" si="8"/>
        <v>2500</v>
      </c>
      <c r="AF54" s="100">
        <v>0</v>
      </c>
      <c r="AG54" s="100">
        <f>100+1500+650+250</f>
        <v>2500</v>
      </c>
      <c r="AH54" s="100">
        <f t="shared" si="9"/>
        <v>2500</v>
      </c>
      <c r="AI54" s="186"/>
      <c r="AJ54" s="126"/>
      <c r="AK54" s="107"/>
      <c r="AL54" s="128"/>
      <c r="AM54" s="129"/>
      <c r="AN54" s="126"/>
      <c r="AO54" s="126"/>
      <c r="AP54" s="118"/>
      <c r="AQ54" s="185"/>
      <c r="AR54" s="128"/>
      <c r="AS54" s="183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6"/>
    </row>
    <row r="55" spans="1:56" x14ac:dyDescent="0.25">
      <c r="A55" s="177">
        <v>36</v>
      </c>
      <c r="B55" s="178" t="s">
        <v>349</v>
      </c>
      <c r="C55" s="179" t="s">
        <v>231</v>
      </c>
      <c r="D55" s="103" t="s">
        <v>301</v>
      </c>
      <c r="E55" s="103"/>
      <c r="F55" s="180" t="s">
        <v>302</v>
      </c>
      <c r="G55" s="101" t="s">
        <v>303</v>
      </c>
      <c r="H55" s="98" t="s">
        <v>350</v>
      </c>
      <c r="I55" s="181" t="s">
        <v>351</v>
      </c>
      <c r="J55" s="103" t="s">
        <v>352</v>
      </c>
      <c r="K55" s="99">
        <v>42845</v>
      </c>
      <c r="L55" s="100">
        <v>3695</v>
      </c>
      <c r="M55" s="99" t="s">
        <v>307</v>
      </c>
      <c r="N55" s="99">
        <v>42845</v>
      </c>
      <c r="O55" s="181" t="s">
        <v>174</v>
      </c>
      <c r="P55" s="103">
        <v>1</v>
      </c>
      <c r="Q55" s="115"/>
      <c r="R55" s="115"/>
      <c r="S55" s="119"/>
      <c r="T55" s="103" t="s">
        <v>308</v>
      </c>
      <c r="U55" s="115"/>
      <c r="V55" s="118"/>
      <c r="W55" s="121"/>
      <c r="X55" s="115"/>
      <c r="Y55" s="115"/>
      <c r="Z55" s="115"/>
      <c r="AA55" s="115"/>
      <c r="AB55" s="115"/>
      <c r="AC55" s="122"/>
      <c r="AD55" s="115"/>
      <c r="AE55" s="105">
        <f t="shared" si="8"/>
        <v>3695</v>
      </c>
      <c r="AF55" s="100">
        <v>0</v>
      </c>
      <c r="AG55" s="100">
        <f>1445+217.5</f>
        <v>1662.5</v>
      </c>
      <c r="AH55" s="100">
        <f t="shared" si="9"/>
        <v>1662.5</v>
      </c>
      <c r="AI55" s="186"/>
      <c r="AJ55" s="126"/>
      <c r="AK55" s="107"/>
      <c r="AL55" s="128"/>
      <c r="AM55" s="129"/>
      <c r="AN55" s="126"/>
      <c r="AO55" s="126"/>
      <c r="AP55" s="118"/>
      <c r="AQ55" s="185"/>
      <c r="AR55" s="128"/>
      <c r="AS55" s="183"/>
      <c r="AT55" s="115"/>
      <c r="AU55" s="115"/>
      <c r="AV55" s="115"/>
      <c r="AW55" s="115"/>
      <c r="AX55" s="115"/>
      <c r="AY55" s="115"/>
      <c r="AZ55" s="115"/>
      <c r="BA55" s="115"/>
      <c r="BB55" s="115"/>
      <c r="BC55" s="115"/>
      <c r="BD55" s="116"/>
    </row>
    <row r="56" spans="1:56" x14ac:dyDescent="0.25">
      <c r="A56" s="177">
        <v>37</v>
      </c>
      <c r="B56" s="178" t="s">
        <v>250</v>
      </c>
      <c r="C56" s="179" t="s">
        <v>231</v>
      </c>
      <c r="D56" s="103" t="s">
        <v>301</v>
      </c>
      <c r="E56" s="103"/>
      <c r="F56" s="180" t="s">
        <v>302</v>
      </c>
      <c r="G56" s="101" t="s">
        <v>303</v>
      </c>
      <c r="H56" s="98" t="s">
        <v>353</v>
      </c>
      <c r="I56" s="181" t="s">
        <v>354</v>
      </c>
      <c r="J56" s="103" t="s">
        <v>355</v>
      </c>
      <c r="K56" s="99">
        <v>42845</v>
      </c>
      <c r="L56" s="100">
        <v>4945</v>
      </c>
      <c r="M56" s="99" t="s">
        <v>307</v>
      </c>
      <c r="N56" s="99">
        <v>42845</v>
      </c>
      <c r="O56" s="181" t="s">
        <v>174</v>
      </c>
      <c r="P56" s="103">
        <v>1</v>
      </c>
      <c r="Q56" s="115"/>
      <c r="R56" s="115"/>
      <c r="S56" s="119"/>
      <c r="T56" s="103" t="s">
        <v>308</v>
      </c>
      <c r="U56" s="115"/>
      <c r="V56" s="118"/>
      <c r="W56" s="121"/>
      <c r="X56" s="115"/>
      <c r="Y56" s="115"/>
      <c r="Z56" s="115"/>
      <c r="AA56" s="115"/>
      <c r="AB56" s="115"/>
      <c r="AC56" s="122"/>
      <c r="AD56" s="115"/>
      <c r="AE56" s="105">
        <f t="shared" si="8"/>
        <v>4945</v>
      </c>
      <c r="AF56" s="100">
        <v>0</v>
      </c>
      <c r="AG56" s="100">
        <f>2187.5+435</f>
        <v>2622.5</v>
      </c>
      <c r="AH56" s="100">
        <f t="shared" si="9"/>
        <v>2622.5</v>
      </c>
      <c r="AI56" s="186"/>
      <c r="AJ56" s="126"/>
      <c r="AK56" s="107"/>
      <c r="AL56" s="128"/>
      <c r="AM56" s="129"/>
      <c r="AN56" s="126"/>
      <c r="AO56" s="126"/>
      <c r="AP56" s="118"/>
      <c r="AQ56" s="185"/>
      <c r="AR56" s="128"/>
      <c r="AS56" s="183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6"/>
    </row>
    <row r="57" spans="1:56" x14ac:dyDescent="0.25">
      <c r="A57" s="177">
        <v>38</v>
      </c>
      <c r="B57" s="178" t="s">
        <v>356</v>
      </c>
      <c r="C57" s="179" t="s">
        <v>231</v>
      </c>
      <c r="D57" s="103" t="s">
        <v>301</v>
      </c>
      <c r="E57" s="103"/>
      <c r="F57" s="180" t="s">
        <v>302</v>
      </c>
      <c r="G57" s="101" t="s">
        <v>303</v>
      </c>
      <c r="H57" s="98" t="s">
        <v>357</v>
      </c>
      <c r="I57" s="181" t="s">
        <v>358</v>
      </c>
      <c r="J57" s="103" t="s">
        <v>359</v>
      </c>
      <c r="K57" s="99">
        <v>42866</v>
      </c>
      <c r="L57" s="100">
        <v>2500</v>
      </c>
      <c r="M57" s="99" t="s">
        <v>307</v>
      </c>
      <c r="N57" s="99">
        <v>42866</v>
      </c>
      <c r="O57" s="181" t="s">
        <v>174</v>
      </c>
      <c r="P57" s="103">
        <v>1</v>
      </c>
      <c r="Q57" s="115"/>
      <c r="R57" s="115"/>
      <c r="S57" s="119"/>
      <c r="T57" s="103" t="s">
        <v>308</v>
      </c>
      <c r="U57" s="115"/>
      <c r="V57" s="118"/>
      <c r="W57" s="121"/>
      <c r="X57" s="115"/>
      <c r="Y57" s="115"/>
      <c r="Z57" s="115"/>
      <c r="AA57" s="115"/>
      <c r="AB57" s="115"/>
      <c r="AC57" s="122"/>
      <c r="AD57" s="115"/>
      <c r="AE57" s="105">
        <f t="shared" si="8"/>
        <v>2500</v>
      </c>
      <c r="AF57" s="100">
        <v>0</v>
      </c>
      <c r="AG57" s="100">
        <f>125+525+200+150</f>
        <v>1000</v>
      </c>
      <c r="AH57" s="100">
        <f t="shared" si="9"/>
        <v>1000</v>
      </c>
      <c r="AI57" s="186"/>
      <c r="AJ57" s="126"/>
      <c r="AK57" s="107"/>
      <c r="AL57" s="128"/>
      <c r="AM57" s="129"/>
      <c r="AN57" s="126"/>
      <c r="AO57" s="126"/>
      <c r="AP57" s="118"/>
      <c r="AQ57" s="185"/>
      <c r="AR57" s="128"/>
      <c r="AS57" s="183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6"/>
    </row>
    <row r="58" spans="1:56" x14ac:dyDescent="0.25">
      <c r="A58" s="177">
        <v>39</v>
      </c>
      <c r="B58" s="178" t="s">
        <v>360</v>
      </c>
      <c r="C58" s="179" t="s">
        <v>231</v>
      </c>
      <c r="D58" s="103" t="s">
        <v>301</v>
      </c>
      <c r="E58" s="103"/>
      <c r="F58" s="180" t="s">
        <v>302</v>
      </c>
      <c r="G58" s="101" t="s">
        <v>303</v>
      </c>
      <c r="H58" s="98" t="s">
        <v>361</v>
      </c>
      <c r="I58" s="181" t="s">
        <v>362</v>
      </c>
      <c r="J58" s="103" t="s">
        <v>363</v>
      </c>
      <c r="K58" s="99">
        <v>42845</v>
      </c>
      <c r="L58" s="100">
        <v>3695</v>
      </c>
      <c r="M58" s="99" t="s">
        <v>307</v>
      </c>
      <c r="N58" s="99">
        <v>42845</v>
      </c>
      <c r="O58" s="181" t="s">
        <v>174</v>
      </c>
      <c r="P58" s="103">
        <v>1</v>
      </c>
      <c r="Q58" s="115"/>
      <c r="R58" s="115"/>
      <c r="S58" s="119"/>
      <c r="T58" s="103" t="s">
        <v>308</v>
      </c>
      <c r="U58" s="115"/>
      <c r="V58" s="118"/>
      <c r="W58" s="121"/>
      <c r="X58" s="115"/>
      <c r="Y58" s="115"/>
      <c r="Z58" s="115"/>
      <c r="AA58" s="115"/>
      <c r="AB58" s="115"/>
      <c r="AC58" s="122"/>
      <c r="AD58" s="115"/>
      <c r="AE58" s="105">
        <f t="shared" si="8"/>
        <v>3695</v>
      </c>
      <c r="AF58" s="100">
        <v>0</v>
      </c>
      <c r="AG58" s="100">
        <f>842.5+1232.5</f>
        <v>2075</v>
      </c>
      <c r="AH58" s="100">
        <f t="shared" si="9"/>
        <v>2075</v>
      </c>
      <c r="AI58" s="186"/>
      <c r="AJ58" s="126"/>
      <c r="AK58" s="107"/>
      <c r="AL58" s="128"/>
      <c r="AM58" s="129"/>
      <c r="AN58" s="126"/>
      <c r="AO58" s="126"/>
      <c r="AP58" s="118"/>
      <c r="AQ58" s="185"/>
      <c r="AR58" s="128"/>
      <c r="AS58" s="183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6"/>
    </row>
    <row r="59" spans="1:56" x14ac:dyDescent="0.25">
      <c r="A59" s="177">
        <v>40</v>
      </c>
      <c r="B59" s="178" t="s">
        <v>364</v>
      </c>
      <c r="C59" s="179" t="s">
        <v>231</v>
      </c>
      <c r="D59" s="103" t="s">
        <v>301</v>
      </c>
      <c r="E59" s="103"/>
      <c r="F59" s="180" t="s">
        <v>302</v>
      </c>
      <c r="G59" s="101" t="s">
        <v>303</v>
      </c>
      <c r="H59" s="98" t="s">
        <v>365</v>
      </c>
      <c r="I59" s="181" t="s">
        <v>366</v>
      </c>
      <c r="J59" s="103" t="s">
        <v>367</v>
      </c>
      <c r="K59" s="99">
        <v>42866</v>
      </c>
      <c r="L59" s="100">
        <v>1275</v>
      </c>
      <c r="M59" s="99" t="s">
        <v>307</v>
      </c>
      <c r="N59" s="99">
        <v>42866</v>
      </c>
      <c r="O59" s="181" t="s">
        <v>174</v>
      </c>
      <c r="P59" s="103">
        <v>1</v>
      </c>
      <c r="Q59" s="115"/>
      <c r="R59" s="115"/>
      <c r="S59" s="119"/>
      <c r="T59" s="103" t="s">
        <v>308</v>
      </c>
      <c r="U59" s="115"/>
      <c r="V59" s="118"/>
      <c r="W59" s="121"/>
      <c r="X59" s="115"/>
      <c r="Y59" s="115"/>
      <c r="Z59" s="115"/>
      <c r="AA59" s="115"/>
      <c r="AB59" s="115"/>
      <c r="AC59" s="122"/>
      <c r="AD59" s="115"/>
      <c r="AE59" s="105">
        <f t="shared" si="8"/>
        <v>1275</v>
      </c>
      <c r="AF59" s="100">
        <v>0</v>
      </c>
      <c r="AG59" s="100">
        <f>425+510</f>
        <v>935</v>
      </c>
      <c r="AH59" s="100">
        <f t="shared" si="9"/>
        <v>935</v>
      </c>
      <c r="AI59" s="186"/>
      <c r="AJ59" s="126"/>
      <c r="AK59" s="107"/>
      <c r="AL59" s="128"/>
      <c r="AM59" s="129"/>
      <c r="AN59" s="126"/>
      <c r="AO59" s="126"/>
      <c r="AP59" s="118"/>
      <c r="AQ59" s="185"/>
      <c r="AR59" s="128"/>
      <c r="AS59" s="183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6"/>
    </row>
    <row r="60" spans="1:56" x14ac:dyDescent="0.25">
      <c r="A60" s="177">
        <v>41</v>
      </c>
      <c r="B60" s="178" t="s">
        <v>319</v>
      </c>
      <c r="C60" s="179" t="s">
        <v>231</v>
      </c>
      <c r="D60" s="103" t="s">
        <v>301</v>
      </c>
      <c r="E60" s="103"/>
      <c r="F60" s="180" t="s">
        <v>302</v>
      </c>
      <c r="G60" s="101" t="s">
        <v>303</v>
      </c>
      <c r="H60" s="98" t="s">
        <v>368</v>
      </c>
      <c r="I60" s="181" t="s">
        <v>369</v>
      </c>
      <c r="J60" s="103" t="s">
        <v>370</v>
      </c>
      <c r="K60" s="99">
        <v>42866</v>
      </c>
      <c r="L60" s="100">
        <v>2500</v>
      </c>
      <c r="M60" s="99" t="s">
        <v>307</v>
      </c>
      <c r="N60" s="99">
        <v>42866</v>
      </c>
      <c r="O60" s="181" t="s">
        <v>174</v>
      </c>
      <c r="P60" s="103">
        <v>1</v>
      </c>
      <c r="Q60" s="115"/>
      <c r="R60" s="115"/>
      <c r="S60" s="119"/>
      <c r="T60" s="103" t="s">
        <v>308</v>
      </c>
      <c r="U60" s="115"/>
      <c r="V60" s="118"/>
      <c r="W60" s="121"/>
      <c r="X60" s="115"/>
      <c r="Y60" s="115"/>
      <c r="Z60" s="115"/>
      <c r="AA60" s="115"/>
      <c r="AB60" s="115"/>
      <c r="AC60" s="122"/>
      <c r="AD60" s="115"/>
      <c r="AE60" s="105">
        <f t="shared" si="8"/>
        <v>2500</v>
      </c>
      <c r="AF60" s="100">
        <v>0</v>
      </c>
      <c r="AG60" s="100">
        <f>200+600+100+500</f>
        <v>1400</v>
      </c>
      <c r="AH60" s="100">
        <f t="shared" si="9"/>
        <v>1400</v>
      </c>
      <c r="AI60" s="186"/>
      <c r="AJ60" s="126"/>
      <c r="AK60" s="107"/>
      <c r="AL60" s="128"/>
      <c r="AM60" s="129"/>
      <c r="AN60" s="126"/>
      <c r="AO60" s="126"/>
      <c r="AP60" s="118"/>
      <c r="AQ60" s="185"/>
      <c r="AR60" s="128"/>
      <c r="AS60" s="183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6"/>
    </row>
    <row r="61" spans="1:56" x14ac:dyDescent="0.25">
      <c r="A61" s="177">
        <v>42</v>
      </c>
      <c r="B61" s="178" t="s">
        <v>371</v>
      </c>
      <c r="C61" s="179" t="s">
        <v>231</v>
      </c>
      <c r="D61" s="103" t="s">
        <v>301</v>
      </c>
      <c r="E61" s="103"/>
      <c r="F61" s="180" t="s">
        <v>302</v>
      </c>
      <c r="G61" s="101" t="s">
        <v>303</v>
      </c>
      <c r="H61" s="98" t="s">
        <v>322</v>
      </c>
      <c r="I61" s="181" t="s">
        <v>372</v>
      </c>
      <c r="J61" s="103" t="s">
        <v>373</v>
      </c>
      <c r="K61" s="99">
        <v>42866</v>
      </c>
      <c r="L61" s="100">
        <v>4675</v>
      </c>
      <c r="M61" s="99" t="s">
        <v>307</v>
      </c>
      <c r="N61" s="99">
        <v>42866</v>
      </c>
      <c r="O61" s="181" t="s">
        <v>174</v>
      </c>
      <c r="P61" s="103">
        <v>1</v>
      </c>
      <c r="Q61" s="115"/>
      <c r="R61" s="115"/>
      <c r="S61" s="119"/>
      <c r="T61" s="103" t="s">
        <v>308</v>
      </c>
      <c r="U61" s="115"/>
      <c r="V61" s="118"/>
      <c r="W61" s="121"/>
      <c r="X61" s="115"/>
      <c r="Y61" s="115"/>
      <c r="Z61" s="115"/>
      <c r="AA61" s="115"/>
      <c r="AB61" s="115"/>
      <c r="AC61" s="122"/>
      <c r="AD61" s="115"/>
      <c r="AE61" s="105">
        <f t="shared" si="8"/>
        <v>4675</v>
      </c>
      <c r="AF61" s="100">
        <v>0</v>
      </c>
      <c r="AG61" s="100">
        <f>1484.07+183.43+150+1450+100+1000+287.5</f>
        <v>4655</v>
      </c>
      <c r="AH61" s="100">
        <f t="shared" si="9"/>
        <v>4655</v>
      </c>
      <c r="AI61" s="186"/>
      <c r="AJ61" s="126"/>
      <c r="AK61" s="107"/>
      <c r="AL61" s="128"/>
      <c r="AM61" s="129"/>
      <c r="AN61" s="126"/>
      <c r="AO61" s="126"/>
      <c r="AP61" s="118"/>
      <c r="AQ61" s="185"/>
      <c r="AR61" s="128"/>
      <c r="AS61" s="183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6"/>
    </row>
    <row r="62" spans="1:56" x14ac:dyDescent="0.25">
      <c r="A62" s="177">
        <v>43</v>
      </c>
      <c r="B62" s="178" t="s">
        <v>374</v>
      </c>
      <c r="C62" s="179" t="s">
        <v>231</v>
      </c>
      <c r="D62" s="103" t="s">
        <v>301</v>
      </c>
      <c r="E62" s="103"/>
      <c r="F62" s="180" t="s">
        <v>302</v>
      </c>
      <c r="G62" s="101" t="s">
        <v>303</v>
      </c>
      <c r="H62" s="98" t="s">
        <v>375</v>
      </c>
      <c r="I62" s="181" t="s">
        <v>376</v>
      </c>
      <c r="J62" s="103" t="s">
        <v>377</v>
      </c>
      <c r="K62" s="99">
        <v>42866</v>
      </c>
      <c r="L62" s="100">
        <v>2175</v>
      </c>
      <c r="M62" s="99" t="s">
        <v>378</v>
      </c>
      <c r="N62" s="99">
        <v>42866</v>
      </c>
      <c r="O62" s="181" t="s">
        <v>174</v>
      </c>
      <c r="P62" s="103">
        <v>1</v>
      </c>
      <c r="Q62" s="115"/>
      <c r="R62" s="115"/>
      <c r="S62" s="119"/>
      <c r="T62" s="103" t="s">
        <v>308</v>
      </c>
      <c r="U62" s="115"/>
      <c r="V62" s="118"/>
      <c r="W62" s="121"/>
      <c r="X62" s="115"/>
      <c r="Y62" s="115"/>
      <c r="Z62" s="115"/>
      <c r="AA62" s="115"/>
      <c r="AB62" s="115"/>
      <c r="AC62" s="122"/>
      <c r="AD62" s="115"/>
      <c r="AE62" s="105">
        <f t="shared" si="8"/>
        <v>2175</v>
      </c>
      <c r="AF62" s="100">
        <v>0</v>
      </c>
      <c r="AG62" s="100">
        <v>1305</v>
      </c>
      <c r="AH62" s="100">
        <f t="shared" si="9"/>
        <v>1305</v>
      </c>
      <c r="AI62" s="186"/>
      <c r="AJ62" s="126"/>
      <c r="AK62" s="107"/>
      <c r="AL62" s="128"/>
      <c r="AM62" s="129"/>
      <c r="AN62" s="126"/>
      <c r="AO62" s="126"/>
      <c r="AP62" s="118"/>
      <c r="AQ62" s="185"/>
      <c r="AR62" s="128"/>
      <c r="AS62" s="183"/>
      <c r="AT62" s="115"/>
      <c r="AU62" s="115"/>
      <c r="AV62" s="115"/>
      <c r="AW62" s="115"/>
      <c r="AX62" s="115"/>
      <c r="AY62" s="115"/>
      <c r="AZ62" s="115"/>
      <c r="BA62" s="115"/>
      <c r="BB62" s="115"/>
      <c r="BC62" s="115"/>
      <c r="BD62" s="116"/>
    </row>
    <row r="63" spans="1:56" x14ac:dyDescent="0.25">
      <c r="A63" s="177">
        <v>44</v>
      </c>
      <c r="B63" s="178" t="s">
        <v>379</v>
      </c>
      <c r="C63" s="179" t="s">
        <v>231</v>
      </c>
      <c r="D63" s="103" t="s">
        <v>301</v>
      </c>
      <c r="E63" s="103"/>
      <c r="F63" s="180" t="s">
        <v>302</v>
      </c>
      <c r="G63" s="101" t="s">
        <v>303</v>
      </c>
      <c r="H63" s="98" t="s">
        <v>380</v>
      </c>
      <c r="I63" s="181" t="s">
        <v>381</v>
      </c>
      <c r="J63" s="103" t="s">
        <v>382</v>
      </c>
      <c r="K63" s="99">
        <v>42866</v>
      </c>
      <c r="L63" s="100">
        <v>3750</v>
      </c>
      <c r="M63" s="99" t="s">
        <v>378</v>
      </c>
      <c r="N63" s="99">
        <v>42866</v>
      </c>
      <c r="O63" s="181" t="s">
        <v>174</v>
      </c>
      <c r="P63" s="103">
        <v>1</v>
      </c>
      <c r="Q63" s="115"/>
      <c r="R63" s="115"/>
      <c r="S63" s="119"/>
      <c r="T63" s="103" t="s">
        <v>308</v>
      </c>
      <c r="U63" s="115"/>
      <c r="V63" s="118"/>
      <c r="W63" s="121"/>
      <c r="X63" s="115"/>
      <c r="Y63" s="115"/>
      <c r="Z63" s="115"/>
      <c r="AA63" s="115"/>
      <c r="AB63" s="115"/>
      <c r="AC63" s="122"/>
      <c r="AD63" s="115"/>
      <c r="AE63" s="105">
        <f t="shared" si="8"/>
        <v>3750</v>
      </c>
      <c r="AF63" s="100">
        <v>0</v>
      </c>
      <c r="AG63" s="100">
        <f>200+150</f>
        <v>350</v>
      </c>
      <c r="AH63" s="100">
        <f t="shared" si="9"/>
        <v>350</v>
      </c>
      <c r="AI63" s="186"/>
      <c r="AJ63" s="126"/>
      <c r="AK63" s="107"/>
      <c r="AL63" s="128"/>
      <c r="AM63" s="129"/>
      <c r="AN63" s="126"/>
      <c r="AO63" s="126"/>
      <c r="AP63" s="118"/>
      <c r="AQ63" s="185"/>
      <c r="AR63" s="128"/>
      <c r="AS63" s="183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6"/>
    </row>
    <row r="64" spans="1:56" x14ac:dyDescent="0.25">
      <c r="A64" s="177">
        <v>45</v>
      </c>
      <c r="B64" s="178" t="s">
        <v>383</v>
      </c>
      <c r="C64" s="179" t="s">
        <v>231</v>
      </c>
      <c r="D64" s="103" t="s">
        <v>301</v>
      </c>
      <c r="E64" s="103"/>
      <c r="F64" s="180" t="s">
        <v>302</v>
      </c>
      <c r="G64" s="101" t="s">
        <v>303</v>
      </c>
      <c r="H64" s="98" t="s">
        <v>384</v>
      </c>
      <c r="I64" s="181" t="s">
        <v>385</v>
      </c>
      <c r="J64" s="103" t="s">
        <v>386</v>
      </c>
      <c r="K64" s="99">
        <v>42845</v>
      </c>
      <c r="L64" s="100">
        <v>4945</v>
      </c>
      <c r="M64" s="99" t="s">
        <v>307</v>
      </c>
      <c r="N64" s="99">
        <v>42845</v>
      </c>
      <c r="O64" s="181" t="s">
        <v>174</v>
      </c>
      <c r="P64" s="103">
        <v>1</v>
      </c>
      <c r="Q64" s="115"/>
      <c r="R64" s="115"/>
      <c r="S64" s="119"/>
      <c r="T64" s="103" t="s">
        <v>308</v>
      </c>
      <c r="U64" s="115"/>
      <c r="V64" s="118"/>
      <c r="W64" s="121"/>
      <c r="X64" s="115"/>
      <c r="Y64" s="115"/>
      <c r="Z64" s="115"/>
      <c r="AA64" s="115"/>
      <c r="AB64" s="115"/>
      <c r="AC64" s="122"/>
      <c r="AD64" s="115"/>
      <c r="AE64" s="105">
        <f t="shared" si="8"/>
        <v>4945</v>
      </c>
      <c r="AF64" s="100">
        <v>0</v>
      </c>
      <c r="AG64" s="100">
        <f>1367.5+580</f>
        <v>1947.5</v>
      </c>
      <c r="AH64" s="100">
        <f t="shared" si="9"/>
        <v>1947.5</v>
      </c>
      <c r="AI64" s="186"/>
      <c r="AJ64" s="126"/>
      <c r="AK64" s="107"/>
      <c r="AL64" s="128"/>
      <c r="AM64" s="129"/>
      <c r="AN64" s="126"/>
      <c r="AO64" s="126"/>
      <c r="AP64" s="118"/>
      <c r="AQ64" s="185"/>
      <c r="AR64" s="128"/>
      <c r="AS64" s="183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6"/>
    </row>
    <row r="65" spans="1:56" x14ac:dyDescent="0.25">
      <c r="A65" s="177">
        <v>46</v>
      </c>
      <c r="B65" s="178" t="s">
        <v>387</v>
      </c>
      <c r="C65" s="179" t="s">
        <v>231</v>
      </c>
      <c r="D65" s="103" t="s">
        <v>301</v>
      </c>
      <c r="E65" s="103"/>
      <c r="F65" s="180" t="s">
        <v>302</v>
      </c>
      <c r="G65" s="101" t="s">
        <v>303</v>
      </c>
      <c r="H65" s="98" t="s">
        <v>356</v>
      </c>
      <c r="I65" s="181" t="s">
        <v>388</v>
      </c>
      <c r="J65" s="103" t="s">
        <v>389</v>
      </c>
      <c r="K65" s="99">
        <v>42866</v>
      </c>
      <c r="L65" s="100">
        <v>2500</v>
      </c>
      <c r="M65" s="99" t="s">
        <v>307</v>
      </c>
      <c r="N65" s="99">
        <v>42866</v>
      </c>
      <c r="O65" s="181" t="s">
        <v>174</v>
      </c>
      <c r="P65" s="103">
        <v>1</v>
      </c>
      <c r="Q65" s="115"/>
      <c r="R65" s="115"/>
      <c r="S65" s="119"/>
      <c r="T65" s="103" t="s">
        <v>308</v>
      </c>
      <c r="U65" s="115"/>
      <c r="V65" s="118"/>
      <c r="W65" s="121"/>
      <c r="X65" s="115"/>
      <c r="Y65" s="115"/>
      <c r="Z65" s="115"/>
      <c r="AA65" s="115"/>
      <c r="AB65" s="115"/>
      <c r="AC65" s="122"/>
      <c r="AD65" s="115"/>
      <c r="AE65" s="105">
        <f t="shared" si="8"/>
        <v>2500</v>
      </c>
      <c r="AF65" s="100">
        <v>0</v>
      </c>
      <c r="AG65" s="100">
        <f>300+600+200+650+100</f>
        <v>1850</v>
      </c>
      <c r="AH65" s="100">
        <f t="shared" si="9"/>
        <v>1850</v>
      </c>
      <c r="AI65" s="186"/>
      <c r="AJ65" s="126"/>
      <c r="AK65" s="107"/>
      <c r="AL65" s="128"/>
      <c r="AM65" s="129"/>
      <c r="AN65" s="126"/>
      <c r="AO65" s="126"/>
      <c r="AP65" s="118"/>
      <c r="AQ65" s="185"/>
      <c r="AR65" s="128"/>
      <c r="AS65" s="183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6"/>
    </row>
    <row r="66" spans="1:56" x14ac:dyDescent="0.25">
      <c r="A66" s="177">
        <v>47</v>
      </c>
      <c r="B66" s="178" t="s">
        <v>390</v>
      </c>
      <c r="C66" s="179" t="s">
        <v>231</v>
      </c>
      <c r="D66" s="103" t="s">
        <v>301</v>
      </c>
      <c r="E66" s="103"/>
      <c r="F66" s="180" t="s">
        <v>302</v>
      </c>
      <c r="G66" s="101" t="s">
        <v>303</v>
      </c>
      <c r="H66" s="98" t="s">
        <v>391</v>
      </c>
      <c r="I66" s="181" t="s">
        <v>392</v>
      </c>
      <c r="J66" s="103" t="s">
        <v>393</v>
      </c>
      <c r="K66" s="99">
        <v>42866</v>
      </c>
      <c r="L66" s="100">
        <v>2500</v>
      </c>
      <c r="M66" s="99" t="s">
        <v>307</v>
      </c>
      <c r="N66" s="99">
        <v>42866</v>
      </c>
      <c r="O66" s="181" t="s">
        <v>174</v>
      </c>
      <c r="P66" s="103">
        <v>1</v>
      </c>
      <c r="Q66" s="115"/>
      <c r="R66" s="115"/>
      <c r="S66" s="119"/>
      <c r="T66" s="103" t="s">
        <v>308</v>
      </c>
      <c r="U66" s="115"/>
      <c r="V66" s="118"/>
      <c r="W66" s="121"/>
      <c r="X66" s="115"/>
      <c r="Y66" s="115"/>
      <c r="Z66" s="115"/>
      <c r="AA66" s="115"/>
      <c r="AB66" s="115"/>
      <c r="AC66" s="122"/>
      <c r="AD66" s="115"/>
      <c r="AE66" s="105">
        <f t="shared" si="8"/>
        <v>2500</v>
      </c>
      <c r="AF66" s="100">
        <v>0</v>
      </c>
      <c r="AG66" s="100">
        <f>150+100+500</f>
        <v>750</v>
      </c>
      <c r="AH66" s="100">
        <f t="shared" si="9"/>
        <v>750</v>
      </c>
      <c r="AI66" s="186"/>
      <c r="AJ66" s="126"/>
      <c r="AK66" s="107"/>
      <c r="AL66" s="128"/>
      <c r="AM66" s="129"/>
      <c r="AN66" s="126"/>
      <c r="AO66" s="126"/>
      <c r="AP66" s="118"/>
      <c r="AQ66" s="185"/>
      <c r="AR66" s="128"/>
      <c r="AS66" s="183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6"/>
    </row>
    <row r="67" spans="1:56" x14ac:dyDescent="0.25">
      <c r="A67" s="177">
        <v>48</v>
      </c>
      <c r="B67" s="178" t="s">
        <v>394</v>
      </c>
      <c r="C67" s="179" t="s">
        <v>231</v>
      </c>
      <c r="D67" s="103" t="s">
        <v>301</v>
      </c>
      <c r="E67" s="103"/>
      <c r="F67" s="180" t="s">
        <v>302</v>
      </c>
      <c r="G67" s="101" t="s">
        <v>303</v>
      </c>
      <c r="H67" s="98" t="s">
        <v>395</v>
      </c>
      <c r="I67" s="181" t="s">
        <v>396</v>
      </c>
      <c r="J67" s="103" t="s">
        <v>397</v>
      </c>
      <c r="K67" s="99">
        <v>42866</v>
      </c>
      <c r="L67" s="100">
        <v>4150</v>
      </c>
      <c r="M67" s="99" t="s">
        <v>307</v>
      </c>
      <c r="N67" s="99">
        <v>42866</v>
      </c>
      <c r="O67" s="181" t="s">
        <v>174</v>
      </c>
      <c r="P67" s="103">
        <v>1</v>
      </c>
      <c r="Q67" s="115"/>
      <c r="R67" s="115"/>
      <c r="S67" s="119"/>
      <c r="T67" s="103" t="s">
        <v>308</v>
      </c>
      <c r="U67" s="115"/>
      <c r="V67" s="118"/>
      <c r="W67" s="121"/>
      <c r="X67" s="115"/>
      <c r="Y67" s="115"/>
      <c r="Z67" s="115"/>
      <c r="AA67" s="115"/>
      <c r="AB67" s="115"/>
      <c r="AC67" s="122"/>
      <c r="AD67" s="115"/>
      <c r="AE67" s="105">
        <f t="shared" si="8"/>
        <v>4150</v>
      </c>
      <c r="AF67" s="100">
        <v>0</v>
      </c>
      <c r="AG67" s="100">
        <f>200+1200+125+500</f>
        <v>2025</v>
      </c>
      <c r="AH67" s="100">
        <f t="shared" si="9"/>
        <v>2025</v>
      </c>
      <c r="AI67" s="186"/>
      <c r="AJ67" s="126"/>
      <c r="AK67" s="107"/>
      <c r="AL67" s="128"/>
      <c r="AM67" s="129"/>
      <c r="AN67" s="126"/>
      <c r="AO67" s="126"/>
      <c r="AP67" s="118"/>
      <c r="AQ67" s="185"/>
      <c r="AR67" s="128"/>
      <c r="AS67" s="183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6"/>
    </row>
    <row r="68" spans="1:56" x14ac:dyDescent="0.25">
      <c r="A68" s="177">
        <v>49</v>
      </c>
      <c r="B68" s="178" t="s">
        <v>398</v>
      </c>
      <c r="C68" s="179" t="s">
        <v>231</v>
      </c>
      <c r="D68" s="103" t="s">
        <v>301</v>
      </c>
      <c r="E68" s="103"/>
      <c r="F68" s="180" t="s">
        <v>302</v>
      </c>
      <c r="G68" s="101" t="s">
        <v>303</v>
      </c>
      <c r="H68" s="98" t="s">
        <v>399</v>
      </c>
      <c r="I68" s="181" t="s">
        <v>400</v>
      </c>
      <c r="J68" s="103" t="s">
        <v>401</v>
      </c>
      <c r="K68" s="99">
        <v>42866</v>
      </c>
      <c r="L68" s="100">
        <v>4150</v>
      </c>
      <c r="M68" s="99" t="s">
        <v>307</v>
      </c>
      <c r="N68" s="99">
        <v>42866</v>
      </c>
      <c r="O68" s="181" t="s">
        <v>174</v>
      </c>
      <c r="P68" s="103">
        <v>1</v>
      </c>
      <c r="Q68" s="115"/>
      <c r="R68" s="115"/>
      <c r="S68" s="119"/>
      <c r="T68" s="103" t="s">
        <v>308</v>
      </c>
      <c r="U68" s="115"/>
      <c r="V68" s="118"/>
      <c r="W68" s="121"/>
      <c r="X68" s="115"/>
      <c r="Y68" s="115"/>
      <c r="Z68" s="115"/>
      <c r="AA68" s="115"/>
      <c r="AB68" s="115"/>
      <c r="AC68" s="122"/>
      <c r="AD68" s="115"/>
      <c r="AE68" s="105">
        <f t="shared" si="8"/>
        <v>4150</v>
      </c>
      <c r="AF68" s="100">
        <v>0</v>
      </c>
      <c r="AG68" s="100">
        <f>100+1250+450</f>
        <v>1800</v>
      </c>
      <c r="AH68" s="100">
        <f t="shared" si="9"/>
        <v>1800</v>
      </c>
      <c r="AI68" s="186"/>
      <c r="AJ68" s="126"/>
      <c r="AK68" s="107"/>
      <c r="AL68" s="128"/>
      <c r="AM68" s="129"/>
      <c r="AN68" s="126"/>
      <c r="AO68" s="126"/>
      <c r="AP68" s="118"/>
      <c r="AQ68" s="185"/>
      <c r="AR68" s="128"/>
      <c r="AS68" s="183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6"/>
    </row>
    <row r="69" spans="1:56" x14ac:dyDescent="0.25">
      <c r="A69" s="177">
        <v>50</v>
      </c>
      <c r="B69" s="178" t="s">
        <v>402</v>
      </c>
      <c r="C69" s="179" t="s">
        <v>231</v>
      </c>
      <c r="D69" s="103" t="s">
        <v>301</v>
      </c>
      <c r="E69" s="103"/>
      <c r="F69" s="180" t="s">
        <v>302</v>
      </c>
      <c r="G69" s="101" t="s">
        <v>303</v>
      </c>
      <c r="H69" s="98" t="s">
        <v>403</v>
      </c>
      <c r="I69" s="181" t="s">
        <v>404</v>
      </c>
      <c r="J69" s="103" t="s">
        <v>405</v>
      </c>
      <c r="K69" s="99">
        <v>42866</v>
      </c>
      <c r="L69" s="100">
        <v>5400</v>
      </c>
      <c r="M69" s="99" t="s">
        <v>307</v>
      </c>
      <c r="N69" s="99">
        <v>42866</v>
      </c>
      <c r="O69" s="181" t="s">
        <v>174</v>
      </c>
      <c r="P69" s="103">
        <v>1</v>
      </c>
      <c r="Q69" s="115"/>
      <c r="R69" s="115"/>
      <c r="S69" s="119"/>
      <c r="T69" s="103" t="s">
        <v>308</v>
      </c>
      <c r="U69" s="115"/>
      <c r="V69" s="118"/>
      <c r="W69" s="121"/>
      <c r="X69" s="115"/>
      <c r="Y69" s="115"/>
      <c r="Z69" s="115"/>
      <c r="AA69" s="115"/>
      <c r="AB69" s="115"/>
      <c r="AC69" s="122"/>
      <c r="AD69" s="115"/>
      <c r="AE69" s="105">
        <f t="shared" si="8"/>
        <v>5400</v>
      </c>
      <c r="AF69" s="100">
        <v>0</v>
      </c>
      <c r="AG69" s="100">
        <f>150+1150+250+650+200+1812.5</f>
        <v>4212.5</v>
      </c>
      <c r="AH69" s="100">
        <f t="shared" si="9"/>
        <v>4212.5</v>
      </c>
      <c r="AI69" s="186"/>
      <c r="AJ69" s="126"/>
      <c r="AK69" s="107"/>
      <c r="AL69" s="128"/>
      <c r="AM69" s="129"/>
      <c r="AN69" s="126"/>
      <c r="AO69" s="126"/>
      <c r="AP69" s="118"/>
      <c r="AQ69" s="185"/>
      <c r="AR69" s="128"/>
      <c r="AS69" s="183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6"/>
    </row>
    <row r="70" spans="1:56" x14ac:dyDescent="0.25">
      <c r="A70" s="177">
        <v>51</v>
      </c>
      <c r="B70" s="178" t="s">
        <v>406</v>
      </c>
      <c r="C70" s="179" t="s">
        <v>231</v>
      </c>
      <c r="D70" s="103" t="s">
        <v>301</v>
      </c>
      <c r="E70" s="103"/>
      <c r="F70" s="180" t="s">
        <v>302</v>
      </c>
      <c r="G70" s="101" t="s">
        <v>303</v>
      </c>
      <c r="H70" s="98" t="s">
        <v>407</v>
      </c>
      <c r="I70" s="181" t="s">
        <v>408</v>
      </c>
      <c r="J70" s="103" t="s">
        <v>409</v>
      </c>
      <c r="K70" s="99">
        <v>42866</v>
      </c>
      <c r="L70" s="100">
        <v>1275</v>
      </c>
      <c r="M70" s="99" t="s">
        <v>307</v>
      </c>
      <c r="N70" s="99">
        <v>42866</v>
      </c>
      <c r="O70" s="181" t="s">
        <v>174</v>
      </c>
      <c r="P70" s="103">
        <v>1</v>
      </c>
      <c r="Q70" s="115"/>
      <c r="R70" s="115"/>
      <c r="S70" s="119"/>
      <c r="T70" s="103" t="s">
        <v>308</v>
      </c>
      <c r="U70" s="115"/>
      <c r="V70" s="118"/>
      <c r="W70" s="121"/>
      <c r="X70" s="115"/>
      <c r="Y70" s="115"/>
      <c r="Z70" s="115"/>
      <c r="AA70" s="115"/>
      <c r="AB70" s="115"/>
      <c r="AC70" s="122"/>
      <c r="AD70" s="115"/>
      <c r="AE70" s="105">
        <f t="shared" si="8"/>
        <v>1275</v>
      </c>
      <c r="AF70" s="100">
        <v>0</v>
      </c>
      <c r="AG70" s="100">
        <v>1260</v>
      </c>
      <c r="AH70" s="100">
        <f t="shared" si="9"/>
        <v>1260</v>
      </c>
      <c r="AI70" s="186"/>
      <c r="AJ70" s="126"/>
      <c r="AK70" s="107"/>
      <c r="AL70" s="128"/>
      <c r="AM70" s="129"/>
      <c r="AN70" s="126"/>
      <c r="AO70" s="126"/>
      <c r="AP70" s="118"/>
      <c r="AQ70" s="185"/>
      <c r="AR70" s="128"/>
      <c r="AS70" s="183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6"/>
    </row>
    <row r="71" spans="1:56" x14ac:dyDescent="0.25">
      <c r="A71" s="177">
        <v>52</v>
      </c>
      <c r="B71" s="178" t="s">
        <v>323</v>
      </c>
      <c r="C71" s="179" t="s">
        <v>231</v>
      </c>
      <c r="D71" s="103" t="s">
        <v>301</v>
      </c>
      <c r="E71" s="103"/>
      <c r="F71" s="180" t="s">
        <v>302</v>
      </c>
      <c r="G71" s="101" t="s">
        <v>303</v>
      </c>
      <c r="H71" s="98" t="s">
        <v>410</v>
      </c>
      <c r="I71" s="181" t="s">
        <v>411</v>
      </c>
      <c r="J71" s="103" t="s">
        <v>412</v>
      </c>
      <c r="K71" s="99">
        <v>42866</v>
      </c>
      <c r="L71" s="100">
        <v>5400</v>
      </c>
      <c r="M71" s="99" t="s">
        <v>307</v>
      </c>
      <c r="N71" s="99">
        <v>42866</v>
      </c>
      <c r="O71" s="181" t="s">
        <v>174</v>
      </c>
      <c r="P71" s="103">
        <v>1</v>
      </c>
      <c r="Q71" s="115"/>
      <c r="R71" s="115"/>
      <c r="S71" s="119"/>
      <c r="T71" s="103" t="s">
        <v>308</v>
      </c>
      <c r="U71" s="115"/>
      <c r="V71" s="118"/>
      <c r="W71" s="121"/>
      <c r="X71" s="115"/>
      <c r="Y71" s="115"/>
      <c r="Z71" s="115"/>
      <c r="AA71" s="115"/>
      <c r="AB71" s="115"/>
      <c r="AC71" s="122"/>
      <c r="AD71" s="115"/>
      <c r="AE71" s="105">
        <f t="shared" si="8"/>
        <v>5400</v>
      </c>
      <c r="AF71" s="100">
        <v>0</v>
      </c>
      <c r="AG71" s="100">
        <f>250+1500+100+200+800+562.5+750</f>
        <v>4162.5</v>
      </c>
      <c r="AH71" s="100">
        <f t="shared" si="9"/>
        <v>4162.5</v>
      </c>
      <c r="AI71" s="186"/>
      <c r="AJ71" s="126"/>
      <c r="AK71" s="107"/>
      <c r="AL71" s="128"/>
      <c r="AM71" s="129"/>
      <c r="AN71" s="126"/>
      <c r="AO71" s="126"/>
      <c r="AP71" s="118"/>
      <c r="AQ71" s="185"/>
      <c r="AR71" s="128"/>
      <c r="AS71" s="183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6"/>
    </row>
    <row r="72" spans="1:56" x14ac:dyDescent="0.25">
      <c r="A72" s="177">
        <v>53</v>
      </c>
      <c r="B72" s="178" t="s">
        <v>403</v>
      </c>
      <c r="C72" s="179" t="s">
        <v>231</v>
      </c>
      <c r="D72" s="103" t="s">
        <v>301</v>
      </c>
      <c r="E72" s="103"/>
      <c r="F72" s="180" t="s">
        <v>302</v>
      </c>
      <c r="G72" s="101" t="s">
        <v>303</v>
      </c>
      <c r="H72" s="98" t="s">
        <v>413</v>
      </c>
      <c r="I72" s="181" t="s">
        <v>414</v>
      </c>
      <c r="J72" s="103" t="s">
        <v>415</v>
      </c>
      <c r="K72" s="99">
        <v>42866</v>
      </c>
      <c r="L72" s="100">
        <v>5925</v>
      </c>
      <c r="M72" s="99" t="s">
        <v>307</v>
      </c>
      <c r="N72" s="99">
        <v>42866</v>
      </c>
      <c r="O72" s="181" t="s">
        <v>174</v>
      </c>
      <c r="P72" s="103">
        <v>1</v>
      </c>
      <c r="Q72" s="115"/>
      <c r="R72" s="115"/>
      <c r="S72" s="119"/>
      <c r="T72" s="103" t="s">
        <v>308</v>
      </c>
      <c r="U72" s="115"/>
      <c r="V72" s="118"/>
      <c r="W72" s="121"/>
      <c r="X72" s="115"/>
      <c r="Y72" s="115"/>
      <c r="Z72" s="115"/>
      <c r="AA72" s="115"/>
      <c r="AB72" s="115"/>
      <c r="AC72" s="122"/>
      <c r="AD72" s="115"/>
      <c r="AE72" s="105">
        <f t="shared" si="8"/>
        <v>5925</v>
      </c>
      <c r="AF72" s="100">
        <v>0</v>
      </c>
      <c r="AG72" s="100">
        <f>725+500+1050+550+325+487.5+250+145</f>
        <v>4032.5</v>
      </c>
      <c r="AH72" s="100">
        <f t="shared" si="9"/>
        <v>4032.5</v>
      </c>
      <c r="AI72" s="186"/>
      <c r="AJ72" s="126"/>
      <c r="AK72" s="107"/>
      <c r="AL72" s="128"/>
      <c r="AM72" s="129"/>
      <c r="AN72" s="126"/>
      <c r="AO72" s="126"/>
      <c r="AP72" s="118"/>
      <c r="AQ72" s="185"/>
      <c r="AR72" s="128"/>
      <c r="AS72" s="183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6"/>
    </row>
    <row r="73" spans="1:56" x14ac:dyDescent="0.25">
      <c r="A73" s="177">
        <v>54</v>
      </c>
      <c r="B73" s="178" t="s">
        <v>361</v>
      </c>
      <c r="C73" s="179" t="s">
        <v>231</v>
      </c>
      <c r="D73" s="103" t="s">
        <v>301</v>
      </c>
      <c r="E73" s="103"/>
      <c r="F73" s="180" t="s">
        <v>302</v>
      </c>
      <c r="G73" s="101" t="s">
        <v>303</v>
      </c>
      <c r="H73" s="98" t="s">
        <v>341</v>
      </c>
      <c r="I73" s="181" t="s">
        <v>416</v>
      </c>
      <c r="J73" s="103" t="s">
        <v>417</v>
      </c>
      <c r="K73" s="99">
        <v>42866</v>
      </c>
      <c r="L73" s="100">
        <v>3750</v>
      </c>
      <c r="M73" s="99" t="s">
        <v>307</v>
      </c>
      <c r="N73" s="99">
        <v>42866</v>
      </c>
      <c r="O73" s="181" t="s">
        <v>174</v>
      </c>
      <c r="P73" s="103">
        <v>1</v>
      </c>
      <c r="Q73" s="115"/>
      <c r="R73" s="115"/>
      <c r="S73" s="119"/>
      <c r="T73" s="103" t="s">
        <v>308</v>
      </c>
      <c r="U73" s="115"/>
      <c r="V73" s="118"/>
      <c r="W73" s="121"/>
      <c r="X73" s="115"/>
      <c r="Y73" s="115"/>
      <c r="Z73" s="115"/>
      <c r="AA73" s="115"/>
      <c r="AB73" s="115"/>
      <c r="AC73" s="122"/>
      <c r="AD73" s="115"/>
      <c r="AE73" s="105">
        <f t="shared" si="8"/>
        <v>3750</v>
      </c>
      <c r="AF73" s="100">
        <v>0</v>
      </c>
      <c r="AG73" s="100">
        <f>750+725+1450+200+800</f>
        <v>3925</v>
      </c>
      <c r="AH73" s="100">
        <f t="shared" si="9"/>
        <v>3925</v>
      </c>
      <c r="AI73" s="186"/>
      <c r="AJ73" s="126"/>
      <c r="AK73" s="107"/>
      <c r="AL73" s="128"/>
      <c r="AM73" s="129"/>
      <c r="AN73" s="126"/>
      <c r="AO73" s="126"/>
      <c r="AP73" s="118"/>
      <c r="AQ73" s="185"/>
      <c r="AR73" s="128"/>
      <c r="AS73" s="183"/>
      <c r="AT73" s="115"/>
      <c r="AU73" s="115"/>
      <c r="AV73" s="115"/>
      <c r="AW73" s="115"/>
      <c r="AX73" s="115"/>
      <c r="AY73" s="115"/>
      <c r="AZ73" s="115"/>
      <c r="BA73" s="115"/>
      <c r="BB73" s="115"/>
      <c r="BC73" s="115"/>
      <c r="BD73" s="116"/>
    </row>
    <row r="74" spans="1:56" x14ac:dyDescent="0.25">
      <c r="A74" s="177">
        <v>55</v>
      </c>
      <c r="B74" s="178" t="s">
        <v>418</v>
      </c>
      <c r="C74" s="179" t="s">
        <v>231</v>
      </c>
      <c r="D74" s="103" t="s">
        <v>301</v>
      </c>
      <c r="E74" s="103"/>
      <c r="F74" s="180" t="s">
        <v>302</v>
      </c>
      <c r="G74" s="101" t="s">
        <v>303</v>
      </c>
      <c r="H74" s="98" t="s">
        <v>419</v>
      </c>
      <c r="I74" s="181" t="s">
        <v>420</v>
      </c>
      <c r="J74" s="103" t="s">
        <v>421</v>
      </c>
      <c r="K74" s="99">
        <v>42845</v>
      </c>
      <c r="L74" s="100">
        <v>2175</v>
      </c>
      <c r="M74" s="99" t="s">
        <v>378</v>
      </c>
      <c r="N74" s="99">
        <v>42845</v>
      </c>
      <c r="O74" s="181" t="s">
        <v>174</v>
      </c>
      <c r="P74" s="103">
        <v>1</v>
      </c>
      <c r="Q74" s="115"/>
      <c r="R74" s="115"/>
      <c r="S74" s="119"/>
      <c r="T74" s="103" t="s">
        <v>308</v>
      </c>
      <c r="U74" s="115"/>
      <c r="V74" s="118"/>
      <c r="W74" s="121"/>
      <c r="X74" s="115"/>
      <c r="Y74" s="115"/>
      <c r="Z74" s="115"/>
      <c r="AA74" s="115"/>
      <c r="AB74" s="115"/>
      <c r="AC74" s="122"/>
      <c r="AD74" s="115"/>
      <c r="AE74" s="105">
        <f t="shared" si="8"/>
        <v>2175</v>
      </c>
      <c r="AF74" s="100">
        <v>0</v>
      </c>
      <c r="AG74" s="100">
        <v>1975</v>
      </c>
      <c r="AH74" s="100">
        <f t="shared" si="9"/>
        <v>1975</v>
      </c>
      <c r="AI74" s="186"/>
      <c r="AJ74" s="126"/>
      <c r="AK74" s="107"/>
      <c r="AL74" s="128"/>
      <c r="AM74" s="129"/>
      <c r="AN74" s="126"/>
      <c r="AO74" s="126"/>
      <c r="AP74" s="118"/>
      <c r="AQ74" s="185"/>
      <c r="AR74" s="128"/>
      <c r="AS74" s="183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6"/>
    </row>
    <row r="75" spans="1:56" x14ac:dyDescent="0.25">
      <c r="A75" s="177">
        <v>56</v>
      </c>
      <c r="B75" s="178" t="s">
        <v>422</v>
      </c>
      <c r="C75" s="179" t="s">
        <v>231</v>
      </c>
      <c r="D75" s="103" t="s">
        <v>301</v>
      </c>
      <c r="E75" s="103"/>
      <c r="F75" s="180" t="s">
        <v>302</v>
      </c>
      <c r="G75" s="101" t="s">
        <v>303</v>
      </c>
      <c r="H75" s="98" t="s">
        <v>337</v>
      </c>
      <c r="I75" s="181" t="s">
        <v>423</v>
      </c>
      <c r="J75" s="103" t="s">
        <v>424</v>
      </c>
      <c r="K75" s="99">
        <v>42866</v>
      </c>
      <c r="L75" s="100">
        <v>4150</v>
      </c>
      <c r="M75" s="99" t="s">
        <v>307</v>
      </c>
      <c r="N75" s="99">
        <v>42866</v>
      </c>
      <c r="O75" s="181" t="s">
        <v>174</v>
      </c>
      <c r="P75" s="103">
        <v>1</v>
      </c>
      <c r="Q75" s="115"/>
      <c r="R75" s="115"/>
      <c r="S75" s="119"/>
      <c r="T75" s="103" t="s">
        <v>308</v>
      </c>
      <c r="U75" s="115"/>
      <c r="V75" s="118"/>
      <c r="W75" s="121"/>
      <c r="X75" s="115"/>
      <c r="Y75" s="115"/>
      <c r="Z75" s="115"/>
      <c r="AA75" s="115"/>
      <c r="AB75" s="115"/>
      <c r="AC75" s="122"/>
      <c r="AD75" s="115"/>
      <c r="AE75" s="105">
        <f t="shared" si="8"/>
        <v>4150</v>
      </c>
      <c r="AF75" s="100">
        <v>0</v>
      </c>
      <c r="AG75" s="100">
        <f>200+1200+100</f>
        <v>1500</v>
      </c>
      <c r="AH75" s="100">
        <f t="shared" si="9"/>
        <v>1500</v>
      </c>
      <c r="AI75" s="186"/>
      <c r="AJ75" s="126"/>
      <c r="AK75" s="107"/>
      <c r="AL75" s="128"/>
      <c r="AM75" s="129"/>
      <c r="AN75" s="126"/>
      <c r="AO75" s="126"/>
      <c r="AP75" s="118"/>
      <c r="AQ75" s="185"/>
      <c r="AR75" s="128"/>
      <c r="AS75" s="183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6"/>
    </row>
    <row r="76" spans="1:56" x14ac:dyDescent="0.25">
      <c r="A76" s="177">
        <v>57</v>
      </c>
      <c r="B76" s="178" t="s">
        <v>425</v>
      </c>
      <c r="C76" s="179" t="s">
        <v>231</v>
      </c>
      <c r="D76" s="103" t="s">
        <v>301</v>
      </c>
      <c r="E76" s="103"/>
      <c r="F76" s="180" t="s">
        <v>302</v>
      </c>
      <c r="G76" s="101" t="s">
        <v>303</v>
      </c>
      <c r="H76" s="98" t="s">
        <v>292</v>
      </c>
      <c r="I76" s="181" t="s">
        <v>426</v>
      </c>
      <c r="J76" s="103" t="s">
        <v>427</v>
      </c>
      <c r="K76" s="99">
        <v>42845</v>
      </c>
      <c r="L76" s="100">
        <v>1275</v>
      </c>
      <c r="M76" s="99" t="s">
        <v>307</v>
      </c>
      <c r="N76" s="99">
        <v>42845</v>
      </c>
      <c r="O76" s="181" t="s">
        <v>174</v>
      </c>
      <c r="P76" s="103">
        <v>1</v>
      </c>
      <c r="Q76" s="115"/>
      <c r="R76" s="115"/>
      <c r="S76" s="119"/>
      <c r="T76" s="103" t="s">
        <v>308</v>
      </c>
      <c r="U76" s="115"/>
      <c r="V76" s="118"/>
      <c r="W76" s="121"/>
      <c r="X76" s="115"/>
      <c r="Y76" s="115"/>
      <c r="Z76" s="115"/>
      <c r="AA76" s="115"/>
      <c r="AB76" s="115"/>
      <c r="AC76" s="122"/>
      <c r="AD76" s="115"/>
      <c r="AE76" s="105">
        <f t="shared" si="8"/>
        <v>1275</v>
      </c>
      <c r="AF76" s="100">
        <v>0</v>
      </c>
      <c r="AG76" s="100">
        <v>1275</v>
      </c>
      <c r="AH76" s="100">
        <f t="shared" si="9"/>
        <v>1275</v>
      </c>
      <c r="AI76" s="186"/>
      <c r="AJ76" s="126"/>
      <c r="AK76" s="107"/>
      <c r="AL76" s="128"/>
      <c r="AM76" s="129"/>
      <c r="AN76" s="126"/>
      <c r="AO76" s="126"/>
      <c r="AP76" s="118"/>
      <c r="AQ76" s="185"/>
      <c r="AR76" s="128"/>
      <c r="AS76" s="183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6"/>
    </row>
    <row r="77" spans="1:56" x14ac:dyDescent="0.25">
      <c r="A77" s="177">
        <v>58</v>
      </c>
      <c r="B77" s="178" t="s">
        <v>296</v>
      </c>
      <c r="C77" s="179" t="s">
        <v>231</v>
      </c>
      <c r="D77" s="103" t="s">
        <v>301</v>
      </c>
      <c r="E77" s="103"/>
      <c r="F77" s="180" t="s">
        <v>302</v>
      </c>
      <c r="G77" s="101" t="s">
        <v>303</v>
      </c>
      <c r="H77" s="98" t="s">
        <v>428</v>
      </c>
      <c r="I77" s="181" t="s">
        <v>429</v>
      </c>
      <c r="J77" s="103" t="s">
        <v>430</v>
      </c>
      <c r="K77" s="99">
        <v>42866</v>
      </c>
      <c r="L77" s="100">
        <v>4150</v>
      </c>
      <c r="M77" s="99" t="s">
        <v>307</v>
      </c>
      <c r="N77" s="99">
        <v>42866</v>
      </c>
      <c r="O77" s="181" t="s">
        <v>174</v>
      </c>
      <c r="P77" s="103">
        <v>1</v>
      </c>
      <c r="Q77" s="115"/>
      <c r="R77" s="115"/>
      <c r="S77" s="119"/>
      <c r="T77" s="103" t="s">
        <v>308</v>
      </c>
      <c r="U77" s="115"/>
      <c r="V77" s="118"/>
      <c r="W77" s="121"/>
      <c r="X77" s="115"/>
      <c r="Y77" s="115"/>
      <c r="Z77" s="115"/>
      <c r="AA77" s="115"/>
      <c r="AB77" s="115"/>
      <c r="AC77" s="122"/>
      <c r="AD77" s="115"/>
      <c r="AE77" s="105">
        <f t="shared" si="8"/>
        <v>4150</v>
      </c>
      <c r="AF77" s="100">
        <v>0</v>
      </c>
      <c r="AG77" s="100">
        <f>300+600+50+150+125+500</f>
        <v>1725</v>
      </c>
      <c r="AH77" s="100">
        <f t="shared" si="9"/>
        <v>1725</v>
      </c>
      <c r="AI77" s="186"/>
      <c r="AJ77" s="126"/>
      <c r="AK77" s="107"/>
      <c r="AL77" s="128"/>
      <c r="AM77" s="129"/>
      <c r="AN77" s="126"/>
      <c r="AO77" s="126"/>
      <c r="AP77" s="118"/>
      <c r="AQ77" s="185"/>
      <c r="AR77" s="128"/>
      <c r="AS77" s="183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6"/>
    </row>
    <row r="78" spans="1:56" x14ac:dyDescent="0.25">
      <c r="A78" s="177">
        <v>59</v>
      </c>
      <c r="B78" s="178" t="s">
        <v>399</v>
      </c>
      <c r="C78" s="179" t="s">
        <v>231</v>
      </c>
      <c r="D78" s="103" t="s">
        <v>301</v>
      </c>
      <c r="E78" s="103"/>
      <c r="F78" s="180" t="s">
        <v>302</v>
      </c>
      <c r="G78" s="101" t="s">
        <v>303</v>
      </c>
      <c r="H78" s="98" t="s">
        <v>431</v>
      </c>
      <c r="I78" s="181" t="s">
        <v>432</v>
      </c>
      <c r="J78" s="103" t="s">
        <v>433</v>
      </c>
      <c r="K78" s="99">
        <v>42866</v>
      </c>
      <c r="L78" s="100">
        <v>2500</v>
      </c>
      <c r="M78" s="99" t="s">
        <v>378</v>
      </c>
      <c r="N78" s="99">
        <v>42866</v>
      </c>
      <c r="O78" s="181" t="s">
        <v>174</v>
      </c>
      <c r="P78" s="103">
        <v>1</v>
      </c>
      <c r="Q78" s="115"/>
      <c r="R78" s="115"/>
      <c r="S78" s="119"/>
      <c r="T78" s="103" t="s">
        <v>308</v>
      </c>
      <c r="U78" s="115"/>
      <c r="V78" s="118"/>
      <c r="W78" s="121"/>
      <c r="X78" s="115"/>
      <c r="Y78" s="115"/>
      <c r="Z78" s="115"/>
      <c r="AA78" s="115"/>
      <c r="AB78" s="115"/>
      <c r="AC78" s="122"/>
      <c r="AD78" s="115"/>
      <c r="AE78" s="105">
        <f t="shared" si="8"/>
        <v>2500</v>
      </c>
      <c r="AF78" s="100">
        <v>0</v>
      </c>
      <c r="AG78" s="100">
        <f>200+800+200+900</f>
        <v>2100</v>
      </c>
      <c r="AH78" s="100">
        <f t="shared" si="9"/>
        <v>2100</v>
      </c>
      <c r="AI78" s="186"/>
      <c r="AJ78" s="126"/>
      <c r="AK78" s="107"/>
      <c r="AL78" s="128"/>
      <c r="AM78" s="129"/>
      <c r="AN78" s="126"/>
      <c r="AO78" s="126"/>
      <c r="AP78" s="118"/>
      <c r="AQ78" s="185"/>
      <c r="AR78" s="128"/>
      <c r="AS78" s="183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6"/>
    </row>
    <row r="79" spans="1:56" x14ac:dyDescent="0.25">
      <c r="A79" s="177">
        <v>60</v>
      </c>
      <c r="B79" s="178" t="s">
        <v>368</v>
      </c>
      <c r="C79" s="179" t="s">
        <v>231</v>
      </c>
      <c r="D79" s="103" t="s">
        <v>301</v>
      </c>
      <c r="E79" s="103"/>
      <c r="F79" s="180" t="s">
        <v>302</v>
      </c>
      <c r="G79" s="101" t="s">
        <v>303</v>
      </c>
      <c r="H79" s="98" t="s">
        <v>345</v>
      </c>
      <c r="I79" s="181" t="s">
        <v>434</v>
      </c>
      <c r="J79" s="103" t="s">
        <v>435</v>
      </c>
      <c r="K79" s="99">
        <v>42866</v>
      </c>
      <c r="L79" s="100">
        <v>3750</v>
      </c>
      <c r="M79" s="99" t="s">
        <v>307</v>
      </c>
      <c r="N79" s="99">
        <v>42866</v>
      </c>
      <c r="O79" s="181" t="s">
        <v>174</v>
      </c>
      <c r="P79" s="103">
        <v>1</v>
      </c>
      <c r="Q79" s="115"/>
      <c r="R79" s="115"/>
      <c r="S79" s="119"/>
      <c r="T79" s="103" t="s">
        <v>308</v>
      </c>
      <c r="U79" s="115"/>
      <c r="V79" s="118"/>
      <c r="W79" s="121"/>
      <c r="X79" s="115"/>
      <c r="Y79" s="115"/>
      <c r="Z79" s="115"/>
      <c r="AA79" s="115"/>
      <c r="AB79" s="115"/>
      <c r="AC79" s="122"/>
      <c r="AD79" s="115"/>
      <c r="AE79" s="105">
        <f t="shared" si="8"/>
        <v>3750</v>
      </c>
      <c r="AF79" s="100">
        <v>0</v>
      </c>
      <c r="AG79" s="100">
        <f>100+700+250</f>
        <v>1050</v>
      </c>
      <c r="AH79" s="100">
        <f t="shared" si="9"/>
        <v>1050</v>
      </c>
      <c r="AI79" s="186"/>
      <c r="AJ79" s="126"/>
      <c r="AK79" s="107"/>
      <c r="AL79" s="128"/>
      <c r="AM79" s="129"/>
      <c r="AN79" s="126"/>
      <c r="AO79" s="126"/>
      <c r="AP79" s="118"/>
      <c r="AQ79" s="185"/>
      <c r="AR79" s="128"/>
      <c r="AS79" s="183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6"/>
    </row>
    <row r="80" spans="1:56" x14ac:dyDescent="0.25">
      <c r="A80" s="177">
        <v>61</v>
      </c>
      <c r="B80" s="178" t="s">
        <v>436</v>
      </c>
      <c r="C80" s="179" t="s">
        <v>231</v>
      </c>
      <c r="D80" s="103" t="s">
        <v>301</v>
      </c>
      <c r="E80" s="103"/>
      <c r="F80" s="180" t="s">
        <v>302</v>
      </c>
      <c r="G80" s="101" t="s">
        <v>303</v>
      </c>
      <c r="H80" s="98" t="s">
        <v>437</v>
      </c>
      <c r="I80" s="181" t="s">
        <v>438</v>
      </c>
      <c r="J80" s="103" t="s">
        <v>439</v>
      </c>
      <c r="K80" s="99">
        <v>42845</v>
      </c>
      <c r="L80" s="100">
        <v>4945</v>
      </c>
      <c r="M80" s="99" t="s">
        <v>307</v>
      </c>
      <c r="N80" s="99">
        <v>42845</v>
      </c>
      <c r="O80" s="181" t="s">
        <v>174</v>
      </c>
      <c r="P80" s="103">
        <v>1</v>
      </c>
      <c r="Q80" s="115"/>
      <c r="R80" s="115"/>
      <c r="S80" s="119"/>
      <c r="T80" s="103" t="s">
        <v>308</v>
      </c>
      <c r="U80" s="115"/>
      <c r="V80" s="118"/>
      <c r="W80" s="121"/>
      <c r="X80" s="115"/>
      <c r="Y80" s="115"/>
      <c r="Z80" s="115"/>
      <c r="AA80" s="115"/>
      <c r="AB80" s="115"/>
      <c r="AC80" s="122"/>
      <c r="AD80" s="115"/>
      <c r="AE80" s="105">
        <f t="shared" si="8"/>
        <v>4945</v>
      </c>
      <c r="AF80" s="100">
        <v>0</v>
      </c>
      <c r="AG80" s="100">
        <f>2790+1422.5</f>
        <v>4212.5</v>
      </c>
      <c r="AH80" s="100">
        <f t="shared" si="9"/>
        <v>4212.5</v>
      </c>
      <c r="AI80" s="186"/>
      <c r="AJ80" s="126"/>
      <c r="AK80" s="107"/>
      <c r="AL80" s="128"/>
      <c r="AM80" s="129"/>
      <c r="AN80" s="126"/>
      <c r="AO80" s="126"/>
      <c r="AP80" s="118"/>
      <c r="AQ80" s="185"/>
      <c r="AR80" s="128"/>
      <c r="AS80" s="183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6"/>
    </row>
    <row r="81" spans="1:56" x14ac:dyDescent="0.25">
      <c r="A81" s="177">
        <v>62</v>
      </c>
      <c r="B81" s="178" t="s">
        <v>219</v>
      </c>
      <c r="C81" s="179" t="s">
        <v>231</v>
      </c>
      <c r="D81" s="103" t="s">
        <v>301</v>
      </c>
      <c r="E81" s="103"/>
      <c r="F81" s="180" t="s">
        <v>302</v>
      </c>
      <c r="G81" s="101" t="s">
        <v>303</v>
      </c>
      <c r="H81" s="98" t="s">
        <v>241</v>
      </c>
      <c r="I81" s="181" t="s">
        <v>440</v>
      </c>
      <c r="J81" s="103" t="s">
        <v>441</v>
      </c>
      <c r="K81" s="99">
        <v>42845</v>
      </c>
      <c r="L81" s="100">
        <v>4945</v>
      </c>
      <c r="M81" s="99" t="s">
        <v>307</v>
      </c>
      <c r="N81" s="99">
        <v>42845</v>
      </c>
      <c r="O81" s="181" t="s">
        <v>174</v>
      </c>
      <c r="P81" s="103">
        <v>1</v>
      </c>
      <c r="Q81" s="115"/>
      <c r="R81" s="115"/>
      <c r="S81" s="119"/>
      <c r="T81" s="103" t="s">
        <v>308</v>
      </c>
      <c r="U81" s="115"/>
      <c r="V81" s="118"/>
      <c r="W81" s="121"/>
      <c r="X81" s="115"/>
      <c r="Y81" s="115"/>
      <c r="Z81" s="115"/>
      <c r="AA81" s="115"/>
      <c r="AB81" s="115"/>
      <c r="AC81" s="122"/>
      <c r="AD81" s="115"/>
      <c r="AE81" s="105">
        <f t="shared" si="8"/>
        <v>4945</v>
      </c>
      <c r="AF81" s="100">
        <v>0</v>
      </c>
      <c r="AG81" s="100">
        <f>2462.5+1232.5</f>
        <v>3695</v>
      </c>
      <c r="AH81" s="100">
        <f t="shared" si="9"/>
        <v>3695</v>
      </c>
      <c r="AI81" s="186"/>
      <c r="AJ81" s="126"/>
      <c r="AK81" s="107"/>
      <c r="AL81" s="128"/>
      <c r="AM81" s="129"/>
      <c r="AN81" s="126"/>
      <c r="AO81" s="126"/>
      <c r="AP81" s="118"/>
      <c r="AQ81" s="185"/>
      <c r="AR81" s="128"/>
      <c r="AS81" s="183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6"/>
    </row>
    <row r="82" spans="1:56" x14ac:dyDescent="0.25">
      <c r="A82" s="177">
        <v>63</v>
      </c>
      <c r="B82" s="178" t="s">
        <v>442</v>
      </c>
      <c r="C82" s="179" t="s">
        <v>231</v>
      </c>
      <c r="D82" s="103" t="s">
        <v>301</v>
      </c>
      <c r="E82" s="103"/>
      <c r="F82" s="180" t="s">
        <v>302</v>
      </c>
      <c r="G82" s="101" t="s">
        <v>303</v>
      </c>
      <c r="H82" s="98" t="s">
        <v>443</v>
      </c>
      <c r="I82" s="181" t="s">
        <v>444</v>
      </c>
      <c r="J82" s="103" t="s">
        <v>445</v>
      </c>
      <c r="K82" s="99">
        <v>42866</v>
      </c>
      <c r="L82" s="100">
        <v>3775</v>
      </c>
      <c r="M82" s="99" t="s">
        <v>307</v>
      </c>
      <c r="N82" s="99">
        <v>42866</v>
      </c>
      <c r="O82" s="181" t="s">
        <v>174</v>
      </c>
      <c r="P82" s="103">
        <v>1</v>
      </c>
      <c r="Q82" s="115"/>
      <c r="R82" s="115"/>
      <c r="S82" s="119"/>
      <c r="T82" s="103" t="s">
        <v>308</v>
      </c>
      <c r="U82" s="115"/>
      <c r="V82" s="118"/>
      <c r="W82" s="121"/>
      <c r="X82" s="115"/>
      <c r="Y82" s="115"/>
      <c r="Z82" s="115"/>
      <c r="AA82" s="115"/>
      <c r="AB82" s="115"/>
      <c r="AC82" s="122"/>
      <c r="AD82" s="115"/>
      <c r="AE82" s="105">
        <f t="shared" si="8"/>
        <v>3775</v>
      </c>
      <c r="AF82" s="100">
        <v>0</v>
      </c>
      <c r="AG82" s="100">
        <f>1200+550+850+1300</f>
        <v>3900</v>
      </c>
      <c r="AH82" s="100">
        <f t="shared" si="9"/>
        <v>3900</v>
      </c>
      <c r="AI82" s="119"/>
      <c r="AJ82" s="126"/>
      <c r="AK82" s="107"/>
      <c r="AL82" s="128"/>
      <c r="AM82" s="129"/>
      <c r="AN82" s="126"/>
      <c r="AO82" s="126"/>
      <c r="AP82" s="118"/>
      <c r="AQ82" s="185"/>
      <c r="AR82" s="128"/>
      <c r="AS82" s="183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6"/>
    </row>
    <row r="83" spans="1:56" x14ac:dyDescent="0.25">
      <c r="A83" s="177">
        <v>64</v>
      </c>
      <c r="B83" s="178" t="s">
        <v>446</v>
      </c>
      <c r="C83" s="179" t="s">
        <v>231</v>
      </c>
      <c r="D83" s="103" t="s">
        <v>301</v>
      </c>
      <c r="E83" s="103"/>
      <c r="F83" s="180" t="s">
        <v>302</v>
      </c>
      <c r="G83" s="101" t="s">
        <v>303</v>
      </c>
      <c r="H83" s="98" t="s">
        <v>447</v>
      </c>
      <c r="I83" s="181" t="s">
        <v>448</v>
      </c>
      <c r="J83" s="103" t="s">
        <v>449</v>
      </c>
      <c r="K83" s="99">
        <v>42845</v>
      </c>
      <c r="L83" s="100">
        <v>2335</v>
      </c>
      <c r="M83" s="99" t="s">
        <v>307</v>
      </c>
      <c r="N83" s="99">
        <v>42845</v>
      </c>
      <c r="O83" s="181" t="s">
        <v>174</v>
      </c>
      <c r="P83" s="103">
        <v>1</v>
      </c>
      <c r="Q83" s="115"/>
      <c r="R83" s="115"/>
      <c r="S83" s="119"/>
      <c r="T83" s="103" t="s">
        <v>308</v>
      </c>
      <c r="U83" s="115"/>
      <c r="V83" s="118"/>
      <c r="W83" s="121"/>
      <c r="X83" s="115"/>
      <c r="Y83" s="115"/>
      <c r="Z83" s="115"/>
      <c r="AA83" s="115"/>
      <c r="AB83" s="115"/>
      <c r="AC83" s="122"/>
      <c r="AD83" s="115"/>
      <c r="AE83" s="105">
        <f t="shared" si="8"/>
        <v>2335</v>
      </c>
      <c r="AF83" s="100">
        <v>0</v>
      </c>
      <c r="AG83" s="100">
        <v>1287.5</v>
      </c>
      <c r="AH83" s="100">
        <f t="shared" si="9"/>
        <v>1287.5</v>
      </c>
      <c r="AI83" s="186"/>
      <c r="AJ83" s="126"/>
      <c r="AK83" s="107"/>
      <c r="AL83" s="128"/>
      <c r="AM83" s="129"/>
      <c r="AN83" s="126"/>
      <c r="AO83" s="126"/>
      <c r="AP83" s="118"/>
      <c r="AQ83" s="185"/>
      <c r="AR83" s="128"/>
      <c r="AS83" s="183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6"/>
    </row>
    <row r="84" spans="1:56" x14ac:dyDescent="0.25">
      <c r="A84" s="177">
        <v>65</v>
      </c>
      <c r="B84" s="178" t="s">
        <v>450</v>
      </c>
      <c r="C84" s="179" t="s">
        <v>231</v>
      </c>
      <c r="D84" s="103" t="s">
        <v>301</v>
      </c>
      <c r="E84" s="103"/>
      <c r="F84" s="180" t="s">
        <v>302</v>
      </c>
      <c r="G84" s="101" t="s">
        <v>303</v>
      </c>
      <c r="H84" s="98" t="s">
        <v>451</v>
      </c>
      <c r="I84" s="181" t="s">
        <v>452</v>
      </c>
      <c r="J84" s="103" t="s">
        <v>453</v>
      </c>
      <c r="K84" s="99">
        <v>42845</v>
      </c>
      <c r="L84" s="100">
        <v>4945</v>
      </c>
      <c r="M84" s="99" t="s">
        <v>454</v>
      </c>
      <c r="N84" s="99">
        <v>42845</v>
      </c>
      <c r="O84" s="181" t="s">
        <v>174</v>
      </c>
      <c r="P84" s="103">
        <v>1</v>
      </c>
      <c r="Q84" s="115"/>
      <c r="R84" s="115"/>
      <c r="S84" s="119"/>
      <c r="T84" s="103" t="s">
        <v>308</v>
      </c>
      <c r="U84" s="115"/>
      <c r="V84" s="118"/>
      <c r="W84" s="121"/>
      <c r="X84" s="115"/>
      <c r="Y84" s="115"/>
      <c r="Z84" s="115"/>
      <c r="AA84" s="115"/>
      <c r="AB84" s="115"/>
      <c r="AC84" s="122"/>
      <c r="AD84" s="115"/>
      <c r="AE84" s="105">
        <f t="shared" si="8"/>
        <v>4945</v>
      </c>
      <c r="AF84" s="100">
        <v>0</v>
      </c>
      <c r="AG84" s="100">
        <v>2700</v>
      </c>
      <c r="AH84" s="100">
        <f t="shared" si="9"/>
        <v>2700</v>
      </c>
      <c r="AI84" s="186"/>
      <c r="AJ84" s="126"/>
      <c r="AK84" s="107"/>
      <c r="AL84" s="128"/>
      <c r="AM84" s="129"/>
      <c r="AN84" s="126"/>
      <c r="AO84" s="126"/>
      <c r="AP84" s="118"/>
      <c r="AQ84" s="185"/>
      <c r="AR84" s="128"/>
      <c r="AS84" s="183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6"/>
    </row>
    <row r="85" spans="1:56" x14ac:dyDescent="0.25">
      <c r="A85" s="177">
        <v>66</v>
      </c>
      <c r="B85" s="178" t="s">
        <v>455</v>
      </c>
      <c r="C85" s="179" t="s">
        <v>231</v>
      </c>
      <c r="D85" s="103" t="s">
        <v>301</v>
      </c>
      <c r="E85" s="103"/>
      <c r="F85" s="180" t="s">
        <v>302</v>
      </c>
      <c r="G85" s="101" t="s">
        <v>303</v>
      </c>
      <c r="H85" s="98" t="s">
        <v>456</v>
      </c>
      <c r="I85" s="181" t="s">
        <v>457</v>
      </c>
      <c r="J85" s="103" t="s">
        <v>458</v>
      </c>
      <c r="K85" s="99">
        <v>42845</v>
      </c>
      <c r="L85" s="100">
        <v>4150</v>
      </c>
      <c r="M85" s="99" t="s">
        <v>307</v>
      </c>
      <c r="N85" s="99">
        <v>42845</v>
      </c>
      <c r="O85" s="181" t="s">
        <v>174</v>
      </c>
      <c r="P85" s="103">
        <v>1</v>
      </c>
      <c r="Q85" s="115"/>
      <c r="R85" s="115"/>
      <c r="S85" s="119"/>
      <c r="T85" s="103" t="s">
        <v>308</v>
      </c>
      <c r="U85" s="115"/>
      <c r="V85" s="118"/>
      <c r="W85" s="121"/>
      <c r="X85" s="115"/>
      <c r="Y85" s="115"/>
      <c r="Z85" s="115"/>
      <c r="AA85" s="115"/>
      <c r="AB85" s="115"/>
      <c r="AC85" s="122"/>
      <c r="AD85" s="115"/>
      <c r="AE85" s="105">
        <f t="shared" si="8"/>
        <v>4150</v>
      </c>
      <c r="AF85" s="100">
        <v>0</v>
      </c>
      <c r="AG85" s="100">
        <f>2650+200</f>
        <v>2850</v>
      </c>
      <c r="AH85" s="100">
        <f t="shared" si="9"/>
        <v>2850</v>
      </c>
      <c r="AI85" s="186"/>
      <c r="AJ85" s="126"/>
      <c r="AK85" s="107"/>
      <c r="AL85" s="128"/>
      <c r="AM85" s="129"/>
      <c r="AN85" s="126"/>
      <c r="AO85" s="126"/>
      <c r="AP85" s="118"/>
      <c r="AQ85" s="185"/>
      <c r="AR85" s="128"/>
      <c r="AS85" s="183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6"/>
    </row>
    <row r="86" spans="1:56" x14ac:dyDescent="0.25">
      <c r="A86" s="177">
        <v>67</v>
      </c>
      <c r="B86" s="178" t="s">
        <v>459</v>
      </c>
      <c r="C86" s="179" t="s">
        <v>231</v>
      </c>
      <c r="D86" s="103" t="s">
        <v>301</v>
      </c>
      <c r="E86" s="103"/>
      <c r="F86" s="180" t="s">
        <v>302</v>
      </c>
      <c r="G86" s="101" t="s">
        <v>303</v>
      </c>
      <c r="H86" s="98" t="s">
        <v>460</v>
      </c>
      <c r="I86" s="181" t="s">
        <v>461</v>
      </c>
      <c r="J86" s="103" t="s">
        <v>462</v>
      </c>
      <c r="K86" s="99">
        <v>42845</v>
      </c>
      <c r="L86" s="100">
        <v>3605</v>
      </c>
      <c r="M86" s="99" t="s">
        <v>378</v>
      </c>
      <c r="N86" s="99">
        <v>42845</v>
      </c>
      <c r="O86" s="181" t="s">
        <v>174</v>
      </c>
      <c r="P86" s="103">
        <v>1</v>
      </c>
      <c r="Q86" s="115"/>
      <c r="R86" s="115"/>
      <c r="S86" s="119"/>
      <c r="T86" s="103" t="s">
        <v>308</v>
      </c>
      <c r="U86" s="115"/>
      <c r="V86" s="118"/>
      <c r="W86" s="121"/>
      <c r="X86" s="115"/>
      <c r="Y86" s="115"/>
      <c r="Z86" s="115"/>
      <c r="AA86" s="115"/>
      <c r="AB86" s="115"/>
      <c r="AC86" s="122"/>
      <c r="AD86" s="115"/>
      <c r="AE86" s="105">
        <f t="shared" si="8"/>
        <v>3605</v>
      </c>
      <c r="AF86" s="100">
        <v>0</v>
      </c>
      <c r="AG86" s="100">
        <v>1090</v>
      </c>
      <c r="AH86" s="100">
        <f t="shared" si="9"/>
        <v>1090</v>
      </c>
      <c r="AI86" s="186"/>
      <c r="AJ86" s="126"/>
      <c r="AK86" s="107"/>
      <c r="AL86" s="128"/>
      <c r="AM86" s="129"/>
      <c r="AN86" s="126"/>
      <c r="AO86" s="126"/>
      <c r="AP86" s="118"/>
      <c r="AQ86" s="185"/>
      <c r="AR86" s="128"/>
      <c r="AS86" s="183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6"/>
    </row>
    <row r="87" spans="1:56" x14ac:dyDescent="0.25">
      <c r="A87" s="177">
        <v>68</v>
      </c>
      <c r="B87" s="178" t="s">
        <v>456</v>
      </c>
      <c r="C87" s="179" t="s">
        <v>231</v>
      </c>
      <c r="D87" s="103" t="s">
        <v>301</v>
      </c>
      <c r="E87" s="103"/>
      <c r="F87" s="180" t="s">
        <v>302</v>
      </c>
      <c r="G87" s="101" t="s">
        <v>303</v>
      </c>
      <c r="H87" s="98" t="s">
        <v>271</v>
      </c>
      <c r="I87" s="181" t="s">
        <v>463</v>
      </c>
      <c r="J87" s="103" t="s">
        <v>464</v>
      </c>
      <c r="K87" s="99">
        <v>42845</v>
      </c>
      <c r="L87" s="100">
        <v>4945</v>
      </c>
      <c r="M87" s="99" t="s">
        <v>454</v>
      </c>
      <c r="N87" s="99">
        <v>42845</v>
      </c>
      <c r="O87" s="181" t="s">
        <v>174</v>
      </c>
      <c r="P87" s="103">
        <v>1</v>
      </c>
      <c r="Q87" s="115"/>
      <c r="R87" s="115"/>
      <c r="S87" s="119"/>
      <c r="T87" s="103" t="s">
        <v>308</v>
      </c>
      <c r="U87" s="115"/>
      <c r="V87" s="118"/>
      <c r="W87" s="121"/>
      <c r="X87" s="115"/>
      <c r="Y87" s="115"/>
      <c r="Z87" s="115"/>
      <c r="AA87" s="115"/>
      <c r="AB87" s="115"/>
      <c r="AC87" s="122"/>
      <c r="AD87" s="115"/>
      <c r="AE87" s="105">
        <f t="shared" si="8"/>
        <v>4945</v>
      </c>
      <c r="AF87" s="100">
        <v>0</v>
      </c>
      <c r="AG87" s="100">
        <v>1925</v>
      </c>
      <c r="AH87" s="100">
        <f t="shared" si="9"/>
        <v>1925</v>
      </c>
      <c r="AI87" s="186"/>
      <c r="AJ87" s="126"/>
      <c r="AK87" s="107"/>
      <c r="AL87" s="128"/>
      <c r="AM87" s="129"/>
      <c r="AN87" s="126"/>
      <c r="AO87" s="126"/>
      <c r="AP87" s="118"/>
      <c r="AQ87" s="185"/>
      <c r="AR87" s="128"/>
      <c r="AS87" s="183"/>
      <c r="AT87" s="115"/>
      <c r="AU87" s="115"/>
      <c r="AV87" s="115"/>
      <c r="AW87" s="115"/>
      <c r="AX87" s="115"/>
      <c r="AY87" s="115"/>
      <c r="AZ87" s="115"/>
      <c r="BA87" s="115"/>
      <c r="BB87" s="115"/>
      <c r="BC87" s="115"/>
      <c r="BD87" s="116"/>
    </row>
    <row r="88" spans="1:56" x14ac:dyDescent="0.25">
      <c r="A88" s="177">
        <v>69</v>
      </c>
      <c r="B88" s="178" t="s">
        <v>465</v>
      </c>
      <c r="C88" s="179" t="s">
        <v>231</v>
      </c>
      <c r="D88" s="103" t="s">
        <v>301</v>
      </c>
      <c r="E88" s="103"/>
      <c r="F88" s="180" t="s">
        <v>302</v>
      </c>
      <c r="G88" s="101" t="s">
        <v>303</v>
      </c>
      <c r="H88" s="98" t="s">
        <v>466</v>
      </c>
      <c r="I88" s="181" t="s">
        <v>467</v>
      </c>
      <c r="J88" s="103" t="s">
        <v>468</v>
      </c>
      <c r="K88" s="99">
        <v>42845</v>
      </c>
      <c r="L88" s="100">
        <v>2355</v>
      </c>
      <c r="M88" s="99" t="s">
        <v>307</v>
      </c>
      <c r="N88" s="99">
        <v>42845</v>
      </c>
      <c r="O88" s="181" t="s">
        <v>174</v>
      </c>
      <c r="P88" s="103">
        <v>1</v>
      </c>
      <c r="Q88" s="115"/>
      <c r="R88" s="115"/>
      <c r="S88" s="119"/>
      <c r="T88" s="103" t="s">
        <v>308</v>
      </c>
      <c r="U88" s="115"/>
      <c r="V88" s="118"/>
      <c r="W88" s="121"/>
      <c r="X88" s="115"/>
      <c r="Y88" s="115"/>
      <c r="Z88" s="115"/>
      <c r="AA88" s="115"/>
      <c r="AB88" s="115"/>
      <c r="AC88" s="122"/>
      <c r="AD88" s="115"/>
      <c r="AE88" s="105">
        <f t="shared" si="8"/>
        <v>2355</v>
      </c>
      <c r="AF88" s="100">
        <v>0</v>
      </c>
      <c r="AG88" s="100">
        <v>1340</v>
      </c>
      <c r="AH88" s="100">
        <f t="shared" si="9"/>
        <v>1340</v>
      </c>
      <c r="AI88" s="186"/>
      <c r="AJ88" s="126"/>
      <c r="AK88" s="107"/>
      <c r="AL88" s="128"/>
      <c r="AM88" s="129"/>
      <c r="AN88" s="126"/>
      <c r="AO88" s="126"/>
      <c r="AP88" s="118"/>
      <c r="AQ88" s="185"/>
      <c r="AR88" s="128"/>
      <c r="AS88" s="183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6"/>
    </row>
    <row r="89" spans="1:56" x14ac:dyDescent="0.25">
      <c r="A89" s="177">
        <v>70</v>
      </c>
      <c r="B89" s="178" t="s">
        <v>469</v>
      </c>
      <c r="C89" s="179" t="s">
        <v>231</v>
      </c>
      <c r="D89" s="103" t="s">
        <v>301</v>
      </c>
      <c r="E89" s="103"/>
      <c r="F89" s="180" t="s">
        <v>302</v>
      </c>
      <c r="G89" s="101" t="s">
        <v>303</v>
      </c>
      <c r="H89" s="98" t="s">
        <v>470</v>
      </c>
      <c r="I89" s="181" t="s">
        <v>471</v>
      </c>
      <c r="J89" s="103" t="s">
        <v>472</v>
      </c>
      <c r="K89" s="99">
        <v>42845</v>
      </c>
      <c r="L89" s="100">
        <v>3605</v>
      </c>
      <c r="M89" s="99" t="s">
        <v>307</v>
      </c>
      <c r="N89" s="99">
        <v>42845</v>
      </c>
      <c r="O89" s="181" t="s">
        <v>174</v>
      </c>
      <c r="P89" s="103">
        <v>1</v>
      </c>
      <c r="Q89" s="115"/>
      <c r="R89" s="115"/>
      <c r="S89" s="119"/>
      <c r="T89" s="103" t="s">
        <v>308</v>
      </c>
      <c r="U89" s="115"/>
      <c r="V89" s="118"/>
      <c r="W89" s="121"/>
      <c r="X89" s="115"/>
      <c r="Y89" s="115"/>
      <c r="Z89" s="115"/>
      <c r="AA89" s="115"/>
      <c r="AB89" s="115"/>
      <c r="AC89" s="122"/>
      <c r="AD89" s="115"/>
      <c r="AE89" s="105">
        <f t="shared" si="8"/>
        <v>3605</v>
      </c>
      <c r="AF89" s="100">
        <v>0</v>
      </c>
      <c r="AG89" s="100">
        <f>952.5+145</f>
        <v>1097.5</v>
      </c>
      <c r="AH89" s="100">
        <f t="shared" si="9"/>
        <v>1097.5</v>
      </c>
      <c r="AI89" s="186"/>
      <c r="AJ89" s="126"/>
      <c r="AK89" s="107"/>
      <c r="AL89" s="128"/>
      <c r="AM89" s="129"/>
      <c r="AN89" s="126"/>
      <c r="AO89" s="126"/>
      <c r="AP89" s="118"/>
      <c r="AQ89" s="185"/>
      <c r="AR89" s="128"/>
      <c r="AS89" s="183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6"/>
    </row>
    <row r="90" spans="1:56" x14ac:dyDescent="0.25">
      <c r="A90" s="177">
        <v>71</v>
      </c>
      <c r="B90" s="178" t="s">
        <v>473</v>
      </c>
      <c r="C90" s="179" t="s">
        <v>231</v>
      </c>
      <c r="D90" s="103" t="s">
        <v>301</v>
      </c>
      <c r="E90" s="103"/>
      <c r="F90" s="180" t="s">
        <v>302</v>
      </c>
      <c r="G90" s="101" t="s">
        <v>303</v>
      </c>
      <c r="H90" s="98" t="s">
        <v>474</v>
      </c>
      <c r="I90" s="181" t="s">
        <v>475</v>
      </c>
      <c r="J90" s="103" t="s">
        <v>476</v>
      </c>
      <c r="K90" s="99">
        <v>42845</v>
      </c>
      <c r="L90" s="100">
        <v>2525</v>
      </c>
      <c r="M90" s="99" t="s">
        <v>307</v>
      </c>
      <c r="N90" s="99">
        <v>42845</v>
      </c>
      <c r="O90" s="181" t="s">
        <v>174</v>
      </c>
      <c r="P90" s="103">
        <v>1</v>
      </c>
      <c r="Q90" s="115"/>
      <c r="R90" s="115"/>
      <c r="S90" s="119"/>
      <c r="T90" s="103" t="s">
        <v>308</v>
      </c>
      <c r="U90" s="115"/>
      <c r="V90" s="118"/>
      <c r="W90" s="121"/>
      <c r="X90" s="115"/>
      <c r="Y90" s="115"/>
      <c r="Z90" s="115"/>
      <c r="AA90" s="115"/>
      <c r="AB90" s="115"/>
      <c r="AC90" s="122"/>
      <c r="AD90" s="115"/>
      <c r="AE90" s="105">
        <f t="shared" si="8"/>
        <v>2525</v>
      </c>
      <c r="AF90" s="100">
        <v>0</v>
      </c>
      <c r="AG90" s="100">
        <v>1062.5</v>
      </c>
      <c r="AH90" s="100">
        <f t="shared" si="9"/>
        <v>1062.5</v>
      </c>
      <c r="AI90" s="186"/>
      <c r="AJ90" s="126"/>
      <c r="AK90" s="107"/>
      <c r="AL90" s="128"/>
      <c r="AM90" s="129"/>
      <c r="AN90" s="126"/>
      <c r="AO90" s="126"/>
      <c r="AP90" s="118"/>
      <c r="AQ90" s="185"/>
      <c r="AR90" s="128"/>
      <c r="AS90" s="183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6"/>
    </row>
    <row r="91" spans="1:56" x14ac:dyDescent="0.25">
      <c r="A91" s="177">
        <v>72</v>
      </c>
      <c r="B91" s="178" t="s">
        <v>477</v>
      </c>
      <c r="C91" s="179" t="s">
        <v>231</v>
      </c>
      <c r="D91" s="103" t="s">
        <v>301</v>
      </c>
      <c r="E91" s="103"/>
      <c r="F91" s="180" t="s">
        <v>302</v>
      </c>
      <c r="G91" s="101" t="s">
        <v>303</v>
      </c>
      <c r="H91" s="98" t="s">
        <v>478</v>
      </c>
      <c r="I91" s="181" t="s">
        <v>479</v>
      </c>
      <c r="J91" s="103" t="s">
        <v>480</v>
      </c>
      <c r="K91" s="99">
        <v>42866</v>
      </c>
      <c r="L91" s="100">
        <v>2525</v>
      </c>
      <c r="M91" s="99" t="s">
        <v>307</v>
      </c>
      <c r="N91" s="99">
        <v>42866</v>
      </c>
      <c r="O91" s="181" t="s">
        <v>174</v>
      </c>
      <c r="P91" s="103">
        <v>1</v>
      </c>
      <c r="Q91" s="115"/>
      <c r="R91" s="115"/>
      <c r="S91" s="119"/>
      <c r="T91" s="103" t="s">
        <v>308</v>
      </c>
      <c r="U91" s="115"/>
      <c r="V91" s="118"/>
      <c r="W91" s="121"/>
      <c r="X91" s="115"/>
      <c r="Y91" s="115"/>
      <c r="Z91" s="115"/>
      <c r="AA91" s="115"/>
      <c r="AB91" s="115"/>
      <c r="AC91" s="122"/>
      <c r="AD91" s="115"/>
      <c r="AE91" s="105">
        <f t="shared" si="8"/>
        <v>2525</v>
      </c>
      <c r="AF91" s="100">
        <v>0</v>
      </c>
      <c r="AG91" s="100">
        <f>1317+625+475</f>
        <v>2417</v>
      </c>
      <c r="AH91" s="100">
        <f t="shared" si="9"/>
        <v>2417</v>
      </c>
      <c r="AI91" s="186"/>
      <c r="AJ91" s="126"/>
      <c r="AK91" s="107"/>
      <c r="AL91" s="128"/>
      <c r="AM91" s="129"/>
      <c r="AN91" s="126"/>
      <c r="AO91" s="126"/>
      <c r="AP91" s="118"/>
      <c r="AQ91" s="185"/>
      <c r="AR91" s="128"/>
      <c r="AS91" s="183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6"/>
    </row>
    <row r="92" spans="1:56" x14ac:dyDescent="0.25">
      <c r="A92" s="177">
        <v>73</v>
      </c>
      <c r="B92" s="178" t="s">
        <v>451</v>
      </c>
      <c r="C92" s="179" t="s">
        <v>481</v>
      </c>
      <c r="D92" s="103" t="s">
        <v>121</v>
      </c>
      <c r="E92" s="103" t="s">
        <v>122</v>
      </c>
      <c r="F92" s="180" t="s">
        <v>482</v>
      </c>
      <c r="G92" s="101" t="s">
        <v>295</v>
      </c>
      <c r="H92" s="98" t="s">
        <v>483</v>
      </c>
      <c r="I92" s="181" t="s">
        <v>484</v>
      </c>
      <c r="J92" s="103" t="s">
        <v>485</v>
      </c>
      <c r="K92" s="99">
        <v>42962</v>
      </c>
      <c r="L92" s="100">
        <v>26733</v>
      </c>
      <c r="M92" s="99" t="s">
        <v>486</v>
      </c>
      <c r="N92" s="99">
        <v>42962</v>
      </c>
      <c r="O92" s="181" t="s">
        <v>174</v>
      </c>
      <c r="P92" s="103">
        <v>1</v>
      </c>
      <c r="Q92" s="115"/>
      <c r="R92" s="115"/>
      <c r="S92" s="119"/>
      <c r="T92" s="103" t="s">
        <v>487</v>
      </c>
      <c r="U92" s="115"/>
      <c r="V92" s="118"/>
      <c r="W92" s="121"/>
      <c r="X92" s="115"/>
      <c r="Y92" s="115"/>
      <c r="Z92" s="115"/>
      <c r="AA92" s="115"/>
      <c r="AB92" s="115"/>
      <c r="AC92" s="122"/>
      <c r="AD92" s="115"/>
      <c r="AE92" s="105">
        <f t="shared" si="8"/>
        <v>26733</v>
      </c>
      <c r="AF92" s="100">
        <v>0</v>
      </c>
      <c r="AG92" s="100">
        <f>10090+16643</f>
        <v>26733</v>
      </c>
      <c r="AH92" s="100">
        <f t="shared" si="9"/>
        <v>26733</v>
      </c>
      <c r="AI92" s="186"/>
      <c r="AJ92" s="126"/>
      <c r="AK92" s="107"/>
      <c r="AL92" s="128"/>
      <c r="AM92" s="129"/>
      <c r="AN92" s="126"/>
      <c r="AO92" s="126"/>
      <c r="AP92" s="118"/>
      <c r="AQ92" s="185"/>
      <c r="AR92" s="128"/>
      <c r="AS92" s="183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6"/>
    </row>
    <row r="93" spans="1:56" x14ac:dyDescent="0.25">
      <c r="A93" s="177">
        <v>74</v>
      </c>
      <c r="B93" s="178" t="s">
        <v>488</v>
      </c>
      <c r="C93" s="179" t="s">
        <v>489</v>
      </c>
      <c r="D93" s="103" t="s">
        <v>121</v>
      </c>
      <c r="E93" s="103" t="s">
        <v>122</v>
      </c>
      <c r="F93" s="180" t="s">
        <v>490</v>
      </c>
      <c r="G93" s="101" t="s">
        <v>295</v>
      </c>
      <c r="H93" s="98" t="s">
        <v>491</v>
      </c>
      <c r="I93" s="181" t="s">
        <v>492</v>
      </c>
      <c r="J93" s="103" t="s">
        <v>493</v>
      </c>
      <c r="K93" s="99">
        <v>42914</v>
      </c>
      <c r="L93" s="100">
        <v>23177</v>
      </c>
      <c r="M93" s="99" t="s">
        <v>494</v>
      </c>
      <c r="N93" s="99">
        <v>42914</v>
      </c>
      <c r="O93" s="181" t="s">
        <v>174</v>
      </c>
      <c r="P93" s="103">
        <v>1</v>
      </c>
      <c r="Q93" s="115"/>
      <c r="R93" s="115"/>
      <c r="S93" s="119"/>
      <c r="T93" s="103" t="s">
        <v>176</v>
      </c>
      <c r="U93" s="115"/>
      <c r="V93" s="118"/>
      <c r="W93" s="121"/>
      <c r="X93" s="115"/>
      <c r="Y93" s="115"/>
      <c r="Z93" s="115"/>
      <c r="AA93" s="115"/>
      <c r="AB93" s="115"/>
      <c r="AC93" s="122"/>
      <c r="AD93" s="115"/>
      <c r="AE93" s="105">
        <f t="shared" si="8"/>
        <v>23177</v>
      </c>
      <c r="AF93" s="100">
        <v>0</v>
      </c>
      <c r="AG93" s="100">
        <v>23177</v>
      </c>
      <c r="AH93" s="100">
        <f t="shared" si="9"/>
        <v>23177</v>
      </c>
      <c r="AI93" s="186"/>
      <c r="AJ93" s="126"/>
      <c r="AK93" s="107"/>
      <c r="AL93" s="128"/>
      <c r="AM93" s="129"/>
      <c r="AN93" s="126"/>
      <c r="AO93" s="126"/>
      <c r="AP93" s="118"/>
      <c r="AQ93" s="185"/>
      <c r="AR93" s="128"/>
      <c r="AS93" s="183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6"/>
    </row>
    <row r="94" spans="1:56" x14ac:dyDescent="0.25">
      <c r="A94" s="177">
        <v>75</v>
      </c>
      <c r="B94" s="178" t="s">
        <v>470</v>
      </c>
      <c r="C94" s="179" t="s">
        <v>293</v>
      </c>
      <c r="D94" s="103" t="s">
        <v>121</v>
      </c>
      <c r="E94" s="103" t="s">
        <v>122</v>
      </c>
      <c r="F94" s="180" t="s">
        <v>495</v>
      </c>
      <c r="G94" s="101" t="s">
        <v>295</v>
      </c>
      <c r="H94" s="98" t="s">
        <v>496</v>
      </c>
      <c r="I94" s="181" t="s">
        <v>497</v>
      </c>
      <c r="J94" s="103" t="s">
        <v>498</v>
      </c>
      <c r="K94" s="99">
        <v>42865</v>
      </c>
      <c r="L94" s="100">
        <v>3487.71</v>
      </c>
      <c r="M94" s="99" t="s">
        <v>499</v>
      </c>
      <c r="N94" s="99">
        <v>42865</v>
      </c>
      <c r="O94" s="181" t="s">
        <v>174</v>
      </c>
      <c r="P94" s="103">
        <v>1</v>
      </c>
      <c r="Q94" s="115"/>
      <c r="R94" s="115"/>
      <c r="S94" s="119"/>
      <c r="T94" s="103" t="s">
        <v>176</v>
      </c>
      <c r="U94" s="115"/>
      <c r="V94" s="118"/>
      <c r="W94" s="121"/>
      <c r="X94" s="115"/>
      <c r="Y94" s="115"/>
      <c r="Z94" s="115"/>
      <c r="AA94" s="115"/>
      <c r="AB94" s="115"/>
      <c r="AC94" s="122"/>
      <c r="AD94" s="115"/>
      <c r="AE94" s="105">
        <f t="shared" si="8"/>
        <v>3487.71</v>
      </c>
      <c r="AF94" s="100">
        <v>0</v>
      </c>
      <c r="AG94" s="100">
        <v>742.22</v>
      </c>
      <c r="AH94" s="100">
        <f t="shared" si="9"/>
        <v>742.22</v>
      </c>
      <c r="AI94" s="186"/>
      <c r="AJ94" s="126"/>
      <c r="AK94" s="107"/>
      <c r="AL94" s="128"/>
      <c r="AM94" s="129"/>
      <c r="AN94" s="126"/>
      <c r="AO94" s="126"/>
      <c r="AP94" s="118"/>
      <c r="AQ94" s="185"/>
      <c r="AR94" s="128"/>
      <c r="AS94" s="183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6"/>
    </row>
    <row r="95" spans="1:56" ht="25.5" x14ac:dyDescent="0.25">
      <c r="A95" s="177">
        <v>76</v>
      </c>
      <c r="B95" s="178" t="s">
        <v>395</v>
      </c>
      <c r="C95" s="179" t="s">
        <v>500</v>
      </c>
      <c r="D95" s="103" t="s">
        <v>232</v>
      </c>
      <c r="E95" s="103"/>
      <c r="F95" s="180" t="s">
        <v>501</v>
      </c>
      <c r="G95" s="101" t="s">
        <v>502</v>
      </c>
      <c r="H95" s="98" t="s">
        <v>503</v>
      </c>
      <c r="I95" s="181" t="s">
        <v>504</v>
      </c>
      <c r="J95" s="103" t="s">
        <v>505</v>
      </c>
      <c r="K95" s="99">
        <v>42926</v>
      </c>
      <c r="L95" s="100">
        <v>620928</v>
      </c>
      <c r="M95" s="99" t="s">
        <v>506</v>
      </c>
      <c r="N95" s="99">
        <v>42926</v>
      </c>
      <c r="O95" s="181" t="s">
        <v>507</v>
      </c>
      <c r="P95" s="187">
        <v>0.16666666666666666</v>
      </c>
      <c r="Q95" s="115"/>
      <c r="R95" s="115"/>
      <c r="S95" s="119"/>
      <c r="T95" s="103" t="s">
        <v>129</v>
      </c>
      <c r="U95" s="115"/>
      <c r="V95" s="118"/>
      <c r="W95" s="121"/>
      <c r="X95" s="115"/>
      <c r="Y95" s="115"/>
      <c r="Z95" s="115"/>
      <c r="AA95" s="115"/>
      <c r="AB95" s="115"/>
      <c r="AC95" s="122"/>
      <c r="AD95" s="115"/>
      <c r="AE95" s="105">
        <f t="shared" si="8"/>
        <v>620928</v>
      </c>
      <c r="AF95" s="100">
        <v>0</v>
      </c>
      <c r="AG95" s="100">
        <f>348+348+348+348+348</f>
        <v>1740</v>
      </c>
      <c r="AH95" s="100">
        <f>AF95+AG95</f>
        <v>1740</v>
      </c>
      <c r="AI95" s="186"/>
      <c r="AJ95" s="126"/>
      <c r="AK95" s="107"/>
      <c r="AL95" s="128"/>
      <c r="AM95" s="129"/>
      <c r="AN95" s="126"/>
      <c r="AO95" s="126"/>
      <c r="AP95" s="118"/>
      <c r="AQ95" s="185"/>
      <c r="AR95" s="128"/>
      <c r="AS95" s="183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6"/>
    </row>
    <row r="96" spans="1:56" ht="25.5" x14ac:dyDescent="0.25">
      <c r="A96" s="177">
        <v>77</v>
      </c>
      <c r="B96" s="178" t="s">
        <v>508</v>
      </c>
      <c r="C96" s="179"/>
      <c r="D96" s="103" t="s">
        <v>232</v>
      </c>
      <c r="E96" s="103"/>
      <c r="F96" s="180" t="s">
        <v>501</v>
      </c>
      <c r="G96" s="101" t="s">
        <v>502</v>
      </c>
      <c r="H96" s="98" t="s">
        <v>509</v>
      </c>
      <c r="I96" s="181" t="s">
        <v>510</v>
      </c>
      <c r="J96" s="103" t="s">
        <v>511</v>
      </c>
      <c r="K96" s="99">
        <v>42926</v>
      </c>
      <c r="L96" s="100">
        <v>620928</v>
      </c>
      <c r="M96" s="99" t="s">
        <v>506</v>
      </c>
      <c r="N96" s="99">
        <v>42926</v>
      </c>
      <c r="O96" s="181" t="s">
        <v>507</v>
      </c>
      <c r="P96" s="187">
        <v>0.16666666666666666</v>
      </c>
      <c r="Q96" s="115"/>
      <c r="R96" s="115"/>
      <c r="S96" s="119"/>
      <c r="T96" s="103" t="s">
        <v>129</v>
      </c>
      <c r="U96" s="115"/>
      <c r="V96" s="118"/>
      <c r="W96" s="121"/>
      <c r="X96" s="115"/>
      <c r="Y96" s="115"/>
      <c r="Z96" s="115"/>
      <c r="AA96" s="115"/>
      <c r="AB96" s="115"/>
      <c r="AC96" s="122"/>
      <c r="AD96" s="115"/>
      <c r="AE96" s="105">
        <f t="shared" si="8"/>
        <v>620928</v>
      </c>
      <c r="AF96" s="100">
        <v>0</v>
      </c>
      <c r="AG96" s="100">
        <f>348+348+348+348+348</f>
        <v>1740</v>
      </c>
      <c r="AH96" s="100">
        <f t="shared" ref="AH96:AH123" si="10">AF96+AG96</f>
        <v>1740</v>
      </c>
      <c r="AI96" s="186"/>
      <c r="AJ96" s="126"/>
      <c r="AK96" s="107"/>
      <c r="AL96" s="128"/>
      <c r="AM96" s="129"/>
      <c r="AN96" s="126"/>
      <c r="AO96" s="126"/>
      <c r="AP96" s="118"/>
      <c r="AQ96" s="185"/>
      <c r="AR96" s="128"/>
      <c r="AS96" s="183"/>
      <c r="AT96" s="115"/>
      <c r="AU96" s="115"/>
      <c r="AV96" s="115"/>
      <c r="AW96" s="115"/>
      <c r="AX96" s="115"/>
      <c r="AY96" s="115"/>
      <c r="AZ96" s="115"/>
      <c r="BA96" s="115"/>
      <c r="BB96" s="115"/>
      <c r="BC96" s="115"/>
      <c r="BD96" s="116"/>
    </row>
    <row r="97" spans="1:56" x14ac:dyDescent="0.25">
      <c r="A97" s="177">
        <v>78</v>
      </c>
      <c r="B97" s="178" t="s">
        <v>512</v>
      </c>
      <c r="C97" s="179" t="s">
        <v>513</v>
      </c>
      <c r="D97" s="103" t="s">
        <v>121</v>
      </c>
      <c r="E97" s="103" t="s">
        <v>122</v>
      </c>
      <c r="F97" s="180" t="s">
        <v>514</v>
      </c>
      <c r="G97" s="101" t="s">
        <v>287</v>
      </c>
      <c r="H97" s="98" t="s">
        <v>210</v>
      </c>
      <c r="I97" s="181" t="s">
        <v>515</v>
      </c>
      <c r="J97" s="103" t="s">
        <v>516</v>
      </c>
      <c r="K97" s="99">
        <v>42811</v>
      </c>
      <c r="L97" s="100">
        <v>5015</v>
      </c>
      <c r="M97" s="99" t="s">
        <v>517</v>
      </c>
      <c r="N97" s="99">
        <v>42811</v>
      </c>
      <c r="O97" s="181" t="s">
        <v>174</v>
      </c>
      <c r="P97" s="103">
        <v>1</v>
      </c>
      <c r="Q97" s="115"/>
      <c r="R97" s="115"/>
      <c r="S97" s="119"/>
      <c r="T97" s="103" t="s">
        <v>518</v>
      </c>
      <c r="U97" s="115"/>
      <c r="V97" s="118"/>
      <c r="W97" s="121"/>
      <c r="X97" s="115"/>
      <c r="Y97" s="115"/>
      <c r="Z97" s="115"/>
      <c r="AA97" s="115"/>
      <c r="AB97" s="115"/>
      <c r="AC97" s="122"/>
      <c r="AD97" s="115"/>
      <c r="AE97" s="105">
        <f t="shared" si="8"/>
        <v>5015</v>
      </c>
      <c r="AF97" s="100">
        <v>0</v>
      </c>
      <c r="AG97" s="100">
        <v>893.5</v>
      </c>
      <c r="AH97" s="100">
        <f t="shared" si="10"/>
        <v>893.5</v>
      </c>
      <c r="AI97" s="186"/>
      <c r="AJ97" s="126"/>
      <c r="AK97" s="107"/>
      <c r="AL97" s="128"/>
      <c r="AM97" s="129"/>
      <c r="AN97" s="126"/>
      <c r="AO97" s="126"/>
      <c r="AP97" s="118"/>
      <c r="AQ97" s="185"/>
      <c r="AR97" s="128"/>
      <c r="AS97" s="183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6"/>
    </row>
    <row r="98" spans="1:56" x14ac:dyDescent="0.25">
      <c r="A98" s="177">
        <v>79</v>
      </c>
      <c r="B98" s="178" t="s">
        <v>334</v>
      </c>
      <c r="C98" s="179" t="s">
        <v>231</v>
      </c>
      <c r="D98" s="103" t="s">
        <v>301</v>
      </c>
      <c r="E98" s="103"/>
      <c r="F98" s="180" t="s">
        <v>302</v>
      </c>
      <c r="G98" s="101" t="s">
        <v>303</v>
      </c>
      <c r="H98" s="98" t="s">
        <v>477</v>
      </c>
      <c r="I98" s="181" t="s">
        <v>519</v>
      </c>
      <c r="J98" s="103" t="s">
        <v>520</v>
      </c>
      <c r="K98" s="99">
        <v>42866</v>
      </c>
      <c r="L98" s="100">
        <v>4675</v>
      </c>
      <c r="M98" s="99" t="s">
        <v>307</v>
      </c>
      <c r="N98" s="99">
        <v>42866</v>
      </c>
      <c r="O98" s="181" t="s">
        <v>174</v>
      </c>
      <c r="P98" s="103">
        <v>1</v>
      </c>
      <c r="Q98" s="115"/>
      <c r="R98" s="115"/>
      <c r="S98" s="119"/>
      <c r="T98" s="103" t="s">
        <v>308</v>
      </c>
      <c r="U98" s="115"/>
      <c r="V98" s="118"/>
      <c r="W98" s="121"/>
      <c r="X98" s="115"/>
      <c r="Y98" s="115"/>
      <c r="Z98" s="115"/>
      <c r="AA98" s="115"/>
      <c r="AB98" s="115"/>
      <c r="AC98" s="122"/>
      <c r="AD98" s="115"/>
      <c r="AE98" s="105">
        <f t="shared" si="8"/>
        <v>4675</v>
      </c>
      <c r="AF98" s="100">
        <v>0</v>
      </c>
      <c r="AG98" s="100">
        <f>200+1900+100+800+580+150</f>
        <v>3730</v>
      </c>
      <c r="AH98" s="100">
        <f t="shared" si="10"/>
        <v>3730</v>
      </c>
      <c r="AI98" s="186"/>
      <c r="AJ98" s="126"/>
      <c r="AK98" s="107"/>
      <c r="AL98" s="128"/>
      <c r="AM98" s="129"/>
      <c r="AN98" s="126"/>
      <c r="AO98" s="126"/>
      <c r="AP98" s="118"/>
      <c r="AQ98" s="185"/>
      <c r="AR98" s="128"/>
      <c r="AS98" s="183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6"/>
    </row>
    <row r="99" spans="1:56" x14ac:dyDescent="0.25">
      <c r="A99" s="177">
        <v>80</v>
      </c>
      <c r="B99" s="178" t="s">
        <v>391</v>
      </c>
      <c r="C99" s="179" t="s">
        <v>231</v>
      </c>
      <c r="D99" s="103" t="s">
        <v>301</v>
      </c>
      <c r="E99" s="103"/>
      <c r="F99" s="180" t="s">
        <v>302</v>
      </c>
      <c r="G99" s="101" t="s">
        <v>303</v>
      </c>
      <c r="H99" s="98" t="s">
        <v>521</v>
      </c>
      <c r="I99" s="181" t="s">
        <v>522</v>
      </c>
      <c r="J99" s="103" t="s">
        <v>523</v>
      </c>
      <c r="K99" s="99">
        <v>42866</v>
      </c>
      <c r="L99" s="100">
        <v>2175</v>
      </c>
      <c r="M99" s="99" t="s">
        <v>378</v>
      </c>
      <c r="N99" s="99">
        <v>42866</v>
      </c>
      <c r="O99" s="181" t="s">
        <v>174</v>
      </c>
      <c r="P99" s="103">
        <v>1</v>
      </c>
      <c r="Q99" s="115"/>
      <c r="R99" s="115"/>
      <c r="S99" s="119"/>
      <c r="T99" s="103" t="s">
        <v>308</v>
      </c>
      <c r="U99" s="115"/>
      <c r="V99" s="118"/>
      <c r="W99" s="121"/>
      <c r="X99" s="115"/>
      <c r="Y99" s="115"/>
      <c r="Z99" s="115"/>
      <c r="AA99" s="115"/>
      <c r="AB99" s="115"/>
      <c r="AC99" s="122"/>
      <c r="AD99" s="115"/>
      <c r="AE99" s="105">
        <f t="shared" si="8"/>
        <v>2175</v>
      </c>
      <c r="AF99" s="100">
        <v>0</v>
      </c>
      <c r="AG99" s="100">
        <v>1595</v>
      </c>
      <c r="AH99" s="100">
        <f t="shared" si="10"/>
        <v>1595</v>
      </c>
      <c r="AI99" s="186"/>
      <c r="AJ99" s="126"/>
      <c r="AK99" s="107"/>
      <c r="AL99" s="128"/>
      <c r="AM99" s="129"/>
      <c r="AN99" s="126"/>
      <c r="AO99" s="126"/>
      <c r="AP99" s="118"/>
      <c r="AQ99" s="185"/>
      <c r="AR99" s="128"/>
      <c r="AS99" s="183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6"/>
    </row>
    <row r="100" spans="1:56" x14ac:dyDescent="0.25">
      <c r="A100" s="177">
        <v>81</v>
      </c>
      <c r="B100" s="178" t="s">
        <v>244</v>
      </c>
      <c r="C100" s="179" t="s">
        <v>231</v>
      </c>
      <c r="D100" s="103" t="s">
        <v>301</v>
      </c>
      <c r="E100" s="103"/>
      <c r="F100" s="180" t="s">
        <v>302</v>
      </c>
      <c r="G100" s="101" t="s">
        <v>303</v>
      </c>
      <c r="H100" s="98" t="s">
        <v>524</v>
      </c>
      <c r="I100" s="181" t="s">
        <v>525</v>
      </c>
      <c r="J100" s="103" t="s">
        <v>526</v>
      </c>
      <c r="K100" s="99">
        <v>42845</v>
      </c>
      <c r="L100" s="100">
        <v>4945</v>
      </c>
      <c r="M100" s="99" t="s">
        <v>378</v>
      </c>
      <c r="N100" s="99">
        <v>42845</v>
      </c>
      <c r="O100" s="181" t="s">
        <v>174</v>
      </c>
      <c r="P100" s="103">
        <v>1</v>
      </c>
      <c r="Q100" s="115"/>
      <c r="R100" s="115"/>
      <c r="S100" s="119"/>
      <c r="T100" s="103" t="s">
        <v>527</v>
      </c>
      <c r="U100" s="115"/>
      <c r="V100" s="118"/>
      <c r="W100" s="121"/>
      <c r="X100" s="115"/>
      <c r="Y100" s="115"/>
      <c r="Z100" s="115"/>
      <c r="AA100" s="115"/>
      <c r="AB100" s="115"/>
      <c r="AC100" s="122"/>
      <c r="AD100" s="115"/>
      <c r="AE100" s="105">
        <f>L100-AD100+AC100</f>
        <v>4945</v>
      </c>
      <c r="AF100" s="100">
        <v>0</v>
      </c>
      <c r="AG100" s="100">
        <f>2305+100+530</f>
        <v>2935</v>
      </c>
      <c r="AH100" s="100">
        <f t="shared" si="10"/>
        <v>2935</v>
      </c>
      <c r="AI100" s="186"/>
      <c r="AJ100" s="126"/>
      <c r="AK100" s="107"/>
      <c r="AL100" s="128"/>
      <c r="AM100" s="129"/>
      <c r="AN100" s="126"/>
      <c r="AO100" s="126"/>
      <c r="AP100" s="118"/>
      <c r="AQ100" s="185"/>
      <c r="AR100" s="128"/>
      <c r="AS100" s="183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6"/>
    </row>
    <row r="101" spans="1:56" x14ac:dyDescent="0.25">
      <c r="A101" s="177">
        <v>82</v>
      </c>
      <c r="B101" s="178" t="s">
        <v>450</v>
      </c>
      <c r="C101" s="179" t="s">
        <v>231</v>
      </c>
      <c r="D101" s="103" t="s">
        <v>301</v>
      </c>
      <c r="E101" s="103"/>
      <c r="F101" s="180" t="s">
        <v>302</v>
      </c>
      <c r="G101" s="101" t="s">
        <v>303</v>
      </c>
      <c r="H101" s="98" t="s">
        <v>383</v>
      </c>
      <c r="I101" s="181" t="s">
        <v>452</v>
      </c>
      <c r="J101" s="103" t="s">
        <v>453</v>
      </c>
      <c r="K101" s="99">
        <v>42866</v>
      </c>
      <c r="L101" s="100">
        <v>4150</v>
      </c>
      <c r="M101" s="99" t="s">
        <v>454</v>
      </c>
      <c r="N101" s="99">
        <v>42866</v>
      </c>
      <c r="O101" s="181" t="s">
        <v>174</v>
      </c>
      <c r="P101" s="103">
        <v>1</v>
      </c>
      <c r="Q101" s="115"/>
      <c r="R101" s="115"/>
      <c r="S101" s="119"/>
      <c r="T101" s="103" t="s">
        <v>308</v>
      </c>
      <c r="U101" s="115"/>
      <c r="V101" s="118"/>
      <c r="W101" s="121"/>
      <c r="X101" s="115"/>
      <c r="Y101" s="115"/>
      <c r="Z101" s="115"/>
      <c r="AA101" s="115"/>
      <c r="AB101" s="115"/>
      <c r="AC101" s="122"/>
      <c r="AD101" s="115"/>
      <c r="AE101" s="105">
        <f t="shared" ref="AE101:AE115" si="11">L101-AD101+AC101</f>
        <v>4150</v>
      </c>
      <c r="AF101" s="100">
        <v>0</v>
      </c>
      <c r="AG101" s="100">
        <f>350+850+100+100</f>
        <v>1400</v>
      </c>
      <c r="AH101" s="100">
        <f t="shared" si="10"/>
        <v>1400</v>
      </c>
      <c r="AI101" s="186"/>
      <c r="AJ101" s="126"/>
      <c r="AK101" s="107"/>
      <c r="AL101" s="128"/>
      <c r="AM101" s="129"/>
      <c r="AN101" s="126"/>
      <c r="AO101" s="126"/>
      <c r="AP101" s="118"/>
      <c r="AQ101" s="185"/>
      <c r="AR101" s="128"/>
      <c r="AS101" s="183"/>
      <c r="AT101" s="115"/>
      <c r="AU101" s="115"/>
      <c r="AV101" s="115"/>
      <c r="AW101" s="115"/>
      <c r="AX101" s="115"/>
      <c r="AY101" s="115"/>
      <c r="AZ101" s="115"/>
      <c r="BA101" s="115"/>
      <c r="BB101" s="115"/>
      <c r="BC101" s="115"/>
      <c r="BD101" s="116"/>
    </row>
    <row r="102" spans="1:56" x14ac:dyDescent="0.25">
      <c r="A102" s="177">
        <v>83</v>
      </c>
      <c r="B102" s="178" t="s">
        <v>410</v>
      </c>
      <c r="C102" s="179" t="s">
        <v>231</v>
      </c>
      <c r="D102" s="103" t="s">
        <v>301</v>
      </c>
      <c r="E102" s="103"/>
      <c r="F102" s="180" t="s">
        <v>302</v>
      </c>
      <c r="G102" s="101" t="s">
        <v>303</v>
      </c>
      <c r="H102" s="98" t="s">
        <v>450</v>
      </c>
      <c r="I102" s="181" t="s">
        <v>528</v>
      </c>
      <c r="J102" s="103" t="s">
        <v>529</v>
      </c>
      <c r="K102" s="99">
        <v>42866</v>
      </c>
      <c r="L102" s="100">
        <v>5400</v>
      </c>
      <c r="M102" s="99" t="s">
        <v>307</v>
      </c>
      <c r="N102" s="99">
        <v>42866</v>
      </c>
      <c r="O102" s="181" t="s">
        <v>174</v>
      </c>
      <c r="P102" s="103">
        <v>1</v>
      </c>
      <c r="Q102" s="115"/>
      <c r="R102" s="115"/>
      <c r="S102" s="119"/>
      <c r="T102" s="103" t="s">
        <v>308</v>
      </c>
      <c r="U102" s="115"/>
      <c r="V102" s="118"/>
      <c r="W102" s="121"/>
      <c r="X102" s="115"/>
      <c r="Y102" s="115"/>
      <c r="Z102" s="115"/>
      <c r="AA102" s="115"/>
      <c r="AB102" s="115"/>
      <c r="AC102" s="122"/>
      <c r="AD102" s="115"/>
      <c r="AE102" s="105">
        <f t="shared" si="11"/>
        <v>5400</v>
      </c>
      <c r="AF102" s="100">
        <v>0</v>
      </c>
      <c r="AG102" s="100">
        <f>400+1750+11+89+1375+525</f>
        <v>4150</v>
      </c>
      <c r="AH102" s="100">
        <f t="shared" si="10"/>
        <v>4150</v>
      </c>
      <c r="AI102" s="186"/>
      <c r="AJ102" s="126"/>
      <c r="AK102" s="107"/>
      <c r="AL102" s="128"/>
      <c r="AM102" s="129"/>
      <c r="AN102" s="126"/>
      <c r="AO102" s="126"/>
      <c r="AP102" s="118"/>
      <c r="AQ102" s="185"/>
      <c r="AR102" s="128"/>
      <c r="AS102" s="183"/>
      <c r="AT102" s="115"/>
      <c r="AU102" s="115"/>
      <c r="AV102" s="115"/>
      <c r="AW102" s="115"/>
      <c r="AX102" s="115"/>
      <c r="AY102" s="115"/>
      <c r="AZ102" s="115"/>
      <c r="BA102" s="115"/>
      <c r="BB102" s="115"/>
      <c r="BC102" s="115"/>
      <c r="BD102" s="116"/>
    </row>
    <row r="103" spans="1:56" x14ac:dyDescent="0.25">
      <c r="A103" s="177">
        <v>84</v>
      </c>
      <c r="B103" s="178" t="s">
        <v>418</v>
      </c>
      <c r="C103" s="179" t="s">
        <v>231</v>
      </c>
      <c r="D103" s="103" t="s">
        <v>301</v>
      </c>
      <c r="E103" s="103"/>
      <c r="F103" s="180" t="s">
        <v>302</v>
      </c>
      <c r="G103" s="101" t="s">
        <v>303</v>
      </c>
      <c r="H103" s="98" t="s">
        <v>387</v>
      </c>
      <c r="I103" s="181" t="s">
        <v>420</v>
      </c>
      <c r="J103" s="103" t="s">
        <v>421</v>
      </c>
      <c r="K103" s="99">
        <v>42866</v>
      </c>
      <c r="L103" s="100">
        <v>4150</v>
      </c>
      <c r="M103" s="99" t="s">
        <v>378</v>
      </c>
      <c r="N103" s="99" t="s">
        <v>530</v>
      </c>
      <c r="O103" s="181" t="s">
        <v>174</v>
      </c>
      <c r="P103" s="103">
        <v>1</v>
      </c>
      <c r="Q103" s="115"/>
      <c r="R103" s="115"/>
      <c r="S103" s="119"/>
      <c r="T103" s="103" t="s">
        <v>308</v>
      </c>
      <c r="U103" s="115"/>
      <c r="V103" s="118"/>
      <c r="W103" s="121"/>
      <c r="X103" s="115"/>
      <c r="Y103" s="115"/>
      <c r="Z103" s="115"/>
      <c r="AA103" s="115"/>
      <c r="AB103" s="115"/>
      <c r="AC103" s="122"/>
      <c r="AD103" s="115"/>
      <c r="AE103" s="105">
        <f t="shared" si="11"/>
        <v>4150</v>
      </c>
      <c r="AF103" s="100">
        <v>0</v>
      </c>
      <c r="AG103" s="100">
        <f>100+1400+250+125+500+100</f>
        <v>2475</v>
      </c>
      <c r="AH103" s="100">
        <f t="shared" si="10"/>
        <v>2475</v>
      </c>
      <c r="AI103" s="186"/>
      <c r="AJ103" s="126"/>
      <c r="AK103" s="107"/>
      <c r="AL103" s="128"/>
      <c r="AM103" s="129"/>
      <c r="AN103" s="126"/>
      <c r="AO103" s="126"/>
      <c r="AP103" s="118"/>
      <c r="AQ103" s="185"/>
      <c r="AR103" s="128"/>
      <c r="AS103" s="183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6"/>
    </row>
    <row r="104" spans="1:56" x14ac:dyDescent="0.25">
      <c r="A104" s="177">
        <v>85</v>
      </c>
      <c r="B104" s="178" t="s">
        <v>337</v>
      </c>
      <c r="C104" s="179" t="s">
        <v>231</v>
      </c>
      <c r="D104" s="103" t="s">
        <v>301</v>
      </c>
      <c r="E104" s="103"/>
      <c r="F104" s="180" t="s">
        <v>302</v>
      </c>
      <c r="G104" s="101" t="s">
        <v>303</v>
      </c>
      <c r="H104" s="98" t="s">
        <v>313</v>
      </c>
      <c r="I104" s="181" t="s">
        <v>339</v>
      </c>
      <c r="J104" s="103" t="s">
        <v>340</v>
      </c>
      <c r="K104" s="99">
        <v>42866</v>
      </c>
      <c r="L104" s="100">
        <v>4150</v>
      </c>
      <c r="M104" s="99" t="s">
        <v>307</v>
      </c>
      <c r="N104" s="99">
        <v>42866</v>
      </c>
      <c r="O104" s="181" t="s">
        <v>174</v>
      </c>
      <c r="P104" s="103">
        <v>1</v>
      </c>
      <c r="Q104" s="115"/>
      <c r="R104" s="115"/>
      <c r="S104" s="119"/>
      <c r="T104" s="103" t="s">
        <v>308</v>
      </c>
      <c r="U104" s="115"/>
      <c r="V104" s="118"/>
      <c r="W104" s="121"/>
      <c r="X104" s="115"/>
      <c r="Y104" s="115"/>
      <c r="Z104" s="115"/>
      <c r="AA104" s="115"/>
      <c r="AB104" s="115"/>
      <c r="AC104" s="122"/>
      <c r="AD104" s="115"/>
      <c r="AE104" s="105">
        <f t="shared" si="11"/>
        <v>4150</v>
      </c>
      <c r="AF104" s="100">
        <v>0</v>
      </c>
      <c r="AG104" s="100">
        <f>750+1200+300+375+200+500+500</f>
        <v>3825</v>
      </c>
      <c r="AH104" s="100">
        <f t="shared" si="10"/>
        <v>3825</v>
      </c>
      <c r="AI104" s="186"/>
      <c r="AJ104" s="126"/>
      <c r="AK104" s="107"/>
      <c r="AL104" s="128"/>
      <c r="AM104" s="129"/>
      <c r="AN104" s="126"/>
      <c r="AO104" s="126"/>
      <c r="AP104" s="118"/>
      <c r="AQ104" s="185"/>
      <c r="AR104" s="128"/>
      <c r="AS104" s="183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6"/>
    </row>
    <row r="105" spans="1:56" x14ac:dyDescent="0.25">
      <c r="A105" s="177">
        <v>86</v>
      </c>
      <c r="B105" s="178" t="s">
        <v>455</v>
      </c>
      <c r="C105" s="179" t="s">
        <v>231</v>
      </c>
      <c r="D105" s="103" t="s">
        <v>301</v>
      </c>
      <c r="E105" s="103"/>
      <c r="F105" s="180" t="s">
        <v>302</v>
      </c>
      <c r="G105" s="101" t="s">
        <v>303</v>
      </c>
      <c r="H105" s="98" t="s">
        <v>455</v>
      </c>
      <c r="I105" s="181" t="s">
        <v>457</v>
      </c>
      <c r="J105" s="103" t="s">
        <v>458</v>
      </c>
      <c r="K105" s="99">
        <v>42866</v>
      </c>
      <c r="L105" s="100">
        <v>4150</v>
      </c>
      <c r="M105" s="99" t="s">
        <v>378</v>
      </c>
      <c r="N105" s="99">
        <v>42866</v>
      </c>
      <c r="O105" s="181" t="s">
        <v>174</v>
      </c>
      <c r="P105" s="103">
        <v>1</v>
      </c>
      <c r="Q105" s="115"/>
      <c r="R105" s="115"/>
      <c r="S105" s="119"/>
      <c r="T105" s="103" t="s">
        <v>308</v>
      </c>
      <c r="U105" s="115"/>
      <c r="V105" s="118"/>
      <c r="W105" s="121"/>
      <c r="X105" s="115"/>
      <c r="Y105" s="115"/>
      <c r="Z105" s="115"/>
      <c r="AA105" s="115"/>
      <c r="AB105" s="115"/>
      <c r="AC105" s="122"/>
      <c r="AD105" s="115"/>
      <c r="AE105" s="105">
        <f t="shared" si="11"/>
        <v>4150</v>
      </c>
      <c r="AF105" s="100">
        <v>0</v>
      </c>
      <c r="AG105" s="100">
        <f>700+950+550+62.5+350+400</f>
        <v>3012.5</v>
      </c>
      <c r="AH105" s="100">
        <f t="shared" si="10"/>
        <v>3012.5</v>
      </c>
      <c r="AI105" s="186"/>
      <c r="AJ105" s="126"/>
      <c r="AK105" s="107"/>
      <c r="AL105" s="128"/>
      <c r="AM105" s="129"/>
      <c r="AN105" s="126"/>
      <c r="AO105" s="126"/>
      <c r="AP105" s="118"/>
      <c r="AQ105" s="185"/>
      <c r="AR105" s="128"/>
      <c r="AS105" s="183"/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6"/>
    </row>
    <row r="106" spans="1:56" x14ac:dyDescent="0.25">
      <c r="A106" s="177">
        <v>87</v>
      </c>
      <c r="B106" s="178" t="s">
        <v>219</v>
      </c>
      <c r="C106" s="179" t="s">
        <v>231</v>
      </c>
      <c r="D106" s="103" t="s">
        <v>301</v>
      </c>
      <c r="E106" s="103"/>
      <c r="F106" s="180" t="s">
        <v>302</v>
      </c>
      <c r="G106" s="101" t="s">
        <v>303</v>
      </c>
      <c r="H106" s="98" t="s">
        <v>333</v>
      </c>
      <c r="I106" s="181" t="s">
        <v>440</v>
      </c>
      <c r="J106" s="103" t="s">
        <v>441</v>
      </c>
      <c r="K106" s="99">
        <v>42866</v>
      </c>
      <c r="L106" s="100">
        <v>5400</v>
      </c>
      <c r="M106" s="99" t="s">
        <v>307</v>
      </c>
      <c r="N106" s="99">
        <v>42866</v>
      </c>
      <c r="O106" s="181" t="s">
        <v>174</v>
      </c>
      <c r="P106" s="103">
        <v>1</v>
      </c>
      <c r="Q106" s="115"/>
      <c r="R106" s="115"/>
      <c r="S106" s="119"/>
      <c r="T106" s="103" t="s">
        <v>308</v>
      </c>
      <c r="U106" s="115"/>
      <c r="V106" s="118"/>
      <c r="W106" s="121"/>
      <c r="X106" s="115"/>
      <c r="Y106" s="115"/>
      <c r="Z106" s="115"/>
      <c r="AA106" s="115"/>
      <c r="AB106" s="115"/>
      <c r="AC106" s="122"/>
      <c r="AD106" s="115"/>
      <c r="AE106" s="105">
        <f t="shared" si="11"/>
        <v>5400</v>
      </c>
      <c r="AF106" s="100">
        <v>0</v>
      </c>
      <c r="AG106" s="100">
        <f>775+1250+150+425+700+1475+250</f>
        <v>5025</v>
      </c>
      <c r="AH106" s="100">
        <f t="shared" si="10"/>
        <v>5025</v>
      </c>
      <c r="AI106" s="186"/>
      <c r="AJ106" s="126"/>
      <c r="AK106" s="107"/>
      <c r="AL106" s="128"/>
      <c r="AM106" s="129"/>
      <c r="AN106" s="126"/>
      <c r="AO106" s="126"/>
      <c r="AP106" s="118"/>
      <c r="AQ106" s="185"/>
      <c r="AR106" s="128"/>
      <c r="AS106" s="183"/>
      <c r="AT106" s="115"/>
      <c r="AU106" s="115"/>
      <c r="AV106" s="115"/>
      <c r="AW106" s="115"/>
      <c r="AX106" s="115"/>
      <c r="AY106" s="115"/>
      <c r="AZ106" s="115"/>
      <c r="BA106" s="115"/>
      <c r="BB106" s="115"/>
      <c r="BC106" s="115"/>
      <c r="BD106" s="116"/>
    </row>
    <row r="107" spans="1:56" x14ac:dyDescent="0.25">
      <c r="A107" s="177">
        <v>88</v>
      </c>
      <c r="B107" s="178" t="s">
        <v>531</v>
      </c>
      <c r="C107" s="179" t="s">
        <v>231</v>
      </c>
      <c r="D107" s="103" t="s">
        <v>301</v>
      </c>
      <c r="E107" s="103"/>
      <c r="F107" s="180" t="s">
        <v>302</v>
      </c>
      <c r="G107" s="101" t="s">
        <v>303</v>
      </c>
      <c r="H107" s="98" t="s">
        <v>532</v>
      </c>
      <c r="I107" s="181" t="s">
        <v>533</v>
      </c>
      <c r="J107" s="103" t="s">
        <v>534</v>
      </c>
      <c r="K107" s="99">
        <v>42866</v>
      </c>
      <c r="L107" s="100">
        <v>2500</v>
      </c>
      <c r="M107" s="99" t="s">
        <v>307</v>
      </c>
      <c r="N107" s="99">
        <v>42866</v>
      </c>
      <c r="O107" s="181" t="s">
        <v>174</v>
      </c>
      <c r="P107" s="103">
        <v>1</v>
      </c>
      <c r="Q107" s="115"/>
      <c r="R107" s="115"/>
      <c r="S107" s="119"/>
      <c r="T107" s="103" t="s">
        <v>308</v>
      </c>
      <c r="U107" s="115"/>
      <c r="V107" s="118"/>
      <c r="W107" s="121"/>
      <c r="X107" s="115"/>
      <c r="Y107" s="115"/>
      <c r="Z107" s="115"/>
      <c r="AA107" s="115"/>
      <c r="AB107" s="115"/>
      <c r="AC107" s="122"/>
      <c r="AD107" s="115"/>
      <c r="AE107" s="105">
        <f t="shared" si="11"/>
        <v>2500</v>
      </c>
      <c r="AF107" s="100">
        <v>0</v>
      </c>
      <c r="AG107" s="100">
        <f>100+800+100+500</f>
        <v>1500</v>
      </c>
      <c r="AH107" s="100">
        <f t="shared" si="10"/>
        <v>1500</v>
      </c>
      <c r="AI107" s="186"/>
      <c r="AJ107" s="126"/>
      <c r="AK107" s="107"/>
      <c r="AL107" s="128"/>
      <c r="AM107" s="129"/>
      <c r="AN107" s="126"/>
      <c r="AO107" s="126"/>
      <c r="AP107" s="118"/>
      <c r="AQ107" s="185"/>
      <c r="AR107" s="128"/>
      <c r="AS107" s="183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6"/>
    </row>
    <row r="108" spans="1:56" x14ac:dyDescent="0.25">
      <c r="A108" s="177">
        <v>89</v>
      </c>
      <c r="B108" s="178" t="s">
        <v>310</v>
      </c>
      <c r="C108" s="179" t="s">
        <v>231</v>
      </c>
      <c r="D108" s="103" t="s">
        <v>301</v>
      </c>
      <c r="E108" s="103"/>
      <c r="F108" s="180" t="s">
        <v>302</v>
      </c>
      <c r="G108" s="101" t="s">
        <v>303</v>
      </c>
      <c r="H108" s="98" t="s">
        <v>364</v>
      </c>
      <c r="I108" s="181" t="s">
        <v>331</v>
      </c>
      <c r="J108" s="103" t="s">
        <v>332</v>
      </c>
      <c r="K108" s="99">
        <v>42866</v>
      </c>
      <c r="L108" s="100">
        <v>4150</v>
      </c>
      <c r="M108" s="99" t="s">
        <v>307</v>
      </c>
      <c r="N108" s="99">
        <v>42866</v>
      </c>
      <c r="O108" s="181" t="s">
        <v>174</v>
      </c>
      <c r="P108" s="103">
        <v>1</v>
      </c>
      <c r="Q108" s="115"/>
      <c r="R108" s="115"/>
      <c r="S108" s="119"/>
      <c r="T108" s="103" t="s">
        <v>308</v>
      </c>
      <c r="U108" s="115"/>
      <c r="V108" s="118"/>
      <c r="W108" s="121"/>
      <c r="X108" s="115"/>
      <c r="Y108" s="115"/>
      <c r="Z108" s="115"/>
      <c r="AA108" s="115"/>
      <c r="AB108" s="115"/>
      <c r="AC108" s="122"/>
      <c r="AD108" s="115"/>
      <c r="AE108" s="105">
        <f t="shared" si="11"/>
        <v>4150</v>
      </c>
      <c r="AF108" s="100">
        <v>0</v>
      </c>
      <c r="AG108" s="100">
        <f>700+900+550+500+150+50</f>
        <v>2850</v>
      </c>
      <c r="AH108" s="100">
        <f t="shared" si="10"/>
        <v>2850</v>
      </c>
      <c r="AI108" s="186"/>
      <c r="AJ108" s="126"/>
      <c r="AK108" s="107"/>
      <c r="AL108" s="128"/>
      <c r="AM108" s="129"/>
      <c r="AN108" s="126"/>
      <c r="AO108" s="126"/>
      <c r="AP108" s="118"/>
      <c r="AQ108" s="185"/>
      <c r="AR108" s="128"/>
      <c r="AS108" s="183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6"/>
    </row>
    <row r="109" spans="1:56" x14ac:dyDescent="0.25">
      <c r="A109" s="177">
        <v>90</v>
      </c>
      <c r="B109" s="178" t="s">
        <v>535</v>
      </c>
      <c r="C109" s="179" t="s">
        <v>231</v>
      </c>
      <c r="D109" s="103" t="s">
        <v>301</v>
      </c>
      <c r="E109" s="103"/>
      <c r="F109" s="180" t="s">
        <v>302</v>
      </c>
      <c r="G109" s="101" t="s">
        <v>303</v>
      </c>
      <c r="H109" s="98" t="s">
        <v>379</v>
      </c>
      <c r="I109" s="181" t="s">
        <v>536</v>
      </c>
      <c r="J109" s="103" t="s">
        <v>537</v>
      </c>
      <c r="K109" s="99">
        <v>42866</v>
      </c>
      <c r="L109" s="100">
        <v>4150</v>
      </c>
      <c r="M109" s="99" t="s">
        <v>307</v>
      </c>
      <c r="N109" s="99">
        <v>42866</v>
      </c>
      <c r="O109" s="181" t="s">
        <v>174</v>
      </c>
      <c r="P109" s="103">
        <v>1</v>
      </c>
      <c r="Q109" s="115"/>
      <c r="R109" s="115"/>
      <c r="S109" s="119"/>
      <c r="T109" s="103" t="s">
        <v>308</v>
      </c>
      <c r="U109" s="115"/>
      <c r="V109" s="118"/>
      <c r="W109" s="121"/>
      <c r="X109" s="115"/>
      <c r="Y109" s="115"/>
      <c r="Z109" s="115"/>
      <c r="AA109" s="115"/>
      <c r="AB109" s="115"/>
      <c r="AC109" s="122"/>
      <c r="AD109" s="115"/>
      <c r="AE109" s="105">
        <f t="shared" si="11"/>
        <v>4150</v>
      </c>
      <c r="AF109" s="100">
        <v>0</v>
      </c>
      <c r="AG109" s="100">
        <v>100</v>
      </c>
      <c r="AH109" s="100">
        <f t="shared" si="10"/>
        <v>100</v>
      </c>
      <c r="AI109" s="186"/>
      <c r="AJ109" s="126"/>
      <c r="AK109" s="107"/>
      <c r="AL109" s="128"/>
      <c r="AM109" s="129"/>
      <c r="AN109" s="126"/>
      <c r="AO109" s="126"/>
      <c r="AP109" s="118"/>
      <c r="AQ109" s="185"/>
      <c r="AR109" s="128"/>
      <c r="AS109" s="183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6"/>
    </row>
    <row r="110" spans="1:56" x14ac:dyDescent="0.25">
      <c r="A110" s="177">
        <v>91</v>
      </c>
      <c r="B110" s="178" t="s">
        <v>538</v>
      </c>
      <c r="C110" s="179" t="s">
        <v>231</v>
      </c>
      <c r="D110" s="103" t="s">
        <v>301</v>
      </c>
      <c r="E110" s="103"/>
      <c r="F110" s="180" t="s">
        <v>302</v>
      </c>
      <c r="G110" s="101" t="s">
        <v>303</v>
      </c>
      <c r="H110" s="98" t="s">
        <v>539</v>
      </c>
      <c r="I110" s="181" t="s">
        <v>315</v>
      </c>
      <c r="J110" s="103" t="s">
        <v>316</v>
      </c>
      <c r="K110" s="99">
        <v>42866</v>
      </c>
      <c r="L110" s="100">
        <v>4150</v>
      </c>
      <c r="M110" s="99" t="s">
        <v>307</v>
      </c>
      <c r="N110" s="99">
        <v>42866</v>
      </c>
      <c r="O110" s="181" t="s">
        <v>174</v>
      </c>
      <c r="P110" s="103">
        <v>1</v>
      </c>
      <c r="Q110" s="115"/>
      <c r="R110" s="115"/>
      <c r="S110" s="119"/>
      <c r="T110" s="103" t="s">
        <v>308</v>
      </c>
      <c r="U110" s="115"/>
      <c r="V110" s="118"/>
      <c r="W110" s="121"/>
      <c r="X110" s="115"/>
      <c r="Y110" s="115"/>
      <c r="Z110" s="115"/>
      <c r="AA110" s="115"/>
      <c r="AB110" s="115"/>
      <c r="AC110" s="122"/>
      <c r="AD110" s="115"/>
      <c r="AE110" s="105">
        <f t="shared" si="11"/>
        <v>4150</v>
      </c>
      <c r="AF110" s="100">
        <v>0</v>
      </c>
      <c r="AG110" s="100">
        <f>50+1100+812.5+500</f>
        <v>2462.5</v>
      </c>
      <c r="AH110" s="100">
        <f t="shared" si="10"/>
        <v>2462.5</v>
      </c>
      <c r="AI110" s="186"/>
      <c r="AJ110" s="126"/>
      <c r="AK110" s="107"/>
      <c r="AL110" s="128"/>
      <c r="AM110" s="129"/>
      <c r="AN110" s="126"/>
      <c r="AO110" s="126"/>
      <c r="AP110" s="118"/>
      <c r="AQ110" s="185"/>
      <c r="AR110" s="128"/>
      <c r="AS110" s="183"/>
      <c r="AT110" s="115"/>
      <c r="AU110" s="115"/>
      <c r="AV110" s="115"/>
      <c r="AW110" s="115"/>
      <c r="AX110" s="115"/>
      <c r="AY110" s="115"/>
      <c r="AZ110" s="115"/>
      <c r="BA110" s="115"/>
      <c r="BB110" s="115"/>
      <c r="BC110" s="115"/>
      <c r="BD110" s="116"/>
    </row>
    <row r="111" spans="1:56" x14ac:dyDescent="0.25">
      <c r="A111" s="177">
        <v>92</v>
      </c>
      <c r="B111" s="178" t="s">
        <v>300</v>
      </c>
      <c r="C111" s="179" t="s">
        <v>231</v>
      </c>
      <c r="D111" s="103" t="s">
        <v>301</v>
      </c>
      <c r="E111" s="103"/>
      <c r="F111" s="180" t="s">
        <v>302</v>
      </c>
      <c r="G111" s="101" t="s">
        <v>303</v>
      </c>
      <c r="H111" s="98" t="s">
        <v>390</v>
      </c>
      <c r="I111" s="181" t="s">
        <v>305</v>
      </c>
      <c r="J111" s="101" t="s">
        <v>306</v>
      </c>
      <c r="K111" s="99">
        <v>42866</v>
      </c>
      <c r="L111" s="100">
        <v>2500</v>
      </c>
      <c r="M111" s="99" t="s">
        <v>307</v>
      </c>
      <c r="N111" s="99">
        <v>42866</v>
      </c>
      <c r="O111" s="181" t="s">
        <v>174</v>
      </c>
      <c r="P111" s="103">
        <v>1</v>
      </c>
      <c r="Q111" s="115"/>
      <c r="R111" s="115"/>
      <c r="S111" s="119"/>
      <c r="T111" s="103" t="s">
        <v>308</v>
      </c>
      <c r="U111" s="115"/>
      <c r="V111" s="118"/>
      <c r="W111" s="121"/>
      <c r="X111" s="115"/>
      <c r="Y111" s="115"/>
      <c r="Z111" s="115"/>
      <c r="AA111" s="115"/>
      <c r="AB111" s="115"/>
      <c r="AC111" s="122"/>
      <c r="AD111" s="115"/>
      <c r="AE111" s="105">
        <f t="shared" si="11"/>
        <v>2500</v>
      </c>
      <c r="AF111" s="100">
        <v>0</v>
      </c>
      <c r="AG111" s="100">
        <f>500+2000</f>
        <v>2500</v>
      </c>
      <c r="AH111" s="100">
        <f t="shared" si="10"/>
        <v>2500</v>
      </c>
      <c r="AI111" s="186"/>
      <c r="AJ111" s="126"/>
      <c r="AK111" s="107"/>
      <c r="AL111" s="128"/>
      <c r="AM111" s="129"/>
      <c r="AN111" s="126"/>
      <c r="AO111" s="126"/>
      <c r="AP111" s="118"/>
      <c r="AQ111" s="185"/>
      <c r="AR111" s="128"/>
      <c r="AS111" s="183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6"/>
    </row>
    <row r="112" spans="1:56" x14ac:dyDescent="0.25">
      <c r="A112" s="177">
        <v>93</v>
      </c>
      <c r="B112" s="178"/>
      <c r="C112" s="179"/>
      <c r="D112" s="103" t="s">
        <v>232</v>
      </c>
      <c r="E112" s="103"/>
      <c r="F112" s="180" t="s">
        <v>540</v>
      </c>
      <c r="G112" s="101" t="s">
        <v>303</v>
      </c>
      <c r="H112" s="98"/>
      <c r="I112" s="181" t="s">
        <v>541</v>
      </c>
      <c r="J112" s="189" t="s">
        <v>542</v>
      </c>
      <c r="K112" s="99"/>
      <c r="L112" s="100">
        <f>13178.25+630.43+1900.69+67.9</f>
        <v>15777.27</v>
      </c>
      <c r="M112" s="99"/>
      <c r="N112" s="99"/>
      <c r="O112" s="181"/>
      <c r="P112" s="103">
        <v>1</v>
      </c>
      <c r="Q112" s="115"/>
      <c r="R112" s="115"/>
      <c r="S112" s="119"/>
      <c r="T112" s="103" t="s">
        <v>543</v>
      </c>
      <c r="U112" s="115"/>
      <c r="V112" s="118"/>
      <c r="W112" s="121"/>
      <c r="X112" s="115"/>
      <c r="Y112" s="115"/>
      <c r="Z112" s="115"/>
      <c r="AA112" s="115"/>
      <c r="AB112" s="115"/>
      <c r="AC112" s="122"/>
      <c r="AD112" s="115"/>
      <c r="AE112" s="105">
        <f t="shared" si="11"/>
        <v>15777.27</v>
      </c>
      <c r="AF112" s="100">
        <v>0</v>
      </c>
      <c r="AG112" s="100">
        <f>13178.25+630+1900.69+67.9</f>
        <v>15776.84</v>
      </c>
      <c r="AH112" s="100">
        <f t="shared" si="10"/>
        <v>15776.84</v>
      </c>
      <c r="AI112" s="186"/>
      <c r="AJ112" s="126"/>
      <c r="AK112" s="107"/>
      <c r="AL112" s="128"/>
      <c r="AM112" s="129"/>
      <c r="AN112" s="126"/>
      <c r="AO112" s="126"/>
      <c r="AP112" s="118"/>
      <c r="AQ112" s="185"/>
      <c r="AR112" s="128"/>
      <c r="AS112" s="183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6"/>
    </row>
    <row r="113" spans="1:56" x14ac:dyDescent="0.25">
      <c r="A113" s="177">
        <v>94</v>
      </c>
      <c r="B113" s="178" t="s">
        <v>326</v>
      </c>
      <c r="C113" s="179" t="s">
        <v>231</v>
      </c>
      <c r="D113" s="103" t="s">
        <v>301</v>
      </c>
      <c r="E113" s="103"/>
      <c r="F113" s="180" t="s">
        <v>302</v>
      </c>
      <c r="G113" s="101" t="s">
        <v>303</v>
      </c>
      <c r="H113" s="98" t="s">
        <v>327</v>
      </c>
      <c r="I113" s="181" t="s">
        <v>328</v>
      </c>
      <c r="J113" s="103" t="s">
        <v>329</v>
      </c>
      <c r="K113" s="99">
        <v>42866</v>
      </c>
      <c r="L113" s="100">
        <v>1900</v>
      </c>
      <c r="M113" s="99" t="s">
        <v>307</v>
      </c>
      <c r="N113" s="99">
        <v>42866</v>
      </c>
      <c r="O113" s="181" t="s">
        <v>174</v>
      </c>
      <c r="P113" s="103">
        <v>1</v>
      </c>
      <c r="Q113" s="115"/>
      <c r="R113" s="115"/>
      <c r="S113" s="119"/>
      <c r="T113" s="103" t="s">
        <v>308</v>
      </c>
      <c r="U113" s="115"/>
      <c r="V113" s="118"/>
      <c r="W113" s="121"/>
      <c r="X113" s="115"/>
      <c r="Y113" s="115"/>
      <c r="Z113" s="115"/>
      <c r="AA113" s="115"/>
      <c r="AB113" s="115"/>
      <c r="AC113" s="122"/>
      <c r="AD113" s="115"/>
      <c r="AE113" s="105">
        <f t="shared" si="11"/>
        <v>1900</v>
      </c>
      <c r="AF113" s="100">
        <v>0</v>
      </c>
      <c r="AG113" s="100">
        <v>150</v>
      </c>
      <c r="AH113" s="100">
        <f t="shared" si="10"/>
        <v>150</v>
      </c>
      <c r="AI113" s="186"/>
      <c r="AJ113" s="126"/>
      <c r="AK113" s="107"/>
      <c r="AL113" s="128"/>
      <c r="AM113" s="129"/>
      <c r="AN113" s="126"/>
      <c r="AO113" s="126"/>
      <c r="AP113" s="118"/>
      <c r="AQ113" s="185"/>
      <c r="AR113" s="128"/>
      <c r="AS113" s="183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6"/>
    </row>
    <row r="114" spans="1:56" x14ac:dyDescent="0.25">
      <c r="A114" s="177">
        <v>95</v>
      </c>
      <c r="B114" s="178" t="s">
        <v>473</v>
      </c>
      <c r="C114" s="179" t="s">
        <v>231</v>
      </c>
      <c r="D114" s="103" t="s">
        <v>301</v>
      </c>
      <c r="E114" s="103"/>
      <c r="F114" s="180" t="s">
        <v>302</v>
      </c>
      <c r="G114" s="101" t="s">
        <v>303</v>
      </c>
      <c r="H114" s="98" t="s">
        <v>398</v>
      </c>
      <c r="I114" s="181" t="s">
        <v>475</v>
      </c>
      <c r="J114" s="103" t="s">
        <v>476</v>
      </c>
      <c r="K114" s="99">
        <v>42866</v>
      </c>
      <c r="L114" s="100">
        <v>1900</v>
      </c>
      <c r="M114" s="99" t="s">
        <v>307</v>
      </c>
      <c r="N114" s="99">
        <v>42866</v>
      </c>
      <c r="O114" s="181" t="s">
        <v>174</v>
      </c>
      <c r="P114" s="103">
        <v>1</v>
      </c>
      <c r="Q114" s="115"/>
      <c r="R114" s="115"/>
      <c r="S114" s="119"/>
      <c r="T114" s="103" t="s">
        <v>308</v>
      </c>
      <c r="U114" s="115"/>
      <c r="V114" s="118"/>
      <c r="W114" s="121"/>
      <c r="X114" s="115"/>
      <c r="Y114" s="115"/>
      <c r="Z114" s="115"/>
      <c r="AA114" s="115"/>
      <c r="AB114" s="115"/>
      <c r="AC114" s="122"/>
      <c r="AD114" s="115"/>
      <c r="AE114" s="105">
        <f t="shared" si="11"/>
        <v>1900</v>
      </c>
      <c r="AF114" s="100">
        <v>0</v>
      </c>
      <c r="AG114" s="100">
        <f>600+25+42.5+150+600+425+100</f>
        <v>1942.5</v>
      </c>
      <c r="AH114" s="100">
        <f t="shared" si="10"/>
        <v>1942.5</v>
      </c>
      <c r="AI114" s="186"/>
      <c r="AJ114" s="126"/>
      <c r="AK114" s="107"/>
      <c r="AL114" s="128"/>
      <c r="AM114" s="129"/>
      <c r="AN114" s="126"/>
      <c r="AO114" s="126"/>
      <c r="AP114" s="118"/>
      <c r="AQ114" s="185"/>
      <c r="AR114" s="128"/>
      <c r="AS114" s="183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6"/>
    </row>
    <row r="115" spans="1:56" x14ac:dyDescent="0.25">
      <c r="A115" s="177">
        <v>96</v>
      </c>
      <c r="B115" s="178" t="s">
        <v>459</v>
      </c>
      <c r="C115" s="179" t="s">
        <v>231</v>
      </c>
      <c r="D115" s="103" t="s">
        <v>301</v>
      </c>
      <c r="E115" s="103"/>
      <c r="F115" s="180" t="s">
        <v>302</v>
      </c>
      <c r="G115" s="101" t="s">
        <v>303</v>
      </c>
      <c r="H115" s="98" t="s">
        <v>544</v>
      </c>
      <c r="I115" s="181" t="s">
        <v>545</v>
      </c>
      <c r="J115" s="103" t="s">
        <v>462</v>
      </c>
      <c r="K115" s="99">
        <v>42866</v>
      </c>
      <c r="L115" s="100">
        <v>1250</v>
      </c>
      <c r="M115" s="99" t="s">
        <v>546</v>
      </c>
      <c r="N115" s="99">
        <v>42866</v>
      </c>
      <c r="O115" s="181" t="s">
        <v>174</v>
      </c>
      <c r="P115" s="103">
        <v>1</v>
      </c>
      <c r="Q115" s="115"/>
      <c r="R115" s="115"/>
      <c r="S115" s="119"/>
      <c r="T115" s="103" t="s">
        <v>308</v>
      </c>
      <c r="U115" s="115"/>
      <c r="V115" s="118"/>
      <c r="W115" s="121"/>
      <c r="X115" s="115"/>
      <c r="Y115" s="115"/>
      <c r="Z115" s="115"/>
      <c r="AA115" s="115"/>
      <c r="AB115" s="115"/>
      <c r="AC115" s="122"/>
      <c r="AD115" s="115"/>
      <c r="AE115" s="105">
        <f t="shared" si="11"/>
        <v>1250</v>
      </c>
      <c r="AF115" s="100">
        <v>0</v>
      </c>
      <c r="AG115" s="100">
        <f>600+350</f>
        <v>950</v>
      </c>
      <c r="AH115" s="100">
        <f t="shared" si="10"/>
        <v>950</v>
      </c>
      <c r="AI115" s="186"/>
      <c r="AJ115" s="126"/>
      <c r="AK115" s="107"/>
      <c r="AL115" s="128"/>
      <c r="AM115" s="129"/>
      <c r="AN115" s="126"/>
      <c r="AO115" s="126"/>
      <c r="AP115" s="118"/>
      <c r="AQ115" s="185"/>
      <c r="AR115" s="128"/>
      <c r="AS115" s="183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6"/>
    </row>
    <row r="116" spans="1:56" x14ac:dyDescent="0.25">
      <c r="A116" s="177">
        <v>97</v>
      </c>
      <c r="B116" s="178" t="s">
        <v>425</v>
      </c>
      <c r="C116" s="179" t="s">
        <v>231</v>
      </c>
      <c r="D116" s="103" t="s">
        <v>301</v>
      </c>
      <c r="E116" s="103"/>
      <c r="F116" s="180" t="s">
        <v>302</v>
      </c>
      <c r="G116" s="101" t="s">
        <v>303</v>
      </c>
      <c r="H116" s="98" t="s">
        <v>402</v>
      </c>
      <c r="I116" s="181" t="s">
        <v>426</v>
      </c>
      <c r="J116" s="103" t="s">
        <v>427</v>
      </c>
      <c r="K116" s="99">
        <v>42866</v>
      </c>
      <c r="L116" s="100">
        <v>1900</v>
      </c>
      <c r="M116" s="99" t="s">
        <v>307</v>
      </c>
      <c r="N116" s="99">
        <v>42866</v>
      </c>
      <c r="O116" s="181" t="s">
        <v>174</v>
      </c>
      <c r="P116" s="103">
        <v>1</v>
      </c>
      <c r="Q116" s="115"/>
      <c r="R116" s="115"/>
      <c r="S116" s="119"/>
      <c r="T116" s="103" t="s">
        <v>308</v>
      </c>
      <c r="U116" s="115"/>
      <c r="V116" s="118"/>
      <c r="W116" s="121"/>
      <c r="X116" s="115"/>
      <c r="Y116" s="115"/>
      <c r="Z116" s="115"/>
      <c r="AA116" s="115"/>
      <c r="AB116" s="115"/>
      <c r="AC116" s="122"/>
      <c r="AD116" s="115"/>
      <c r="AE116" s="105">
        <f>L116-AD116+AC116</f>
        <v>1900</v>
      </c>
      <c r="AF116" s="100">
        <v>0</v>
      </c>
      <c r="AG116" s="100">
        <f>575+450</f>
        <v>1025</v>
      </c>
      <c r="AH116" s="100">
        <f t="shared" si="10"/>
        <v>1025</v>
      </c>
      <c r="AI116" s="186"/>
      <c r="AJ116" s="126"/>
      <c r="AK116" s="107"/>
      <c r="AL116" s="128"/>
      <c r="AM116" s="129"/>
      <c r="AN116" s="126"/>
      <c r="AO116" s="126"/>
      <c r="AP116" s="118"/>
      <c r="AQ116" s="185"/>
      <c r="AR116" s="128"/>
      <c r="AS116" s="183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6"/>
    </row>
    <row r="117" spans="1:56" x14ac:dyDescent="0.25">
      <c r="A117" s="177">
        <v>98</v>
      </c>
      <c r="B117" s="178" t="s">
        <v>436</v>
      </c>
      <c r="C117" s="179" t="s">
        <v>231</v>
      </c>
      <c r="D117" s="103" t="s">
        <v>301</v>
      </c>
      <c r="E117" s="103"/>
      <c r="F117" s="180" t="s">
        <v>302</v>
      </c>
      <c r="G117" s="101" t="s">
        <v>303</v>
      </c>
      <c r="H117" s="98" t="s">
        <v>488</v>
      </c>
      <c r="I117" s="181" t="s">
        <v>438</v>
      </c>
      <c r="J117" s="103" t="s">
        <v>439</v>
      </c>
      <c r="K117" s="99">
        <v>42866</v>
      </c>
      <c r="L117" s="100">
        <v>4150</v>
      </c>
      <c r="M117" s="99" t="s">
        <v>307</v>
      </c>
      <c r="N117" s="99">
        <v>42866</v>
      </c>
      <c r="O117" s="181" t="s">
        <v>174</v>
      </c>
      <c r="P117" s="103">
        <v>1</v>
      </c>
      <c r="Q117" s="115"/>
      <c r="R117" s="115"/>
      <c r="S117" s="119"/>
      <c r="T117" s="103" t="s">
        <v>308</v>
      </c>
      <c r="U117" s="115"/>
      <c r="V117" s="118"/>
      <c r="W117" s="121"/>
      <c r="X117" s="115"/>
      <c r="Y117" s="115"/>
      <c r="Z117" s="115"/>
      <c r="AA117" s="115"/>
      <c r="AB117" s="115"/>
      <c r="AC117" s="122"/>
      <c r="AD117" s="115"/>
      <c r="AE117" s="105">
        <f t="shared" ref="AE117:AE124" si="12">L117-AD117+AC117</f>
        <v>4150</v>
      </c>
      <c r="AF117" s="100">
        <v>0</v>
      </c>
      <c r="AG117" s="100">
        <f>1500+100+222.5+2327.5</f>
        <v>4150</v>
      </c>
      <c r="AH117" s="100">
        <f t="shared" si="10"/>
        <v>4150</v>
      </c>
      <c r="AI117" s="119"/>
      <c r="AJ117" s="126"/>
      <c r="AK117" s="107"/>
      <c r="AL117" s="128"/>
      <c r="AM117" s="129"/>
      <c r="AN117" s="126"/>
      <c r="AO117" s="126"/>
      <c r="AP117" s="118"/>
      <c r="AQ117" s="185"/>
      <c r="AR117" s="128"/>
      <c r="AS117" s="183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6"/>
    </row>
    <row r="118" spans="1:56" x14ac:dyDescent="0.25">
      <c r="A118" s="177">
        <v>99</v>
      </c>
      <c r="B118" s="178" t="s">
        <v>469</v>
      </c>
      <c r="C118" s="179" t="s">
        <v>231</v>
      </c>
      <c r="D118" s="103" t="s">
        <v>301</v>
      </c>
      <c r="E118" s="103"/>
      <c r="F118" s="180" t="s">
        <v>302</v>
      </c>
      <c r="G118" s="101" t="s">
        <v>303</v>
      </c>
      <c r="H118" s="98" t="s">
        <v>442</v>
      </c>
      <c r="I118" s="181" t="s">
        <v>471</v>
      </c>
      <c r="J118" s="103" t="s">
        <v>472</v>
      </c>
      <c r="K118" s="99">
        <v>42866</v>
      </c>
      <c r="L118" s="100">
        <v>5400</v>
      </c>
      <c r="M118" s="99" t="s">
        <v>307</v>
      </c>
      <c r="N118" s="99">
        <v>42866</v>
      </c>
      <c r="O118" s="181" t="s">
        <v>174</v>
      </c>
      <c r="P118" s="103">
        <v>1</v>
      </c>
      <c r="Q118" s="115"/>
      <c r="R118" s="115"/>
      <c r="S118" s="119"/>
      <c r="T118" s="103" t="s">
        <v>308</v>
      </c>
      <c r="U118" s="115"/>
      <c r="V118" s="118"/>
      <c r="W118" s="121"/>
      <c r="X118" s="115"/>
      <c r="Y118" s="115"/>
      <c r="Z118" s="115"/>
      <c r="AA118" s="115"/>
      <c r="AB118" s="115"/>
      <c r="AC118" s="122"/>
      <c r="AD118" s="115"/>
      <c r="AE118" s="105">
        <f t="shared" si="12"/>
        <v>5400</v>
      </c>
      <c r="AF118" s="100">
        <v>0</v>
      </c>
      <c r="AG118" s="100">
        <f>125+1400+100</f>
        <v>1625</v>
      </c>
      <c r="AH118" s="100">
        <f t="shared" si="10"/>
        <v>1625</v>
      </c>
      <c r="AI118" s="119"/>
      <c r="AJ118" s="126"/>
      <c r="AK118" s="107"/>
      <c r="AL118" s="128"/>
      <c r="AM118" s="129"/>
      <c r="AN118" s="126"/>
      <c r="AO118" s="126"/>
      <c r="AP118" s="118"/>
      <c r="AQ118" s="185"/>
      <c r="AR118" s="128"/>
      <c r="AS118" s="183"/>
      <c r="AT118" s="115"/>
      <c r="AU118" s="115"/>
      <c r="AV118" s="115"/>
      <c r="AW118" s="115"/>
      <c r="AX118" s="115"/>
      <c r="AY118" s="115"/>
      <c r="AZ118" s="115"/>
      <c r="BA118" s="115"/>
      <c r="BB118" s="115"/>
      <c r="BC118" s="115"/>
      <c r="BD118" s="116"/>
    </row>
    <row r="119" spans="1:56" x14ac:dyDescent="0.25">
      <c r="A119" s="177">
        <v>100</v>
      </c>
      <c r="B119" s="178" t="s">
        <v>456</v>
      </c>
      <c r="C119" s="179" t="s">
        <v>231</v>
      </c>
      <c r="D119" s="103" t="s">
        <v>301</v>
      </c>
      <c r="E119" s="103"/>
      <c r="F119" s="180" t="s">
        <v>302</v>
      </c>
      <c r="G119" s="101" t="s">
        <v>303</v>
      </c>
      <c r="H119" s="98" t="s">
        <v>422</v>
      </c>
      <c r="I119" s="181" t="s">
        <v>463</v>
      </c>
      <c r="J119" s="103" t="s">
        <v>464</v>
      </c>
      <c r="K119" s="99">
        <v>42866</v>
      </c>
      <c r="L119" s="100">
        <v>4150</v>
      </c>
      <c r="M119" s="99" t="s">
        <v>307</v>
      </c>
      <c r="N119" s="99">
        <v>42866</v>
      </c>
      <c r="O119" s="181" t="s">
        <v>174</v>
      </c>
      <c r="P119" s="103">
        <v>1</v>
      </c>
      <c r="Q119" s="115"/>
      <c r="R119" s="115"/>
      <c r="S119" s="119"/>
      <c r="T119" s="103" t="s">
        <v>308</v>
      </c>
      <c r="U119" s="115"/>
      <c r="V119" s="118"/>
      <c r="W119" s="121"/>
      <c r="X119" s="115"/>
      <c r="Y119" s="115"/>
      <c r="Z119" s="115"/>
      <c r="AA119" s="115"/>
      <c r="AB119" s="115"/>
      <c r="AC119" s="122"/>
      <c r="AD119" s="115"/>
      <c r="AE119" s="105">
        <f t="shared" si="12"/>
        <v>4150</v>
      </c>
      <c r="AF119" s="100">
        <v>0</v>
      </c>
      <c r="AG119" s="100">
        <f>600+200</f>
        <v>800</v>
      </c>
      <c r="AH119" s="100">
        <f t="shared" si="10"/>
        <v>800</v>
      </c>
      <c r="AI119" s="186"/>
      <c r="AJ119" s="126"/>
      <c r="AK119" s="107"/>
      <c r="AL119" s="128"/>
      <c r="AM119" s="129"/>
      <c r="AN119" s="126"/>
      <c r="AO119" s="126"/>
      <c r="AP119" s="118"/>
      <c r="AQ119" s="185"/>
      <c r="AR119" s="128"/>
      <c r="AS119" s="183"/>
      <c r="AT119" s="115"/>
      <c r="AU119" s="115"/>
      <c r="AV119" s="115"/>
      <c r="AW119" s="115"/>
      <c r="AX119" s="115"/>
      <c r="AY119" s="115"/>
      <c r="AZ119" s="115"/>
      <c r="BA119" s="115"/>
      <c r="BB119" s="115"/>
      <c r="BC119" s="115"/>
      <c r="BD119" s="116"/>
    </row>
    <row r="120" spans="1:56" x14ac:dyDescent="0.25">
      <c r="A120" s="177">
        <v>101</v>
      </c>
      <c r="B120" s="178" t="s">
        <v>244</v>
      </c>
      <c r="C120" s="179" t="s">
        <v>231</v>
      </c>
      <c r="D120" s="103" t="s">
        <v>301</v>
      </c>
      <c r="E120" s="103"/>
      <c r="F120" s="180" t="s">
        <v>302</v>
      </c>
      <c r="G120" s="101" t="s">
        <v>303</v>
      </c>
      <c r="H120" s="98" t="s">
        <v>531</v>
      </c>
      <c r="I120" s="181" t="s">
        <v>525</v>
      </c>
      <c r="J120" s="103" t="s">
        <v>526</v>
      </c>
      <c r="K120" s="99">
        <v>42866</v>
      </c>
      <c r="L120" s="100">
        <v>4150</v>
      </c>
      <c r="M120" s="99" t="s">
        <v>546</v>
      </c>
      <c r="N120" s="99">
        <v>42866</v>
      </c>
      <c r="O120" s="181" t="s">
        <v>174</v>
      </c>
      <c r="P120" s="103">
        <v>1</v>
      </c>
      <c r="Q120" s="115"/>
      <c r="R120" s="115"/>
      <c r="S120" s="119"/>
      <c r="T120" s="103" t="s">
        <v>308</v>
      </c>
      <c r="U120" s="115"/>
      <c r="V120" s="118"/>
      <c r="W120" s="121"/>
      <c r="X120" s="115"/>
      <c r="Y120" s="115"/>
      <c r="Z120" s="115"/>
      <c r="AA120" s="115"/>
      <c r="AB120" s="115"/>
      <c r="AC120" s="122"/>
      <c r="AD120" s="115"/>
      <c r="AE120" s="105">
        <f t="shared" si="12"/>
        <v>4150</v>
      </c>
      <c r="AF120" s="100">
        <v>0</v>
      </c>
      <c r="AG120" s="100">
        <f>200+100+62.5+100</f>
        <v>462.5</v>
      </c>
      <c r="AH120" s="100">
        <f t="shared" si="10"/>
        <v>462.5</v>
      </c>
      <c r="AI120" s="186"/>
      <c r="AJ120" s="126"/>
      <c r="AK120" s="107"/>
      <c r="AL120" s="128"/>
      <c r="AM120" s="129"/>
      <c r="AN120" s="126"/>
      <c r="AO120" s="126"/>
      <c r="AP120" s="118"/>
      <c r="AQ120" s="185"/>
      <c r="AR120" s="128"/>
      <c r="AS120" s="183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6"/>
    </row>
    <row r="121" spans="1:56" x14ac:dyDescent="0.25">
      <c r="A121" s="177">
        <v>102</v>
      </c>
      <c r="B121" s="178" t="s">
        <v>478</v>
      </c>
      <c r="C121" s="179"/>
      <c r="D121" s="103" t="s">
        <v>232</v>
      </c>
      <c r="E121" s="103"/>
      <c r="F121" s="180" t="s">
        <v>547</v>
      </c>
      <c r="G121" s="101"/>
      <c r="H121" s="98"/>
      <c r="I121" s="181" t="s">
        <v>548</v>
      </c>
      <c r="J121" s="103" t="s">
        <v>549</v>
      </c>
      <c r="K121" s="99"/>
      <c r="L121" s="100">
        <v>180.31</v>
      </c>
      <c r="M121" s="99"/>
      <c r="N121" s="99"/>
      <c r="O121" s="181"/>
      <c r="P121" s="103">
        <v>1</v>
      </c>
      <c r="Q121" s="115"/>
      <c r="R121" s="115"/>
      <c r="S121" s="119"/>
      <c r="T121" s="103" t="s">
        <v>550</v>
      </c>
      <c r="U121" s="115"/>
      <c r="V121" s="118"/>
      <c r="W121" s="121"/>
      <c r="X121" s="115"/>
      <c r="Y121" s="115"/>
      <c r="Z121" s="115"/>
      <c r="AA121" s="115"/>
      <c r="AB121" s="115"/>
      <c r="AC121" s="122"/>
      <c r="AD121" s="115"/>
      <c r="AE121" s="105">
        <f t="shared" si="12"/>
        <v>180.31</v>
      </c>
      <c r="AF121" s="100">
        <v>0</v>
      </c>
      <c r="AG121" s="100">
        <v>180.31</v>
      </c>
      <c r="AH121" s="100">
        <f t="shared" si="10"/>
        <v>180.31</v>
      </c>
      <c r="AI121" s="186"/>
      <c r="AJ121" s="126"/>
      <c r="AK121" s="107"/>
      <c r="AL121" s="128"/>
      <c r="AM121" s="129"/>
      <c r="AN121" s="126"/>
      <c r="AO121" s="126"/>
      <c r="AP121" s="118"/>
      <c r="AQ121" s="185"/>
      <c r="AR121" s="128"/>
      <c r="AS121" s="183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6"/>
    </row>
    <row r="122" spans="1:56" x14ac:dyDescent="0.25">
      <c r="A122" s="177">
        <v>103</v>
      </c>
      <c r="B122" s="178" t="s">
        <v>313</v>
      </c>
      <c r="C122" s="179" t="s">
        <v>231</v>
      </c>
      <c r="D122" s="103" t="s">
        <v>301</v>
      </c>
      <c r="E122" s="103"/>
      <c r="F122" s="180" t="s">
        <v>302</v>
      </c>
      <c r="G122" s="101" t="s">
        <v>303</v>
      </c>
      <c r="H122" s="98" t="s">
        <v>538</v>
      </c>
      <c r="I122" s="181" t="s">
        <v>551</v>
      </c>
      <c r="J122" s="103" t="s">
        <v>552</v>
      </c>
      <c r="K122" s="99">
        <v>42866</v>
      </c>
      <c r="L122" s="100">
        <v>3750</v>
      </c>
      <c r="M122" s="99" t="s">
        <v>307</v>
      </c>
      <c r="N122" s="99">
        <v>42866</v>
      </c>
      <c r="O122" s="181" t="s">
        <v>174</v>
      </c>
      <c r="P122" s="103">
        <v>1</v>
      </c>
      <c r="Q122" s="115"/>
      <c r="R122" s="115"/>
      <c r="S122" s="119"/>
      <c r="T122" s="103" t="s">
        <v>308</v>
      </c>
      <c r="U122" s="115"/>
      <c r="V122" s="118"/>
      <c r="W122" s="121"/>
      <c r="X122" s="115"/>
      <c r="Y122" s="115"/>
      <c r="Z122" s="115"/>
      <c r="AA122" s="115"/>
      <c r="AB122" s="115"/>
      <c r="AC122" s="122"/>
      <c r="AD122" s="115"/>
      <c r="AE122" s="105">
        <f t="shared" si="12"/>
        <v>3750</v>
      </c>
      <c r="AF122" s="100">
        <v>0</v>
      </c>
      <c r="AG122" s="100">
        <f>100+1200+150+850+350</f>
        <v>2650</v>
      </c>
      <c r="AH122" s="100">
        <f t="shared" si="10"/>
        <v>2650</v>
      </c>
      <c r="AI122" s="186"/>
      <c r="AJ122" s="126"/>
      <c r="AK122" s="107"/>
      <c r="AL122" s="128"/>
      <c r="AM122" s="129"/>
      <c r="AN122" s="126"/>
      <c r="AO122" s="126"/>
      <c r="AP122" s="118"/>
      <c r="AQ122" s="185"/>
      <c r="AR122" s="128"/>
      <c r="AS122" s="183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6"/>
    </row>
    <row r="123" spans="1:56" x14ac:dyDescent="0.25">
      <c r="A123" s="177">
        <v>104</v>
      </c>
      <c r="B123" s="178" t="s">
        <v>403</v>
      </c>
      <c r="C123" s="179" t="s">
        <v>231</v>
      </c>
      <c r="D123" s="103" t="s">
        <v>301</v>
      </c>
      <c r="E123" s="103"/>
      <c r="F123" s="180" t="s">
        <v>302</v>
      </c>
      <c r="G123" s="101" t="s">
        <v>303</v>
      </c>
      <c r="H123" s="98" t="s">
        <v>300</v>
      </c>
      <c r="I123" s="181" t="s">
        <v>414</v>
      </c>
      <c r="J123" s="103" t="s">
        <v>415</v>
      </c>
      <c r="K123" s="99">
        <v>42866</v>
      </c>
      <c r="L123" s="100">
        <v>1650</v>
      </c>
      <c r="M123" s="99" t="s">
        <v>307</v>
      </c>
      <c r="N123" s="99">
        <v>42866</v>
      </c>
      <c r="O123" s="181" t="s">
        <v>174</v>
      </c>
      <c r="P123" s="103">
        <v>1</v>
      </c>
      <c r="Q123" s="115"/>
      <c r="R123" s="115"/>
      <c r="S123" s="119"/>
      <c r="T123" s="103" t="s">
        <v>308</v>
      </c>
      <c r="U123" s="115"/>
      <c r="V123" s="118"/>
      <c r="W123" s="121"/>
      <c r="X123" s="115"/>
      <c r="Y123" s="115"/>
      <c r="Z123" s="115"/>
      <c r="AA123" s="115"/>
      <c r="AB123" s="115"/>
      <c r="AC123" s="122"/>
      <c r="AD123" s="115"/>
      <c r="AE123" s="105">
        <f t="shared" si="12"/>
        <v>1650</v>
      </c>
      <c r="AF123" s="100">
        <v>0</v>
      </c>
      <c r="AG123" s="100">
        <f>425+1075</f>
        <v>1500</v>
      </c>
      <c r="AH123" s="100">
        <f t="shared" si="10"/>
        <v>1500</v>
      </c>
      <c r="AI123" s="186"/>
      <c r="AJ123" s="126"/>
      <c r="AK123" s="107"/>
      <c r="AL123" s="128"/>
      <c r="AM123" s="129"/>
      <c r="AN123" s="126"/>
      <c r="AO123" s="126"/>
      <c r="AP123" s="118"/>
      <c r="AQ123" s="185"/>
      <c r="AR123" s="128"/>
      <c r="AS123" s="183"/>
      <c r="AT123" s="115"/>
      <c r="AU123" s="115"/>
      <c r="AV123" s="115"/>
      <c r="AW123" s="115"/>
      <c r="AX123" s="115"/>
      <c r="AY123" s="115"/>
      <c r="AZ123" s="115"/>
      <c r="BA123" s="115"/>
      <c r="BB123" s="115"/>
      <c r="BC123" s="115"/>
      <c r="BD123" s="116"/>
    </row>
    <row r="124" spans="1:56" x14ac:dyDescent="0.25">
      <c r="A124" s="177">
        <v>105</v>
      </c>
      <c r="B124" s="178" t="s">
        <v>300</v>
      </c>
      <c r="C124" s="179" t="s">
        <v>231</v>
      </c>
      <c r="D124" s="103" t="s">
        <v>301</v>
      </c>
      <c r="E124" s="103"/>
      <c r="F124" s="180" t="s">
        <v>302</v>
      </c>
      <c r="G124" s="101" t="s">
        <v>303</v>
      </c>
      <c r="H124" s="98" t="s">
        <v>535</v>
      </c>
      <c r="I124" s="181" t="s">
        <v>305</v>
      </c>
      <c r="J124" s="101" t="s">
        <v>306</v>
      </c>
      <c r="K124" s="99">
        <v>42866</v>
      </c>
      <c r="L124" s="100">
        <v>1650</v>
      </c>
      <c r="M124" s="99" t="s">
        <v>307</v>
      </c>
      <c r="N124" s="99">
        <v>42866</v>
      </c>
      <c r="O124" s="181" t="s">
        <v>174</v>
      </c>
      <c r="P124" s="103">
        <v>1</v>
      </c>
      <c r="Q124" s="115"/>
      <c r="R124" s="115"/>
      <c r="S124" s="119"/>
      <c r="T124" s="103" t="s">
        <v>308</v>
      </c>
      <c r="U124" s="115"/>
      <c r="V124" s="118"/>
      <c r="W124" s="121"/>
      <c r="X124" s="115"/>
      <c r="Y124" s="115"/>
      <c r="Z124" s="115"/>
      <c r="AA124" s="115"/>
      <c r="AB124" s="115"/>
      <c r="AC124" s="122"/>
      <c r="AD124" s="115"/>
      <c r="AE124" s="105">
        <f t="shared" si="12"/>
        <v>1650</v>
      </c>
      <c r="AF124" s="100">
        <v>0</v>
      </c>
      <c r="AG124" s="100">
        <v>125</v>
      </c>
      <c r="AH124" s="100">
        <f t="shared" ref="AH124" si="13">AF124+AG124</f>
        <v>125</v>
      </c>
      <c r="AI124" s="186"/>
      <c r="AJ124" s="126"/>
      <c r="AK124" s="107"/>
      <c r="AL124" s="128"/>
      <c r="AM124" s="129"/>
      <c r="AN124" s="126"/>
      <c r="AO124" s="126"/>
      <c r="AP124" s="118"/>
      <c r="AQ124" s="185"/>
      <c r="AR124" s="128"/>
      <c r="AS124" s="183"/>
      <c r="AT124" s="115"/>
      <c r="AU124" s="115"/>
      <c r="AV124" s="115"/>
      <c r="AW124" s="115"/>
      <c r="AX124" s="115"/>
      <c r="AY124" s="115"/>
      <c r="AZ124" s="115"/>
      <c r="BA124" s="115"/>
      <c r="BB124" s="115"/>
      <c r="BC124" s="115"/>
      <c r="BD124" s="116"/>
    </row>
    <row r="125" spans="1:56" x14ac:dyDescent="0.25">
      <c r="A125" s="177">
        <v>105</v>
      </c>
      <c r="B125" s="178" t="s">
        <v>300</v>
      </c>
      <c r="C125" s="179" t="s">
        <v>231</v>
      </c>
      <c r="D125" s="103" t="s">
        <v>301</v>
      </c>
      <c r="E125" s="103"/>
      <c r="F125" s="180" t="s">
        <v>302</v>
      </c>
      <c r="G125" s="101" t="s">
        <v>303</v>
      </c>
      <c r="H125" s="98" t="s">
        <v>553</v>
      </c>
      <c r="I125" s="181" t="s">
        <v>305</v>
      </c>
      <c r="J125" s="101" t="s">
        <v>306</v>
      </c>
      <c r="K125" s="99">
        <v>43026</v>
      </c>
      <c r="L125" s="100">
        <v>400</v>
      </c>
      <c r="M125" s="99" t="s">
        <v>554</v>
      </c>
      <c r="N125" s="99">
        <v>43026</v>
      </c>
      <c r="O125" s="181" t="s">
        <v>174</v>
      </c>
      <c r="P125" s="103">
        <v>1</v>
      </c>
      <c r="Q125" s="115"/>
      <c r="R125" s="115"/>
      <c r="S125" s="119"/>
      <c r="T125" s="103" t="s">
        <v>308</v>
      </c>
      <c r="U125" s="115"/>
      <c r="V125" s="118"/>
      <c r="W125" s="121"/>
      <c r="X125" s="115"/>
      <c r="Y125" s="115"/>
      <c r="Z125" s="115"/>
      <c r="AA125" s="115"/>
      <c r="AB125" s="115"/>
      <c r="AC125" s="122"/>
      <c r="AD125" s="115"/>
      <c r="AE125" s="105">
        <f t="shared" ref="AE125:AE127" si="14">L125-AD125+AC125</f>
        <v>400</v>
      </c>
      <c r="AF125" s="100">
        <v>0</v>
      </c>
      <c r="AG125" s="100">
        <v>400</v>
      </c>
      <c r="AH125" s="100">
        <f t="shared" ref="AH125:AH127" si="15">AF125+AG125</f>
        <v>400</v>
      </c>
      <c r="AI125" s="186"/>
      <c r="AJ125" s="126"/>
      <c r="AK125" s="107"/>
      <c r="AL125" s="128"/>
      <c r="AM125" s="129"/>
      <c r="AN125" s="126"/>
      <c r="AO125" s="126"/>
      <c r="AP125" s="118"/>
      <c r="AQ125" s="185"/>
      <c r="AR125" s="128"/>
      <c r="AS125" s="183"/>
      <c r="AT125" s="115"/>
      <c r="AU125" s="115"/>
      <c r="AV125" s="115"/>
      <c r="AW125" s="115"/>
      <c r="AX125" s="115"/>
      <c r="AY125" s="115"/>
      <c r="AZ125" s="115"/>
      <c r="BA125" s="115"/>
      <c r="BB125" s="115"/>
      <c r="BC125" s="115"/>
      <c r="BD125" s="116"/>
    </row>
    <row r="126" spans="1:56" x14ac:dyDescent="0.25">
      <c r="A126" s="177">
        <v>106</v>
      </c>
      <c r="B126" s="178" t="s">
        <v>361</v>
      </c>
      <c r="C126" s="179" t="s">
        <v>231</v>
      </c>
      <c r="D126" s="103" t="s">
        <v>301</v>
      </c>
      <c r="E126" s="103"/>
      <c r="F126" s="180" t="s">
        <v>302</v>
      </c>
      <c r="G126" s="101" t="s">
        <v>303</v>
      </c>
      <c r="H126" s="98" t="s">
        <v>406</v>
      </c>
      <c r="I126" s="181" t="s">
        <v>416</v>
      </c>
      <c r="J126" s="103" t="s">
        <v>417</v>
      </c>
      <c r="K126" s="99">
        <v>42866</v>
      </c>
      <c r="L126" s="100">
        <v>1650</v>
      </c>
      <c r="M126" s="99" t="s">
        <v>307</v>
      </c>
      <c r="N126" s="99">
        <v>42866</v>
      </c>
      <c r="O126" s="181" t="s">
        <v>174</v>
      </c>
      <c r="P126" s="103">
        <v>1</v>
      </c>
      <c r="Q126" s="115"/>
      <c r="R126" s="115"/>
      <c r="S126" s="119"/>
      <c r="T126" s="103" t="s">
        <v>308</v>
      </c>
      <c r="U126" s="115"/>
      <c r="V126" s="118"/>
      <c r="W126" s="121"/>
      <c r="X126" s="115"/>
      <c r="Y126" s="115"/>
      <c r="Z126" s="115"/>
      <c r="AA126" s="115"/>
      <c r="AB126" s="115"/>
      <c r="AC126" s="122"/>
      <c r="AD126" s="115"/>
      <c r="AE126" s="105">
        <f t="shared" si="14"/>
        <v>1650</v>
      </c>
      <c r="AF126" s="100">
        <v>0</v>
      </c>
      <c r="AG126" s="100">
        <f>125+500+150</f>
        <v>775</v>
      </c>
      <c r="AH126" s="100">
        <f t="shared" si="15"/>
        <v>775</v>
      </c>
      <c r="AI126" s="186"/>
      <c r="AJ126" s="126"/>
      <c r="AK126" s="107"/>
      <c r="AL126" s="128"/>
      <c r="AM126" s="129"/>
      <c r="AN126" s="126"/>
      <c r="AO126" s="126"/>
      <c r="AP126" s="118"/>
      <c r="AQ126" s="185"/>
      <c r="AR126" s="128"/>
      <c r="AS126" s="183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6"/>
    </row>
    <row r="127" spans="1:56" x14ac:dyDescent="0.25">
      <c r="A127" s="177">
        <v>107</v>
      </c>
      <c r="B127" s="178" t="s">
        <v>326</v>
      </c>
      <c r="C127" s="179" t="s">
        <v>231</v>
      </c>
      <c r="D127" s="103" t="s">
        <v>301</v>
      </c>
      <c r="E127" s="103"/>
      <c r="F127" s="180" t="s">
        <v>302</v>
      </c>
      <c r="G127" s="101" t="s">
        <v>303</v>
      </c>
      <c r="H127" s="98" t="s">
        <v>436</v>
      </c>
      <c r="I127" s="181" t="s">
        <v>328</v>
      </c>
      <c r="J127" s="103" t="s">
        <v>329</v>
      </c>
      <c r="K127" s="99">
        <v>42866</v>
      </c>
      <c r="L127" s="100">
        <v>1900</v>
      </c>
      <c r="M127" s="99" t="s">
        <v>307</v>
      </c>
      <c r="N127" s="99">
        <v>42866</v>
      </c>
      <c r="O127" s="181" t="s">
        <v>174</v>
      </c>
      <c r="P127" s="103">
        <v>1</v>
      </c>
      <c r="Q127" s="115"/>
      <c r="R127" s="115"/>
      <c r="S127" s="119"/>
      <c r="T127" s="103" t="s">
        <v>308</v>
      </c>
      <c r="U127" s="115"/>
      <c r="V127" s="118"/>
      <c r="W127" s="121"/>
      <c r="X127" s="115"/>
      <c r="Y127" s="115"/>
      <c r="Z127" s="115"/>
      <c r="AA127" s="115"/>
      <c r="AB127" s="115"/>
      <c r="AC127" s="122"/>
      <c r="AD127" s="115"/>
      <c r="AE127" s="105">
        <f t="shared" si="14"/>
        <v>1900</v>
      </c>
      <c r="AF127" s="100">
        <v>0</v>
      </c>
      <c r="AG127" s="100">
        <f>700+200</f>
        <v>900</v>
      </c>
      <c r="AH127" s="100">
        <f t="shared" si="15"/>
        <v>900</v>
      </c>
      <c r="AI127" s="186"/>
      <c r="AJ127" s="126"/>
      <c r="AK127" s="107"/>
      <c r="AL127" s="128"/>
      <c r="AM127" s="129"/>
      <c r="AN127" s="126"/>
      <c r="AO127" s="126"/>
      <c r="AP127" s="118"/>
      <c r="AQ127" s="185"/>
      <c r="AR127" s="128"/>
      <c r="AS127" s="183"/>
      <c r="AT127" s="115"/>
      <c r="AU127" s="115"/>
      <c r="AV127" s="115"/>
      <c r="AW127" s="115"/>
      <c r="AX127" s="115"/>
      <c r="AY127" s="115"/>
      <c r="AZ127" s="115"/>
      <c r="BA127" s="115"/>
      <c r="BB127" s="115"/>
      <c r="BC127" s="115"/>
      <c r="BD127" s="116"/>
    </row>
    <row r="128" spans="1:56" x14ac:dyDescent="0.25">
      <c r="A128" s="177">
        <v>108</v>
      </c>
      <c r="B128" s="178" t="s">
        <v>326</v>
      </c>
      <c r="C128" s="179" t="s">
        <v>231</v>
      </c>
      <c r="D128" s="103" t="s">
        <v>301</v>
      </c>
      <c r="E128" s="103"/>
      <c r="F128" s="180" t="s">
        <v>302</v>
      </c>
      <c r="G128" s="101" t="s">
        <v>303</v>
      </c>
      <c r="H128" s="98" t="s">
        <v>555</v>
      </c>
      <c r="I128" s="181" t="s">
        <v>328</v>
      </c>
      <c r="J128" s="103" t="s">
        <v>329</v>
      </c>
      <c r="K128" s="99">
        <v>42892</v>
      </c>
      <c r="L128" s="100">
        <v>500</v>
      </c>
      <c r="M128" s="99" t="s">
        <v>546</v>
      </c>
      <c r="N128" s="99">
        <v>42892</v>
      </c>
      <c r="O128" s="181" t="s">
        <v>174</v>
      </c>
      <c r="P128" s="103">
        <v>1</v>
      </c>
      <c r="Q128" s="115"/>
      <c r="R128" s="115"/>
      <c r="S128" s="119"/>
      <c r="T128" s="103" t="s">
        <v>308</v>
      </c>
      <c r="U128" s="115"/>
      <c r="V128" s="118"/>
      <c r="W128" s="121"/>
      <c r="X128" s="115"/>
      <c r="Y128" s="115"/>
      <c r="Z128" s="115"/>
      <c r="AA128" s="115"/>
      <c r="AB128" s="115"/>
      <c r="AC128" s="122"/>
      <c r="AD128" s="115"/>
      <c r="AE128" s="105">
        <f t="shared" ref="AE128:AE134" si="16">L128-AD128+AC128</f>
        <v>500</v>
      </c>
      <c r="AF128" s="100">
        <v>0</v>
      </c>
      <c r="AG128" s="100">
        <v>225</v>
      </c>
      <c r="AH128" s="100">
        <f t="shared" ref="AH128:AH134" si="17">AF128+AG128</f>
        <v>225</v>
      </c>
      <c r="AI128" s="186"/>
      <c r="AJ128" s="126"/>
      <c r="AK128" s="107"/>
      <c r="AL128" s="128"/>
      <c r="AM128" s="129"/>
      <c r="AN128" s="126"/>
      <c r="AO128" s="126"/>
      <c r="AP128" s="118"/>
      <c r="AQ128" s="185"/>
      <c r="AR128" s="128"/>
      <c r="AS128" s="183"/>
      <c r="AT128" s="115"/>
      <c r="AU128" s="115"/>
      <c r="AV128" s="115"/>
      <c r="AW128" s="115"/>
      <c r="AX128" s="115"/>
      <c r="AY128" s="115"/>
      <c r="AZ128" s="115"/>
      <c r="BA128" s="115"/>
      <c r="BB128" s="115"/>
      <c r="BC128" s="115"/>
      <c r="BD128" s="116"/>
    </row>
    <row r="129" spans="1:56" x14ac:dyDescent="0.25">
      <c r="A129" s="177">
        <v>109</v>
      </c>
      <c r="B129" s="178" t="s">
        <v>219</v>
      </c>
      <c r="C129" s="179" t="s">
        <v>231</v>
      </c>
      <c r="D129" s="103" t="s">
        <v>301</v>
      </c>
      <c r="E129" s="103"/>
      <c r="F129" s="180" t="s">
        <v>302</v>
      </c>
      <c r="G129" s="101" t="s">
        <v>303</v>
      </c>
      <c r="H129" s="98" t="s">
        <v>556</v>
      </c>
      <c r="I129" s="181" t="s">
        <v>440</v>
      </c>
      <c r="J129" s="103" t="s">
        <v>441</v>
      </c>
      <c r="K129" s="99">
        <v>42892</v>
      </c>
      <c r="L129" s="100">
        <v>1500</v>
      </c>
      <c r="M129" s="99" t="s">
        <v>557</v>
      </c>
      <c r="N129" s="99">
        <v>42892</v>
      </c>
      <c r="O129" s="181" t="s">
        <v>174</v>
      </c>
      <c r="P129" s="103">
        <v>1</v>
      </c>
      <c r="Q129" s="115"/>
      <c r="R129" s="115"/>
      <c r="S129" s="119"/>
      <c r="T129" s="103" t="s">
        <v>308</v>
      </c>
      <c r="U129" s="115"/>
      <c r="V129" s="118"/>
      <c r="W129" s="121"/>
      <c r="X129" s="115"/>
      <c r="Y129" s="115"/>
      <c r="Z129" s="115"/>
      <c r="AA129" s="115"/>
      <c r="AB129" s="115"/>
      <c r="AC129" s="122"/>
      <c r="AD129" s="115"/>
      <c r="AE129" s="105">
        <f t="shared" si="16"/>
        <v>1500</v>
      </c>
      <c r="AF129" s="100">
        <v>0</v>
      </c>
      <c r="AG129" s="100">
        <f>1250+200</f>
        <v>1450</v>
      </c>
      <c r="AH129" s="100">
        <f t="shared" si="17"/>
        <v>1450</v>
      </c>
      <c r="AI129" s="186"/>
      <c r="AJ129" s="126"/>
      <c r="AK129" s="107"/>
      <c r="AL129" s="128"/>
      <c r="AM129" s="129"/>
      <c r="AN129" s="126"/>
      <c r="AO129" s="126"/>
      <c r="AP129" s="118"/>
      <c r="AQ129" s="185"/>
      <c r="AR129" s="128"/>
      <c r="AS129" s="183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6"/>
    </row>
    <row r="130" spans="1:56" x14ac:dyDescent="0.25">
      <c r="A130" s="177">
        <v>110</v>
      </c>
      <c r="B130" s="178" t="s">
        <v>379</v>
      </c>
      <c r="C130" s="179" t="s">
        <v>231</v>
      </c>
      <c r="D130" s="103" t="s">
        <v>301</v>
      </c>
      <c r="E130" s="103"/>
      <c r="F130" s="180" t="s">
        <v>302</v>
      </c>
      <c r="G130" s="101" t="s">
        <v>303</v>
      </c>
      <c r="H130" s="98" t="s">
        <v>558</v>
      </c>
      <c r="I130" s="181" t="s">
        <v>381</v>
      </c>
      <c r="J130" s="103" t="s">
        <v>382</v>
      </c>
      <c r="K130" s="99">
        <v>42866</v>
      </c>
      <c r="L130" s="100">
        <v>1650</v>
      </c>
      <c r="M130" s="99" t="s">
        <v>546</v>
      </c>
      <c r="N130" s="99">
        <v>42866</v>
      </c>
      <c r="O130" s="181" t="s">
        <v>174</v>
      </c>
      <c r="P130" s="103">
        <v>1</v>
      </c>
      <c r="Q130" s="115"/>
      <c r="R130" s="115"/>
      <c r="S130" s="119"/>
      <c r="T130" s="103" t="s">
        <v>308</v>
      </c>
      <c r="U130" s="115"/>
      <c r="V130" s="118"/>
      <c r="W130" s="121"/>
      <c r="X130" s="115"/>
      <c r="Y130" s="115"/>
      <c r="Z130" s="115"/>
      <c r="AA130" s="115"/>
      <c r="AB130" s="115"/>
      <c r="AC130" s="122"/>
      <c r="AD130" s="115"/>
      <c r="AE130" s="105">
        <f t="shared" si="16"/>
        <v>1650</v>
      </c>
      <c r="AF130" s="100">
        <v>0</v>
      </c>
      <c r="AG130" s="100">
        <v>425</v>
      </c>
      <c r="AH130" s="100">
        <f t="shared" si="17"/>
        <v>425</v>
      </c>
      <c r="AI130" s="186"/>
      <c r="AJ130" s="126"/>
      <c r="AK130" s="107"/>
      <c r="AL130" s="128"/>
      <c r="AM130" s="129"/>
      <c r="AN130" s="126"/>
      <c r="AO130" s="126"/>
      <c r="AP130" s="118"/>
      <c r="AQ130" s="185"/>
      <c r="AR130" s="128"/>
      <c r="AS130" s="183"/>
      <c r="AT130" s="115"/>
      <c r="AU130" s="115"/>
      <c r="AV130" s="115"/>
      <c r="AW130" s="115"/>
      <c r="AX130" s="115"/>
      <c r="AY130" s="115"/>
      <c r="AZ130" s="115"/>
      <c r="BA130" s="115"/>
      <c r="BB130" s="115"/>
      <c r="BC130" s="115"/>
      <c r="BD130" s="116"/>
    </row>
    <row r="131" spans="1:56" x14ac:dyDescent="0.25">
      <c r="A131" s="177">
        <v>111</v>
      </c>
      <c r="B131" s="178" t="s">
        <v>538</v>
      </c>
      <c r="C131" s="179" t="s">
        <v>231</v>
      </c>
      <c r="D131" s="103" t="s">
        <v>301</v>
      </c>
      <c r="E131" s="103"/>
      <c r="F131" s="180" t="s">
        <v>302</v>
      </c>
      <c r="G131" s="101" t="s">
        <v>303</v>
      </c>
      <c r="H131" s="98" t="s">
        <v>559</v>
      </c>
      <c r="I131" s="181" t="s">
        <v>315</v>
      </c>
      <c r="J131" s="103" t="s">
        <v>316</v>
      </c>
      <c r="K131" s="99">
        <v>42892</v>
      </c>
      <c r="L131" s="100">
        <v>1500</v>
      </c>
      <c r="M131" s="99" t="s">
        <v>307</v>
      </c>
      <c r="N131" s="99">
        <v>42892</v>
      </c>
      <c r="O131" s="181" t="s">
        <v>174</v>
      </c>
      <c r="P131" s="103">
        <v>1</v>
      </c>
      <c r="Q131" s="115"/>
      <c r="R131" s="115"/>
      <c r="S131" s="119"/>
      <c r="T131" s="103" t="s">
        <v>308</v>
      </c>
      <c r="U131" s="115"/>
      <c r="V131" s="118"/>
      <c r="W131" s="121"/>
      <c r="X131" s="115"/>
      <c r="Y131" s="115"/>
      <c r="Z131" s="115"/>
      <c r="AA131" s="115"/>
      <c r="AB131" s="115"/>
      <c r="AC131" s="122"/>
      <c r="AD131" s="115"/>
      <c r="AE131" s="105">
        <f t="shared" si="16"/>
        <v>1500</v>
      </c>
      <c r="AF131" s="100">
        <v>0</v>
      </c>
      <c r="AG131" s="100">
        <v>600</v>
      </c>
      <c r="AH131" s="100">
        <f t="shared" si="17"/>
        <v>600</v>
      </c>
      <c r="AI131" s="186"/>
      <c r="AJ131" s="126"/>
      <c r="AK131" s="107"/>
      <c r="AL131" s="128"/>
      <c r="AM131" s="129"/>
      <c r="AN131" s="126"/>
      <c r="AO131" s="126"/>
      <c r="AP131" s="118"/>
      <c r="AQ131" s="185"/>
      <c r="AR131" s="128"/>
      <c r="AS131" s="183"/>
      <c r="AT131" s="115"/>
      <c r="AU131" s="115"/>
      <c r="AV131" s="115"/>
      <c r="AW131" s="115"/>
      <c r="AX131" s="115"/>
      <c r="AY131" s="115"/>
      <c r="AZ131" s="115"/>
      <c r="BA131" s="115"/>
      <c r="BB131" s="115"/>
      <c r="BC131" s="115"/>
      <c r="BD131" s="116"/>
    </row>
    <row r="132" spans="1:56" x14ac:dyDescent="0.25">
      <c r="A132" s="177">
        <v>112</v>
      </c>
      <c r="B132" s="178" t="s">
        <v>323</v>
      </c>
      <c r="C132" s="179" t="s">
        <v>231</v>
      </c>
      <c r="D132" s="103" t="s">
        <v>301</v>
      </c>
      <c r="E132" s="103"/>
      <c r="F132" s="180" t="s">
        <v>302</v>
      </c>
      <c r="G132" s="101" t="s">
        <v>303</v>
      </c>
      <c r="H132" s="98" t="s">
        <v>560</v>
      </c>
      <c r="I132" s="181" t="s">
        <v>411</v>
      </c>
      <c r="J132" s="103" t="s">
        <v>412</v>
      </c>
      <c r="K132" s="99">
        <v>42892</v>
      </c>
      <c r="L132" s="100">
        <v>1500</v>
      </c>
      <c r="M132" s="99" t="s">
        <v>307</v>
      </c>
      <c r="N132" s="99">
        <v>42892</v>
      </c>
      <c r="O132" s="181" t="s">
        <v>174</v>
      </c>
      <c r="P132" s="103">
        <v>1</v>
      </c>
      <c r="Q132" s="115"/>
      <c r="R132" s="115"/>
      <c r="S132" s="119"/>
      <c r="T132" s="103" t="s">
        <v>308</v>
      </c>
      <c r="U132" s="115"/>
      <c r="V132" s="118"/>
      <c r="W132" s="121"/>
      <c r="X132" s="115"/>
      <c r="Y132" s="115"/>
      <c r="Z132" s="115"/>
      <c r="AA132" s="115"/>
      <c r="AB132" s="115"/>
      <c r="AC132" s="122"/>
      <c r="AD132" s="115"/>
      <c r="AE132" s="105">
        <f t="shared" si="16"/>
        <v>1500</v>
      </c>
      <c r="AF132" s="100">
        <v>0</v>
      </c>
      <c r="AG132" s="100">
        <v>850</v>
      </c>
      <c r="AH132" s="100">
        <f t="shared" si="17"/>
        <v>850</v>
      </c>
      <c r="AI132" s="186"/>
      <c r="AJ132" s="126"/>
      <c r="AK132" s="107"/>
      <c r="AL132" s="128"/>
      <c r="AM132" s="129"/>
      <c r="AN132" s="126"/>
      <c r="AO132" s="126"/>
      <c r="AP132" s="118"/>
      <c r="AQ132" s="185"/>
      <c r="AR132" s="128"/>
      <c r="AS132" s="183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6"/>
    </row>
    <row r="133" spans="1:56" x14ac:dyDescent="0.25">
      <c r="A133" s="177">
        <v>113</v>
      </c>
      <c r="B133" s="178" t="s">
        <v>419</v>
      </c>
      <c r="C133" s="179">
        <v>43070</v>
      </c>
      <c r="D133" s="103" t="s">
        <v>121</v>
      </c>
      <c r="E133" s="103" t="s">
        <v>122</v>
      </c>
      <c r="F133" s="180" t="s">
        <v>189</v>
      </c>
      <c r="G133" s="101" t="s">
        <v>561</v>
      </c>
      <c r="H133" s="98" t="s">
        <v>562</v>
      </c>
      <c r="I133" s="181" t="s">
        <v>563</v>
      </c>
      <c r="J133" s="103" t="s">
        <v>564</v>
      </c>
      <c r="K133" s="99">
        <v>42942</v>
      </c>
      <c r="L133" s="100">
        <v>5040</v>
      </c>
      <c r="M133" s="99" t="s">
        <v>561</v>
      </c>
      <c r="N133" s="99">
        <v>42942</v>
      </c>
      <c r="O133" s="181" t="s">
        <v>174</v>
      </c>
      <c r="P133" s="103">
        <v>1</v>
      </c>
      <c r="Q133" s="115"/>
      <c r="R133" s="115"/>
      <c r="S133" s="119"/>
      <c r="T133" s="103" t="s">
        <v>129</v>
      </c>
      <c r="U133" s="115"/>
      <c r="V133" s="118"/>
      <c r="W133" s="121"/>
      <c r="X133" s="115"/>
      <c r="Y133" s="115"/>
      <c r="Z133" s="115"/>
      <c r="AA133" s="115"/>
      <c r="AB133" s="115"/>
      <c r="AC133" s="122"/>
      <c r="AD133" s="115"/>
      <c r="AE133" s="105">
        <f t="shared" si="16"/>
        <v>5040</v>
      </c>
      <c r="AF133" s="100">
        <v>0</v>
      </c>
      <c r="AG133" s="100">
        <v>180</v>
      </c>
      <c r="AH133" s="100">
        <f t="shared" si="17"/>
        <v>180</v>
      </c>
      <c r="AI133" s="186"/>
      <c r="AJ133" s="126"/>
      <c r="AK133" s="107"/>
      <c r="AL133" s="128"/>
      <c r="AM133" s="129"/>
      <c r="AN133" s="126"/>
      <c r="AO133" s="126"/>
      <c r="AP133" s="118"/>
      <c r="AQ133" s="185"/>
      <c r="AR133" s="128"/>
      <c r="AS133" s="183"/>
      <c r="AT133" s="115"/>
      <c r="AU133" s="115"/>
      <c r="AV133" s="115"/>
      <c r="AW133" s="115"/>
      <c r="AX133" s="115"/>
      <c r="AY133" s="115"/>
      <c r="AZ133" s="115"/>
      <c r="BA133" s="115"/>
      <c r="BB133" s="115"/>
      <c r="BC133" s="115"/>
      <c r="BD133" s="116"/>
    </row>
    <row r="134" spans="1:56" x14ac:dyDescent="0.25">
      <c r="A134" s="177">
        <v>114</v>
      </c>
      <c r="B134" s="178" t="s">
        <v>341</v>
      </c>
      <c r="C134" s="179" t="s">
        <v>231</v>
      </c>
      <c r="D134" s="103" t="s">
        <v>301</v>
      </c>
      <c r="E134" s="103"/>
      <c r="F134" s="180" t="s">
        <v>302</v>
      </c>
      <c r="G134" s="101" t="s">
        <v>303</v>
      </c>
      <c r="H134" s="98" t="s">
        <v>565</v>
      </c>
      <c r="I134" s="181" t="s">
        <v>342</v>
      </c>
      <c r="J134" s="103" t="s">
        <v>343</v>
      </c>
      <c r="K134" s="99">
        <v>43028</v>
      </c>
      <c r="L134" s="100">
        <v>850</v>
      </c>
      <c r="M134" s="99" t="s">
        <v>566</v>
      </c>
      <c r="N134" s="99">
        <v>43028</v>
      </c>
      <c r="O134" s="181" t="s">
        <v>174</v>
      </c>
      <c r="P134" s="103">
        <v>1</v>
      </c>
      <c r="Q134" s="115"/>
      <c r="R134" s="115"/>
      <c r="S134" s="119"/>
      <c r="T134" s="103" t="s">
        <v>308</v>
      </c>
      <c r="U134" s="115"/>
      <c r="V134" s="118"/>
      <c r="W134" s="121"/>
      <c r="X134" s="115"/>
      <c r="Y134" s="115"/>
      <c r="Z134" s="115"/>
      <c r="AA134" s="115"/>
      <c r="AB134" s="115"/>
      <c r="AC134" s="122"/>
      <c r="AD134" s="115"/>
      <c r="AE134" s="105">
        <f t="shared" si="16"/>
        <v>850</v>
      </c>
      <c r="AF134" s="100">
        <v>0</v>
      </c>
      <c r="AG134" s="100">
        <v>850</v>
      </c>
      <c r="AH134" s="100">
        <f t="shared" si="17"/>
        <v>850</v>
      </c>
      <c r="AI134" s="186"/>
      <c r="AJ134" s="126"/>
      <c r="AK134" s="107"/>
      <c r="AL134" s="128"/>
      <c r="AM134" s="129"/>
      <c r="AN134" s="126"/>
      <c r="AO134" s="126"/>
      <c r="AP134" s="118"/>
      <c r="AQ134" s="185"/>
      <c r="AR134" s="128"/>
      <c r="AS134" s="183"/>
      <c r="AT134" s="115"/>
      <c r="AU134" s="115"/>
      <c r="AV134" s="115"/>
      <c r="AW134" s="115"/>
      <c r="AX134" s="115"/>
      <c r="AY134" s="115"/>
      <c r="AZ134" s="115"/>
      <c r="BA134" s="115"/>
      <c r="BB134" s="115"/>
      <c r="BC134" s="115"/>
      <c r="BD134" s="116"/>
    </row>
    <row r="135" spans="1:56" x14ac:dyDescent="0.25">
      <c r="A135" s="177">
        <v>115</v>
      </c>
      <c r="B135" s="178" t="s">
        <v>341</v>
      </c>
      <c r="C135" s="179" t="s">
        <v>231</v>
      </c>
      <c r="D135" s="103" t="s">
        <v>301</v>
      </c>
      <c r="E135" s="103"/>
      <c r="F135" s="180" t="s">
        <v>302</v>
      </c>
      <c r="G135" s="101" t="s">
        <v>303</v>
      </c>
      <c r="H135" s="98" t="s">
        <v>263</v>
      </c>
      <c r="I135" s="181" t="s">
        <v>342</v>
      </c>
      <c r="J135" s="103" t="s">
        <v>343</v>
      </c>
      <c r="K135" s="99">
        <v>42866</v>
      </c>
      <c r="L135" s="100">
        <v>1650</v>
      </c>
      <c r="M135" s="99" t="s">
        <v>307</v>
      </c>
      <c r="N135" s="99">
        <v>42866</v>
      </c>
      <c r="O135" s="181" t="s">
        <v>174</v>
      </c>
      <c r="P135" s="103">
        <v>1</v>
      </c>
      <c r="Q135" s="115"/>
      <c r="R135" s="115"/>
      <c r="S135" s="119"/>
      <c r="T135" s="103" t="s">
        <v>308</v>
      </c>
      <c r="U135" s="115"/>
      <c r="V135" s="118"/>
      <c r="W135" s="121"/>
      <c r="X135" s="115"/>
      <c r="Y135" s="115"/>
      <c r="Z135" s="115"/>
      <c r="AA135" s="115"/>
      <c r="AB135" s="115"/>
      <c r="AC135" s="122"/>
      <c r="AD135" s="115"/>
      <c r="AE135" s="105">
        <f t="shared" ref="AE135" si="18">L135-AD135+AC135</f>
        <v>1650</v>
      </c>
      <c r="AF135" s="100">
        <v>0</v>
      </c>
      <c r="AG135" s="100">
        <v>1650</v>
      </c>
      <c r="AH135" s="100">
        <f t="shared" ref="AH135" si="19">AF135+AG135</f>
        <v>1650</v>
      </c>
      <c r="AI135" s="186"/>
      <c r="AJ135" s="126"/>
      <c r="AK135" s="107"/>
      <c r="AL135" s="128"/>
      <c r="AM135" s="129"/>
      <c r="AN135" s="126"/>
      <c r="AO135" s="126"/>
      <c r="AP135" s="118"/>
      <c r="AQ135" s="185"/>
      <c r="AR135" s="128"/>
      <c r="AS135" s="183"/>
      <c r="AT135" s="115"/>
      <c r="AU135" s="115"/>
      <c r="AV135" s="115"/>
      <c r="AW135" s="115"/>
      <c r="AX135" s="115"/>
      <c r="AY135" s="115"/>
      <c r="AZ135" s="115"/>
      <c r="BA135" s="115"/>
      <c r="BB135" s="115"/>
      <c r="BC135" s="115"/>
      <c r="BD135" s="116"/>
    </row>
    <row r="136" spans="1:56" x14ac:dyDescent="0.25">
      <c r="A136" s="177">
        <v>116</v>
      </c>
      <c r="B136" s="178" t="s">
        <v>341</v>
      </c>
      <c r="C136" s="179" t="s">
        <v>231</v>
      </c>
      <c r="D136" s="103" t="s">
        <v>301</v>
      </c>
      <c r="E136" s="103"/>
      <c r="F136" s="180" t="s">
        <v>302</v>
      </c>
      <c r="G136" s="101" t="s">
        <v>303</v>
      </c>
      <c r="H136" s="98" t="s">
        <v>567</v>
      </c>
      <c r="I136" s="181" t="s">
        <v>342</v>
      </c>
      <c r="J136" s="103" t="s">
        <v>343</v>
      </c>
      <c r="K136" s="99">
        <v>42892</v>
      </c>
      <c r="L136" s="100">
        <v>1500</v>
      </c>
      <c r="M136" s="99" t="s">
        <v>307</v>
      </c>
      <c r="N136" s="99">
        <v>42892</v>
      </c>
      <c r="O136" s="181" t="s">
        <v>174</v>
      </c>
      <c r="P136" s="103">
        <v>1</v>
      </c>
      <c r="Q136" s="115"/>
      <c r="R136" s="115"/>
      <c r="S136" s="119"/>
      <c r="T136" s="103" t="s">
        <v>308</v>
      </c>
      <c r="U136" s="115"/>
      <c r="V136" s="118"/>
      <c r="W136" s="121"/>
      <c r="X136" s="115"/>
      <c r="Y136" s="115"/>
      <c r="Z136" s="115"/>
      <c r="AA136" s="115"/>
      <c r="AB136" s="115"/>
      <c r="AC136" s="122"/>
      <c r="AD136" s="115"/>
      <c r="AE136" s="105">
        <f t="shared" ref="AE136:AE140" si="20">L136-AD136+AC136</f>
        <v>1500</v>
      </c>
      <c r="AF136" s="100">
        <v>0</v>
      </c>
      <c r="AG136" s="100">
        <f>150+1205</f>
        <v>1355</v>
      </c>
      <c r="AH136" s="100">
        <f t="shared" ref="AH136:AH140" si="21">AF136+AG136</f>
        <v>1355</v>
      </c>
      <c r="AI136" s="186"/>
      <c r="AJ136" s="126"/>
      <c r="AK136" s="107"/>
      <c r="AL136" s="128"/>
      <c r="AM136" s="129"/>
      <c r="AN136" s="126"/>
      <c r="AO136" s="126"/>
      <c r="AP136" s="118"/>
      <c r="AQ136" s="185"/>
      <c r="AR136" s="128"/>
      <c r="AS136" s="183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6"/>
    </row>
    <row r="137" spans="1:56" x14ac:dyDescent="0.25">
      <c r="A137" s="177">
        <v>117</v>
      </c>
      <c r="B137" s="178" t="s">
        <v>341</v>
      </c>
      <c r="C137" s="179" t="s">
        <v>231</v>
      </c>
      <c r="D137" s="103" t="s">
        <v>301</v>
      </c>
      <c r="E137" s="103"/>
      <c r="F137" s="180" t="s">
        <v>302</v>
      </c>
      <c r="G137" s="101" t="s">
        <v>303</v>
      </c>
      <c r="H137" s="98" t="s">
        <v>568</v>
      </c>
      <c r="I137" s="181" t="s">
        <v>342</v>
      </c>
      <c r="J137" s="103" t="s">
        <v>343</v>
      </c>
      <c r="K137" s="99">
        <v>43028</v>
      </c>
      <c r="L137" s="100">
        <v>1472.5</v>
      </c>
      <c r="M137" s="99" t="s">
        <v>566</v>
      </c>
      <c r="N137" s="99">
        <v>43028</v>
      </c>
      <c r="O137" s="181" t="s">
        <v>174</v>
      </c>
      <c r="P137" s="103">
        <v>1</v>
      </c>
      <c r="Q137" s="115"/>
      <c r="R137" s="115"/>
      <c r="S137" s="119"/>
      <c r="T137" s="103" t="s">
        <v>308</v>
      </c>
      <c r="U137" s="115"/>
      <c r="V137" s="118"/>
      <c r="W137" s="121"/>
      <c r="X137" s="115"/>
      <c r="Y137" s="115"/>
      <c r="Z137" s="115"/>
      <c r="AA137" s="115"/>
      <c r="AB137" s="115"/>
      <c r="AC137" s="122"/>
      <c r="AD137" s="115"/>
      <c r="AE137" s="105">
        <f t="shared" si="20"/>
        <v>1472.5</v>
      </c>
      <c r="AF137" s="100">
        <v>0</v>
      </c>
      <c r="AG137" s="100">
        <v>1472.5</v>
      </c>
      <c r="AH137" s="100">
        <f t="shared" si="21"/>
        <v>1472.5</v>
      </c>
      <c r="AI137" s="119"/>
      <c r="AJ137" s="126"/>
      <c r="AK137" s="107"/>
      <c r="AL137" s="128"/>
      <c r="AM137" s="129"/>
      <c r="AN137" s="126"/>
      <c r="AO137" s="126"/>
      <c r="AP137" s="118"/>
      <c r="AQ137" s="185"/>
      <c r="AR137" s="128"/>
      <c r="AS137" s="183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6"/>
    </row>
    <row r="138" spans="1:56" x14ac:dyDescent="0.25">
      <c r="A138" s="177">
        <v>118</v>
      </c>
      <c r="B138" s="178" t="s">
        <v>318</v>
      </c>
      <c r="C138" s="179" t="s">
        <v>231</v>
      </c>
      <c r="D138" s="103" t="s">
        <v>301</v>
      </c>
      <c r="E138" s="103"/>
      <c r="F138" s="180" t="s">
        <v>302</v>
      </c>
      <c r="G138" s="101" t="s">
        <v>303</v>
      </c>
      <c r="H138" s="98" t="s">
        <v>326</v>
      </c>
      <c r="I138" s="181" t="s">
        <v>320</v>
      </c>
      <c r="J138" s="103" t="s">
        <v>321</v>
      </c>
      <c r="K138" s="99">
        <v>42866</v>
      </c>
      <c r="L138" s="100">
        <v>1650</v>
      </c>
      <c r="M138" s="99" t="s">
        <v>307</v>
      </c>
      <c r="N138" s="99">
        <v>42866</v>
      </c>
      <c r="O138" s="181" t="s">
        <v>174</v>
      </c>
      <c r="P138" s="103">
        <v>1</v>
      </c>
      <c r="Q138" s="115"/>
      <c r="R138" s="115"/>
      <c r="S138" s="119"/>
      <c r="T138" s="103" t="s">
        <v>308</v>
      </c>
      <c r="U138" s="115"/>
      <c r="V138" s="118"/>
      <c r="W138" s="121"/>
      <c r="X138" s="115"/>
      <c r="Y138" s="115"/>
      <c r="Z138" s="115"/>
      <c r="AA138" s="115"/>
      <c r="AB138" s="115"/>
      <c r="AC138" s="122"/>
      <c r="AD138" s="115"/>
      <c r="AE138" s="105">
        <f t="shared" si="20"/>
        <v>1650</v>
      </c>
      <c r="AF138" s="100">
        <v>0</v>
      </c>
      <c r="AG138" s="100">
        <v>125</v>
      </c>
      <c r="AH138" s="100">
        <f t="shared" si="21"/>
        <v>125</v>
      </c>
      <c r="AI138" s="186"/>
      <c r="AJ138" s="126"/>
      <c r="AK138" s="107"/>
      <c r="AL138" s="128"/>
      <c r="AM138" s="129"/>
      <c r="AN138" s="126"/>
      <c r="AO138" s="126"/>
      <c r="AP138" s="118"/>
      <c r="AQ138" s="185"/>
      <c r="AR138" s="128"/>
      <c r="AS138" s="183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6"/>
    </row>
    <row r="139" spans="1:56" x14ac:dyDescent="0.25">
      <c r="A139" s="177">
        <v>119</v>
      </c>
      <c r="B139" s="178" t="s">
        <v>318</v>
      </c>
      <c r="C139" s="179" t="s">
        <v>231</v>
      </c>
      <c r="D139" s="103" t="s">
        <v>301</v>
      </c>
      <c r="E139" s="103"/>
      <c r="F139" s="180" t="s">
        <v>302</v>
      </c>
      <c r="G139" s="101" t="s">
        <v>303</v>
      </c>
      <c r="H139" s="98" t="s">
        <v>569</v>
      </c>
      <c r="I139" s="181" t="s">
        <v>320</v>
      </c>
      <c r="J139" s="103" t="s">
        <v>321</v>
      </c>
      <c r="K139" s="99">
        <v>43028</v>
      </c>
      <c r="L139" s="100">
        <v>500</v>
      </c>
      <c r="M139" s="99" t="s">
        <v>566</v>
      </c>
      <c r="N139" s="99">
        <v>43028</v>
      </c>
      <c r="O139" s="181" t="s">
        <v>174</v>
      </c>
      <c r="P139" s="103">
        <v>1</v>
      </c>
      <c r="Q139" s="115"/>
      <c r="R139" s="115"/>
      <c r="S139" s="119"/>
      <c r="T139" s="103" t="s">
        <v>308</v>
      </c>
      <c r="U139" s="115"/>
      <c r="V139" s="118"/>
      <c r="W139" s="121"/>
      <c r="X139" s="115"/>
      <c r="Y139" s="115"/>
      <c r="Z139" s="115"/>
      <c r="AA139" s="115"/>
      <c r="AB139" s="115"/>
      <c r="AC139" s="122"/>
      <c r="AD139" s="115"/>
      <c r="AE139" s="105">
        <f t="shared" si="20"/>
        <v>500</v>
      </c>
      <c r="AF139" s="100">
        <v>0</v>
      </c>
      <c r="AG139" s="100">
        <v>500</v>
      </c>
      <c r="AH139" s="100">
        <f t="shared" si="21"/>
        <v>500</v>
      </c>
      <c r="AI139" s="186"/>
      <c r="AJ139" s="126"/>
      <c r="AK139" s="107"/>
      <c r="AL139" s="128"/>
      <c r="AM139" s="129"/>
      <c r="AN139" s="126"/>
      <c r="AO139" s="126"/>
      <c r="AP139" s="118"/>
      <c r="AQ139" s="185"/>
      <c r="AR139" s="128"/>
      <c r="AS139" s="183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6"/>
    </row>
    <row r="140" spans="1:56" x14ac:dyDescent="0.25">
      <c r="A140" s="177">
        <v>120</v>
      </c>
      <c r="B140" s="178" t="s">
        <v>364</v>
      </c>
      <c r="C140" s="179" t="s">
        <v>231</v>
      </c>
      <c r="D140" s="103" t="s">
        <v>301</v>
      </c>
      <c r="E140" s="103"/>
      <c r="F140" s="180" t="s">
        <v>302</v>
      </c>
      <c r="G140" s="101" t="s">
        <v>303</v>
      </c>
      <c r="H140" s="98" t="s">
        <v>570</v>
      </c>
      <c r="I140" s="181" t="s">
        <v>366</v>
      </c>
      <c r="J140" s="103" t="s">
        <v>367</v>
      </c>
      <c r="K140" s="99">
        <v>42892</v>
      </c>
      <c r="L140" s="100">
        <v>500</v>
      </c>
      <c r="M140" s="99" t="s">
        <v>307</v>
      </c>
      <c r="N140" s="99">
        <v>42892</v>
      </c>
      <c r="O140" s="181" t="s">
        <v>174</v>
      </c>
      <c r="P140" s="103">
        <v>1</v>
      </c>
      <c r="Q140" s="115"/>
      <c r="R140" s="115"/>
      <c r="S140" s="119"/>
      <c r="T140" s="103" t="s">
        <v>308</v>
      </c>
      <c r="U140" s="115"/>
      <c r="V140" s="118"/>
      <c r="W140" s="121"/>
      <c r="X140" s="115"/>
      <c r="Y140" s="115"/>
      <c r="Z140" s="115"/>
      <c r="AA140" s="115"/>
      <c r="AB140" s="115"/>
      <c r="AC140" s="122"/>
      <c r="AD140" s="115"/>
      <c r="AE140" s="105">
        <f t="shared" si="20"/>
        <v>500</v>
      </c>
      <c r="AF140" s="100">
        <v>0</v>
      </c>
      <c r="AG140" s="100">
        <v>50</v>
      </c>
      <c r="AH140" s="100">
        <f t="shared" si="21"/>
        <v>50</v>
      </c>
      <c r="AI140" s="186"/>
      <c r="AJ140" s="126"/>
      <c r="AK140" s="107"/>
      <c r="AL140" s="128"/>
      <c r="AM140" s="129"/>
      <c r="AN140" s="126"/>
      <c r="AO140" s="126"/>
      <c r="AP140" s="118"/>
      <c r="AQ140" s="185"/>
      <c r="AR140" s="128"/>
      <c r="AS140" s="183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6"/>
    </row>
    <row r="141" spans="1:56" x14ac:dyDescent="0.25">
      <c r="A141" s="177">
        <v>121</v>
      </c>
      <c r="B141" s="178" t="s">
        <v>364</v>
      </c>
      <c r="C141" s="179" t="s">
        <v>231</v>
      </c>
      <c r="D141" s="103" t="s">
        <v>301</v>
      </c>
      <c r="E141" s="103"/>
      <c r="F141" s="180" t="s">
        <v>302</v>
      </c>
      <c r="G141" s="101" t="s">
        <v>303</v>
      </c>
      <c r="H141" s="98" t="s">
        <v>465</v>
      </c>
      <c r="I141" s="181" t="s">
        <v>366</v>
      </c>
      <c r="J141" s="103" t="s">
        <v>367</v>
      </c>
      <c r="K141" s="99">
        <v>42866</v>
      </c>
      <c r="L141" s="100">
        <v>650</v>
      </c>
      <c r="M141" s="99" t="s">
        <v>307</v>
      </c>
      <c r="N141" s="99">
        <v>42866</v>
      </c>
      <c r="O141" s="181" t="s">
        <v>174</v>
      </c>
      <c r="P141" s="103">
        <v>1</v>
      </c>
      <c r="Q141" s="115"/>
      <c r="R141" s="115"/>
      <c r="S141" s="119"/>
      <c r="T141" s="103" t="s">
        <v>308</v>
      </c>
      <c r="U141" s="115"/>
      <c r="V141" s="118"/>
      <c r="W141" s="121"/>
      <c r="X141" s="115"/>
      <c r="Y141" s="115"/>
      <c r="Z141" s="115"/>
      <c r="AA141" s="115"/>
      <c r="AB141" s="115"/>
      <c r="AC141" s="122"/>
      <c r="AD141" s="115"/>
      <c r="AE141" s="105">
        <f t="shared" ref="AE141:AE145" si="22">L141-AD141+AC141</f>
        <v>650</v>
      </c>
      <c r="AF141" s="100">
        <v>0</v>
      </c>
      <c r="AG141" s="100">
        <v>650</v>
      </c>
      <c r="AH141" s="100">
        <f t="shared" ref="AH141:AH145" si="23">AF141+AG141</f>
        <v>650</v>
      </c>
      <c r="AI141" s="186"/>
      <c r="AJ141" s="126"/>
      <c r="AK141" s="107"/>
      <c r="AL141" s="128"/>
      <c r="AM141" s="129"/>
      <c r="AN141" s="126"/>
      <c r="AO141" s="126"/>
      <c r="AP141" s="118"/>
      <c r="AQ141" s="185"/>
      <c r="AR141" s="128"/>
      <c r="AS141" s="183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6"/>
    </row>
    <row r="142" spans="1:56" x14ac:dyDescent="0.25">
      <c r="A142" s="177">
        <v>122</v>
      </c>
      <c r="B142" s="178" t="s">
        <v>364</v>
      </c>
      <c r="C142" s="179" t="s">
        <v>231</v>
      </c>
      <c r="D142" s="103" t="s">
        <v>301</v>
      </c>
      <c r="E142" s="103"/>
      <c r="F142" s="180" t="s">
        <v>302</v>
      </c>
      <c r="G142" s="101" t="s">
        <v>303</v>
      </c>
      <c r="H142" s="98" t="s">
        <v>571</v>
      </c>
      <c r="I142" s="181" t="s">
        <v>366</v>
      </c>
      <c r="J142" s="103" t="s">
        <v>367</v>
      </c>
      <c r="K142" s="99">
        <v>43028</v>
      </c>
      <c r="L142" s="100">
        <v>200</v>
      </c>
      <c r="M142" s="99" t="s">
        <v>572</v>
      </c>
      <c r="N142" s="99">
        <v>43028</v>
      </c>
      <c r="O142" s="181" t="s">
        <v>174</v>
      </c>
      <c r="P142" s="103">
        <v>1</v>
      </c>
      <c r="Q142" s="115"/>
      <c r="R142" s="115"/>
      <c r="S142" s="119"/>
      <c r="T142" s="103" t="s">
        <v>308</v>
      </c>
      <c r="U142" s="115"/>
      <c r="V142" s="118"/>
      <c r="W142" s="121"/>
      <c r="X142" s="115"/>
      <c r="Y142" s="115"/>
      <c r="Z142" s="115"/>
      <c r="AA142" s="115"/>
      <c r="AB142" s="115"/>
      <c r="AC142" s="122"/>
      <c r="AD142" s="115"/>
      <c r="AE142" s="105">
        <f t="shared" si="22"/>
        <v>200</v>
      </c>
      <c r="AF142" s="100">
        <v>0</v>
      </c>
      <c r="AG142" s="100">
        <v>150</v>
      </c>
      <c r="AH142" s="100">
        <f t="shared" si="23"/>
        <v>150</v>
      </c>
      <c r="AI142" s="186"/>
      <c r="AJ142" s="126"/>
      <c r="AK142" s="107"/>
      <c r="AL142" s="128"/>
      <c r="AM142" s="129"/>
      <c r="AN142" s="126"/>
      <c r="AO142" s="126"/>
      <c r="AP142" s="118"/>
      <c r="AQ142" s="185"/>
      <c r="AR142" s="128"/>
      <c r="AS142" s="183"/>
      <c r="AT142" s="115"/>
      <c r="AU142" s="115"/>
      <c r="AV142" s="115"/>
      <c r="AW142" s="115"/>
      <c r="AX142" s="115"/>
      <c r="AY142" s="115"/>
      <c r="AZ142" s="115"/>
      <c r="BA142" s="115"/>
      <c r="BB142" s="115"/>
      <c r="BC142" s="115"/>
      <c r="BD142" s="116"/>
    </row>
    <row r="143" spans="1:56" x14ac:dyDescent="0.25">
      <c r="A143" s="177">
        <v>123</v>
      </c>
      <c r="B143" s="178" t="s">
        <v>319</v>
      </c>
      <c r="C143" s="179" t="s">
        <v>231</v>
      </c>
      <c r="D143" s="103" t="s">
        <v>301</v>
      </c>
      <c r="E143" s="103"/>
      <c r="F143" s="180" t="s">
        <v>302</v>
      </c>
      <c r="G143" s="101" t="s">
        <v>303</v>
      </c>
      <c r="H143" s="98" t="s">
        <v>459</v>
      </c>
      <c r="I143" s="181" t="s">
        <v>369</v>
      </c>
      <c r="J143" s="103" t="s">
        <v>370</v>
      </c>
      <c r="K143" s="99">
        <v>42866</v>
      </c>
      <c r="L143" s="100">
        <v>1650</v>
      </c>
      <c r="M143" s="99" t="s">
        <v>307</v>
      </c>
      <c r="N143" s="99">
        <v>42866</v>
      </c>
      <c r="O143" s="181" t="s">
        <v>174</v>
      </c>
      <c r="P143" s="103">
        <v>1</v>
      </c>
      <c r="Q143" s="115"/>
      <c r="R143" s="115"/>
      <c r="S143" s="119"/>
      <c r="T143" s="103" t="s">
        <v>308</v>
      </c>
      <c r="U143" s="115"/>
      <c r="V143" s="118"/>
      <c r="W143" s="121"/>
      <c r="X143" s="115"/>
      <c r="Y143" s="115"/>
      <c r="Z143" s="115"/>
      <c r="AA143" s="115"/>
      <c r="AB143" s="115"/>
      <c r="AC143" s="122"/>
      <c r="AD143" s="115"/>
      <c r="AE143" s="105">
        <f t="shared" si="22"/>
        <v>1650</v>
      </c>
      <c r="AF143" s="100">
        <v>0</v>
      </c>
      <c r="AG143" s="100">
        <v>187.5</v>
      </c>
      <c r="AH143" s="100">
        <f t="shared" si="23"/>
        <v>187.5</v>
      </c>
      <c r="AI143" s="186"/>
      <c r="AJ143" s="126"/>
      <c r="AK143" s="107"/>
      <c r="AL143" s="128"/>
      <c r="AM143" s="129"/>
      <c r="AN143" s="126"/>
      <c r="AO143" s="126"/>
      <c r="AP143" s="118"/>
      <c r="AQ143" s="185"/>
      <c r="AR143" s="128"/>
      <c r="AS143" s="183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6"/>
    </row>
    <row r="144" spans="1:56" x14ac:dyDescent="0.25">
      <c r="A144" s="177">
        <v>124</v>
      </c>
      <c r="B144" s="178" t="s">
        <v>357</v>
      </c>
      <c r="C144" s="179" t="s">
        <v>573</v>
      </c>
      <c r="D144" s="103" t="s">
        <v>232</v>
      </c>
      <c r="E144" s="103" t="s">
        <v>122</v>
      </c>
      <c r="F144" s="180" t="s">
        <v>574</v>
      </c>
      <c r="G144" s="101" t="s">
        <v>575</v>
      </c>
      <c r="H144" s="98" t="s">
        <v>576</v>
      </c>
      <c r="I144" s="181" t="s">
        <v>577</v>
      </c>
      <c r="J144" s="103" t="s">
        <v>578</v>
      </c>
      <c r="K144" s="99">
        <v>43073</v>
      </c>
      <c r="L144" s="100">
        <v>7948.5</v>
      </c>
      <c r="M144" s="99" t="s">
        <v>579</v>
      </c>
      <c r="N144" s="99">
        <v>43073</v>
      </c>
      <c r="O144" s="181" t="s">
        <v>174</v>
      </c>
      <c r="P144" s="103">
        <v>1</v>
      </c>
      <c r="Q144" s="115"/>
      <c r="R144" s="115"/>
      <c r="S144" s="119"/>
      <c r="T144" s="103" t="s">
        <v>129</v>
      </c>
      <c r="U144" s="115"/>
      <c r="V144" s="118"/>
      <c r="W144" s="121"/>
      <c r="X144" s="115"/>
      <c r="Y144" s="115"/>
      <c r="Z144" s="115"/>
      <c r="AA144" s="115"/>
      <c r="AB144" s="115"/>
      <c r="AC144" s="122"/>
      <c r="AD144" s="115"/>
      <c r="AE144" s="105">
        <f t="shared" si="22"/>
        <v>7948.5</v>
      </c>
      <c r="AF144" s="100">
        <v>0</v>
      </c>
      <c r="AG144" s="100">
        <v>187.5</v>
      </c>
      <c r="AH144" s="100">
        <f t="shared" si="23"/>
        <v>187.5</v>
      </c>
      <c r="AI144" s="186"/>
      <c r="AJ144" s="126"/>
      <c r="AK144" s="107"/>
      <c r="AL144" s="128"/>
      <c r="AM144" s="129" t="s">
        <v>238</v>
      </c>
      <c r="AN144" s="126" t="s">
        <v>239</v>
      </c>
      <c r="AO144" s="126"/>
      <c r="AP144" s="118"/>
      <c r="AQ144" s="185"/>
      <c r="AR144" s="128"/>
      <c r="AS144" s="183"/>
      <c r="AT144" s="115"/>
      <c r="AU144" s="115"/>
      <c r="AV144" s="115"/>
      <c r="AW144" s="115"/>
      <c r="AX144" s="115"/>
      <c r="AY144" s="115"/>
      <c r="AZ144" s="115"/>
      <c r="BA144" s="115"/>
      <c r="BB144" s="115"/>
      <c r="BC144" s="115"/>
      <c r="BD144" s="116"/>
    </row>
    <row r="145" spans="1:56" x14ac:dyDescent="0.25">
      <c r="A145" s="177">
        <v>125</v>
      </c>
      <c r="B145" s="178" t="s">
        <v>436</v>
      </c>
      <c r="C145" s="179" t="s">
        <v>231</v>
      </c>
      <c r="D145" s="103" t="s">
        <v>301</v>
      </c>
      <c r="E145" s="103"/>
      <c r="F145" s="180" t="s">
        <v>302</v>
      </c>
      <c r="G145" s="101" t="s">
        <v>303</v>
      </c>
      <c r="H145" s="98" t="s">
        <v>580</v>
      </c>
      <c r="I145" s="181" t="s">
        <v>438</v>
      </c>
      <c r="J145" s="103" t="s">
        <v>439</v>
      </c>
      <c r="K145" s="99">
        <v>43089</v>
      </c>
      <c r="L145" s="100">
        <v>485</v>
      </c>
      <c r="M145" s="99" t="s">
        <v>581</v>
      </c>
      <c r="N145" s="99">
        <v>43089</v>
      </c>
      <c r="O145" s="181" t="s">
        <v>174</v>
      </c>
      <c r="P145" s="103">
        <v>1</v>
      </c>
      <c r="Q145" s="115"/>
      <c r="R145" s="115"/>
      <c r="S145" s="119"/>
      <c r="T145" s="103" t="s">
        <v>308</v>
      </c>
      <c r="U145" s="115"/>
      <c r="V145" s="118"/>
      <c r="W145" s="121"/>
      <c r="X145" s="115"/>
      <c r="Y145" s="115"/>
      <c r="Z145" s="115"/>
      <c r="AA145" s="115"/>
      <c r="AB145" s="115"/>
      <c r="AC145" s="122"/>
      <c r="AD145" s="115"/>
      <c r="AE145" s="105">
        <f t="shared" si="22"/>
        <v>485</v>
      </c>
      <c r="AF145" s="100">
        <v>0</v>
      </c>
      <c r="AG145" s="100">
        <v>485</v>
      </c>
      <c r="AH145" s="100">
        <f t="shared" si="23"/>
        <v>485</v>
      </c>
      <c r="AI145" s="119"/>
      <c r="AJ145" s="126"/>
      <c r="AK145" s="107"/>
      <c r="AL145" s="128"/>
      <c r="AM145" s="129"/>
      <c r="AN145" s="126"/>
      <c r="AO145" s="126"/>
      <c r="AP145" s="118"/>
      <c r="AQ145" s="185"/>
      <c r="AR145" s="128"/>
      <c r="AS145" s="183"/>
      <c r="AT145" s="115"/>
      <c r="AU145" s="115"/>
      <c r="AV145" s="115"/>
      <c r="AW145" s="115"/>
      <c r="AX145" s="115"/>
      <c r="AY145" s="115"/>
      <c r="AZ145" s="115"/>
      <c r="BA145" s="115"/>
      <c r="BB145" s="115"/>
      <c r="BC145" s="115"/>
      <c r="BD145" s="116"/>
    </row>
    <row r="146" spans="1:56" x14ac:dyDescent="0.25">
      <c r="A146" s="177">
        <v>126</v>
      </c>
      <c r="B146" s="178" t="s">
        <v>436</v>
      </c>
      <c r="C146" s="179" t="s">
        <v>231</v>
      </c>
      <c r="D146" s="103" t="s">
        <v>301</v>
      </c>
      <c r="E146" s="103"/>
      <c r="F146" s="180" t="s">
        <v>302</v>
      </c>
      <c r="G146" s="101" t="s">
        <v>303</v>
      </c>
      <c r="H146" s="98" t="s">
        <v>582</v>
      </c>
      <c r="I146" s="181" t="s">
        <v>438</v>
      </c>
      <c r="J146" s="103" t="s">
        <v>439</v>
      </c>
      <c r="K146" s="99">
        <v>43089</v>
      </c>
      <c r="L146" s="100">
        <v>1900</v>
      </c>
      <c r="M146" s="99" t="s">
        <v>572</v>
      </c>
      <c r="N146" s="99">
        <v>43089</v>
      </c>
      <c r="O146" s="181" t="s">
        <v>174</v>
      </c>
      <c r="P146" s="103">
        <v>1</v>
      </c>
      <c r="Q146" s="115"/>
      <c r="R146" s="115"/>
      <c r="S146" s="119"/>
      <c r="T146" s="103" t="s">
        <v>308</v>
      </c>
      <c r="U146" s="115"/>
      <c r="V146" s="118"/>
      <c r="W146" s="121"/>
      <c r="X146" s="115"/>
      <c r="Y146" s="115"/>
      <c r="Z146" s="115"/>
      <c r="AA146" s="115"/>
      <c r="AB146" s="115"/>
      <c r="AC146" s="122"/>
      <c r="AD146" s="115"/>
      <c r="AE146" s="105">
        <f t="shared" ref="AE146:AE147" si="24">L146-AD146+AC146</f>
        <v>1900</v>
      </c>
      <c r="AF146" s="100">
        <v>0</v>
      </c>
      <c r="AG146" s="100">
        <v>1900</v>
      </c>
      <c r="AH146" s="100">
        <f t="shared" ref="AH146:AH147" si="25">AF146+AG146</f>
        <v>1900</v>
      </c>
      <c r="AI146" s="119"/>
      <c r="AJ146" s="126"/>
      <c r="AK146" s="107"/>
      <c r="AL146" s="128"/>
      <c r="AM146" s="129"/>
      <c r="AN146" s="126"/>
      <c r="AO146" s="126"/>
      <c r="AP146" s="118"/>
      <c r="AQ146" s="185"/>
      <c r="AR146" s="128"/>
      <c r="AS146" s="183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6"/>
    </row>
    <row r="147" spans="1:56" x14ac:dyDescent="0.25">
      <c r="A147" s="177">
        <v>127</v>
      </c>
      <c r="B147" s="178" t="s">
        <v>496</v>
      </c>
      <c r="C147" s="179" t="s">
        <v>231</v>
      </c>
      <c r="D147" s="103" t="s">
        <v>301</v>
      </c>
      <c r="E147" s="103"/>
      <c r="F147" s="180" t="s">
        <v>302</v>
      </c>
      <c r="G147" s="101" t="s">
        <v>303</v>
      </c>
      <c r="H147" s="98" t="s">
        <v>583</v>
      </c>
      <c r="I147" s="181" t="s">
        <v>584</v>
      </c>
      <c r="J147" s="103" t="s">
        <v>585</v>
      </c>
      <c r="K147" s="99">
        <v>42892</v>
      </c>
      <c r="L147" s="100">
        <v>1500</v>
      </c>
      <c r="M147" s="99" t="s">
        <v>307</v>
      </c>
      <c r="N147" s="99">
        <v>42892</v>
      </c>
      <c r="O147" s="181" t="s">
        <v>174</v>
      </c>
      <c r="P147" s="103">
        <v>1</v>
      </c>
      <c r="Q147" s="115"/>
      <c r="R147" s="115"/>
      <c r="S147" s="119"/>
      <c r="T147" s="103" t="s">
        <v>308</v>
      </c>
      <c r="U147" s="115"/>
      <c r="V147" s="118"/>
      <c r="W147" s="121"/>
      <c r="X147" s="115"/>
      <c r="Y147" s="115"/>
      <c r="Z147" s="115"/>
      <c r="AA147" s="115"/>
      <c r="AB147" s="115"/>
      <c r="AC147" s="122"/>
      <c r="AD147" s="115"/>
      <c r="AE147" s="105">
        <f t="shared" si="24"/>
        <v>1500</v>
      </c>
      <c r="AF147" s="100">
        <v>0</v>
      </c>
      <c r="AG147" s="100">
        <f>450+200</f>
        <v>650</v>
      </c>
      <c r="AH147" s="100">
        <f t="shared" si="25"/>
        <v>650</v>
      </c>
      <c r="AI147" s="186"/>
      <c r="AJ147" s="126"/>
      <c r="AK147" s="107"/>
      <c r="AL147" s="128"/>
      <c r="AM147" s="129"/>
      <c r="AN147" s="126"/>
      <c r="AO147" s="126"/>
      <c r="AP147" s="118"/>
      <c r="AQ147" s="185"/>
      <c r="AR147" s="128"/>
      <c r="AS147" s="183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6"/>
    </row>
    <row r="148" spans="1:56" x14ac:dyDescent="0.25">
      <c r="A148" s="177">
        <v>128</v>
      </c>
      <c r="B148" s="178" t="s">
        <v>496</v>
      </c>
      <c r="C148" s="179" t="s">
        <v>231</v>
      </c>
      <c r="D148" s="103" t="s">
        <v>301</v>
      </c>
      <c r="E148" s="103"/>
      <c r="F148" s="180" t="s">
        <v>302</v>
      </c>
      <c r="G148" s="101" t="s">
        <v>303</v>
      </c>
      <c r="H148" s="98" t="s">
        <v>586</v>
      </c>
      <c r="I148" s="181" t="s">
        <v>584</v>
      </c>
      <c r="J148" s="103" t="s">
        <v>585</v>
      </c>
      <c r="K148" s="99">
        <v>42845</v>
      </c>
      <c r="L148" s="100">
        <v>3425</v>
      </c>
      <c r="M148" s="99" t="s">
        <v>307</v>
      </c>
      <c r="N148" s="99">
        <v>42845</v>
      </c>
      <c r="O148" s="181" t="s">
        <v>174</v>
      </c>
      <c r="P148" s="103">
        <v>1</v>
      </c>
      <c r="Q148" s="115"/>
      <c r="R148" s="115"/>
      <c r="S148" s="119"/>
      <c r="T148" s="103" t="s">
        <v>308</v>
      </c>
      <c r="U148" s="115"/>
      <c r="V148" s="118"/>
      <c r="W148" s="121"/>
      <c r="X148" s="115"/>
      <c r="Y148" s="115"/>
      <c r="Z148" s="115"/>
      <c r="AA148" s="115"/>
      <c r="AB148" s="115"/>
      <c r="AC148" s="122"/>
      <c r="AD148" s="115"/>
      <c r="AE148" s="105">
        <f t="shared" ref="AE148:AE161" si="26">L148-AD148+AC148</f>
        <v>3425</v>
      </c>
      <c r="AF148" s="100">
        <v>0</v>
      </c>
      <c r="AG148" s="100">
        <f>2042.5+652.5</f>
        <v>2695</v>
      </c>
      <c r="AH148" s="100">
        <f t="shared" ref="AH148:AH175" si="27">AF148+AG148</f>
        <v>2695</v>
      </c>
      <c r="AI148" s="186"/>
      <c r="AJ148" s="126"/>
      <c r="AK148" s="107"/>
      <c r="AL148" s="128"/>
      <c r="AM148" s="129"/>
      <c r="AN148" s="126"/>
      <c r="AO148" s="126"/>
      <c r="AP148" s="118"/>
      <c r="AQ148" s="185"/>
      <c r="AR148" s="128"/>
      <c r="AS148" s="183"/>
      <c r="AT148" s="115"/>
      <c r="AU148" s="115"/>
      <c r="AV148" s="115"/>
      <c r="AW148" s="115"/>
      <c r="AX148" s="115"/>
      <c r="AY148" s="115"/>
      <c r="AZ148" s="115"/>
      <c r="BA148" s="115"/>
      <c r="BB148" s="115"/>
      <c r="BC148" s="115"/>
      <c r="BD148" s="116"/>
    </row>
    <row r="149" spans="1:56" x14ac:dyDescent="0.25">
      <c r="A149" s="177">
        <v>129</v>
      </c>
      <c r="B149" s="178" t="s">
        <v>496</v>
      </c>
      <c r="C149" s="179" t="s">
        <v>231</v>
      </c>
      <c r="D149" s="103" t="s">
        <v>301</v>
      </c>
      <c r="E149" s="103"/>
      <c r="F149" s="180" t="s">
        <v>302</v>
      </c>
      <c r="G149" s="101" t="s">
        <v>303</v>
      </c>
      <c r="H149" s="98" t="s">
        <v>374</v>
      </c>
      <c r="I149" s="181" t="s">
        <v>584</v>
      </c>
      <c r="J149" s="103" t="s">
        <v>585</v>
      </c>
      <c r="K149" s="99">
        <v>42866</v>
      </c>
      <c r="L149" s="100">
        <v>4150</v>
      </c>
      <c r="M149" s="99" t="s">
        <v>554</v>
      </c>
      <c r="N149" s="99">
        <v>42866</v>
      </c>
      <c r="O149" s="181" t="s">
        <v>174</v>
      </c>
      <c r="P149" s="103">
        <v>1</v>
      </c>
      <c r="Q149" s="115"/>
      <c r="R149" s="115"/>
      <c r="S149" s="119"/>
      <c r="T149" s="103" t="s">
        <v>308</v>
      </c>
      <c r="U149" s="115"/>
      <c r="V149" s="118"/>
      <c r="W149" s="121"/>
      <c r="X149" s="115"/>
      <c r="Y149" s="115"/>
      <c r="Z149" s="115"/>
      <c r="AA149" s="115"/>
      <c r="AB149" s="115"/>
      <c r="AC149" s="122"/>
      <c r="AD149" s="119"/>
      <c r="AE149" s="105">
        <f t="shared" si="26"/>
        <v>4150</v>
      </c>
      <c r="AF149" s="100">
        <v>0</v>
      </c>
      <c r="AG149" s="100">
        <f>1100+937.5+300+1500</f>
        <v>3837.5</v>
      </c>
      <c r="AH149" s="100">
        <f t="shared" si="27"/>
        <v>3837.5</v>
      </c>
      <c r="AI149" s="186"/>
      <c r="AJ149" s="126"/>
      <c r="AK149" s="107"/>
      <c r="AL149" s="128"/>
      <c r="AM149" s="129"/>
      <c r="AN149" s="126"/>
      <c r="AO149" s="126"/>
      <c r="AP149" s="118"/>
      <c r="AQ149" s="185"/>
      <c r="AR149" s="128"/>
      <c r="AS149" s="183"/>
      <c r="AT149" s="115"/>
      <c r="AU149" s="115"/>
      <c r="AV149" s="115"/>
      <c r="AW149" s="115"/>
      <c r="AX149" s="115"/>
      <c r="AY149" s="115"/>
      <c r="AZ149" s="115"/>
      <c r="BA149" s="115"/>
      <c r="BB149" s="115"/>
      <c r="BC149" s="115"/>
      <c r="BD149" s="116"/>
    </row>
    <row r="150" spans="1:56" x14ac:dyDescent="0.25">
      <c r="A150" s="177">
        <v>130</v>
      </c>
      <c r="B150" s="178" t="s">
        <v>496</v>
      </c>
      <c r="C150" s="179" t="s">
        <v>231</v>
      </c>
      <c r="D150" s="103" t="s">
        <v>301</v>
      </c>
      <c r="E150" s="103"/>
      <c r="F150" s="180" t="s">
        <v>302</v>
      </c>
      <c r="G150" s="101" t="s">
        <v>303</v>
      </c>
      <c r="H150" s="98" t="s">
        <v>587</v>
      </c>
      <c r="I150" s="181" t="s">
        <v>584</v>
      </c>
      <c r="J150" s="103" t="s">
        <v>585</v>
      </c>
      <c r="K150" s="99">
        <v>43028</v>
      </c>
      <c r="L150" s="100">
        <v>250</v>
      </c>
      <c r="M150" s="99" t="s">
        <v>554</v>
      </c>
      <c r="N150" s="99">
        <v>43028</v>
      </c>
      <c r="O150" s="181" t="s">
        <v>174</v>
      </c>
      <c r="P150" s="103">
        <v>1</v>
      </c>
      <c r="Q150" s="115"/>
      <c r="R150" s="115"/>
      <c r="S150" s="119"/>
      <c r="T150" s="103" t="s">
        <v>308</v>
      </c>
      <c r="U150" s="115"/>
      <c r="V150" s="118"/>
      <c r="W150" s="121"/>
      <c r="X150" s="115"/>
      <c r="Y150" s="115"/>
      <c r="Z150" s="115"/>
      <c r="AA150" s="115"/>
      <c r="AB150" s="115"/>
      <c r="AC150" s="122"/>
      <c r="AD150" s="115"/>
      <c r="AE150" s="105">
        <f t="shared" si="26"/>
        <v>250</v>
      </c>
      <c r="AF150" s="100">
        <v>0</v>
      </c>
      <c r="AG150" s="100">
        <v>250</v>
      </c>
      <c r="AH150" s="100">
        <f t="shared" si="27"/>
        <v>250</v>
      </c>
      <c r="AI150" s="186"/>
      <c r="AJ150" s="126"/>
      <c r="AK150" s="107"/>
      <c r="AL150" s="128"/>
      <c r="AM150" s="129"/>
      <c r="AN150" s="126"/>
      <c r="AO150" s="126"/>
      <c r="AP150" s="118"/>
      <c r="AQ150" s="185"/>
      <c r="AR150" s="128"/>
      <c r="AS150" s="183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6"/>
    </row>
    <row r="151" spans="1:56" x14ac:dyDescent="0.25">
      <c r="A151" s="177">
        <v>131</v>
      </c>
      <c r="B151" s="178" t="s">
        <v>371</v>
      </c>
      <c r="C151" s="179" t="s">
        <v>231</v>
      </c>
      <c r="D151" s="103" t="s">
        <v>301</v>
      </c>
      <c r="E151" s="103"/>
      <c r="F151" s="180" t="s">
        <v>302</v>
      </c>
      <c r="G151" s="101" t="s">
        <v>303</v>
      </c>
      <c r="H151" s="98" t="s">
        <v>588</v>
      </c>
      <c r="I151" s="82" t="s">
        <v>372</v>
      </c>
      <c r="J151" s="103" t="s">
        <v>373</v>
      </c>
      <c r="K151" s="99">
        <v>42892</v>
      </c>
      <c r="L151" s="100">
        <v>1500</v>
      </c>
      <c r="M151" s="99" t="s">
        <v>307</v>
      </c>
      <c r="N151" s="99">
        <v>42892</v>
      </c>
      <c r="O151" s="181" t="s">
        <v>174</v>
      </c>
      <c r="P151" s="103">
        <v>1</v>
      </c>
      <c r="Q151" s="115"/>
      <c r="R151" s="115"/>
      <c r="S151" s="119"/>
      <c r="T151" s="103" t="s">
        <v>308</v>
      </c>
      <c r="U151" s="115"/>
      <c r="V151" s="118"/>
      <c r="W151" s="121"/>
      <c r="X151" s="115"/>
      <c r="Y151" s="115"/>
      <c r="Z151" s="115"/>
      <c r="AA151" s="115"/>
      <c r="AB151" s="115"/>
      <c r="AC151" s="122"/>
      <c r="AD151" s="115"/>
      <c r="AE151" s="105">
        <f t="shared" si="26"/>
        <v>1500</v>
      </c>
      <c r="AF151" s="100">
        <v>0</v>
      </c>
      <c r="AG151" s="100">
        <v>350</v>
      </c>
      <c r="AH151" s="100">
        <f t="shared" si="27"/>
        <v>350</v>
      </c>
      <c r="AI151" s="186"/>
      <c r="AJ151" s="126"/>
      <c r="AK151" s="107"/>
      <c r="AL151" s="128"/>
      <c r="AM151" s="129"/>
      <c r="AN151" s="126"/>
      <c r="AO151" s="126"/>
      <c r="AP151" s="118"/>
      <c r="AQ151" s="185"/>
      <c r="AR151" s="128"/>
      <c r="AS151" s="183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6"/>
    </row>
    <row r="152" spans="1:56" x14ac:dyDescent="0.25">
      <c r="A152" s="78">
        <v>132</v>
      </c>
      <c r="B152" s="96" t="s">
        <v>350</v>
      </c>
      <c r="C152" s="97" t="s">
        <v>589</v>
      </c>
      <c r="D152" s="59" t="s">
        <v>121</v>
      </c>
      <c r="E152" s="59" t="s">
        <v>122</v>
      </c>
      <c r="F152" s="81" t="s">
        <v>169</v>
      </c>
      <c r="G152" s="80"/>
      <c r="H152" s="98" t="s">
        <v>590</v>
      </c>
      <c r="I152" s="82" t="s">
        <v>178</v>
      </c>
      <c r="J152" s="80" t="s">
        <v>179</v>
      </c>
      <c r="K152" s="99">
        <v>42942</v>
      </c>
      <c r="L152" s="100">
        <v>9350</v>
      </c>
      <c r="M152" s="99" t="s">
        <v>591</v>
      </c>
      <c r="N152" s="99">
        <v>42942</v>
      </c>
      <c r="O152" s="181" t="s">
        <v>174</v>
      </c>
      <c r="P152" s="103">
        <v>6</v>
      </c>
      <c r="Q152" s="115"/>
      <c r="R152" s="115"/>
      <c r="S152" s="119"/>
      <c r="T152" s="103" t="s">
        <v>176</v>
      </c>
      <c r="U152" s="115"/>
      <c r="V152" s="118"/>
      <c r="W152" s="121"/>
      <c r="X152" s="115"/>
      <c r="Y152" s="115"/>
      <c r="Z152" s="115"/>
      <c r="AA152" s="115"/>
      <c r="AB152" s="115"/>
      <c r="AC152" s="122"/>
      <c r="AD152" s="115"/>
      <c r="AE152" s="105">
        <f t="shared" si="26"/>
        <v>9350</v>
      </c>
      <c r="AF152" s="100">
        <v>0</v>
      </c>
      <c r="AG152" s="100">
        <v>9350</v>
      </c>
      <c r="AH152" s="100">
        <f t="shared" si="27"/>
        <v>9350</v>
      </c>
      <c r="AI152" s="186"/>
      <c r="AJ152" s="126"/>
      <c r="AK152" s="107"/>
      <c r="AL152" s="128"/>
      <c r="AM152" s="129"/>
      <c r="AN152" s="126"/>
      <c r="AO152" s="126"/>
      <c r="AP152" s="118"/>
      <c r="AQ152" s="185"/>
      <c r="AR152" s="128"/>
      <c r="AS152" s="183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6"/>
    </row>
    <row r="153" spans="1:56" x14ac:dyDescent="0.25">
      <c r="A153" s="78">
        <v>133</v>
      </c>
      <c r="B153" s="96" t="s">
        <v>327</v>
      </c>
      <c r="C153" s="97" t="s">
        <v>592</v>
      </c>
      <c r="D153" s="59" t="s">
        <v>121</v>
      </c>
      <c r="E153" s="59" t="s">
        <v>122</v>
      </c>
      <c r="F153" s="81" t="s">
        <v>194</v>
      </c>
      <c r="G153" s="80"/>
      <c r="H153" s="98" t="s">
        <v>593</v>
      </c>
      <c r="I153" s="98" t="s">
        <v>178</v>
      </c>
      <c r="J153" s="80" t="s">
        <v>179</v>
      </c>
      <c r="K153" s="99">
        <v>42942</v>
      </c>
      <c r="L153" s="100">
        <v>7240</v>
      </c>
      <c r="M153" s="99" t="s">
        <v>591</v>
      </c>
      <c r="N153" s="99">
        <v>42942</v>
      </c>
      <c r="O153" s="181" t="s">
        <v>174</v>
      </c>
      <c r="P153" s="187">
        <v>0.16666666666666666</v>
      </c>
      <c r="Q153" s="115"/>
      <c r="R153" s="115"/>
      <c r="S153" s="119"/>
      <c r="T153" s="103" t="s">
        <v>176</v>
      </c>
      <c r="U153" s="115"/>
      <c r="V153" s="118"/>
      <c r="W153" s="121"/>
      <c r="X153" s="115"/>
      <c r="Y153" s="115"/>
      <c r="Z153" s="115"/>
      <c r="AA153" s="115"/>
      <c r="AB153" s="115"/>
      <c r="AC153" s="122"/>
      <c r="AD153" s="115"/>
      <c r="AE153" s="105">
        <f t="shared" si="26"/>
        <v>7240</v>
      </c>
      <c r="AF153" s="100">
        <v>0</v>
      </c>
      <c r="AG153" s="100">
        <v>7240</v>
      </c>
      <c r="AH153" s="100">
        <f t="shared" si="27"/>
        <v>7240</v>
      </c>
      <c r="AI153" s="186"/>
      <c r="AJ153" s="126"/>
      <c r="AK153" s="107"/>
      <c r="AL153" s="128"/>
      <c r="AM153" s="129"/>
      <c r="AN153" s="126"/>
      <c r="AO153" s="126"/>
      <c r="AP153" s="118"/>
      <c r="AQ153" s="185"/>
      <c r="AR153" s="128"/>
      <c r="AS153" s="183"/>
      <c r="AT153" s="115"/>
      <c r="AU153" s="115"/>
      <c r="AV153" s="115"/>
      <c r="AW153" s="115"/>
      <c r="AX153" s="115"/>
      <c r="AY153" s="115"/>
      <c r="AZ153" s="115"/>
      <c r="BA153" s="115"/>
      <c r="BB153" s="115"/>
      <c r="BC153" s="115"/>
      <c r="BD153" s="116"/>
    </row>
    <row r="154" spans="1:56" x14ac:dyDescent="0.25">
      <c r="A154" s="177">
        <v>134</v>
      </c>
      <c r="B154" s="178" t="s">
        <v>460</v>
      </c>
      <c r="C154" s="179" t="s">
        <v>589</v>
      </c>
      <c r="D154" s="103" t="s">
        <v>121</v>
      </c>
      <c r="E154" s="103" t="s">
        <v>122</v>
      </c>
      <c r="F154" s="180" t="s">
        <v>594</v>
      </c>
      <c r="G154" s="101"/>
      <c r="H154" s="98" t="s">
        <v>595</v>
      </c>
      <c r="I154" s="181" t="s">
        <v>171</v>
      </c>
      <c r="J154" s="103" t="s">
        <v>172</v>
      </c>
      <c r="K154" s="99">
        <v>42942</v>
      </c>
      <c r="L154" s="100">
        <v>55780</v>
      </c>
      <c r="M154" s="99" t="s">
        <v>591</v>
      </c>
      <c r="N154" s="99">
        <v>42942</v>
      </c>
      <c r="O154" s="181" t="s">
        <v>174</v>
      </c>
      <c r="P154" s="103">
        <v>6</v>
      </c>
      <c r="Q154" s="115"/>
      <c r="R154" s="115"/>
      <c r="S154" s="119"/>
      <c r="T154" s="103" t="s">
        <v>596</v>
      </c>
      <c r="U154" s="115"/>
      <c r="V154" s="118"/>
      <c r="W154" s="121"/>
      <c r="X154" s="115"/>
      <c r="Y154" s="115"/>
      <c r="Z154" s="115"/>
      <c r="AA154" s="115"/>
      <c r="AB154" s="115"/>
      <c r="AC154" s="122"/>
      <c r="AD154" s="115"/>
      <c r="AE154" s="105">
        <f t="shared" si="26"/>
        <v>55780</v>
      </c>
      <c r="AF154" s="100">
        <v>0</v>
      </c>
      <c r="AG154" s="100">
        <v>55780</v>
      </c>
      <c r="AH154" s="100">
        <f t="shared" si="27"/>
        <v>55780</v>
      </c>
      <c r="AI154" s="186"/>
      <c r="AJ154" s="126"/>
      <c r="AK154" s="107"/>
      <c r="AL154" s="128"/>
      <c r="AM154" s="129"/>
      <c r="AN154" s="126"/>
      <c r="AO154" s="126"/>
      <c r="AP154" s="118"/>
      <c r="AQ154" s="185"/>
      <c r="AR154" s="128"/>
      <c r="AS154" s="183"/>
      <c r="AT154" s="115"/>
      <c r="AU154" s="115"/>
      <c r="AV154" s="115"/>
      <c r="AW154" s="115"/>
      <c r="AX154" s="115"/>
      <c r="AY154" s="115"/>
      <c r="AZ154" s="115"/>
      <c r="BA154" s="115"/>
      <c r="BB154" s="115"/>
      <c r="BC154" s="115"/>
      <c r="BD154" s="116"/>
    </row>
    <row r="155" spans="1:56" ht="25.5" x14ac:dyDescent="0.25">
      <c r="A155" s="177">
        <v>135</v>
      </c>
      <c r="B155" s="178" t="s">
        <v>539</v>
      </c>
      <c r="C155" s="179" t="s">
        <v>231</v>
      </c>
      <c r="D155" s="103" t="s">
        <v>597</v>
      </c>
      <c r="E155" s="103"/>
      <c r="F155" s="180" t="s">
        <v>598</v>
      </c>
      <c r="G155" s="101" t="s">
        <v>599</v>
      </c>
      <c r="H155" s="98" t="s">
        <v>600</v>
      </c>
      <c r="I155" s="181" t="s">
        <v>601</v>
      </c>
      <c r="J155" s="103" t="s">
        <v>602</v>
      </c>
      <c r="K155" s="99">
        <v>42942</v>
      </c>
      <c r="L155" s="100">
        <v>25200</v>
      </c>
      <c r="M155" s="99" t="s">
        <v>591</v>
      </c>
      <c r="N155" s="99">
        <v>42942</v>
      </c>
      <c r="O155" s="181" t="s">
        <v>603</v>
      </c>
      <c r="P155" s="187">
        <v>0.16666666666666666</v>
      </c>
      <c r="Q155" s="115"/>
      <c r="R155" s="115"/>
      <c r="S155" s="119"/>
      <c r="T155" s="103" t="s">
        <v>604</v>
      </c>
      <c r="U155" s="115"/>
      <c r="V155" s="118"/>
      <c r="W155" s="121"/>
      <c r="X155" s="115"/>
      <c r="Y155" s="115"/>
      <c r="Z155" s="115"/>
      <c r="AA155" s="115"/>
      <c r="AB155" s="115"/>
      <c r="AC155" s="122"/>
      <c r="AD155" s="115"/>
      <c r="AE155" s="105">
        <f t="shared" si="26"/>
        <v>25200</v>
      </c>
      <c r="AF155" s="100">
        <v>0</v>
      </c>
      <c r="AG155" s="100">
        <v>500</v>
      </c>
      <c r="AH155" s="100">
        <f t="shared" si="27"/>
        <v>500</v>
      </c>
      <c r="AI155" s="186"/>
      <c r="AJ155" s="126"/>
      <c r="AK155" s="107"/>
      <c r="AL155" s="128"/>
      <c r="AM155" s="129"/>
      <c r="AN155" s="126"/>
      <c r="AO155" s="126"/>
      <c r="AP155" s="118"/>
      <c r="AQ155" s="185"/>
      <c r="AR155" s="128"/>
      <c r="AS155" s="183"/>
      <c r="AT155" s="115"/>
      <c r="AU155" s="115"/>
      <c r="AV155" s="115"/>
      <c r="AW155" s="115"/>
      <c r="AX155" s="115"/>
      <c r="AY155" s="115"/>
      <c r="AZ155" s="115"/>
      <c r="BA155" s="115"/>
      <c r="BB155" s="115"/>
      <c r="BC155" s="115"/>
      <c r="BD155" s="116"/>
    </row>
    <row r="156" spans="1:56" ht="25.5" x14ac:dyDescent="0.25">
      <c r="A156" s="177">
        <v>136</v>
      </c>
      <c r="B156" s="178" t="s">
        <v>532</v>
      </c>
      <c r="C156" s="179" t="s">
        <v>231</v>
      </c>
      <c r="D156" s="103" t="s">
        <v>597</v>
      </c>
      <c r="E156" s="103"/>
      <c r="F156" s="180" t="s">
        <v>598</v>
      </c>
      <c r="G156" s="101" t="s">
        <v>599</v>
      </c>
      <c r="H156" s="98" t="s">
        <v>605</v>
      </c>
      <c r="I156" s="181" t="s">
        <v>606</v>
      </c>
      <c r="J156" s="103" t="s">
        <v>607</v>
      </c>
      <c r="K156" s="99">
        <v>42942</v>
      </c>
      <c r="L156" s="100">
        <v>25200</v>
      </c>
      <c r="M156" s="99" t="s">
        <v>591</v>
      </c>
      <c r="N156" s="99">
        <v>42942</v>
      </c>
      <c r="O156" s="181" t="s">
        <v>603</v>
      </c>
      <c r="P156" s="187">
        <v>0.16666666666666666</v>
      </c>
      <c r="Q156" s="115"/>
      <c r="R156" s="115"/>
      <c r="S156" s="119"/>
      <c r="T156" s="103" t="s">
        <v>604</v>
      </c>
      <c r="U156" s="115"/>
      <c r="V156" s="118"/>
      <c r="W156" s="121"/>
      <c r="X156" s="115"/>
      <c r="Y156" s="115"/>
      <c r="Z156" s="115"/>
      <c r="AA156" s="115"/>
      <c r="AB156" s="115"/>
      <c r="AC156" s="122"/>
      <c r="AD156" s="115"/>
      <c r="AE156" s="105">
        <f t="shared" si="26"/>
        <v>25200</v>
      </c>
      <c r="AF156" s="100">
        <v>0</v>
      </c>
      <c r="AG156" s="100">
        <f>500+31.07+31.07+31.07+31.07+31.07</f>
        <v>655.35000000000025</v>
      </c>
      <c r="AH156" s="100">
        <f t="shared" si="27"/>
        <v>655.35000000000025</v>
      </c>
      <c r="AI156" s="186"/>
      <c r="AJ156" s="126"/>
      <c r="AK156" s="107"/>
      <c r="AL156" s="128"/>
      <c r="AM156" s="129"/>
      <c r="AN156" s="126"/>
      <c r="AO156" s="126"/>
      <c r="AP156" s="118"/>
      <c r="AQ156" s="185"/>
      <c r="AR156" s="128"/>
      <c r="AS156" s="183"/>
      <c r="AT156" s="115"/>
      <c r="AU156" s="115"/>
      <c r="AV156" s="115"/>
      <c r="AW156" s="115"/>
      <c r="AX156" s="115"/>
      <c r="AY156" s="115"/>
      <c r="AZ156" s="115"/>
      <c r="BA156" s="115"/>
      <c r="BB156" s="115"/>
      <c r="BC156" s="115"/>
      <c r="BD156" s="116"/>
    </row>
    <row r="157" spans="1:56" ht="25.5" x14ac:dyDescent="0.25">
      <c r="A157" s="177">
        <v>137</v>
      </c>
      <c r="B157" s="178" t="s">
        <v>413</v>
      </c>
      <c r="C157" s="179" t="s">
        <v>231</v>
      </c>
      <c r="D157" s="103" t="s">
        <v>597</v>
      </c>
      <c r="E157" s="103"/>
      <c r="F157" s="180" t="s">
        <v>598</v>
      </c>
      <c r="G157" s="101" t="s">
        <v>599</v>
      </c>
      <c r="H157" s="98" t="s">
        <v>608</v>
      </c>
      <c r="I157" s="181" t="s">
        <v>609</v>
      </c>
      <c r="J157" s="103" t="s">
        <v>610</v>
      </c>
      <c r="K157" s="99">
        <v>42942</v>
      </c>
      <c r="L157" s="100">
        <v>25200</v>
      </c>
      <c r="M157" s="99" t="s">
        <v>591</v>
      </c>
      <c r="N157" s="99">
        <v>42942</v>
      </c>
      <c r="O157" s="181" t="s">
        <v>603</v>
      </c>
      <c r="P157" s="187">
        <v>0.16666666666666666</v>
      </c>
      <c r="Q157" s="115"/>
      <c r="R157" s="115"/>
      <c r="S157" s="119"/>
      <c r="T157" s="103" t="s">
        <v>604</v>
      </c>
      <c r="U157" s="115"/>
      <c r="V157" s="118"/>
      <c r="W157" s="121"/>
      <c r="X157" s="115"/>
      <c r="Y157" s="115"/>
      <c r="Z157" s="115"/>
      <c r="AA157" s="115"/>
      <c r="AB157" s="115"/>
      <c r="AC157" s="122"/>
      <c r="AD157" s="115"/>
      <c r="AE157" s="105">
        <f t="shared" si="26"/>
        <v>25200</v>
      </c>
      <c r="AF157" s="100">
        <v>0</v>
      </c>
      <c r="AG157" s="100">
        <v>500</v>
      </c>
      <c r="AH157" s="100">
        <f t="shared" si="27"/>
        <v>500</v>
      </c>
      <c r="AI157" s="186"/>
      <c r="AJ157" s="126"/>
      <c r="AK157" s="107"/>
      <c r="AL157" s="128"/>
      <c r="AM157" s="129"/>
      <c r="AN157" s="126"/>
      <c r="AO157" s="126"/>
      <c r="AP157" s="118"/>
      <c r="AQ157" s="185"/>
      <c r="AR157" s="128"/>
      <c r="AS157" s="183"/>
      <c r="AT157" s="115"/>
      <c r="AU157" s="115"/>
      <c r="AV157" s="115"/>
      <c r="AW157" s="115"/>
      <c r="AX157" s="115"/>
      <c r="AY157" s="115"/>
      <c r="AZ157" s="115"/>
      <c r="BA157" s="115"/>
      <c r="BB157" s="115"/>
      <c r="BC157" s="115"/>
      <c r="BD157" s="116"/>
    </row>
    <row r="158" spans="1:56" ht="25.5" x14ac:dyDescent="0.25">
      <c r="A158" s="177">
        <v>138</v>
      </c>
      <c r="B158" s="178" t="s">
        <v>431</v>
      </c>
      <c r="C158" s="179" t="s">
        <v>231</v>
      </c>
      <c r="D158" s="103" t="s">
        <v>597</v>
      </c>
      <c r="E158" s="103"/>
      <c r="F158" s="180" t="s">
        <v>598</v>
      </c>
      <c r="G158" s="101" t="s">
        <v>599</v>
      </c>
      <c r="H158" s="98" t="s">
        <v>611</v>
      </c>
      <c r="I158" s="181" t="s">
        <v>463</v>
      </c>
      <c r="J158" s="103" t="s">
        <v>464</v>
      </c>
      <c r="K158" s="99">
        <v>42942</v>
      </c>
      <c r="L158" s="100">
        <v>25200</v>
      </c>
      <c r="M158" s="99" t="s">
        <v>591</v>
      </c>
      <c r="N158" s="99">
        <v>42942</v>
      </c>
      <c r="O158" s="181" t="s">
        <v>603</v>
      </c>
      <c r="P158" s="187">
        <v>0.16666666666666666</v>
      </c>
      <c r="Q158" s="115"/>
      <c r="R158" s="115"/>
      <c r="S158" s="119"/>
      <c r="T158" s="103" t="s">
        <v>604</v>
      </c>
      <c r="U158" s="115"/>
      <c r="V158" s="118"/>
      <c r="W158" s="121"/>
      <c r="X158" s="115"/>
      <c r="Y158" s="115"/>
      <c r="Z158" s="115"/>
      <c r="AA158" s="115"/>
      <c r="AB158" s="115"/>
      <c r="AC158" s="122"/>
      <c r="AD158" s="115"/>
      <c r="AE158" s="105">
        <f t="shared" si="26"/>
        <v>25200</v>
      </c>
      <c r="AF158" s="100">
        <v>0</v>
      </c>
      <c r="AG158" s="100">
        <v>500</v>
      </c>
      <c r="AH158" s="100">
        <f t="shared" si="27"/>
        <v>500</v>
      </c>
      <c r="AI158" s="186"/>
      <c r="AJ158" s="126"/>
      <c r="AK158" s="107"/>
      <c r="AL158" s="128"/>
      <c r="AM158" s="129"/>
      <c r="AN158" s="126"/>
      <c r="AO158" s="126"/>
      <c r="AP158" s="118"/>
      <c r="AQ158" s="185"/>
      <c r="AR158" s="128"/>
      <c r="AS158" s="183"/>
      <c r="AT158" s="115"/>
      <c r="AU158" s="115"/>
      <c r="AV158" s="115"/>
      <c r="AW158" s="115"/>
      <c r="AX158" s="115"/>
      <c r="AY158" s="115"/>
      <c r="AZ158" s="115"/>
      <c r="BA158" s="115"/>
      <c r="BB158" s="115"/>
      <c r="BC158" s="115"/>
      <c r="BD158" s="116"/>
    </row>
    <row r="159" spans="1:56" ht="25.5" x14ac:dyDescent="0.25">
      <c r="A159" s="177">
        <v>139</v>
      </c>
      <c r="B159" s="178" t="s">
        <v>346</v>
      </c>
      <c r="C159" s="179" t="s">
        <v>231</v>
      </c>
      <c r="D159" s="103" t="s">
        <v>597</v>
      </c>
      <c r="E159" s="103"/>
      <c r="F159" s="180" t="s">
        <v>598</v>
      </c>
      <c r="G159" s="101" t="s">
        <v>599</v>
      </c>
      <c r="H159" s="98" t="s">
        <v>612</v>
      </c>
      <c r="I159" s="181" t="s">
        <v>613</v>
      </c>
      <c r="J159" s="103" t="s">
        <v>614</v>
      </c>
      <c r="K159" s="99">
        <v>42942</v>
      </c>
      <c r="L159" s="100">
        <v>51800</v>
      </c>
      <c r="M159" s="99" t="s">
        <v>591</v>
      </c>
      <c r="N159" s="99">
        <v>42942</v>
      </c>
      <c r="O159" s="181" t="s">
        <v>615</v>
      </c>
      <c r="P159" s="187">
        <v>0.16666666666666666</v>
      </c>
      <c r="Q159" s="115"/>
      <c r="R159" s="115"/>
      <c r="S159" s="119"/>
      <c r="T159" s="103" t="s">
        <v>604</v>
      </c>
      <c r="U159" s="115"/>
      <c r="V159" s="118"/>
      <c r="W159" s="121"/>
      <c r="X159" s="115"/>
      <c r="Y159" s="115"/>
      <c r="Z159" s="115"/>
      <c r="AA159" s="115"/>
      <c r="AB159" s="115"/>
      <c r="AC159" s="122"/>
      <c r="AD159" s="115"/>
      <c r="AE159" s="105">
        <f t="shared" si="26"/>
        <v>51800</v>
      </c>
      <c r="AF159" s="100">
        <v>0</v>
      </c>
      <c r="AG159" s="100">
        <v>1000</v>
      </c>
      <c r="AH159" s="100">
        <f t="shared" si="27"/>
        <v>1000</v>
      </c>
      <c r="AI159" s="186"/>
      <c r="AJ159" s="126"/>
      <c r="AK159" s="107"/>
      <c r="AL159" s="128"/>
      <c r="AM159" s="129"/>
      <c r="AN159" s="126"/>
      <c r="AO159" s="126"/>
      <c r="AP159" s="118"/>
      <c r="AQ159" s="185"/>
      <c r="AR159" s="128"/>
      <c r="AS159" s="183"/>
      <c r="AT159" s="115"/>
      <c r="AU159" s="115"/>
      <c r="AV159" s="115"/>
      <c r="AW159" s="115"/>
      <c r="AX159" s="115"/>
      <c r="AY159" s="115"/>
      <c r="AZ159" s="115"/>
      <c r="BA159" s="115"/>
      <c r="BB159" s="115"/>
      <c r="BC159" s="115"/>
      <c r="BD159" s="116"/>
    </row>
    <row r="160" spans="1:56" x14ac:dyDescent="0.25">
      <c r="A160" s="177">
        <v>140</v>
      </c>
      <c r="B160" s="178" t="s">
        <v>330</v>
      </c>
      <c r="C160" s="179" t="s">
        <v>616</v>
      </c>
      <c r="D160" s="103" t="s">
        <v>121</v>
      </c>
      <c r="E160" s="103" t="s">
        <v>122</v>
      </c>
      <c r="F160" s="180" t="s">
        <v>189</v>
      </c>
      <c r="G160" s="101"/>
      <c r="H160" s="98" t="s">
        <v>617</v>
      </c>
      <c r="I160" s="181" t="s">
        <v>618</v>
      </c>
      <c r="J160" s="103" t="s">
        <v>619</v>
      </c>
      <c r="K160" s="99">
        <v>42942</v>
      </c>
      <c r="L160" s="100">
        <v>4154.6000000000004</v>
      </c>
      <c r="M160" s="99" t="s">
        <v>561</v>
      </c>
      <c r="N160" s="99">
        <v>42942</v>
      </c>
      <c r="O160" s="181" t="s">
        <v>174</v>
      </c>
      <c r="P160" s="187">
        <v>1</v>
      </c>
      <c r="Q160" s="115"/>
      <c r="R160" s="115"/>
      <c r="S160" s="119"/>
      <c r="T160" s="103" t="s">
        <v>129</v>
      </c>
      <c r="U160" s="115"/>
      <c r="V160" s="118"/>
      <c r="W160" s="121"/>
      <c r="X160" s="115"/>
      <c r="Y160" s="115"/>
      <c r="Z160" s="115"/>
      <c r="AA160" s="115"/>
      <c r="AB160" s="115"/>
      <c r="AC160" s="122"/>
      <c r="AD160" s="115"/>
      <c r="AE160" s="105">
        <f t="shared" si="26"/>
        <v>4154.6000000000004</v>
      </c>
      <c r="AF160" s="100">
        <v>0</v>
      </c>
      <c r="AG160" s="100">
        <v>4154.6000000000004</v>
      </c>
      <c r="AH160" s="100">
        <f t="shared" si="27"/>
        <v>4154.6000000000004</v>
      </c>
      <c r="AI160" s="186"/>
      <c r="AJ160" s="126"/>
      <c r="AK160" s="107"/>
      <c r="AL160" s="128"/>
      <c r="AM160" s="129"/>
      <c r="AN160" s="126"/>
      <c r="AO160" s="126"/>
      <c r="AP160" s="118"/>
      <c r="AQ160" s="185"/>
      <c r="AR160" s="128"/>
      <c r="AS160" s="183"/>
      <c r="AT160" s="115"/>
      <c r="AU160" s="115"/>
      <c r="AV160" s="115"/>
      <c r="AW160" s="115"/>
      <c r="AX160" s="115"/>
      <c r="AY160" s="115"/>
      <c r="AZ160" s="115"/>
      <c r="BA160" s="115"/>
      <c r="BB160" s="115"/>
      <c r="BC160" s="115"/>
      <c r="BD160" s="116"/>
    </row>
    <row r="161" spans="1:56" x14ac:dyDescent="0.25">
      <c r="A161" s="177">
        <v>141</v>
      </c>
      <c r="B161" s="178" t="s">
        <v>391</v>
      </c>
      <c r="C161" s="179" t="s">
        <v>231</v>
      </c>
      <c r="D161" s="103" t="s">
        <v>301</v>
      </c>
      <c r="E161" s="103"/>
      <c r="F161" s="180" t="s">
        <v>302</v>
      </c>
      <c r="G161" s="101" t="s">
        <v>303</v>
      </c>
      <c r="H161" s="98" t="s">
        <v>620</v>
      </c>
      <c r="I161" s="181" t="s">
        <v>522</v>
      </c>
      <c r="J161" s="103" t="s">
        <v>523</v>
      </c>
      <c r="K161" s="99">
        <v>42866</v>
      </c>
      <c r="L161" s="100">
        <v>1650</v>
      </c>
      <c r="M161" s="99" t="s">
        <v>546</v>
      </c>
      <c r="N161" s="99">
        <v>42866</v>
      </c>
      <c r="O161" s="181" t="s">
        <v>174</v>
      </c>
      <c r="P161" s="103">
        <v>1</v>
      </c>
      <c r="Q161" s="115"/>
      <c r="R161" s="115"/>
      <c r="S161" s="119"/>
      <c r="T161" s="103" t="s">
        <v>308</v>
      </c>
      <c r="U161" s="115"/>
      <c r="V161" s="118"/>
      <c r="W161" s="121"/>
      <c r="X161" s="94"/>
      <c r="Y161" s="115"/>
      <c r="Z161" s="115"/>
      <c r="AA161" s="115"/>
      <c r="AB161" s="115"/>
      <c r="AC161" s="122"/>
      <c r="AD161" s="115"/>
      <c r="AE161" s="105">
        <f t="shared" si="26"/>
        <v>1650</v>
      </c>
      <c r="AF161" s="100">
        <v>0</v>
      </c>
      <c r="AG161" s="100">
        <v>812.5</v>
      </c>
      <c r="AH161" s="100">
        <f t="shared" si="27"/>
        <v>812.5</v>
      </c>
      <c r="AI161" s="186"/>
      <c r="AJ161" s="126"/>
      <c r="AK161" s="107"/>
      <c r="AL161" s="128"/>
      <c r="AM161" s="129"/>
      <c r="AN161" s="126"/>
      <c r="AO161" s="126"/>
      <c r="AP161" s="118"/>
      <c r="AQ161" s="185"/>
      <c r="AR161" s="128"/>
      <c r="AS161" s="183"/>
      <c r="AT161" s="115"/>
      <c r="AU161" s="115"/>
      <c r="AV161" s="115"/>
      <c r="AW161" s="115"/>
      <c r="AX161" s="115"/>
      <c r="AY161" s="115"/>
      <c r="AZ161" s="115"/>
      <c r="BA161" s="115"/>
      <c r="BB161" s="115"/>
      <c r="BC161" s="115"/>
      <c r="BD161" s="116"/>
    </row>
    <row r="162" spans="1:56" x14ac:dyDescent="0.25">
      <c r="A162" s="78">
        <v>142</v>
      </c>
      <c r="B162" s="96" t="s">
        <v>188</v>
      </c>
      <c r="C162" s="97" t="s">
        <v>168</v>
      </c>
      <c r="D162" s="59" t="s">
        <v>121</v>
      </c>
      <c r="E162" s="59" t="s">
        <v>122</v>
      </c>
      <c r="F162" s="81" t="s">
        <v>189</v>
      </c>
      <c r="G162" s="80" t="s">
        <v>170</v>
      </c>
      <c r="H162" s="98" t="s">
        <v>188</v>
      </c>
      <c r="I162" s="98" t="s">
        <v>190</v>
      </c>
      <c r="J162" s="80" t="s">
        <v>191</v>
      </c>
      <c r="K162" s="99">
        <v>42747</v>
      </c>
      <c r="L162" s="100">
        <v>720</v>
      </c>
      <c r="M162" s="101" t="s">
        <v>180</v>
      </c>
      <c r="N162" s="99">
        <v>42747</v>
      </c>
      <c r="O162" s="102" t="s">
        <v>174</v>
      </c>
      <c r="P162" s="80">
        <v>1</v>
      </c>
      <c r="Q162" s="115" t="s">
        <v>175</v>
      </c>
      <c r="R162" s="103"/>
      <c r="S162" s="100"/>
      <c r="T162" s="103" t="s">
        <v>165</v>
      </c>
      <c r="U162" s="103"/>
      <c r="V162" s="99"/>
      <c r="W162" s="101"/>
      <c r="X162" s="80"/>
      <c r="Y162" s="103"/>
      <c r="Z162" s="103"/>
      <c r="AA162" s="103"/>
      <c r="AB162" s="103"/>
      <c r="AC162" s="104"/>
      <c r="AD162" s="103"/>
      <c r="AE162" s="105">
        <f>L162-AD162+AC162</f>
        <v>720</v>
      </c>
      <c r="AF162" s="100">
        <v>0</v>
      </c>
      <c r="AG162" s="100">
        <f>720+674.5</f>
        <v>1394.5</v>
      </c>
      <c r="AH162" s="84">
        <f t="shared" si="27"/>
        <v>1394.5</v>
      </c>
      <c r="AI162" s="106"/>
      <c r="AJ162" s="107"/>
      <c r="AK162" s="88"/>
      <c r="AL162" s="108"/>
      <c r="AM162" s="109"/>
      <c r="AN162" s="110"/>
      <c r="AO162" s="111"/>
      <c r="AP162" s="112"/>
      <c r="AQ162" s="111"/>
      <c r="AR162" s="113"/>
      <c r="AS162" s="114"/>
      <c r="AT162" s="115"/>
      <c r="AU162" s="115"/>
      <c r="AV162" s="115"/>
      <c r="AW162" s="115"/>
      <c r="AX162" s="115"/>
      <c r="AY162" s="115"/>
      <c r="AZ162" s="115"/>
      <c r="BA162" s="115"/>
      <c r="BB162" s="115"/>
      <c r="BC162" s="115"/>
      <c r="BD162" s="116"/>
    </row>
    <row r="163" spans="1:56" x14ac:dyDescent="0.25">
      <c r="A163" s="177">
        <v>143</v>
      </c>
      <c r="B163" s="178" t="s">
        <v>443</v>
      </c>
      <c r="C163" s="97" t="s">
        <v>621</v>
      </c>
      <c r="D163" s="103" t="s">
        <v>232</v>
      </c>
      <c r="E163" s="103"/>
      <c r="F163" s="180" t="s">
        <v>622</v>
      </c>
      <c r="G163" s="101" t="s">
        <v>623</v>
      </c>
      <c r="H163" s="98" t="s">
        <v>624</v>
      </c>
      <c r="I163" s="181" t="s">
        <v>625</v>
      </c>
      <c r="J163" s="103" t="s">
        <v>626</v>
      </c>
      <c r="K163" s="99">
        <v>43026</v>
      </c>
      <c r="L163" s="100">
        <v>6305</v>
      </c>
      <c r="M163" s="99" t="s">
        <v>627</v>
      </c>
      <c r="N163" s="99">
        <v>43026</v>
      </c>
      <c r="O163" s="181" t="s">
        <v>174</v>
      </c>
      <c r="P163" s="187">
        <v>1</v>
      </c>
      <c r="Q163" s="115"/>
      <c r="R163" s="115"/>
      <c r="S163" s="119"/>
      <c r="T163" s="103" t="s">
        <v>176</v>
      </c>
      <c r="U163" s="115"/>
      <c r="V163" s="118"/>
      <c r="W163" s="121"/>
      <c r="X163" s="115"/>
      <c r="Y163" s="115"/>
      <c r="Z163" s="115"/>
      <c r="AA163" s="115"/>
      <c r="AB163" s="115"/>
      <c r="AC163" s="122"/>
      <c r="AD163" s="115"/>
      <c r="AE163" s="105">
        <f>L163-AD163+AC163</f>
        <v>6305</v>
      </c>
      <c r="AF163" s="100">
        <v>0</v>
      </c>
      <c r="AG163" s="100">
        <v>6305</v>
      </c>
      <c r="AH163" s="84">
        <f t="shared" si="27"/>
        <v>6305</v>
      </c>
      <c r="AI163" s="186"/>
      <c r="AJ163" s="126"/>
      <c r="AK163" s="107"/>
      <c r="AL163" s="128"/>
      <c r="AM163" s="129" t="s">
        <v>628</v>
      </c>
      <c r="AN163" s="126" t="s">
        <v>239</v>
      </c>
      <c r="AO163" s="126"/>
      <c r="AP163" s="118"/>
      <c r="AQ163" s="185"/>
      <c r="AR163" s="128"/>
      <c r="AS163" s="183"/>
      <c r="AT163" s="115"/>
      <c r="AU163" s="115"/>
      <c r="AV163" s="115"/>
      <c r="AW163" s="115"/>
      <c r="AX163" s="115"/>
      <c r="AY163" s="115"/>
      <c r="AZ163" s="115"/>
      <c r="BA163" s="115"/>
      <c r="BB163" s="115"/>
      <c r="BC163" s="115"/>
      <c r="BD163" s="116"/>
    </row>
    <row r="164" spans="1:56" x14ac:dyDescent="0.25">
      <c r="A164" s="177">
        <v>144</v>
      </c>
      <c r="B164" s="178" t="s">
        <v>629</v>
      </c>
      <c r="C164" s="179" t="s">
        <v>630</v>
      </c>
      <c r="D164" s="103" t="s">
        <v>121</v>
      </c>
      <c r="E164" s="103" t="s">
        <v>122</v>
      </c>
      <c r="F164" s="180" t="s">
        <v>631</v>
      </c>
      <c r="G164" s="101"/>
      <c r="H164" s="98" t="s">
        <v>629</v>
      </c>
      <c r="I164" s="181" t="s">
        <v>632</v>
      </c>
      <c r="J164" s="103" t="s">
        <v>633</v>
      </c>
      <c r="K164" s="99">
        <v>42829</v>
      </c>
      <c r="L164" s="100">
        <v>7295.5</v>
      </c>
      <c r="M164" s="99" t="s">
        <v>634</v>
      </c>
      <c r="N164" s="99">
        <v>42829</v>
      </c>
      <c r="O164" s="181" t="s">
        <v>586</v>
      </c>
      <c r="P164" s="187">
        <v>1</v>
      </c>
      <c r="Q164" s="115"/>
      <c r="R164" s="115"/>
      <c r="S164" s="119"/>
      <c r="T164" s="103" t="s">
        <v>129</v>
      </c>
      <c r="U164" s="115"/>
      <c r="V164" s="118"/>
      <c r="W164" s="121"/>
      <c r="X164" s="115"/>
      <c r="Y164" s="115"/>
      <c r="Z164" s="115"/>
      <c r="AA164" s="115"/>
      <c r="AB164" s="115"/>
      <c r="AC164" s="122"/>
      <c r="AD164" s="115"/>
      <c r="AE164" s="105">
        <f>L164-AD164+AC164</f>
        <v>7295.5</v>
      </c>
      <c r="AF164" s="100">
        <v>0</v>
      </c>
      <c r="AG164" s="100">
        <v>174.5</v>
      </c>
      <c r="AH164" s="84">
        <f t="shared" si="27"/>
        <v>174.5</v>
      </c>
      <c r="AI164" s="186"/>
      <c r="AJ164" s="126"/>
      <c r="AK164" s="107"/>
      <c r="AL164" s="128"/>
      <c r="AM164" s="129"/>
      <c r="AN164" s="126"/>
      <c r="AO164" s="126"/>
      <c r="AP164" s="118"/>
      <c r="AQ164" s="185"/>
      <c r="AR164" s="128"/>
      <c r="AS164" s="183"/>
      <c r="AT164" s="115"/>
      <c r="AU164" s="115"/>
      <c r="AV164" s="115"/>
      <c r="AW164" s="115"/>
      <c r="AX164" s="115"/>
      <c r="AY164" s="115"/>
      <c r="AZ164" s="115"/>
      <c r="BA164" s="115"/>
      <c r="BB164" s="115"/>
      <c r="BC164" s="115"/>
      <c r="BD164" s="116"/>
    </row>
    <row r="165" spans="1:56" x14ac:dyDescent="0.25">
      <c r="A165" s="177">
        <v>145</v>
      </c>
      <c r="B165" s="178" t="s">
        <v>635</v>
      </c>
      <c r="C165" s="179" t="s">
        <v>636</v>
      </c>
      <c r="D165" s="103" t="s">
        <v>121</v>
      </c>
      <c r="E165" s="103" t="s">
        <v>122</v>
      </c>
      <c r="F165" s="180" t="s">
        <v>637</v>
      </c>
      <c r="G165" s="101"/>
      <c r="H165" s="98" t="s">
        <v>635</v>
      </c>
      <c r="I165" s="181" t="s">
        <v>563</v>
      </c>
      <c r="J165" s="103" t="s">
        <v>564</v>
      </c>
      <c r="K165" s="99">
        <v>42822</v>
      </c>
      <c r="L165" s="100">
        <v>14723</v>
      </c>
      <c r="M165" s="99" t="s">
        <v>200</v>
      </c>
      <c r="N165" s="99">
        <v>42822</v>
      </c>
      <c r="O165" s="181" t="s">
        <v>174</v>
      </c>
      <c r="P165" s="103">
        <v>1</v>
      </c>
      <c r="Q165" s="115"/>
      <c r="R165" s="115"/>
      <c r="S165" s="119"/>
      <c r="T165" s="103" t="s">
        <v>129</v>
      </c>
      <c r="U165" s="115"/>
      <c r="V165" s="118"/>
      <c r="W165" s="121"/>
      <c r="X165" s="115"/>
      <c r="Y165" s="115"/>
      <c r="Z165" s="115"/>
      <c r="AA165" s="115"/>
      <c r="AB165" s="115"/>
      <c r="AC165" s="122"/>
      <c r="AD165" s="115"/>
      <c r="AE165" s="105">
        <f t="shared" ref="AE165:AE175" si="28">L165-AD165+AC165</f>
        <v>14723</v>
      </c>
      <c r="AF165" s="100">
        <v>0</v>
      </c>
      <c r="AG165" s="100">
        <v>180</v>
      </c>
      <c r="AH165" s="100">
        <f t="shared" si="27"/>
        <v>180</v>
      </c>
      <c r="AI165" s="186"/>
      <c r="AJ165" s="126"/>
      <c r="AK165" s="107"/>
      <c r="AL165" s="128"/>
      <c r="AM165" s="129"/>
      <c r="AN165" s="126"/>
      <c r="AO165" s="126"/>
      <c r="AP165" s="118"/>
      <c r="AQ165" s="185"/>
      <c r="AR165" s="128"/>
      <c r="AS165" s="183"/>
      <c r="AT165" s="115"/>
      <c r="AU165" s="115"/>
      <c r="AV165" s="115"/>
      <c r="AW165" s="115"/>
      <c r="AX165" s="115"/>
      <c r="AY165" s="115"/>
      <c r="AZ165" s="115"/>
      <c r="BA165" s="115"/>
      <c r="BB165" s="115"/>
      <c r="BC165" s="115"/>
      <c r="BD165" s="116"/>
    </row>
    <row r="166" spans="1:56" x14ac:dyDescent="0.25">
      <c r="A166" s="177">
        <v>146</v>
      </c>
      <c r="B166" s="178" t="s">
        <v>374</v>
      </c>
      <c r="C166" s="179" t="s">
        <v>231</v>
      </c>
      <c r="D166" s="103" t="s">
        <v>301</v>
      </c>
      <c r="E166" s="103"/>
      <c r="F166" s="180" t="s">
        <v>302</v>
      </c>
      <c r="G166" s="101" t="s">
        <v>303</v>
      </c>
      <c r="H166" s="98" t="s">
        <v>309</v>
      </c>
      <c r="I166" s="181" t="s">
        <v>376</v>
      </c>
      <c r="J166" s="103" t="s">
        <v>377</v>
      </c>
      <c r="K166" s="99">
        <v>42866</v>
      </c>
      <c r="L166" s="100">
        <v>1650</v>
      </c>
      <c r="M166" s="99" t="s">
        <v>591</v>
      </c>
      <c r="N166" s="99">
        <v>42866</v>
      </c>
      <c r="O166" s="181" t="s">
        <v>174</v>
      </c>
      <c r="P166" s="103">
        <v>1</v>
      </c>
      <c r="Q166" s="115"/>
      <c r="R166" s="115"/>
      <c r="S166" s="119"/>
      <c r="T166" s="103" t="s">
        <v>308</v>
      </c>
      <c r="U166" s="115"/>
      <c r="V166" s="118"/>
      <c r="W166" s="121"/>
      <c r="X166" s="115"/>
      <c r="Y166" s="115"/>
      <c r="Z166" s="115"/>
      <c r="AA166" s="115"/>
      <c r="AB166" s="115"/>
      <c r="AC166" s="122"/>
      <c r="AD166" s="115"/>
      <c r="AE166" s="105">
        <f t="shared" si="28"/>
        <v>1650</v>
      </c>
      <c r="AF166" s="100">
        <v>0</v>
      </c>
      <c r="AG166" s="100">
        <v>375</v>
      </c>
      <c r="AH166" s="100">
        <f t="shared" si="27"/>
        <v>375</v>
      </c>
      <c r="AI166" s="186"/>
      <c r="AJ166" s="126"/>
      <c r="AK166" s="107"/>
      <c r="AL166" s="128"/>
      <c r="AM166" s="129"/>
      <c r="AN166" s="126"/>
      <c r="AO166" s="126"/>
      <c r="AP166" s="118"/>
      <c r="AQ166" s="185"/>
      <c r="AR166" s="128"/>
      <c r="AS166" s="183"/>
      <c r="AT166" s="115"/>
      <c r="AU166" s="115"/>
      <c r="AV166" s="115"/>
      <c r="AW166" s="115"/>
      <c r="AX166" s="115"/>
      <c r="AY166" s="115"/>
      <c r="AZ166" s="115"/>
      <c r="BA166" s="115"/>
      <c r="BB166" s="115"/>
      <c r="BC166" s="115"/>
      <c r="BD166" s="116"/>
    </row>
    <row r="167" spans="1:56" x14ac:dyDescent="0.25">
      <c r="A167" s="177">
        <v>147</v>
      </c>
      <c r="B167" s="178" t="s">
        <v>418</v>
      </c>
      <c r="C167" s="179" t="s">
        <v>231</v>
      </c>
      <c r="D167" s="103" t="s">
        <v>301</v>
      </c>
      <c r="E167" s="103"/>
      <c r="F167" s="180" t="s">
        <v>302</v>
      </c>
      <c r="G167" s="101" t="s">
        <v>303</v>
      </c>
      <c r="H167" s="98" t="s">
        <v>638</v>
      </c>
      <c r="I167" s="181" t="s">
        <v>420</v>
      </c>
      <c r="J167" s="103" t="s">
        <v>421</v>
      </c>
      <c r="K167" s="99">
        <v>43087</v>
      </c>
      <c r="L167" s="100">
        <v>1037.5</v>
      </c>
      <c r="M167" s="99" t="s">
        <v>317</v>
      </c>
      <c r="N167" s="99">
        <v>43087</v>
      </c>
      <c r="O167" s="181" t="s">
        <v>174</v>
      </c>
      <c r="P167" s="103">
        <v>1</v>
      </c>
      <c r="Q167" s="115"/>
      <c r="R167" s="115"/>
      <c r="S167" s="119"/>
      <c r="T167" s="103" t="s">
        <v>308</v>
      </c>
      <c r="U167" s="115"/>
      <c r="V167" s="118"/>
      <c r="W167" s="121"/>
      <c r="X167" s="115"/>
      <c r="Y167" s="115"/>
      <c r="Z167" s="115"/>
      <c r="AA167" s="115"/>
      <c r="AB167" s="115"/>
      <c r="AC167" s="122"/>
      <c r="AD167" s="115"/>
      <c r="AE167" s="105">
        <f t="shared" si="28"/>
        <v>1037.5</v>
      </c>
      <c r="AF167" s="100">
        <v>0</v>
      </c>
      <c r="AG167" s="100">
        <v>1037.5</v>
      </c>
      <c r="AH167" s="100">
        <f t="shared" si="27"/>
        <v>1037.5</v>
      </c>
      <c r="AI167" s="186"/>
      <c r="AJ167" s="126"/>
      <c r="AK167" s="107"/>
      <c r="AL167" s="128"/>
      <c r="AM167" s="129"/>
      <c r="AN167" s="126"/>
      <c r="AO167" s="126"/>
      <c r="AP167" s="118"/>
      <c r="AQ167" s="185"/>
      <c r="AR167" s="128"/>
      <c r="AS167" s="183"/>
      <c r="AT167" s="115"/>
      <c r="AU167" s="115"/>
      <c r="AV167" s="115"/>
      <c r="AW167" s="115"/>
      <c r="AX167" s="115"/>
      <c r="AY167" s="115"/>
      <c r="AZ167" s="115"/>
      <c r="BA167" s="115"/>
      <c r="BB167" s="115"/>
      <c r="BC167" s="115"/>
      <c r="BD167" s="116"/>
    </row>
    <row r="168" spans="1:56" x14ac:dyDescent="0.25">
      <c r="A168" s="177">
        <v>148</v>
      </c>
      <c r="B168" s="178" t="s">
        <v>371</v>
      </c>
      <c r="C168" s="179" t="s">
        <v>231</v>
      </c>
      <c r="D168" s="103" t="s">
        <v>301</v>
      </c>
      <c r="E168" s="103"/>
      <c r="F168" s="180" t="s">
        <v>302</v>
      </c>
      <c r="G168" s="101" t="s">
        <v>303</v>
      </c>
      <c r="H168" s="98" t="s">
        <v>639</v>
      </c>
      <c r="I168" s="181" t="s">
        <v>372</v>
      </c>
      <c r="J168" s="103" t="s">
        <v>373</v>
      </c>
      <c r="K168" s="99">
        <v>43087</v>
      </c>
      <c r="L168" s="100">
        <v>1472.5</v>
      </c>
      <c r="M168" s="99" t="s">
        <v>317</v>
      </c>
      <c r="N168" s="99">
        <v>43087</v>
      </c>
      <c r="O168" s="181" t="s">
        <v>174</v>
      </c>
      <c r="P168" s="103">
        <v>1</v>
      </c>
      <c r="Q168" s="115"/>
      <c r="R168" s="115"/>
      <c r="S168" s="119"/>
      <c r="T168" s="103" t="s">
        <v>308</v>
      </c>
      <c r="U168" s="115"/>
      <c r="V168" s="118"/>
      <c r="W168" s="121"/>
      <c r="X168" s="115"/>
      <c r="Y168" s="115"/>
      <c r="Z168" s="115"/>
      <c r="AA168" s="115"/>
      <c r="AB168" s="115"/>
      <c r="AC168" s="122"/>
      <c r="AD168" s="115"/>
      <c r="AE168" s="105">
        <f t="shared" si="28"/>
        <v>1472.5</v>
      </c>
      <c r="AF168" s="100">
        <v>0</v>
      </c>
      <c r="AG168" s="100">
        <v>1472.5</v>
      </c>
      <c r="AH168" s="100">
        <f t="shared" si="27"/>
        <v>1472.5</v>
      </c>
      <c r="AI168" s="186"/>
      <c r="AJ168" s="126"/>
      <c r="AK168" s="107"/>
      <c r="AL168" s="128"/>
      <c r="AM168" s="129"/>
      <c r="AN168" s="126"/>
      <c r="AO168" s="126"/>
      <c r="AP168" s="118"/>
      <c r="AQ168" s="185"/>
      <c r="AR168" s="128"/>
      <c r="AS168" s="183"/>
      <c r="AT168" s="115"/>
      <c r="AU168" s="115"/>
      <c r="AV168" s="115"/>
      <c r="AW168" s="115"/>
      <c r="AX168" s="115"/>
      <c r="AY168" s="115"/>
      <c r="AZ168" s="115"/>
      <c r="BA168" s="115"/>
      <c r="BB168" s="115"/>
      <c r="BC168" s="115"/>
      <c r="BD168" s="116"/>
    </row>
    <row r="169" spans="1:56" x14ac:dyDescent="0.25">
      <c r="A169" s="177">
        <v>149</v>
      </c>
      <c r="B169" s="178" t="s">
        <v>300</v>
      </c>
      <c r="C169" s="179" t="s">
        <v>231</v>
      </c>
      <c r="D169" s="103" t="s">
        <v>301</v>
      </c>
      <c r="E169" s="103"/>
      <c r="F169" s="180" t="s">
        <v>302</v>
      </c>
      <c r="G169" s="101" t="s">
        <v>303</v>
      </c>
      <c r="H169" s="98" t="s">
        <v>640</v>
      </c>
      <c r="I169" s="181" t="s">
        <v>305</v>
      </c>
      <c r="J169" s="101" t="s">
        <v>306</v>
      </c>
      <c r="K169" s="99">
        <v>43087</v>
      </c>
      <c r="L169" s="100">
        <v>870</v>
      </c>
      <c r="M169" s="99" t="s">
        <v>317</v>
      </c>
      <c r="N169" s="99">
        <v>43087</v>
      </c>
      <c r="O169" s="181" t="s">
        <v>174</v>
      </c>
      <c r="P169" s="103">
        <v>1</v>
      </c>
      <c r="Q169" s="115"/>
      <c r="R169" s="115"/>
      <c r="S169" s="119"/>
      <c r="T169" s="103" t="s">
        <v>308</v>
      </c>
      <c r="U169" s="115"/>
      <c r="V169" s="118"/>
      <c r="W169" s="121"/>
      <c r="X169" s="115"/>
      <c r="Y169" s="115"/>
      <c r="Z169" s="115"/>
      <c r="AA169" s="115"/>
      <c r="AB169" s="115"/>
      <c r="AC169" s="122"/>
      <c r="AD169" s="115"/>
      <c r="AE169" s="105">
        <f t="shared" si="28"/>
        <v>870</v>
      </c>
      <c r="AF169" s="100">
        <v>0</v>
      </c>
      <c r="AG169" s="100">
        <v>870</v>
      </c>
      <c r="AH169" s="100">
        <f t="shared" si="27"/>
        <v>870</v>
      </c>
      <c r="AI169" s="186"/>
      <c r="AJ169" s="126"/>
      <c r="AK169" s="107"/>
      <c r="AL169" s="128"/>
      <c r="AM169" s="129"/>
      <c r="AN169" s="126"/>
      <c r="AO169" s="126"/>
      <c r="AP169" s="118"/>
      <c r="AQ169" s="185"/>
      <c r="AR169" s="128"/>
      <c r="AS169" s="183"/>
      <c r="AT169" s="115"/>
      <c r="AU169" s="115"/>
      <c r="AV169" s="115"/>
      <c r="AW169" s="115"/>
      <c r="AX169" s="115"/>
      <c r="AY169" s="115"/>
      <c r="AZ169" s="115"/>
      <c r="BA169" s="115"/>
      <c r="BB169" s="115"/>
      <c r="BC169" s="115"/>
      <c r="BD169" s="116"/>
    </row>
    <row r="170" spans="1:56" x14ac:dyDescent="0.25">
      <c r="A170" s="177">
        <v>150</v>
      </c>
      <c r="B170" s="178" t="s">
        <v>337</v>
      </c>
      <c r="C170" s="179" t="s">
        <v>231</v>
      </c>
      <c r="D170" s="103" t="s">
        <v>301</v>
      </c>
      <c r="E170" s="103"/>
      <c r="F170" s="180" t="s">
        <v>302</v>
      </c>
      <c r="G170" s="101" t="s">
        <v>303</v>
      </c>
      <c r="H170" s="98" t="s">
        <v>641</v>
      </c>
      <c r="I170" s="181" t="s">
        <v>339</v>
      </c>
      <c r="J170" s="103" t="s">
        <v>340</v>
      </c>
      <c r="K170" s="99">
        <v>43087</v>
      </c>
      <c r="L170" s="100">
        <v>987.5</v>
      </c>
      <c r="M170" s="99" t="s">
        <v>317</v>
      </c>
      <c r="N170" s="99">
        <v>43087</v>
      </c>
      <c r="O170" s="181" t="s">
        <v>174</v>
      </c>
      <c r="P170" s="103">
        <v>1</v>
      </c>
      <c r="Q170" s="115"/>
      <c r="R170" s="115"/>
      <c r="S170" s="119"/>
      <c r="T170" s="103" t="s">
        <v>308</v>
      </c>
      <c r="U170" s="115"/>
      <c r="V170" s="118"/>
      <c r="W170" s="121"/>
      <c r="X170" s="115"/>
      <c r="Y170" s="115"/>
      <c r="Z170" s="115"/>
      <c r="AA170" s="115"/>
      <c r="AB170" s="115"/>
      <c r="AC170" s="122"/>
      <c r="AD170" s="115"/>
      <c r="AE170" s="105">
        <f t="shared" si="28"/>
        <v>987.5</v>
      </c>
      <c r="AF170" s="100">
        <v>0</v>
      </c>
      <c r="AG170" s="100">
        <v>987.5</v>
      </c>
      <c r="AH170" s="100">
        <f t="shared" si="27"/>
        <v>987.5</v>
      </c>
      <c r="AI170" s="186"/>
      <c r="AJ170" s="126"/>
      <c r="AK170" s="107"/>
      <c r="AL170" s="128"/>
      <c r="AM170" s="129"/>
      <c r="AN170" s="126"/>
      <c r="AO170" s="126"/>
      <c r="AP170" s="118"/>
      <c r="AQ170" s="185"/>
      <c r="AR170" s="128"/>
      <c r="AS170" s="183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6"/>
    </row>
    <row r="171" spans="1:56" x14ac:dyDescent="0.25">
      <c r="A171" s="177">
        <v>151</v>
      </c>
      <c r="B171" s="178" t="s">
        <v>300</v>
      </c>
      <c r="C171" s="179" t="s">
        <v>231</v>
      </c>
      <c r="D171" s="103" t="s">
        <v>301</v>
      </c>
      <c r="E171" s="103"/>
      <c r="F171" s="180" t="s">
        <v>302</v>
      </c>
      <c r="G171" s="101" t="s">
        <v>303</v>
      </c>
      <c r="H171" s="98" t="s">
        <v>642</v>
      </c>
      <c r="I171" s="181" t="s">
        <v>305</v>
      </c>
      <c r="J171" s="101" t="s">
        <v>306</v>
      </c>
      <c r="K171" s="99">
        <v>43073</v>
      </c>
      <c r="L171" s="100">
        <v>200</v>
      </c>
      <c r="M171" s="99" t="s">
        <v>643</v>
      </c>
      <c r="N171" s="99">
        <v>43073</v>
      </c>
      <c r="O171" s="181" t="s">
        <v>174</v>
      </c>
      <c r="P171" s="103">
        <v>1</v>
      </c>
      <c r="Q171" s="115"/>
      <c r="R171" s="115"/>
      <c r="S171" s="119"/>
      <c r="T171" s="103" t="s">
        <v>308</v>
      </c>
      <c r="U171" s="115"/>
      <c r="V171" s="118"/>
      <c r="W171" s="121"/>
      <c r="X171" s="115"/>
      <c r="Y171" s="115"/>
      <c r="Z171" s="115"/>
      <c r="AA171" s="115"/>
      <c r="AB171" s="115"/>
      <c r="AC171" s="122"/>
      <c r="AD171" s="115"/>
      <c r="AE171" s="105">
        <f t="shared" si="28"/>
        <v>200</v>
      </c>
      <c r="AF171" s="100">
        <v>0</v>
      </c>
      <c r="AG171" s="100">
        <v>100</v>
      </c>
      <c r="AH171" s="100">
        <f t="shared" si="27"/>
        <v>100</v>
      </c>
      <c r="AI171" s="186"/>
      <c r="AJ171" s="126"/>
      <c r="AK171" s="107"/>
      <c r="AL171" s="128"/>
      <c r="AM171" s="129"/>
      <c r="AN171" s="126"/>
      <c r="AO171" s="126"/>
      <c r="AP171" s="118"/>
      <c r="AQ171" s="185"/>
      <c r="AR171" s="128"/>
      <c r="AS171" s="183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6"/>
    </row>
    <row r="172" spans="1:56" x14ac:dyDescent="0.25">
      <c r="A172" s="177">
        <v>152</v>
      </c>
      <c r="B172" s="178" t="s">
        <v>531</v>
      </c>
      <c r="C172" s="179" t="s">
        <v>231</v>
      </c>
      <c r="D172" s="103" t="s">
        <v>301</v>
      </c>
      <c r="E172" s="103"/>
      <c r="F172" s="180" t="s">
        <v>302</v>
      </c>
      <c r="G172" s="101" t="s">
        <v>303</v>
      </c>
      <c r="H172" s="98" t="s">
        <v>418</v>
      </c>
      <c r="I172" s="181" t="s">
        <v>533</v>
      </c>
      <c r="J172" s="103" t="s">
        <v>534</v>
      </c>
      <c r="K172" s="99">
        <v>42866</v>
      </c>
      <c r="L172" s="100">
        <v>1650</v>
      </c>
      <c r="M172" s="99" t="s">
        <v>644</v>
      </c>
      <c r="N172" s="99">
        <v>42866</v>
      </c>
      <c r="O172" s="181" t="s">
        <v>174</v>
      </c>
      <c r="P172" s="103">
        <v>1</v>
      </c>
      <c r="Q172" s="115"/>
      <c r="R172" s="115"/>
      <c r="S172" s="119"/>
      <c r="T172" s="103" t="s">
        <v>308</v>
      </c>
      <c r="U172" s="115"/>
      <c r="V172" s="118"/>
      <c r="W172" s="121"/>
      <c r="X172" s="115"/>
      <c r="Y172" s="115"/>
      <c r="Z172" s="115"/>
      <c r="AA172" s="115"/>
      <c r="AB172" s="115"/>
      <c r="AC172" s="122"/>
      <c r="AD172" s="115"/>
      <c r="AE172" s="105">
        <f t="shared" si="28"/>
        <v>1650</v>
      </c>
      <c r="AF172" s="100">
        <v>0</v>
      </c>
      <c r="AG172" s="100">
        <v>75</v>
      </c>
      <c r="AH172" s="100">
        <f t="shared" si="27"/>
        <v>75</v>
      </c>
      <c r="AI172" s="186"/>
      <c r="AJ172" s="126"/>
      <c r="AK172" s="107"/>
      <c r="AL172" s="128"/>
      <c r="AM172" s="129"/>
      <c r="AN172" s="126"/>
      <c r="AO172" s="126"/>
      <c r="AP172" s="118"/>
      <c r="AQ172" s="185"/>
      <c r="AR172" s="128"/>
      <c r="AS172" s="183"/>
      <c r="AT172" s="115"/>
      <c r="AU172" s="115"/>
      <c r="AV172" s="115"/>
      <c r="AW172" s="115"/>
      <c r="AX172" s="115"/>
      <c r="AY172" s="115"/>
      <c r="AZ172" s="115"/>
      <c r="BA172" s="115"/>
      <c r="BB172" s="115"/>
      <c r="BC172" s="115"/>
      <c r="BD172" s="116"/>
    </row>
    <row r="173" spans="1:56" x14ac:dyDescent="0.25">
      <c r="A173" s="177">
        <v>153</v>
      </c>
      <c r="B173" s="178" t="s">
        <v>477</v>
      </c>
      <c r="C173" s="179" t="s">
        <v>231</v>
      </c>
      <c r="D173" s="103" t="s">
        <v>301</v>
      </c>
      <c r="E173" s="103"/>
      <c r="F173" s="180" t="s">
        <v>302</v>
      </c>
      <c r="G173" s="101" t="s">
        <v>303</v>
      </c>
      <c r="H173" s="98" t="s">
        <v>645</v>
      </c>
      <c r="I173" s="181" t="s">
        <v>479</v>
      </c>
      <c r="J173" s="103" t="s">
        <v>480</v>
      </c>
      <c r="K173" s="99">
        <v>43087</v>
      </c>
      <c r="L173" s="100">
        <v>1260</v>
      </c>
      <c r="M173" s="99" t="s">
        <v>646</v>
      </c>
      <c r="N173" s="99">
        <v>43087</v>
      </c>
      <c r="O173" s="181" t="s">
        <v>174</v>
      </c>
      <c r="P173" s="103">
        <v>1</v>
      </c>
      <c r="Q173" s="115"/>
      <c r="R173" s="115"/>
      <c r="S173" s="119"/>
      <c r="T173" s="103" t="s">
        <v>308</v>
      </c>
      <c r="U173" s="115"/>
      <c r="V173" s="118"/>
      <c r="W173" s="121"/>
      <c r="X173" s="115"/>
      <c r="Y173" s="115"/>
      <c r="Z173" s="115"/>
      <c r="AA173" s="115"/>
      <c r="AB173" s="115"/>
      <c r="AC173" s="122"/>
      <c r="AD173" s="115"/>
      <c r="AE173" s="105">
        <f t="shared" si="28"/>
        <v>1260</v>
      </c>
      <c r="AF173" s="100">
        <v>0</v>
      </c>
      <c r="AG173" s="100">
        <f>935+325</f>
        <v>1260</v>
      </c>
      <c r="AH173" s="100">
        <f t="shared" si="27"/>
        <v>1260</v>
      </c>
      <c r="AI173" s="186"/>
      <c r="AJ173" s="126"/>
      <c r="AK173" s="107"/>
      <c r="AL173" s="128"/>
      <c r="AM173" s="129"/>
      <c r="AN173" s="126"/>
      <c r="AO173" s="126"/>
      <c r="AP173" s="118"/>
      <c r="AQ173" s="185"/>
      <c r="AR173" s="128"/>
      <c r="AS173" s="183"/>
      <c r="AT173" s="115"/>
      <c r="AU173" s="115"/>
      <c r="AV173" s="115"/>
      <c r="AW173" s="115"/>
      <c r="AX173" s="115"/>
      <c r="AY173" s="115"/>
      <c r="AZ173" s="115"/>
      <c r="BA173" s="115"/>
      <c r="BB173" s="115"/>
      <c r="BC173" s="115"/>
      <c r="BD173" s="116"/>
    </row>
    <row r="174" spans="1:56" x14ac:dyDescent="0.25">
      <c r="A174" s="177">
        <v>154</v>
      </c>
      <c r="B174" s="178" t="s">
        <v>333</v>
      </c>
      <c r="C174" s="179" t="s">
        <v>231</v>
      </c>
      <c r="D174" s="103" t="s">
        <v>301</v>
      </c>
      <c r="E174" s="103"/>
      <c r="F174" s="180" t="s">
        <v>302</v>
      </c>
      <c r="G174" s="101" t="s">
        <v>303</v>
      </c>
      <c r="H174" s="98" t="s">
        <v>647</v>
      </c>
      <c r="I174" s="181" t="s">
        <v>335</v>
      </c>
      <c r="J174" s="103" t="s">
        <v>336</v>
      </c>
      <c r="K174" s="99">
        <v>43087</v>
      </c>
      <c r="L174" s="100">
        <v>1437.5</v>
      </c>
      <c r="M174" s="99" t="s">
        <v>646</v>
      </c>
      <c r="N174" s="99">
        <v>43087</v>
      </c>
      <c r="O174" s="181" t="s">
        <v>174</v>
      </c>
      <c r="P174" s="103">
        <v>1</v>
      </c>
      <c r="Q174" s="115"/>
      <c r="R174" s="115"/>
      <c r="S174" s="119"/>
      <c r="T174" s="103" t="s">
        <v>308</v>
      </c>
      <c r="U174" s="115"/>
      <c r="V174" s="118"/>
      <c r="W174" s="121"/>
      <c r="X174" s="115"/>
      <c r="Y174" s="115"/>
      <c r="Z174" s="115"/>
      <c r="AA174" s="115"/>
      <c r="AB174" s="115"/>
      <c r="AC174" s="122"/>
      <c r="AD174" s="115"/>
      <c r="AE174" s="105">
        <f t="shared" si="28"/>
        <v>1437.5</v>
      </c>
      <c r="AF174" s="100">
        <v>0</v>
      </c>
      <c r="AG174" s="100">
        <f>937.5+500</f>
        <v>1437.5</v>
      </c>
      <c r="AH174" s="100">
        <f t="shared" si="27"/>
        <v>1437.5</v>
      </c>
      <c r="AI174" s="186"/>
      <c r="AJ174" s="126"/>
      <c r="AK174" s="107"/>
      <c r="AL174" s="128"/>
      <c r="AM174" s="129"/>
      <c r="AN174" s="126"/>
      <c r="AO174" s="126"/>
      <c r="AP174" s="118"/>
      <c r="AQ174" s="185"/>
      <c r="AR174" s="128"/>
      <c r="AS174" s="183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15"/>
      <c r="BD174" s="116"/>
    </row>
    <row r="175" spans="1:56" x14ac:dyDescent="0.25">
      <c r="A175" s="177">
        <v>155</v>
      </c>
      <c r="B175" s="178" t="s">
        <v>473</v>
      </c>
      <c r="C175" s="179" t="s">
        <v>231</v>
      </c>
      <c r="D175" s="103" t="s">
        <v>301</v>
      </c>
      <c r="E175" s="103"/>
      <c r="F175" s="180" t="s">
        <v>302</v>
      </c>
      <c r="G175" s="101" t="s">
        <v>303</v>
      </c>
      <c r="H175" s="98" t="s">
        <v>648</v>
      </c>
      <c r="I175" s="181" t="s">
        <v>475</v>
      </c>
      <c r="J175" s="103" t="s">
        <v>476</v>
      </c>
      <c r="K175" s="99">
        <v>42892</v>
      </c>
      <c r="L175" s="100">
        <v>500</v>
      </c>
      <c r="M175" s="99" t="s">
        <v>307</v>
      </c>
      <c r="N175" s="99">
        <v>42892</v>
      </c>
      <c r="O175" s="181" t="s">
        <v>174</v>
      </c>
      <c r="P175" s="103">
        <v>1</v>
      </c>
      <c r="Q175" s="115"/>
      <c r="R175" s="115"/>
      <c r="S175" s="119"/>
      <c r="T175" s="103" t="s">
        <v>308</v>
      </c>
      <c r="U175" s="115"/>
      <c r="V175" s="118"/>
      <c r="W175" s="121"/>
      <c r="X175" s="115"/>
      <c r="Y175" s="115"/>
      <c r="Z175" s="115"/>
      <c r="AA175" s="115"/>
      <c r="AB175" s="115"/>
      <c r="AC175" s="122"/>
      <c r="AD175" s="115"/>
      <c r="AE175" s="105">
        <f t="shared" si="28"/>
        <v>500</v>
      </c>
      <c r="AF175" s="100">
        <v>0</v>
      </c>
      <c r="AG175" s="100">
        <v>100</v>
      </c>
      <c r="AH175" s="100">
        <f t="shared" si="27"/>
        <v>100</v>
      </c>
      <c r="AI175" s="186"/>
      <c r="AJ175" s="126"/>
      <c r="AK175" s="107"/>
      <c r="AL175" s="128"/>
      <c r="AM175" s="129"/>
      <c r="AN175" s="126"/>
      <c r="AO175" s="126"/>
      <c r="AP175" s="118"/>
      <c r="AQ175" s="185"/>
      <c r="AR175" s="128"/>
      <c r="AS175" s="183"/>
      <c r="AT175" s="115"/>
      <c r="AU175" s="115"/>
      <c r="AV175" s="115"/>
      <c r="AW175" s="115"/>
      <c r="AX175" s="115"/>
      <c r="AY175" s="115"/>
      <c r="AZ175" s="115"/>
      <c r="BA175" s="115"/>
      <c r="BB175" s="115"/>
      <c r="BC175" s="115"/>
      <c r="BD175" s="116"/>
    </row>
    <row r="176" spans="1:56" x14ac:dyDescent="0.25">
      <c r="A176" s="177">
        <v>156</v>
      </c>
      <c r="B176" s="178" t="s">
        <v>473</v>
      </c>
      <c r="C176" s="179" t="s">
        <v>231</v>
      </c>
      <c r="D176" s="103" t="s">
        <v>301</v>
      </c>
      <c r="E176" s="103"/>
      <c r="F176" s="180" t="s">
        <v>302</v>
      </c>
      <c r="G176" s="101" t="s">
        <v>303</v>
      </c>
      <c r="H176" s="98" t="s">
        <v>649</v>
      </c>
      <c r="I176" s="181" t="s">
        <v>475</v>
      </c>
      <c r="J176" s="103" t="s">
        <v>476</v>
      </c>
      <c r="K176" s="99">
        <v>43087</v>
      </c>
      <c r="L176" s="100">
        <v>842.5</v>
      </c>
      <c r="M176" s="99" t="s">
        <v>317</v>
      </c>
      <c r="N176" s="99">
        <v>43087</v>
      </c>
      <c r="O176" s="181" t="s">
        <v>174</v>
      </c>
      <c r="P176" s="103">
        <v>1</v>
      </c>
      <c r="Q176" s="115"/>
      <c r="R176" s="115"/>
      <c r="S176" s="119"/>
      <c r="T176" s="103" t="s">
        <v>308</v>
      </c>
      <c r="U176" s="115"/>
      <c r="V176" s="118"/>
      <c r="W176" s="121"/>
      <c r="X176" s="115"/>
      <c r="Y176" s="115"/>
      <c r="Z176" s="115"/>
      <c r="AA176" s="115"/>
      <c r="AB176" s="115"/>
      <c r="AC176" s="122"/>
      <c r="AD176" s="115"/>
      <c r="AE176" s="105">
        <f t="shared" ref="AE176:AE187" si="29">L176-AD176+AC176</f>
        <v>842.5</v>
      </c>
      <c r="AF176" s="100">
        <v>0</v>
      </c>
      <c r="AG176" s="100">
        <v>842.5</v>
      </c>
      <c r="AH176" s="100">
        <f t="shared" ref="AH176:AH187" si="30">AF176+AG176</f>
        <v>842.5</v>
      </c>
      <c r="AI176" s="186"/>
      <c r="AJ176" s="126"/>
      <c r="AK176" s="107"/>
      <c r="AL176" s="128"/>
      <c r="AM176" s="129"/>
      <c r="AN176" s="126"/>
      <c r="AO176" s="126"/>
      <c r="AP176" s="118"/>
      <c r="AQ176" s="185"/>
      <c r="AR176" s="128"/>
      <c r="AS176" s="183"/>
      <c r="AT176" s="115"/>
      <c r="AU176" s="115"/>
      <c r="AV176" s="115"/>
      <c r="AW176" s="115"/>
      <c r="AX176" s="115"/>
      <c r="AY176" s="115"/>
      <c r="AZ176" s="115"/>
      <c r="BA176" s="115"/>
      <c r="BB176" s="115"/>
      <c r="BC176" s="115"/>
      <c r="BD176" s="116"/>
    </row>
    <row r="177" spans="1:56" x14ac:dyDescent="0.25">
      <c r="A177" s="177">
        <v>157</v>
      </c>
      <c r="B177" s="178" t="s">
        <v>436</v>
      </c>
      <c r="C177" s="179" t="s">
        <v>231</v>
      </c>
      <c r="D177" s="103" t="s">
        <v>301</v>
      </c>
      <c r="E177" s="103"/>
      <c r="F177" s="180" t="s">
        <v>302</v>
      </c>
      <c r="G177" s="101" t="s">
        <v>303</v>
      </c>
      <c r="H177" s="98" t="s">
        <v>650</v>
      </c>
      <c r="I177" s="181" t="s">
        <v>438</v>
      </c>
      <c r="J177" s="103" t="s">
        <v>439</v>
      </c>
      <c r="K177" s="99">
        <v>43087</v>
      </c>
      <c r="L177" s="100">
        <v>125</v>
      </c>
      <c r="M177" s="99" t="s">
        <v>317</v>
      </c>
      <c r="N177" s="99">
        <v>43087</v>
      </c>
      <c r="O177" s="181" t="s">
        <v>174</v>
      </c>
      <c r="P177" s="103">
        <v>1</v>
      </c>
      <c r="Q177" s="115"/>
      <c r="R177" s="115"/>
      <c r="S177" s="119"/>
      <c r="T177" s="103" t="s">
        <v>308</v>
      </c>
      <c r="U177" s="115"/>
      <c r="V177" s="118"/>
      <c r="W177" s="121"/>
      <c r="X177" s="115"/>
      <c r="Y177" s="115"/>
      <c r="Z177" s="115"/>
      <c r="AA177" s="115"/>
      <c r="AB177" s="115"/>
      <c r="AC177" s="122"/>
      <c r="AD177" s="115"/>
      <c r="AE177" s="105">
        <f t="shared" si="29"/>
        <v>125</v>
      </c>
      <c r="AF177" s="100">
        <v>0</v>
      </c>
      <c r="AG177" s="100">
        <v>125</v>
      </c>
      <c r="AH177" s="100">
        <f t="shared" si="30"/>
        <v>125</v>
      </c>
      <c r="AI177" s="186"/>
      <c r="AJ177" s="126"/>
      <c r="AK177" s="107"/>
      <c r="AL177" s="128"/>
      <c r="AM177" s="129"/>
      <c r="AN177" s="126"/>
      <c r="AO177" s="126"/>
      <c r="AP177" s="118"/>
      <c r="AQ177" s="185"/>
      <c r="AR177" s="128"/>
      <c r="AS177" s="183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6"/>
    </row>
    <row r="178" spans="1:56" x14ac:dyDescent="0.25">
      <c r="A178" s="177">
        <v>158</v>
      </c>
      <c r="B178" s="178" t="s">
        <v>318</v>
      </c>
      <c r="C178" s="179" t="s">
        <v>231</v>
      </c>
      <c r="D178" s="103" t="s">
        <v>301</v>
      </c>
      <c r="E178" s="103"/>
      <c r="F178" s="180" t="s">
        <v>302</v>
      </c>
      <c r="G178" s="101" t="s">
        <v>303</v>
      </c>
      <c r="H178" s="98" t="s">
        <v>651</v>
      </c>
      <c r="I178" s="181" t="s">
        <v>320</v>
      </c>
      <c r="J178" s="103" t="s">
        <v>321</v>
      </c>
      <c r="K178" s="99">
        <v>43087</v>
      </c>
      <c r="L178" s="100">
        <v>1232.5</v>
      </c>
      <c r="M178" s="99" t="s">
        <v>646</v>
      </c>
      <c r="N178" s="99">
        <v>43087</v>
      </c>
      <c r="O178" s="181" t="s">
        <v>174</v>
      </c>
      <c r="P178" s="103">
        <v>1</v>
      </c>
      <c r="Q178" s="115"/>
      <c r="R178" s="115"/>
      <c r="S178" s="119"/>
      <c r="T178" s="103" t="s">
        <v>308</v>
      </c>
      <c r="U178" s="115"/>
      <c r="V178" s="118"/>
      <c r="W178" s="121"/>
      <c r="X178" s="115"/>
      <c r="Y178" s="115"/>
      <c r="Z178" s="115"/>
      <c r="AA178" s="115"/>
      <c r="AB178" s="115"/>
      <c r="AC178" s="122"/>
      <c r="AD178" s="115"/>
      <c r="AE178" s="105">
        <f t="shared" si="29"/>
        <v>1232.5</v>
      </c>
      <c r="AF178" s="100">
        <v>0</v>
      </c>
      <c r="AG178" s="100">
        <v>1232.5</v>
      </c>
      <c r="AH178" s="100">
        <f t="shared" si="30"/>
        <v>1232.5</v>
      </c>
      <c r="AI178" s="186"/>
      <c r="AJ178" s="126"/>
      <c r="AK178" s="107"/>
      <c r="AL178" s="128"/>
      <c r="AM178" s="129"/>
      <c r="AN178" s="126"/>
      <c r="AO178" s="126"/>
      <c r="AP178" s="118"/>
      <c r="AQ178" s="185"/>
      <c r="AR178" s="128"/>
      <c r="AS178" s="183"/>
      <c r="AT178" s="115"/>
      <c r="AU178" s="115"/>
      <c r="AV178" s="115"/>
      <c r="AW178" s="115"/>
      <c r="AX178" s="115"/>
      <c r="AY178" s="115"/>
      <c r="AZ178" s="115"/>
      <c r="BA178" s="115"/>
      <c r="BB178" s="115"/>
      <c r="BC178" s="115"/>
      <c r="BD178" s="116"/>
    </row>
    <row r="179" spans="1:56" x14ac:dyDescent="0.25">
      <c r="A179" s="177">
        <v>159</v>
      </c>
      <c r="B179" s="178" t="s">
        <v>341</v>
      </c>
      <c r="C179" s="179" t="s">
        <v>231</v>
      </c>
      <c r="D179" s="103" t="s">
        <v>301</v>
      </c>
      <c r="E179" s="103"/>
      <c r="F179" s="180" t="s">
        <v>302</v>
      </c>
      <c r="G179" s="101" t="s">
        <v>303</v>
      </c>
      <c r="H179" s="98" t="s">
        <v>652</v>
      </c>
      <c r="I179" s="181" t="s">
        <v>342</v>
      </c>
      <c r="J179" s="103" t="s">
        <v>343</v>
      </c>
      <c r="K179" s="99">
        <v>43087</v>
      </c>
      <c r="L179" s="100">
        <v>1000</v>
      </c>
      <c r="M179" s="99" t="s">
        <v>317</v>
      </c>
      <c r="N179" s="99">
        <v>43087</v>
      </c>
      <c r="O179" s="181" t="s">
        <v>174</v>
      </c>
      <c r="P179" s="103">
        <v>1</v>
      </c>
      <c r="Q179" s="115"/>
      <c r="R179" s="115"/>
      <c r="S179" s="119"/>
      <c r="T179" s="103" t="s">
        <v>308</v>
      </c>
      <c r="U179" s="115"/>
      <c r="V179" s="118"/>
      <c r="W179" s="121"/>
      <c r="X179" s="115"/>
      <c r="Y179" s="115"/>
      <c r="Z179" s="115"/>
      <c r="AA179" s="115"/>
      <c r="AB179" s="115"/>
      <c r="AC179" s="122"/>
      <c r="AD179" s="115"/>
      <c r="AE179" s="105">
        <f t="shared" si="29"/>
        <v>1000</v>
      </c>
      <c r="AF179" s="100">
        <v>0</v>
      </c>
      <c r="AG179" s="100">
        <v>1000</v>
      </c>
      <c r="AH179" s="100">
        <f t="shared" si="30"/>
        <v>1000</v>
      </c>
      <c r="AI179" s="119"/>
      <c r="AJ179" s="126"/>
      <c r="AK179" s="107"/>
      <c r="AL179" s="128"/>
      <c r="AM179" s="129"/>
      <c r="AN179" s="126"/>
      <c r="AO179" s="126"/>
      <c r="AP179" s="118"/>
      <c r="AQ179" s="185"/>
      <c r="AR179" s="128"/>
      <c r="AS179" s="183"/>
      <c r="AT179" s="115"/>
      <c r="AU179" s="115"/>
      <c r="AV179" s="115"/>
      <c r="AW179" s="115"/>
      <c r="AX179" s="115"/>
      <c r="AY179" s="115"/>
      <c r="AZ179" s="115"/>
      <c r="BA179" s="115"/>
      <c r="BB179" s="115"/>
      <c r="BC179" s="115"/>
      <c r="BD179" s="116"/>
    </row>
    <row r="180" spans="1:56" x14ac:dyDescent="0.25">
      <c r="A180" s="177">
        <v>160</v>
      </c>
      <c r="B180" s="178" t="s">
        <v>425</v>
      </c>
      <c r="C180" s="179" t="s">
        <v>231</v>
      </c>
      <c r="D180" s="103" t="s">
        <v>301</v>
      </c>
      <c r="E180" s="103"/>
      <c r="F180" s="180" t="s">
        <v>302</v>
      </c>
      <c r="G180" s="101" t="s">
        <v>303</v>
      </c>
      <c r="H180" s="98" t="s">
        <v>653</v>
      </c>
      <c r="I180" s="82" t="s">
        <v>426</v>
      </c>
      <c r="J180" s="103" t="s">
        <v>427</v>
      </c>
      <c r="K180" s="99">
        <v>43087</v>
      </c>
      <c r="L180" s="100">
        <v>952.5</v>
      </c>
      <c r="M180" s="99" t="s">
        <v>317</v>
      </c>
      <c r="N180" s="99">
        <v>43087</v>
      </c>
      <c r="O180" s="82" t="s">
        <v>174</v>
      </c>
      <c r="P180" s="103">
        <v>1</v>
      </c>
      <c r="Q180" s="115"/>
      <c r="R180" s="115"/>
      <c r="S180" s="119"/>
      <c r="T180" s="103" t="s">
        <v>308</v>
      </c>
      <c r="U180" s="115"/>
      <c r="V180" s="118"/>
      <c r="W180" s="121"/>
      <c r="X180" s="94"/>
      <c r="Y180" s="115"/>
      <c r="Z180" s="115"/>
      <c r="AA180" s="115"/>
      <c r="AB180" s="115"/>
      <c r="AC180" s="122"/>
      <c r="AD180" s="115"/>
      <c r="AE180" s="105">
        <f t="shared" si="29"/>
        <v>952.5</v>
      </c>
      <c r="AF180" s="100">
        <v>0</v>
      </c>
      <c r="AG180" s="100">
        <v>952.5</v>
      </c>
      <c r="AH180" s="100">
        <f t="shared" si="30"/>
        <v>952.5</v>
      </c>
      <c r="AI180" s="186"/>
      <c r="AJ180" s="126"/>
      <c r="AK180" s="107"/>
      <c r="AL180" s="128"/>
      <c r="AM180" s="129"/>
      <c r="AN180" s="126"/>
      <c r="AO180" s="126"/>
      <c r="AP180" s="118"/>
      <c r="AQ180" s="185"/>
      <c r="AR180" s="128"/>
      <c r="AS180" s="183"/>
      <c r="AT180" s="115"/>
      <c r="AU180" s="115"/>
      <c r="AV180" s="115"/>
      <c r="AW180" s="115"/>
      <c r="AX180" s="115"/>
      <c r="AY180" s="115"/>
      <c r="AZ180" s="115"/>
      <c r="BA180" s="115"/>
      <c r="BB180" s="115"/>
      <c r="BC180" s="115"/>
      <c r="BD180" s="116"/>
    </row>
    <row r="181" spans="1:56" x14ac:dyDescent="0.25">
      <c r="A181" s="78">
        <v>161</v>
      </c>
      <c r="B181" s="96" t="s">
        <v>558</v>
      </c>
      <c r="C181" s="97" t="s">
        <v>620</v>
      </c>
      <c r="D181" s="59" t="s">
        <v>121</v>
      </c>
      <c r="E181" s="59" t="s">
        <v>122</v>
      </c>
      <c r="F181" s="81" t="s">
        <v>194</v>
      </c>
      <c r="G181" s="80" t="s">
        <v>295</v>
      </c>
      <c r="H181" s="98" t="s">
        <v>654</v>
      </c>
      <c r="I181" s="82" t="s">
        <v>171</v>
      </c>
      <c r="J181" s="80" t="s">
        <v>172</v>
      </c>
      <c r="K181" s="99">
        <v>42972</v>
      </c>
      <c r="L181" s="100">
        <v>8589.9</v>
      </c>
      <c r="M181" s="101" t="s">
        <v>173</v>
      </c>
      <c r="N181" s="99">
        <v>42972</v>
      </c>
      <c r="O181" s="188" t="s">
        <v>174</v>
      </c>
      <c r="P181" s="80">
        <v>1</v>
      </c>
      <c r="Q181" s="103"/>
      <c r="R181" s="103"/>
      <c r="S181" s="100"/>
      <c r="T181" s="103" t="s">
        <v>176</v>
      </c>
      <c r="U181" s="103"/>
      <c r="V181" s="99"/>
      <c r="W181" s="101"/>
      <c r="X181" s="80"/>
      <c r="Y181" s="103"/>
      <c r="Z181" s="103"/>
      <c r="AA181" s="103"/>
      <c r="AB181" s="103"/>
      <c r="AC181" s="104"/>
      <c r="AD181" s="103"/>
      <c r="AE181" s="105">
        <f t="shared" si="29"/>
        <v>8589.9</v>
      </c>
      <c r="AF181" s="100">
        <v>0</v>
      </c>
      <c r="AG181" s="100">
        <v>5640</v>
      </c>
      <c r="AH181" s="84">
        <f t="shared" si="30"/>
        <v>5640</v>
      </c>
      <c r="AI181" s="106"/>
      <c r="AJ181" s="107"/>
      <c r="AK181" s="88"/>
      <c r="AL181" s="108"/>
      <c r="AM181" s="109"/>
      <c r="AN181" s="110"/>
      <c r="AO181" s="111"/>
      <c r="AP181" s="112"/>
      <c r="AQ181" s="111"/>
      <c r="AR181" s="113"/>
      <c r="AS181" s="114"/>
      <c r="AT181" s="115"/>
      <c r="AU181" s="115"/>
      <c r="AV181" s="115"/>
      <c r="AW181" s="115"/>
      <c r="AX181" s="115"/>
      <c r="AY181" s="115"/>
      <c r="AZ181" s="115"/>
      <c r="BA181" s="115"/>
      <c r="BB181" s="115"/>
      <c r="BC181" s="115"/>
      <c r="BD181" s="116"/>
    </row>
    <row r="182" spans="1:56" x14ac:dyDescent="0.25">
      <c r="A182" s="177">
        <v>162</v>
      </c>
      <c r="B182" s="178" t="s">
        <v>406</v>
      </c>
      <c r="C182" s="179" t="s">
        <v>231</v>
      </c>
      <c r="D182" s="103" t="s">
        <v>301</v>
      </c>
      <c r="E182" s="103"/>
      <c r="F182" s="180" t="s">
        <v>302</v>
      </c>
      <c r="G182" s="101" t="s">
        <v>303</v>
      </c>
      <c r="H182" s="98" t="s">
        <v>655</v>
      </c>
      <c r="I182" s="181" t="s">
        <v>408</v>
      </c>
      <c r="J182" s="103" t="s">
        <v>409</v>
      </c>
      <c r="K182" s="99">
        <v>43087</v>
      </c>
      <c r="L182" s="100">
        <v>230</v>
      </c>
      <c r="M182" s="99" t="s">
        <v>656</v>
      </c>
      <c r="N182" s="99">
        <v>43100</v>
      </c>
      <c r="O182" s="181" t="s">
        <v>174</v>
      </c>
      <c r="P182" s="103">
        <v>1</v>
      </c>
      <c r="Q182" s="115"/>
      <c r="R182" s="115"/>
      <c r="S182" s="119"/>
      <c r="T182" s="103" t="s">
        <v>308</v>
      </c>
      <c r="U182" s="115"/>
      <c r="V182" s="118"/>
      <c r="W182" s="121"/>
      <c r="X182" s="94"/>
      <c r="Y182" s="115"/>
      <c r="Z182" s="115"/>
      <c r="AA182" s="115"/>
      <c r="AB182" s="115"/>
      <c r="AC182" s="122"/>
      <c r="AD182" s="115"/>
      <c r="AE182" s="105">
        <f t="shared" si="29"/>
        <v>230</v>
      </c>
      <c r="AF182" s="100">
        <v>0</v>
      </c>
      <c r="AG182" s="100">
        <v>230</v>
      </c>
      <c r="AH182" s="100">
        <f t="shared" si="30"/>
        <v>230</v>
      </c>
      <c r="AI182" s="186"/>
      <c r="AJ182" s="126"/>
      <c r="AK182" s="107"/>
      <c r="AL182" s="128"/>
      <c r="AM182" s="129"/>
      <c r="AN182" s="126"/>
      <c r="AO182" s="126"/>
      <c r="AP182" s="118"/>
      <c r="AQ182" s="185"/>
      <c r="AR182" s="128"/>
      <c r="AS182" s="183"/>
      <c r="AT182" s="115"/>
      <c r="AU182" s="115"/>
      <c r="AV182" s="115"/>
      <c r="AW182" s="115"/>
      <c r="AX182" s="115"/>
      <c r="AY182" s="115"/>
      <c r="AZ182" s="115"/>
      <c r="BA182" s="115"/>
      <c r="BB182" s="115"/>
      <c r="BC182" s="115"/>
      <c r="BD182" s="116"/>
    </row>
    <row r="183" spans="1:56" x14ac:dyDescent="0.25">
      <c r="A183" s="177">
        <v>163</v>
      </c>
      <c r="B183" s="178" t="s">
        <v>391</v>
      </c>
      <c r="C183" s="179" t="s">
        <v>231</v>
      </c>
      <c r="D183" s="103" t="s">
        <v>301</v>
      </c>
      <c r="E183" s="103"/>
      <c r="F183" s="180" t="s">
        <v>302</v>
      </c>
      <c r="G183" s="101" t="s">
        <v>303</v>
      </c>
      <c r="H183" s="98" t="s">
        <v>657</v>
      </c>
      <c r="I183" s="181" t="s">
        <v>522</v>
      </c>
      <c r="J183" s="103" t="s">
        <v>523</v>
      </c>
      <c r="K183" s="99">
        <v>43087</v>
      </c>
      <c r="L183" s="100">
        <v>1232.5</v>
      </c>
      <c r="M183" s="99" t="s">
        <v>658</v>
      </c>
      <c r="N183" s="99">
        <v>43087</v>
      </c>
      <c r="O183" s="181" t="s">
        <v>174</v>
      </c>
      <c r="P183" s="103">
        <v>1</v>
      </c>
      <c r="Q183" s="115"/>
      <c r="R183" s="115"/>
      <c r="S183" s="119"/>
      <c r="T183" s="103" t="s">
        <v>308</v>
      </c>
      <c r="U183" s="115"/>
      <c r="V183" s="118"/>
      <c r="W183" s="121"/>
      <c r="X183" s="115"/>
      <c r="Y183" s="115"/>
      <c r="Z183" s="115"/>
      <c r="AA183" s="115"/>
      <c r="AB183" s="115"/>
      <c r="AC183" s="122"/>
      <c r="AD183" s="115"/>
      <c r="AE183" s="105">
        <f t="shared" si="29"/>
        <v>1232.5</v>
      </c>
      <c r="AF183" s="100">
        <v>0</v>
      </c>
      <c r="AG183" s="100">
        <v>1232.5</v>
      </c>
      <c r="AH183" s="100">
        <f t="shared" si="30"/>
        <v>1232.5</v>
      </c>
      <c r="AI183" s="186"/>
      <c r="AJ183" s="126"/>
      <c r="AK183" s="107"/>
      <c r="AL183" s="128"/>
      <c r="AM183" s="129"/>
      <c r="AN183" s="126"/>
      <c r="AO183" s="126"/>
      <c r="AP183" s="118"/>
      <c r="AQ183" s="185"/>
      <c r="AR183" s="128"/>
      <c r="AS183" s="183"/>
      <c r="AT183" s="115"/>
      <c r="AU183" s="115"/>
      <c r="AV183" s="115"/>
      <c r="AW183" s="115"/>
      <c r="AX183" s="115"/>
      <c r="AY183" s="115"/>
      <c r="AZ183" s="115"/>
      <c r="BA183" s="115"/>
      <c r="BB183" s="115"/>
      <c r="BC183" s="115"/>
      <c r="BD183" s="116"/>
    </row>
    <row r="184" spans="1:56" x14ac:dyDescent="0.25">
      <c r="A184" s="177">
        <v>164</v>
      </c>
      <c r="B184" s="178" t="s">
        <v>374</v>
      </c>
      <c r="C184" s="179" t="s">
        <v>231</v>
      </c>
      <c r="D184" s="103" t="s">
        <v>301</v>
      </c>
      <c r="E184" s="103"/>
      <c r="F184" s="180" t="s">
        <v>302</v>
      </c>
      <c r="G184" s="101" t="s">
        <v>303</v>
      </c>
      <c r="H184" s="98" t="s">
        <v>659</v>
      </c>
      <c r="I184" s="82" t="s">
        <v>376</v>
      </c>
      <c r="J184" s="103" t="s">
        <v>377</v>
      </c>
      <c r="K184" s="99">
        <v>43087</v>
      </c>
      <c r="L184" s="100">
        <v>1087.5</v>
      </c>
      <c r="M184" s="99" t="s">
        <v>317</v>
      </c>
      <c r="N184" s="99">
        <v>43087</v>
      </c>
      <c r="O184" s="181" t="s">
        <v>174</v>
      </c>
      <c r="P184" s="103">
        <v>1</v>
      </c>
      <c r="Q184" s="115"/>
      <c r="R184" s="115"/>
      <c r="S184" s="119"/>
      <c r="T184" s="103" t="s">
        <v>308</v>
      </c>
      <c r="U184" s="115"/>
      <c r="V184" s="118"/>
      <c r="W184" s="121"/>
      <c r="X184" s="115"/>
      <c r="Y184" s="115"/>
      <c r="Z184" s="115"/>
      <c r="AA184" s="115"/>
      <c r="AB184" s="115"/>
      <c r="AC184" s="122"/>
      <c r="AD184" s="115"/>
      <c r="AE184" s="105">
        <f t="shared" si="29"/>
        <v>1087.5</v>
      </c>
      <c r="AF184" s="100">
        <v>0</v>
      </c>
      <c r="AG184" s="100">
        <v>1087.5</v>
      </c>
      <c r="AH184" s="100">
        <f t="shared" si="30"/>
        <v>1087.5</v>
      </c>
      <c r="AI184" s="186"/>
      <c r="AJ184" s="126"/>
      <c r="AK184" s="107"/>
      <c r="AL184" s="128"/>
      <c r="AM184" s="129"/>
      <c r="AN184" s="126"/>
      <c r="AO184" s="126"/>
      <c r="AP184" s="118"/>
      <c r="AQ184" s="185"/>
      <c r="AR184" s="128"/>
      <c r="AS184" s="183"/>
      <c r="AT184" s="115"/>
      <c r="AU184" s="115"/>
      <c r="AV184" s="115"/>
      <c r="AW184" s="115"/>
      <c r="AX184" s="115"/>
      <c r="AY184" s="115"/>
      <c r="AZ184" s="115"/>
      <c r="BA184" s="115"/>
      <c r="BB184" s="115"/>
      <c r="BC184" s="115"/>
      <c r="BD184" s="116"/>
    </row>
    <row r="185" spans="1:56" x14ac:dyDescent="0.25">
      <c r="A185" s="78">
        <v>165</v>
      </c>
      <c r="B185" s="96" t="s">
        <v>474</v>
      </c>
      <c r="C185" s="97" t="s">
        <v>592</v>
      </c>
      <c r="D185" s="59" t="s">
        <v>121</v>
      </c>
      <c r="E185" s="59" t="s">
        <v>122</v>
      </c>
      <c r="F185" s="81" t="s">
        <v>194</v>
      </c>
      <c r="G185" s="80"/>
      <c r="H185" s="98" t="s">
        <v>660</v>
      </c>
      <c r="I185" s="82" t="s">
        <v>171</v>
      </c>
      <c r="J185" s="80" t="s">
        <v>172</v>
      </c>
      <c r="K185" s="99">
        <v>42942</v>
      </c>
      <c r="L185" s="100">
        <v>37497.5</v>
      </c>
      <c r="M185" s="101" t="s">
        <v>561</v>
      </c>
      <c r="N185" s="99">
        <v>42942</v>
      </c>
      <c r="O185" s="102" t="s">
        <v>174</v>
      </c>
      <c r="P185" s="187">
        <v>0.16666666666666666</v>
      </c>
      <c r="Q185" s="103"/>
      <c r="R185" s="103"/>
      <c r="S185" s="100"/>
      <c r="T185" s="103" t="s">
        <v>176</v>
      </c>
      <c r="U185" s="103"/>
      <c r="V185" s="99"/>
      <c r="W185" s="101"/>
      <c r="X185" s="59"/>
      <c r="Y185" s="103"/>
      <c r="Z185" s="103"/>
      <c r="AA185" s="103"/>
      <c r="AB185" s="103"/>
      <c r="AC185" s="104"/>
      <c r="AD185" s="103"/>
      <c r="AE185" s="105">
        <f t="shared" si="29"/>
        <v>37497.5</v>
      </c>
      <c r="AF185" s="100">
        <v>0</v>
      </c>
      <c r="AG185" s="100">
        <f>11750+25747.5</f>
        <v>37497.5</v>
      </c>
      <c r="AH185" s="84">
        <f t="shared" si="30"/>
        <v>37497.5</v>
      </c>
      <c r="AI185" s="106"/>
      <c r="AJ185" s="107"/>
      <c r="AK185" s="88"/>
      <c r="AL185" s="108"/>
      <c r="AM185" s="109"/>
      <c r="AN185" s="110"/>
      <c r="AO185" s="111"/>
      <c r="AP185" s="112"/>
      <c r="AQ185" s="111"/>
      <c r="AR185" s="113"/>
      <c r="AS185" s="114"/>
      <c r="AT185" s="115"/>
      <c r="AU185" s="115"/>
      <c r="AV185" s="115"/>
      <c r="AW185" s="115"/>
      <c r="AX185" s="115"/>
      <c r="AY185" s="115"/>
      <c r="AZ185" s="115"/>
      <c r="BA185" s="115"/>
      <c r="BB185" s="115"/>
      <c r="BC185" s="115"/>
      <c r="BD185" s="116"/>
    </row>
    <row r="186" spans="1:56" x14ac:dyDescent="0.25">
      <c r="A186" s="177">
        <v>166</v>
      </c>
      <c r="B186" s="178" t="s">
        <v>365</v>
      </c>
      <c r="C186" s="179" t="s">
        <v>661</v>
      </c>
      <c r="D186" s="103" t="s">
        <v>232</v>
      </c>
      <c r="E186" s="103" t="s">
        <v>122</v>
      </c>
      <c r="F186" s="180" t="s">
        <v>482</v>
      </c>
      <c r="G186" s="101" t="s">
        <v>662</v>
      </c>
      <c r="H186" s="98" t="s">
        <v>663</v>
      </c>
      <c r="I186" s="181" t="s">
        <v>484</v>
      </c>
      <c r="J186" s="103" t="s">
        <v>485</v>
      </c>
      <c r="K186" s="99">
        <v>43081</v>
      </c>
      <c r="L186" s="100">
        <v>360</v>
      </c>
      <c r="M186" s="99" t="s">
        <v>664</v>
      </c>
      <c r="N186" s="99">
        <v>43081</v>
      </c>
      <c r="O186" s="181" t="s">
        <v>174</v>
      </c>
      <c r="P186" s="103">
        <v>6</v>
      </c>
      <c r="Q186" s="115"/>
      <c r="R186" s="115"/>
      <c r="S186" s="119"/>
      <c r="T186" s="103" t="s">
        <v>176</v>
      </c>
      <c r="U186" s="115"/>
      <c r="V186" s="118"/>
      <c r="W186" s="121"/>
      <c r="X186" s="115"/>
      <c r="Y186" s="115"/>
      <c r="Z186" s="115"/>
      <c r="AA186" s="115"/>
      <c r="AB186" s="115"/>
      <c r="AC186" s="122"/>
      <c r="AD186" s="115"/>
      <c r="AE186" s="105">
        <f t="shared" si="29"/>
        <v>360</v>
      </c>
      <c r="AF186" s="100">
        <v>0</v>
      </c>
      <c r="AG186" s="100">
        <f>10090+16643</f>
        <v>26733</v>
      </c>
      <c r="AH186" s="100">
        <f t="shared" si="30"/>
        <v>26733</v>
      </c>
      <c r="AI186" s="186"/>
      <c r="AJ186" s="126"/>
      <c r="AK186" s="107"/>
      <c r="AL186" s="128"/>
      <c r="AM186" s="129" t="s">
        <v>628</v>
      </c>
      <c r="AN186" s="126" t="s">
        <v>239</v>
      </c>
      <c r="AO186" s="126" t="s">
        <v>664</v>
      </c>
      <c r="AP186" s="118">
        <v>43090</v>
      </c>
      <c r="AQ186" s="126" t="s">
        <v>664</v>
      </c>
      <c r="AR186" s="128"/>
      <c r="AS186" s="183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15"/>
      <c r="BD186" s="116"/>
    </row>
    <row r="187" spans="1:56" ht="13.5" thickBot="1" x14ac:dyDescent="0.3">
      <c r="A187" s="177">
        <v>167</v>
      </c>
      <c r="B187" s="178" t="s">
        <v>538</v>
      </c>
      <c r="C187" s="179" t="s">
        <v>231</v>
      </c>
      <c r="D187" s="103" t="s">
        <v>301</v>
      </c>
      <c r="E187" s="103"/>
      <c r="F187" s="180" t="s">
        <v>302</v>
      </c>
      <c r="G187" s="101" t="s">
        <v>303</v>
      </c>
      <c r="H187" s="201" t="s">
        <v>665</v>
      </c>
      <c r="I187" s="181" t="s">
        <v>315</v>
      </c>
      <c r="J187" s="103" t="s">
        <v>316</v>
      </c>
      <c r="K187" s="99">
        <v>43087</v>
      </c>
      <c r="L187" s="100">
        <v>942.5</v>
      </c>
      <c r="M187" s="99" t="s">
        <v>317</v>
      </c>
      <c r="N187" s="99">
        <v>43087</v>
      </c>
      <c r="O187" s="181" t="s">
        <v>174</v>
      </c>
      <c r="P187" s="103">
        <v>1</v>
      </c>
      <c r="Q187" s="115"/>
      <c r="R187" s="115"/>
      <c r="S187" s="119"/>
      <c r="T187" s="103" t="s">
        <v>308</v>
      </c>
      <c r="U187" s="115"/>
      <c r="V187" s="118"/>
      <c r="W187" s="121"/>
      <c r="X187" s="115"/>
      <c r="Y187" s="115"/>
      <c r="Z187" s="115"/>
      <c r="AA187" s="115"/>
      <c r="AB187" s="115"/>
      <c r="AC187" s="122"/>
      <c r="AD187" s="115"/>
      <c r="AE187" s="105">
        <f t="shared" si="29"/>
        <v>942.5</v>
      </c>
      <c r="AF187" s="100">
        <v>0</v>
      </c>
      <c r="AG187" s="100">
        <v>942.5</v>
      </c>
      <c r="AH187" s="100">
        <f t="shared" si="30"/>
        <v>942.5</v>
      </c>
      <c r="AI187" s="186"/>
      <c r="AJ187" s="126"/>
      <c r="AK187" s="107"/>
      <c r="AL187" s="128"/>
      <c r="AM187" s="129"/>
      <c r="AN187" s="126"/>
      <c r="AO187" s="126"/>
      <c r="AP187" s="118"/>
      <c r="AQ187" s="185"/>
      <c r="AR187" s="128"/>
      <c r="AS187" s="183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6"/>
    </row>
    <row r="188" spans="1:56" ht="15.75" thickBot="1" x14ac:dyDescent="0.3">
      <c r="A188" s="202" t="s">
        <v>670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204"/>
      <c r="L188" s="205">
        <f>SUM(L19:L187)</f>
        <v>3871291.56</v>
      </c>
      <c r="M188" s="206"/>
      <c r="N188" s="206"/>
      <c r="O188" s="206"/>
      <c r="P188" s="206"/>
      <c r="Q188" s="206"/>
      <c r="R188" s="206"/>
      <c r="S188" s="205"/>
      <c r="T188" s="206"/>
      <c r="U188" s="206"/>
      <c r="V188" s="206"/>
      <c r="W188" s="206"/>
      <c r="X188" s="206"/>
      <c r="Y188" s="206"/>
      <c r="Z188" s="206"/>
      <c r="AA188" s="206"/>
      <c r="AB188" s="206"/>
      <c r="AC188" s="207">
        <f>SUM(AC18:AC187)</f>
        <v>0</v>
      </c>
      <c r="AD188" s="208">
        <f>SUM(AD18:AD187)</f>
        <v>0</v>
      </c>
      <c r="AE188" s="205">
        <f>SUM(AE18:AE187)</f>
        <v>3799951.56</v>
      </c>
      <c r="AF188" s="205">
        <f>SUM(AF19:AF187)</f>
        <v>705977.74</v>
      </c>
      <c r="AG188" s="205">
        <f>SUM(AG19:AG187)</f>
        <v>1526186.4500000002</v>
      </c>
      <c r="AH188" s="209">
        <f>SUM(AH19:AH187)</f>
        <v>2232164.1900000004</v>
      </c>
      <c r="AI188" s="210"/>
      <c r="AJ188" s="208"/>
      <c r="AK188" s="208"/>
      <c r="AL188" s="211"/>
      <c r="AM188" s="210"/>
      <c r="AN188" s="212"/>
      <c r="AO188" s="212"/>
      <c r="AP188" s="213"/>
      <c r="AQ188" s="212"/>
      <c r="AR188" s="214"/>
      <c r="AS188" s="215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7"/>
    </row>
    <row r="189" spans="1:56" x14ac:dyDescent="0.25">
      <c r="AG189" s="190"/>
    </row>
    <row r="190" spans="1:56" s="218" customFormat="1" ht="15" x14ac:dyDescent="0.25">
      <c r="A190" s="4" t="s">
        <v>671</v>
      </c>
      <c r="B190" s="4"/>
      <c r="C190" s="4"/>
      <c r="D190" s="4"/>
      <c r="H190" s="219"/>
      <c r="L190" s="218">
        <f>2500-850</f>
        <v>1650</v>
      </c>
      <c r="AG190" s="220"/>
    </row>
    <row r="191" spans="1:56" s="218" customFormat="1" ht="14.25" x14ac:dyDescent="0.25">
      <c r="A191" s="4"/>
      <c r="B191" s="4"/>
      <c r="C191" s="4"/>
      <c r="D191" s="4"/>
      <c r="H191" s="219"/>
      <c r="AG191" s="220"/>
    </row>
    <row r="192" spans="1:56" s="218" customFormat="1" ht="15" x14ac:dyDescent="0.25">
      <c r="A192" s="218" t="s">
        <v>672</v>
      </c>
      <c r="H192" s="219"/>
    </row>
    <row r="193" spans="1:33" x14ac:dyDescent="0.25">
      <c r="M193" s="191"/>
      <c r="AF193" s="192"/>
    </row>
    <row r="195" spans="1:33" x14ac:dyDescent="0.25">
      <c r="A195" s="193"/>
      <c r="B195" s="194"/>
      <c r="C195" s="194"/>
      <c r="D195" s="194"/>
      <c r="E195" s="194"/>
      <c r="F195" s="194"/>
      <c r="G195" s="194"/>
    </row>
    <row r="196" spans="1:33" x14ac:dyDescent="0.25">
      <c r="A196" s="193"/>
      <c r="B196" s="194"/>
      <c r="C196" s="194"/>
      <c r="D196" s="194"/>
      <c r="E196" s="194"/>
      <c r="F196" s="194"/>
      <c r="G196" s="194"/>
      <c r="AF196" s="195"/>
    </row>
    <row r="197" spans="1:33" x14ac:dyDescent="0.25">
      <c r="A197" s="193"/>
      <c r="B197" s="194"/>
      <c r="C197" s="194"/>
      <c r="D197" s="194"/>
      <c r="E197" s="194"/>
      <c r="F197" s="194"/>
      <c r="G197" s="194"/>
      <c r="AG197" s="196"/>
    </row>
    <row r="198" spans="1:33" x14ac:dyDescent="0.25">
      <c r="A198" s="189"/>
      <c r="B198" s="194"/>
      <c r="C198" s="194"/>
      <c r="D198" s="194"/>
      <c r="E198" s="194"/>
      <c r="F198" s="194"/>
      <c r="G198" s="194"/>
      <c r="Y198" s="190"/>
    </row>
    <row r="199" spans="1:33" x14ac:dyDescent="0.25">
      <c r="B199" s="194"/>
      <c r="C199" s="194"/>
      <c r="D199" s="194"/>
      <c r="E199" s="194"/>
      <c r="F199" s="194"/>
      <c r="G199" s="194"/>
      <c r="Y199" s="190"/>
      <c r="AC199" s="197"/>
      <c r="AG199" s="190"/>
    </row>
    <row r="200" spans="1:33" x14ac:dyDescent="0.25">
      <c r="A200" s="189"/>
      <c r="B200" s="194"/>
      <c r="C200" s="194"/>
      <c r="D200" s="194"/>
      <c r="E200" s="194"/>
      <c r="F200" s="194"/>
      <c r="G200" s="194"/>
      <c r="Y200" s="190"/>
    </row>
    <row r="201" spans="1:33" x14ac:dyDescent="0.25">
      <c r="B201" s="189"/>
      <c r="C201" s="193"/>
      <c r="D201" s="193"/>
      <c r="E201" s="193"/>
      <c r="F201" s="193"/>
      <c r="G201" s="193"/>
      <c r="Y201" s="190"/>
    </row>
    <row r="202" spans="1:33" x14ac:dyDescent="0.25">
      <c r="B202" s="189"/>
      <c r="C202" s="198"/>
      <c r="D202" s="198"/>
      <c r="E202" s="198"/>
      <c r="F202" s="198"/>
      <c r="G202" s="198"/>
    </row>
    <row r="203" spans="1:33" x14ac:dyDescent="0.25">
      <c r="B203" s="189"/>
      <c r="C203" s="198"/>
      <c r="D203" s="198"/>
      <c r="E203" s="198"/>
      <c r="F203" s="198"/>
      <c r="G203" s="198"/>
    </row>
    <row r="204" spans="1:33" x14ac:dyDescent="0.25">
      <c r="B204" s="189"/>
      <c r="C204" s="198"/>
      <c r="D204" s="198"/>
      <c r="E204" s="198"/>
      <c r="F204" s="198"/>
      <c r="G204" s="198"/>
    </row>
    <row r="205" spans="1:33" x14ac:dyDescent="0.25">
      <c r="B205" s="189"/>
      <c r="C205" s="194"/>
      <c r="D205" s="194"/>
      <c r="E205" s="194"/>
      <c r="F205" s="194"/>
      <c r="G205" s="194"/>
    </row>
    <row r="206" spans="1:33" x14ac:dyDescent="0.25">
      <c r="B206" s="189"/>
      <c r="C206" s="194"/>
      <c r="D206" s="194"/>
      <c r="E206" s="194"/>
      <c r="F206" s="194"/>
      <c r="G206" s="194"/>
    </row>
    <row r="207" spans="1:33" x14ac:dyDescent="0.25">
      <c r="B207" s="193"/>
      <c r="C207" s="194"/>
      <c r="D207" s="194"/>
      <c r="E207" s="194"/>
      <c r="F207" s="194"/>
      <c r="G207" s="194"/>
    </row>
    <row r="208" spans="1:33" x14ac:dyDescent="0.25">
      <c r="B208" s="193"/>
      <c r="C208" s="194"/>
      <c r="D208" s="194"/>
      <c r="E208" s="194"/>
      <c r="F208" s="194"/>
      <c r="G208" s="194"/>
    </row>
    <row r="209" spans="2:7" x14ac:dyDescent="0.25">
      <c r="B209" s="189"/>
      <c r="C209" s="194"/>
      <c r="D209" s="194"/>
      <c r="E209" s="194"/>
      <c r="F209" s="194"/>
      <c r="G209" s="194"/>
    </row>
    <row r="210" spans="2:7" x14ac:dyDescent="0.25">
      <c r="B210" s="189"/>
      <c r="C210" s="198"/>
      <c r="D210" s="198"/>
      <c r="E210" s="198"/>
      <c r="F210" s="198"/>
      <c r="G210" s="198"/>
    </row>
    <row r="211" spans="2:7" x14ac:dyDescent="0.25">
      <c r="B211" s="189"/>
      <c r="C211" s="194"/>
      <c r="D211" s="194"/>
      <c r="E211" s="194"/>
      <c r="F211" s="194"/>
      <c r="G211" s="194"/>
    </row>
    <row r="212" spans="2:7" x14ac:dyDescent="0.25">
      <c r="B212" s="189"/>
      <c r="C212" s="198"/>
      <c r="D212" s="198"/>
      <c r="E212" s="198"/>
      <c r="F212" s="198"/>
      <c r="G212" s="198"/>
    </row>
    <row r="213" spans="2:7" x14ac:dyDescent="0.25">
      <c r="B213" s="189"/>
      <c r="C213" s="198"/>
      <c r="D213" s="198"/>
      <c r="E213" s="198"/>
      <c r="F213" s="198"/>
      <c r="G213" s="198"/>
    </row>
    <row r="214" spans="2:7" x14ac:dyDescent="0.25">
      <c r="B214" s="189"/>
      <c r="C214" s="194"/>
      <c r="D214" s="194"/>
      <c r="E214" s="194"/>
      <c r="F214" s="194"/>
      <c r="G214" s="194"/>
    </row>
    <row r="215" spans="2:7" x14ac:dyDescent="0.25">
      <c r="B215" s="189"/>
      <c r="C215" s="198"/>
      <c r="D215" s="198"/>
      <c r="E215" s="198"/>
      <c r="F215" s="198"/>
      <c r="G215" s="198"/>
    </row>
    <row r="216" spans="2:7" x14ac:dyDescent="0.25">
      <c r="B216" s="189"/>
      <c r="C216" s="198"/>
      <c r="D216" s="198"/>
      <c r="E216" s="198"/>
      <c r="F216" s="198"/>
      <c r="G216" s="198"/>
    </row>
    <row r="217" spans="2:7" x14ac:dyDescent="0.25">
      <c r="B217" s="189"/>
      <c r="C217" s="198"/>
      <c r="D217" s="198"/>
      <c r="E217" s="198"/>
      <c r="F217" s="198"/>
      <c r="G217" s="198"/>
    </row>
    <row r="218" spans="2:7" x14ac:dyDescent="0.25">
      <c r="B218" s="193"/>
      <c r="C218" s="194"/>
      <c r="D218" s="194"/>
      <c r="E218" s="194"/>
      <c r="F218" s="194"/>
      <c r="G218" s="194"/>
    </row>
    <row r="219" spans="2:7" x14ac:dyDescent="0.25">
      <c r="B219" s="193"/>
      <c r="C219" s="194"/>
      <c r="D219" s="194"/>
      <c r="E219" s="194"/>
      <c r="F219" s="194"/>
      <c r="G219" s="194"/>
    </row>
    <row r="220" spans="2:7" x14ac:dyDescent="0.25">
      <c r="B220" s="189"/>
      <c r="C220" s="194"/>
      <c r="D220" s="194"/>
      <c r="E220" s="194"/>
      <c r="F220" s="194"/>
      <c r="G220" s="194"/>
    </row>
    <row r="221" spans="2:7" x14ac:dyDescent="0.25">
      <c r="B221" s="189"/>
      <c r="C221" s="194"/>
      <c r="D221" s="194"/>
      <c r="E221" s="194"/>
      <c r="F221" s="194"/>
      <c r="G221" s="194"/>
    </row>
    <row r="222" spans="2:7" x14ac:dyDescent="0.25">
      <c r="B222" s="189"/>
    </row>
    <row r="223" spans="2:7" x14ac:dyDescent="0.25">
      <c r="B223" s="189"/>
      <c r="C223" s="198"/>
      <c r="D223" s="198"/>
      <c r="E223" s="198"/>
      <c r="F223" s="198"/>
      <c r="G223" s="198"/>
    </row>
    <row r="224" spans="2:7" x14ac:dyDescent="0.25">
      <c r="B224" s="189"/>
      <c r="C224" s="198"/>
      <c r="D224" s="198"/>
      <c r="E224" s="198"/>
      <c r="F224" s="198"/>
      <c r="G224" s="198"/>
    </row>
    <row r="225" spans="2:26" x14ac:dyDescent="0.25">
      <c r="B225" s="189"/>
      <c r="C225" s="198"/>
      <c r="D225" s="198"/>
      <c r="E225" s="198"/>
      <c r="F225" s="198"/>
      <c r="G225" s="198"/>
    </row>
    <row r="226" spans="2:26" x14ac:dyDescent="0.25">
      <c r="B226" s="189"/>
      <c r="C226" s="198"/>
      <c r="D226" s="198"/>
      <c r="E226" s="198"/>
      <c r="F226" s="198"/>
      <c r="G226" s="198"/>
    </row>
    <row r="227" spans="2:26" x14ac:dyDescent="0.25">
      <c r="B227" s="189"/>
      <c r="C227" s="198"/>
      <c r="D227" s="198"/>
      <c r="E227" s="198"/>
      <c r="F227" s="198"/>
      <c r="G227" s="198"/>
    </row>
    <row r="228" spans="2:26" x14ac:dyDescent="0.25">
      <c r="B228" s="189"/>
      <c r="C228" s="198"/>
      <c r="D228" s="198"/>
      <c r="E228" s="198"/>
      <c r="F228" s="198"/>
      <c r="G228" s="198"/>
    </row>
    <row r="229" spans="2:26" x14ac:dyDescent="0.25">
      <c r="B229" s="189"/>
      <c r="C229" s="198"/>
      <c r="D229" s="198"/>
      <c r="E229" s="198"/>
      <c r="F229" s="198"/>
      <c r="G229" s="198"/>
    </row>
    <row r="230" spans="2:26" x14ac:dyDescent="0.25">
      <c r="B230" s="189"/>
      <c r="C230" s="198"/>
      <c r="D230" s="198"/>
      <c r="E230" s="198"/>
      <c r="F230" s="198"/>
      <c r="G230" s="198"/>
    </row>
    <row r="231" spans="2:26" x14ac:dyDescent="0.25">
      <c r="B231" s="189"/>
      <c r="C231" s="198"/>
      <c r="D231" s="198"/>
      <c r="E231" s="198"/>
      <c r="F231" s="198"/>
      <c r="G231" s="198"/>
    </row>
    <row r="232" spans="2:26" x14ac:dyDescent="0.25">
      <c r="B232" s="193"/>
      <c r="C232" s="194"/>
      <c r="D232" s="194"/>
      <c r="E232" s="194"/>
      <c r="F232" s="194"/>
      <c r="G232" s="194"/>
    </row>
    <row r="233" spans="2:26" x14ac:dyDescent="0.25">
      <c r="B233" s="193"/>
      <c r="C233" s="194"/>
      <c r="D233" s="194"/>
      <c r="E233" s="194"/>
      <c r="F233" s="194"/>
      <c r="G233" s="194"/>
    </row>
    <row r="234" spans="2:26" x14ac:dyDescent="0.25">
      <c r="B234" s="189"/>
      <c r="C234" s="198"/>
      <c r="D234" s="198"/>
      <c r="E234" s="198"/>
      <c r="F234" s="198"/>
      <c r="G234" s="198"/>
      <c r="Z234" s="67"/>
    </row>
    <row r="235" spans="2:26" x14ac:dyDescent="0.25">
      <c r="B235" s="189"/>
      <c r="C235" s="198"/>
      <c r="D235" s="198"/>
      <c r="E235" s="198"/>
      <c r="F235" s="198"/>
      <c r="G235" s="198"/>
    </row>
    <row r="236" spans="2:26" x14ac:dyDescent="0.25">
      <c r="B236" s="199"/>
      <c r="C236" s="200"/>
      <c r="D236" s="200"/>
      <c r="E236" s="200"/>
      <c r="F236" s="200"/>
      <c r="G236" s="200"/>
      <c r="Z236" s="190"/>
    </row>
    <row r="237" spans="2:26" x14ac:dyDescent="0.25">
      <c r="B237" s="189"/>
      <c r="C237" s="198"/>
      <c r="D237" s="198"/>
      <c r="E237" s="198"/>
      <c r="F237" s="198"/>
      <c r="G237" s="198"/>
    </row>
    <row r="238" spans="2:26" x14ac:dyDescent="0.25">
      <c r="B238" s="189"/>
      <c r="C238" s="198"/>
      <c r="D238" s="198"/>
      <c r="E238" s="198"/>
      <c r="F238" s="198"/>
      <c r="G238" s="198"/>
    </row>
    <row r="239" spans="2:26" x14ac:dyDescent="0.25">
      <c r="B239" s="189"/>
      <c r="C239" s="198"/>
      <c r="D239" s="198"/>
      <c r="E239" s="198"/>
      <c r="F239" s="198"/>
      <c r="G239" s="198"/>
    </row>
    <row r="240" spans="2:26" x14ac:dyDescent="0.25">
      <c r="B240" s="189"/>
      <c r="C240" s="198"/>
      <c r="D240" s="198"/>
      <c r="E240" s="198"/>
      <c r="F240" s="198"/>
      <c r="G240" s="198"/>
    </row>
    <row r="241" spans="2:7" x14ac:dyDescent="0.25">
      <c r="B241" s="199"/>
      <c r="C241" s="200"/>
      <c r="D241" s="200"/>
      <c r="E241" s="200"/>
      <c r="F241" s="200"/>
      <c r="G241" s="200"/>
    </row>
    <row r="242" spans="2:7" x14ac:dyDescent="0.25">
      <c r="B242" s="189"/>
      <c r="C242" s="198"/>
      <c r="D242" s="198"/>
      <c r="E242" s="198"/>
      <c r="F242" s="198"/>
      <c r="G242" s="198"/>
    </row>
    <row r="243" spans="2:7" x14ac:dyDescent="0.25">
      <c r="B243" s="189"/>
      <c r="C243" s="198"/>
      <c r="D243" s="198"/>
      <c r="E243" s="198"/>
      <c r="F243" s="198"/>
      <c r="G243" s="198"/>
    </row>
    <row r="244" spans="2:7" x14ac:dyDescent="0.25">
      <c r="B244" s="189"/>
      <c r="C244" s="198"/>
      <c r="D244" s="198"/>
      <c r="E244" s="198"/>
      <c r="F244" s="198"/>
      <c r="G244" s="198"/>
    </row>
    <row r="245" spans="2:7" x14ac:dyDescent="0.25">
      <c r="B245" s="189"/>
      <c r="C245" s="198"/>
      <c r="D245" s="198"/>
      <c r="E245" s="198"/>
      <c r="F245" s="198"/>
      <c r="G245" s="198"/>
    </row>
    <row r="246" spans="2:7" x14ac:dyDescent="0.25">
      <c r="B246" s="189"/>
      <c r="C246" s="198"/>
      <c r="D246" s="198"/>
      <c r="E246" s="198"/>
      <c r="F246" s="198"/>
      <c r="G246" s="198"/>
    </row>
    <row r="247" spans="2:7" x14ac:dyDescent="0.25">
      <c r="B247" s="189"/>
      <c r="C247" s="198"/>
      <c r="D247" s="198"/>
      <c r="E247" s="198"/>
      <c r="F247" s="198"/>
      <c r="G247" s="198"/>
    </row>
    <row r="248" spans="2:7" x14ac:dyDescent="0.25">
      <c r="B248" s="199"/>
      <c r="C248" s="200"/>
      <c r="D248" s="200"/>
      <c r="E248" s="200"/>
      <c r="F248" s="200"/>
      <c r="G248" s="200"/>
    </row>
    <row r="249" spans="2:7" x14ac:dyDescent="0.25">
      <c r="B249" s="193"/>
      <c r="C249" s="194"/>
      <c r="D249" s="194"/>
      <c r="E249" s="194"/>
      <c r="F249" s="194"/>
      <c r="G249" s="194"/>
    </row>
    <row r="250" spans="2:7" x14ac:dyDescent="0.25">
      <c r="B250" s="193"/>
      <c r="C250" s="194"/>
      <c r="D250" s="194"/>
      <c r="E250" s="194"/>
      <c r="F250" s="194"/>
      <c r="G250" s="194"/>
    </row>
    <row r="251" spans="2:7" x14ac:dyDescent="0.25">
      <c r="B251" s="189"/>
      <c r="C251" s="198"/>
      <c r="D251" s="198"/>
      <c r="E251" s="198"/>
      <c r="F251" s="198"/>
      <c r="G251" s="198"/>
    </row>
    <row r="252" spans="2:7" x14ac:dyDescent="0.25">
      <c r="B252" s="189"/>
      <c r="C252" s="198"/>
      <c r="D252" s="198"/>
      <c r="E252" s="198"/>
      <c r="F252" s="198"/>
      <c r="G252" s="198"/>
    </row>
    <row r="253" spans="2:7" x14ac:dyDescent="0.25">
      <c r="B253" s="189"/>
      <c r="C253" s="198"/>
      <c r="D253" s="198"/>
      <c r="E253" s="198"/>
      <c r="F253" s="198"/>
      <c r="G253" s="198"/>
    </row>
    <row r="254" spans="2:7" x14ac:dyDescent="0.25">
      <c r="B254" s="189"/>
      <c r="C254" s="198"/>
      <c r="D254" s="198"/>
      <c r="E254" s="198"/>
      <c r="F254" s="198"/>
      <c r="G254" s="198"/>
    </row>
    <row r="255" spans="2:7" x14ac:dyDescent="0.25">
      <c r="B255" s="189"/>
      <c r="C255" s="198"/>
      <c r="D255" s="198"/>
      <c r="E255" s="198"/>
      <c r="F255" s="198"/>
      <c r="G255" s="198"/>
    </row>
    <row r="256" spans="2:7" x14ac:dyDescent="0.25">
      <c r="B256" s="189"/>
      <c r="C256" s="198"/>
      <c r="D256" s="198"/>
      <c r="E256" s="198"/>
      <c r="F256" s="198"/>
      <c r="G256" s="198"/>
    </row>
    <row r="257" spans="2:7" x14ac:dyDescent="0.25">
      <c r="B257" s="189"/>
      <c r="C257" s="198"/>
      <c r="D257" s="198"/>
      <c r="E257" s="198"/>
      <c r="F257" s="198"/>
      <c r="G257" s="198"/>
    </row>
    <row r="258" spans="2:7" x14ac:dyDescent="0.25">
      <c r="B258" s="189"/>
    </row>
    <row r="259" spans="2:7" x14ac:dyDescent="0.25">
      <c r="B259" s="189"/>
      <c r="C259" s="194"/>
      <c r="D259" s="194"/>
      <c r="E259" s="194"/>
      <c r="F259" s="194"/>
      <c r="G259" s="194"/>
    </row>
    <row r="260" spans="2:7" x14ac:dyDescent="0.25">
      <c r="B260" s="189"/>
      <c r="C260" s="198"/>
      <c r="D260" s="198"/>
      <c r="E260" s="198"/>
      <c r="F260" s="198"/>
      <c r="G260" s="198"/>
    </row>
  </sheetData>
  <mergeCells count="151">
    <mergeCell ref="BD32:BD33"/>
    <mergeCell ref="AU32:AU33"/>
    <mergeCell ref="AV32:AV33"/>
    <mergeCell ref="AW32:AW33"/>
    <mergeCell ref="AX32:AX33"/>
    <mergeCell ref="AY32:AY33"/>
    <mergeCell ref="AZ32:AZ33"/>
    <mergeCell ref="BA32:BA33"/>
    <mergeCell ref="BB32:BB33"/>
    <mergeCell ref="BC32:BC33"/>
    <mergeCell ref="AL32:AL33"/>
    <mergeCell ref="AM32:AM33"/>
    <mergeCell ref="AN32:AN33"/>
    <mergeCell ref="AO32:AO33"/>
    <mergeCell ref="AP32:AP33"/>
    <mergeCell ref="AQ32:AQ33"/>
    <mergeCell ref="AR32:AR33"/>
    <mergeCell ref="AS32:AS33"/>
    <mergeCell ref="AT32:AT33"/>
    <mergeCell ref="AC32:AC33"/>
    <mergeCell ref="AD32:AD33"/>
    <mergeCell ref="AE32:AE33"/>
    <mergeCell ref="AF32:AF33"/>
    <mergeCell ref="AG32:AG33"/>
    <mergeCell ref="AH32:AH33"/>
    <mergeCell ref="AI32:AI33"/>
    <mergeCell ref="AJ32:AJ33"/>
    <mergeCell ref="AK32:AK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C234:G234"/>
    <mergeCell ref="C235:G235"/>
    <mergeCell ref="C236:G236"/>
    <mergeCell ref="C237:G237"/>
    <mergeCell ref="C238:G238"/>
    <mergeCell ref="B249:B250"/>
    <mergeCell ref="C249:G250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44:G244"/>
    <mergeCell ref="C259:G259"/>
    <mergeCell ref="C260:G260"/>
    <mergeCell ref="C252:G252"/>
    <mergeCell ref="C253:G253"/>
    <mergeCell ref="C254:G254"/>
    <mergeCell ref="C255:G255"/>
    <mergeCell ref="C256:G256"/>
    <mergeCell ref="C257:G257"/>
    <mergeCell ref="C251:G251"/>
    <mergeCell ref="B232:B233"/>
    <mergeCell ref="C232:G233"/>
    <mergeCell ref="C221:G221"/>
    <mergeCell ref="C223:G223"/>
    <mergeCell ref="C224:G224"/>
    <mergeCell ref="C225:G225"/>
    <mergeCell ref="C226:G226"/>
    <mergeCell ref="C227:G227"/>
    <mergeCell ref="C215:G215"/>
    <mergeCell ref="C216:G216"/>
    <mergeCell ref="C217:G217"/>
    <mergeCell ref="C220:G220"/>
    <mergeCell ref="C228:G228"/>
    <mergeCell ref="C229:G229"/>
    <mergeCell ref="C230:G230"/>
    <mergeCell ref="C231:G231"/>
    <mergeCell ref="B200:G200"/>
    <mergeCell ref="B218:B219"/>
    <mergeCell ref="C218:G219"/>
    <mergeCell ref="C209:G209"/>
    <mergeCell ref="C210:G210"/>
    <mergeCell ref="C201:G201"/>
    <mergeCell ref="B207:B208"/>
    <mergeCell ref="C207:G208"/>
    <mergeCell ref="C211:G211"/>
    <mergeCell ref="C212:G212"/>
    <mergeCell ref="C213:G213"/>
    <mergeCell ref="C214:G214"/>
    <mergeCell ref="C202:G202"/>
    <mergeCell ref="C203:G203"/>
    <mergeCell ref="C204:G204"/>
    <mergeCell ref="C205:G206"/>
    <mergeCell ref="B198:G199"/>
    <mergeCell ref="A188:K188"/>
    <mergeCell ref="A195:A197"/>
    <mergeCell ref="B195:G197"/>
    <mergeCell ref="A15:A18"/>
    <mergeCell ref="AK16:AK17"/>
    <mergeCell ref="AJ16:AJ17"/>
    <mergeCell ref="AI16:AI17"/>
    <mergeCell ref="AE16:AH16"/>
    <mergeCell ref="AI15:AL15"/>
    <mergeCell ref="H15:AH15"/>
    <mergeCell ref="B15:G16"/>
    <mergeCell ref="U16:AD16"/>
    <mergeCell ref="H16:T16"/>
    <mergeCell ref="AL16:AL17"/>
    <mergeCell ref="A32:A33"/>
    <mergeCell ref="B32:B33"/>
    <mergeCell ref="C32:C33"/>
    <mergeCell ref="D32:D33"/>
    <mergeCell ref="E32:E33"/>
    <mergeCell ref="F32:F33"/>
    <mergeCell ref="G32:G33"/>
    <mergeCell ref="I32:I33"/>
    <mergeCell ref="J32:J33"/>
    <mergeCell ref="BB16:BD16"/>
    <mergeCell ref="AS15:BD15"/>
    <mergeCell ref="A1:AH3"/>
    <mergeCell ref="A6:AS6"/>
    <mergeCell ref="A7:J7"/>
    <mergeCell ref="A8:E8"/>
    <mergeCell ref="A10:AS10"/>
    <mergeCell ref="A11:AS11"/>
    <mergeCell ref="A12:AS12"/>
    <mergeCell ref="AP16:AP17"/>
    <mergeCell ref="AO16:AO17"/>
    <mergeCell ref="AN16:AN17"/>
    <mergeCell ref="AM15:AR15"/>
    <mergeCell ref="BA16:BA17"/>
    <mergeCell ref="AZ16:AZ17"/>
    <mergeCell ref="AT16:AT17"/>
    <mergeCell ref="AQ16:AQ17"/>
    <mergeCell ref="AM16:AM17"/>
    <mergeCell ref="AR16:AR17"/>
    <mergeCell ref="AS16:AS17"/>
    <mergeCell ref="AX16:AY16"/>
    <mergeCell ref="AU16:AW16"/>
    <mergeCell ref="A14:BD1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LICITAÇÕES DEZ 2017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2018-02-02T22:29:12Z</dcterms:modified>
  <cp:category/>
  <cp:contentStatus/>
</cp:coreProperties>
</file>