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98"/>
  </bookViews>
  <sheets>
    <sheet name="SEME – LICITAÇÕES – ABR 2024" sheetId="30" r:id="rId1"/>
  </sheets>
  <definedNames>
    <definedName name="_xlnm._FilterDatabase" localSheetId="0" hidden="1">'SEME – LICITAÇÕES – ABR 2024'!$A$19:$BW$291</definedName>
    <definedName name="_xlnm.Print_Area" localSheetId="0">'SEME – LICITAÇÕES – ABR 2024'!$A$1:$BQ$301</definedName>
  </definedNames>
  <calcPr calcId="162913"/>
</workbook>
</file>

<file path=xl/calcChain.xml><?xml version="1.0" encoding="utf-8"?>
<calcChain xmlns="http://schemas.openxmlformats.org/spreadsheetml/2006/main">
  <c r="AS291" i="30" l="1"/>
  <c r="AR291" i="30"/>
  <c r="AM291" i="30"/>
  <c r="AL291" i="30"/>
  <c r="AJ291" i="30"/>
  <c r="AK291" i="30"/>
  <c r="AH291" i="30"/>
  <c r="AG291" i="30"/>
  <c r="V291" i="30"/>
  <c r="U291" i="30"/>
  <c r="O291" i="30"/>
  <c r="AL286" i="30" l="1"/>
  <c r="AL287" i="30"/>
  <c r="AL288" i="30"/>
  <c r="AL289" i="30"/>
  <c r="AL290" i="30"/>
  <c r="AL285" i="30"/>
  <c r="AL283" i="30"/>
  <c r="AL272" i="30"/>
  <c r="AL273" i="30"/>
  <c r="AL274" i="30"/>
  <c r="AL275" i="30"/>
  <c r="AL276" i="30"/>
  <c r="AL277" i="30"/>
  <c r="AL278" i="30"/>
  <c r="AL279" i="30"/>
  <c r="AL280" i="30"/>
  <c r="AL281" i="30"/>
  <c r="AL282" i="30"/>
  <c r="AL271" i="30"/>
  <c r="AL260" i="30"/>
  <c r="AL261" i="30"/>
  <c r="AL262" i="30"/>
  <c r="AL263" i="30"/>
  <c r="AL264" i="30"/>
  <c r="AL265" i="30"/>
  <c r="AL266" i="30"/>
  <c r="AL267" i="30"/>
  <c r="AL268" i="30"/>
  <c r="AL269" i="30"/>
  <c r="AL270" i="30"/>
  <c r="AL259" i="30"/>
  <c r="AL245" i="30"/>
  <c r="AL246" i="30"/>
  <c r="AL247" i="30"/>
  <c r="AL248" i="30"/>
  <c r="AL249" i="30"/>
  <c r="AL250" i="30"/>
  <c r="AL251" i="30"/>
  <c r="AL252" i="30"/>
  <c r="AL253" i="30"/>
  <c r="AL254" i="30"/>
  <c r="AL255" i="30"/>
  <c r="AL256" i="30"/>
  <c r="AL257" i="30"/>
  <c r="AL258" i="30"/>
  <c r="AL244" i="30"/>
  <c r="AL230" i="30"/>
  <c r="AL232" i="30"/>
  <c r="AL234" i="30"/>
  <c r="AL235" i="30"/>
  <c r="AL236" i="30"/>
  <c r="AL237" i="30"/>
  <c r="AL238" i="30"/>
  <c r="AL239" i="30"/>
  <c r="AL240" i="30"/>
  <c r="AL241" i="30"/>
  <c r="AL242" i="30"/>
  <c r="AL243" i="30"/>
  <c r="AL229" i="30"/>
  <c r="AL213" i="30"/>
  <c r="AL215" i="30"/>
  <c r="AL217" i="30"/>
  <c r="AL218" i="30"/>
  <c r="AL219" i="30"/>
  <c r="AL220" i="30"/>
  <c r="AL221" i="30"/>
  <c r="AL222" i="30"/>
  <c r="AL223" i="30"/>
  <c r="AL224" i="30"/>
  <c r="AL225" i="30"/>
  <c r="AL226" i="30"/>
  <c r="AL227" i="30"/>
  <c r="AL228" i="30"/>
  <c r="AL212" i="30"/>
  <c r="AL188" i="30"/>
  <c r="AL189" i="30"/>
  <c r="AL191" i="30"/>
  <c r="AL193" i="30"/>
  <c r="AL194" i="30"/>
  <c r="AL195" i="30"/>
  <c r="AL197" i="30"/>
  <c r="AL199" i="30"/>
  <c r="AL201" i="30"/>
  <c r="AL202" i="30"/>
  <c r="AL203" i="30"/>
  <c r="AL204" i="30"/>
  <c r="AL205" i="30"/>
  <c r="AL206" i="30"/>
  <c r="AL207" i="30"/>
  <c r="AL208" i="30"/>
  <c r="AL209" i="30"/>
  <c r="AL210" i="30"/>
  <c r="AL211" i="30"/>
  <c r="AL184" i="30"/>
  <c r="AL166" i="30"/>
  <c r="AL167" i="30"/>
  <c r="AL168" i="30"/>
  <c r="AL169" i="30"/>
  <c r="AL170" i="30"/>
  <c r="AL171" i="30"/>
  <c r="AL172" i="30"/>
  <c r="AL173" i="30"/>
  <c r="AL174" i="30"/>
  <c r="AL175" i="30"/>
  <c r="AL176" i="30"/>
  <c r="AL177" i="30"/>
  <c r="AL178" i="30"/>
  <c r="AL179" i="30"/>
  <c r="AL180" i="30"/>
  <c r="AL181" i="30"/>
  <c r="AL182" i="30"/>
  <c r="AL183" i="30"/>
  <c r="AL165" i="30"/>
  <c r="AL162" i="30"/>
  <c r="AL161" i="30"/>
  <c r="AL153" i="30"/>
  <c r="AL154" i="30"/>
  <c r="AL155" i="30"/>
  <c r="AL156" i="30"/>
  <c r="AL157" i="30"/>
  <c r="AL158" i="30"/>
  <c r="AL159" i="30"/>
  <c r="AL160" i="30"/>
  <c r="AL152" i="30"/>
  <c r="AL145" i="30"/>
  <c r="AL146" i="30"/>
  <c r="AL147" i="30"/>
  <c r="AL148" i="30"/>
  <c r="AL149" i="30"/>
  <c r="AL150" i="30"/>
  <c r="AL151" i="30"/>
  <c r="AL144" i="30"/>
  <c r="AL143" i="30"/>
  <c r="AL140" i="30"/>
  <c r="AL139" i="30"/>
  <c r="AL138" i="30"/>
  <c r="AL135" i="30"/>
  <c r="AL134" i="30"/>
  <c r="AL133" i="30"/>
  <c r="AL131" i="30"/>
  <c r="AL125" i="30"/>
  <c r="AL123" i="30"/>
  <c r="AL118" i="30"/>
  <c r="AL119" i="30"/>
  <c r="AL120" i="30"/>
  <c r="AL117" i="30"/>
  <c r="AL115" i="30"/>
  <c r="AL116" i="30"/>
  <c r="AL114" i="30"/>
  <c r="AL109" i="30"/>
  <c r="AL110" i="30"/>
  <c r="AL111" i="30"/>
  <c r="AL112" i="30"/>
  <c r="AL113" i="30"/>
  <c r="AL107" i="30"/>
  <c r="AL101" i="30"/>
  <c r="AL102" i="30"/>
  <c r="AL103" i="30"/>
  <c r="AL104" i="30"/>
  <c r="AL105" i="30"/>
  <c r="AL106" i="30"/>
  <c r="AL100" i="30"/>
  <c r="AL98" i="30"/>
  <c r="AL97" i="30"/>
  <c r="AL96" i="30"/>
  <c r="AL93" i="30"/>
  <c r="AL94" i="30"/>
  <c r="AL95" i="30"/>
  <c r="AL92" i="30"/>
  <c r="AL90" i="30"/>
  <c r="AL87" i="30"/>
  <c r="AL88" i="30"/>
  <c r="AL89" i="30"/>
  <c r="AL86" i="30"/>
  <c r="AL81" i="30"/>
  <c r="AL80" i="30"/>
  <c r="AL77" i="30"/>
  <c r="AL78" i="30"/>
  <c r="AL79" i="30"/>
  <c r="AL76" i="30"/>
  <c r="AL74" i="30"/>
  <c r="AL72" i="30"/>
  <c r="AL70" i="30"/>
  <c r="AL68" i="30"/>
  <c r="AL66" i="30"/>
  <c r="AL64" i="30"/>
  <c r="AL62" i="30"/>
  <c r="AL60" i="30"/>
  <c r="AL58" i="30"/>
  <c r="AL56" i="30"/>
  <c r="AL54" i="30"/>
  <c r="AL52" i="30"/>
  <c r="AL50" i="30"/>
  <c r="AL48" i="30"/>
  <c r="AL46" i="30"/>
  <c r="AL44" i="30"/>
  <c r="AL42" i="30"/>
  <c r="AL40" i="30"/>
  <c r="AL38" i="30"/>
  <c r="AL36" i="30"/>
  <c r="AL30" i="30"/>
  <c r="AL31" i="30"/>
  <c r="AL32" i="30"/>
  <c r="AL33" i="30"/>
  <c r="AL34" i="30"/>
  <c r="AL35" i="30"/>
  <c r="AL29" i="30"/>
  <c r="AL26" i="30"/>
  <c r="AL27" i="30"/>
  <c r="AL28" i="30"/>
  <c r="AL25" i="30"/>
  <c r="AL22" i="30"/>
  <c r="AL23" i="30"/>
  <c r="AL24" i="30"/>
  <c r="AL21" i="30"/>
  <c r="AS81" i="30"/>
  <c r="AR54" i="30"/>
  <c r="AS54" i="30" s="1"/>
  <c r="AR42" i="30"/>
  <c r="AS42" i="30" s="1"/>
  <c r="AO121" i="30"/>
  <c r="AR121" i="30" s="1"/>
  <c r="AS121" i="30" s="1"/>
  <c r="AN72" i="30"/>
  <c r="AR72" i="30" s="1"/>
  <c r="AS72" i="30" s="1"/>
  <c r="AN70" i="30"/>
  <c r="AR70" i="30" s="1"/>
  <c r="AS70" i="30" s="1"/>
  <c r="AN52" i="30"/>
  <c r="AR52" i="30" s="1"/>
  <c r="AS52" i="30" s="1"/>
  <c r="AN98" i="30"/>
  <c r="AN92" i="30"/>
  <c r="AN66" i="30"/>
  <c r="AR66" i="30" s="1"/>
  <c r="AS66" i="30" s="1"/>
  <c r="AN64" i="30"/>
  <c r="AR64" i="30" s="1"/>
  <c r="AS64" i="30" s="1"/>
  <c r="AN40" i="30"/>
  <c r="AR40" i="30" s="1"/>
  <c r="AS40" i="30" s="1"/>
  <c r="AN50" i="30"/>
  <c r="AR50" i="30" s="1"/>
  <c r="AS50" i="30" s="1"/>
  <c r="AN29" i="30"/>
  <c r="AN86" i="30"/>
  <c r="AN58" i="30"/>
  <c r="AN44" i="30"/>
  <c r="AR44" i="30" s="1"/>
  <c r="AS44" i="30" s="1"/>
  <c r="AN48" i="30"/>
  <c r="AR48" i="30" s="1"/>
  <c r="AS48" i="30" s="1"/>
  <c r="AN161" i="30"/>
  <c r="AR161" i="30" s="1"/>
  <c r="AS161" i="30" s="1"/>
  <c r="AN36" i="30"/>
  <c r="AR36" i="30" s="1"/>
  <c r="AS36" i="30" s="1"/>
  <c r="AN42" i="30"/>
  <c r="AN82" i="30"/>
  <c r="AR82" i="30" s="1"/>
  <c r="AN140" i="30"/>
  <c r="AR140" i="30" s="1"/>
  <c r="AN285" i="30"/>
  <c r="AN62" i="30"/>
  <c r="AR62" i="30" s="1"/>
  <c r="AS62" i="30" s="1"/>
  <c r="AN74" i="30"/>
  <c r="AR74" i="30" s="1"/>
  <c r="AS74" i="30" s="1"/>
  <c r="AN90" i="30"/>
  <c r="AN76" i="30"/>
  <c r="AN143" i="30"/>
  <c r="AN46" i="30"/>
  <c r="AR46" i="30" s="1"/>
  <c r="AS46" i="30" s="1"/>
  <c r="AN68" i="30"/>
  <c r="AR68" i="30" s="1"/>
  <c r="AS68" i="30" s="1"/>
  <c r="AN135" i="30"/>
  <c r="AR135" i="30" s="1"/>
  <c r="AN133" i="30"/>
  <c r="AN100" i="30"/>
  <c r="AN80" i="30"/>
  <c r="AN127" i="30"/>
  <c r="AN152" i="30"/>
  <c r="AN212" i="30"/>
  <c r="AR212" i="30" s="1"/>
  <c r="AN96" i="30"/>
  <c r="AN107" i="30"/>
  <c r="AN162" i="30"/>
  <c r="AN56" i="30"/>
  <c r="AR56" i="30" s="1"/>
  <c r="AS56" i="30" s="1"/>
  <c r="AN60" i="30"/>
  <c r="AN184" i="30"/>
  <c r="AN123" i="30"/>
  <c r="AN21" i="30"/>
  <c r="AR21" i="30" s="1"/>
  <c r="AN114" i="30"/>
  <c r="AN125" i="30"/>
  <c r="AN25" i="30"/>
  <c r="AN165" i="30"/>
  <c r="AN244" i="30"/>
  <c r="AN259" i="30"/>
  <c r="AN144" i="30"/>
  <c r="AN271" i="30"/>
  <c r="AN229" i="30"/>
  <c r="AO98" i="30"/>
  <c r="AO92" i="30"/>
  <c r="AO29" i="30"/>
  <c r="AO38" i="30"/>
  <c r="AR38" i="30" s="1"/>
  <c r="AS38" i="30" s="1"/>
  <c r="AO86" i="30"/>
  <c r="AO58" i="30"/>
  <c r="AO131" i="30"/>
  <c r="AR131" i="30" s="1"/>
  <c r="AS131" i="30" s="1"/>
  <c r="AM132" i="30"/>
  <c r="AS132" i="30" s="1"/>
  <c r="AO60" i="30"/>
  <c r="AO80" i="30"/>
  <c r="AO76" i="30"/>
  <c r="AO100" i="30"/>
  <c r="AO152" i="30"/>
  <c r="AO133" i="30"/>
  <c r="AO127" i="30"/>
  <c r="AO143" i="30"/>
  <c r="AO107" i="30"/>
  <c r="AO96" i="30"/>
  <c r="AO90" i="30"/>
  <c r="AO184" i="30"/>
  <c r="AO285" i="30"/>
  <c r="AO229" i="30"/>
  <c r="AO162" i="30"/>
  <c r="AR60" i="30" l="1"/>
  <c r="AS60" i="30" s="1"/>
  <c r="AR229" i="30"/>
  <c r="AR98" i="30"/>
  <c r="AR58" i="30"/>
  <c r="AS58" i="30" s="1"/>
  <c r="AO244" i="30"/>
  <c r="AR244" i="30" s="1"/>
  <c r="AO25" i="30"/>
  <c r="AO117" i="30"/>
  <c r="AO114" i="30"/>
  <c r="AO142" i="30"/>
  <c r="AO144" i="30"/>
  <c r="AO259" i="30"/>
  <c r="AO283" i="30"/>
  <c r="AO271" i="30"/>
  <c r="AO125" i="30"/>
  <c r="AO123" i="30"/>
  <c r="AP92" i="30"/>
  <c r="AR92" i="30" s="1"/>
  <c r="AP86" i="30"/>
  <c r="AR86" i="30" s="1"/>
  <c r="AP29" i="30"/>
  <c r="AR29" i="30" s="1"/>
  <c r="AM92" i="30" l="1"/>
  <c r="AS92" i="30" s="1"/>
  <c r="AE93" i="30" l="1"/>
  <c r="AP90" i="30"/>
  <c r="AR90" i="30" s="1"/>
  <c r="AS90" i="30" s="1"/>
  <c r="AP184" i="30"/>
  <c r="AR184" i="30" s="1"/>
  <c r="AP127" i="30"/>
  <c r="AR127" i="30" s="1"/>
  <c r="AP162" i="30"/>
  <c r="AR162" i="30" s="1"/>
  <c r="AS162" i="30" s="1"/>
  <c r="AP76" i="30"/>
  <c r="AR76" i="30" s="1"/>
  <c r="AS76" i="30" s="1"/>
  <c r="AP96" i="30"/>
  <c r="AR96" i="30" s="1"/>
  <c r="AP285" i="30"/>
  <c r="AR285" i="30" s="1"/>
  <c r="AP100" i="30"/>
  <c r="AR100" i="30" s="1"/>
  <c r="AP133" i="30"/>
  <c r="AR133" i="30" s="1"/>
  <c r="AS133" i="30" s="1"/>
  <c r="AP107" i="30"/>
  <c r="AR107" i="30" s="1"/>
  <c r="AP80" i="30"/>
  <c r="AR80" i="30" s="1"/>
  <c r="AP123" i="30"/>
  <c r="AR123" i="30" s="1"/>
  <c r="AS123" i="30" s="1"/>
  <c r="AP143" i="30"/>
  <c r="AR143" i="30" s="1"/>
  <c r="AS143" i="30" s="1"/>
  <c r="AP165" i="30"/>
  <c r="AR165" i="30" s="1"/>
  <c r="AP144" i="30"/>
  <c r="AR144" i="30" s="1"/>
  <c r="AS144" i="30" s="1"/>
  <c r="AP271" i="30"/>
  <c r="AR271" i="30" s="1"/>
  <c r="AS271" i="30" s="1"/>
  <c r="AP25" i="30"/>
  <c r="AR25" i="30" s="1"/>
  <c r="AS25" i="30" s="1"/>
  <c r="AP152" i="30"/>
  <c r="AR152" i="30" s="1"/>
  <c r="AP283" i="30"/>
  <c r="AR283" i="30" s="1"/>
  <c r="AP163" i="30"/>
  <c r="AR163" i="30" s="1"/>
  <c r="AP164" i="30"/>
  <c r="AR164" i="30" s="1"/>
  <c r="AP138" i="30"/>
  <c r="AR138" i="30" s="1"/>
  <c r="AP125" i="30"/>
  <c r="AR125" i="30" s="1"/>
  <c r="AP142" i="30"/>
  <c r="AR142" i="30" s="1"/>
  <c r="AS142" i="30" s="1"/>
  <c r="AP259" i="30"/>
  <c r="AR259" i="30" s="1"/>
  <c r="AP117" i="30"/>
  <c r="AR117" i="30" s="1"/>
  <c r="AP114" i="30"/>
  <c r="AR114" i="30" s="1"/>
  <c r="AM285" i="30"/>
  <c r="AM283" i="30"/>
  <c r="AM271" i="30"/>
  <c r="AM259" i="30"/>
  <c r="AM244" i="30"/>
  <c r="AS244" i="30" s="1"/>
  <c r="AM229" i="30"/>
  <c r="AS229" i="30" s="1"/>
  <c r="AM212" i="30"/>
  <c r="AS212" i="30" s="1"/>
  <c r="AM184" i="30"/>
  <c r="AM165" i="30"/>
  <c r="AM164" i="30"/>
  <c r="AM163" i="30"/>
  <c r="AM152" i="30"/>
  <c r="AM144" i="30"/>
  <c r="AM143" i="30"/>
  <c r="AM142" i="30"/>
  <c r="AM140" i="30"/>
  <c r="AS140" i="30" s="1"/>
  <c r="AM138" i="30"/>
  <c r="AM135" i="30"/>
  <c r="AS135" i="30" s="1"/>
  <c r="AM133" i="30"/>
  <c r="AM127" i="30"/>
  <c r="AM125" i="30"/>
  <c r="AM123" i="30"/>
  <c r="AM122" i="30"/>
  <c r="AS122" i="30" s="1"/>
  <c r="AM117" i="30"/>
  <c r="AM114" i="30"/>
  <c r="AM107" i="30"/>
  <c r="AM100" i="30"/>
  <c r="AM98" i="30"/>
  <c r="AS98" i="30" s="1"/>
  <c r="AM96" i="30"/>
  <c r="AM86" i="30"/>
  <c r="AS86" i="30" s="1"/>
  <c r="AM82" i="30"/>
  <c r="AS82" i="30" s="1"/>
  <c r="AM80" i="30"/>
  <c r="AM76" i="30"/>
  <c r="AM29" i="30"/>
  <c r="AS29" i="30" s="1"/>
  <c r="AM25" i="30"/>
  <c r="AM21" i="30"/>
  <c r="AS21" i="30" s="1"/>
  <c r="AS152" i="30" l="1"/>
  <c r="AS80" i="30"/>
  <c r="AS107" i="30"/>
  <c r="AS285" i="30"/>
  <c r="AS127" i="30"/>
  <c r="AS100" i="30"/>
  <c r="AS117" i="30"/>
  <c r="AS259" i="30"/>
  <c r="AS125" i="30"/>
  <c r="AS184" i="30"/>
  <c r="AS163" i="30"/>
  <c r="AS165" i="30"/>
  <c r="AS114" i="30"/>
  <c r="AS96" i="30"/>
  <c r="AS138" i="30"/>
  <c r="AS164" i="30"/>
  <c r="AS283" i="30"/>
  <c r="O121" i="30" l="1"/>
  <c r="O142" i="30"/>
  <c r="AL142" i="30" s="1"/>
  <c r="AL122" i="30" l="1"/>
  <c r="AL121" i="30"/>
  <c r="AF139" i="30"/>
  <c r="O163" i="30"/>
  <c r="AL163" i="30" s="1"/>
  <c r="O164" i="30"/>
  <c r="AL164" i="30" s="1"/>
  <c r="AG137" i="30" l="1"/>
  <c r="AL137" i="30" s="1"/>
  <c r="AJ90" i="30" l="1"/>
  <c r="AJ273" i="30"/>
  <c r="AE246" i="30"/>
  <c r="AK233" i="30"/>
  <c r="AL233" i="30" s="1"/>
  <c r="AK231" i="30"/>
  <c r="AF226" i="30"/>
  <c r="AK216" i="30"/>
  <c r="AL216" i="30" s="1"/>
  <c r="AK214" i="30"/>
  <c r="AL214" i="30" s="1"/>
  <c r="AE200" i="30"/>
  <c r="AE198" i="30"/>
  <c r="AE196" i="30"/>
  <c r="AE194" i="30"/>
  <c r="AE192" i="30"/>
  <c r="AE190" i="30"/>
  <c r="AE187" i="30"/>
  <c r="AE186" i="30"/>
  <c r="AE185" i="30"/>
  <c r="AJ171" i="30"/>
  <c r="AJ133" i="30"/>
  <c r="O127" i="30"/>
  <c r="AJ116" i="30"/>
  <c r="AH108" i="30"/>
  <c r="AL108" i="30" s="1"/>
  <c r="AF101" i="30"/>
  <c r="AJ97" i="30"/>
  <c r="AE87" i="30"/>
  <c r="AH84" i="30"/>
  <c r="O82" i="30"/>
  <c r="AE23" i="30"/>
  <c r="AJ231" i="30" l="1"/>
  <c r="AL231" i="30"/>
  <c r="AL129" i="30"/>
  <c r="AL127" i="30"/>
  <c r="AL128" i="30"/>
  <c r="AL82" i="30"/>
  <c r="AL84" i="30"/>
  <c r="AL85" i="30"/>
  <c r="AL83" i="30"/>
  <c r="AJ80" i="30"/>
  <c r="AJ129" i="30"/>
  <c r="AJ34" i="30"/>
  <c r="AH136" i="30"/>
  <c r="AJ134" i="30"/>
  <c r="AJ149" i="30"/>
  <c r="AF104" i="30"/>
  <c r="AF108" i="30"/>
  <c r="AJ218" i="30"/>
  <c r="AE268" i="30"/>
  <c r="AJ214" i="30"/>
  <c r="AE260" i="30"/>
  <c r="AJ167" i="30"/>
  <c r="AJ128" i="30"/>
  <c r="AE210" i="30"/>
  <c r="AE26" i="30"/>
  <c r="AE22" i="30"/>
  <c r="AJ233" i="30"/>
  <c r="AJ169" i="30"/>
  <c r="AF236" i="30"/>
  <c r="AE77" i="30"/>
  <c r="AE182" i="30"/>
  <c r="AJ173" i="30"/>
  <c r="AF136" i="30" l="1"/>
  <c r="AL136" i="30"/>
  <c r="AF227" i="30"/>
  <c r="AJ106" i="30"/>
  <c r="AE269" i="30"/>
  <c r="AF102" i="30"/>
  <c r="AE111" i="30"/>
  <c r="AJ216" i="30"/>
  <c r="AF110" i="30"/>
  <c r="AJ79" i="30"/>
  <c r="AE78" i="30"/>
  <c r="AJ113" i="30"/>
  <c r="AE112" i="30"/>
  <c r="AF137" i="30" l="1"/>
  <c r="AF105" i="30"/>
  <c r="AL187" i="30" l="1"/>
  <c r="AL186" i="30"/>
  <c r="AL185" i="30"/>
  <c r="AL190" i="30"/>
  <c r="AL192" i="30"/>
  <c r="AL196" i="30"/>
  <c r="AL198" i="30"/>
  <c r="AL200" i="30"/>
</calcChain>
</file>

<file path=xl/comments1.xml><?xml version="1.0" encoding="utf-8"?>
<comments xmlns="http://schemas.openxmlformats.org/spreadsheetml/2006/main">
  <authors>
    <author>Controle Interno</author>
    <author>User</author>
    <author>USUARIO</author>
  </authors>
  <commentList>
    <comment ref="L82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VALOR TOTAL DO ULTIMO TERMO DIVERGENTE</t>
        </r>
      </text>
    </comment>
    <comment ref="AL102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R</t>
        </r>
        <r>
          <rPr>
            <sz val="14"/>
            <color indexed="81"/>
            <rFont val="Segoe UI"/>
            <family val="2"/>
          </rPr>
          <t>$ MENSAL DO CR = 398.109,25</t>
        </r>
      </text>
    </comment>
    <comment ref="AL104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4"/>
            <color indexed="81"/>
            <rFont val="Segoe UI"/>
            <family val="2"/>
          </rPr>
          <t>R$ MENSAL = 433.109,00</t>
        </r>
      </text>
    </comment>
    <comment ref="AL108" authorId="0" shapeId="0">
      <text>
        <r>
          <rPr>
            <b/>
            <sz val="9"/>
            <color indexed="81"/>
            <rFont val="Segoe UI"/>
            <family val="2"/>
          </rPr>
          <t xml:space="preserve">Controle </t>
        </r>
        <r>
          <rPr>
            <b/>
            <sz val="14"/>
            <color indexed="81"/>
            <rFont val="Segoe UI"/>
            <family val="2"/>
          </rPr>
          <t>Interno:</t>
        </r>
        <r>
          <rPr>
            <sz val="14"/>
            <color indexed="81"/>
            <rFont val="Segoe UI"/>
            <family val="2"/>
          </rPr>
          <t xml:space="preserve">
R$MENSAL 329.661,00</t>
        </r>
      </text>
    </comment>
    <comment ref="AL110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4"/>
            <color indexed="81"/>
            <rFont val="Segoe UI"/>
            <family val="2"/>
          </rPr>
          <t>R$ MENSAL 310.945,80</t>
        </r>
      </text>
    </comment>
    <comment ref="AL111" authorId="0" shapeId="0">
      <text>
        <r>
          <rPr>
            <b/>
            <sz val="9"/>
            <color indexed="81"/>
            <rFont val="Segoe UI"/>
            <family val="2"/>
          </rPr>
          <t xml:space="preserve">Controle </t>
        </r>
        <r>
          <rPr>
            <b/>
            <sz val="14"/>
            <color indexed="81"/>
            <rFont val="Segoe UI"/>
            <family val="2"/>
          </rPr>
          <t>Interno:</t>
        </r>
        <r>
          <rPr>
            <sz val="14"/>
            <color indexed="81"/>
            <rFont val="Segoe UI"/>
            <family val="2"/>
          </rPr>
          <t xml:space="preserve">
MENSAL DO CT R$ 325.337,40</t>
        </r>
      </text>
    </comment>
    <comment ref="L117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VALOR TOTAL DO CONTRATO DIVENGENTE NO ULTIMO TERMO DE ADITIVO</t>
        </r>
      </text>
    </comment>
    <comment ref="AM144" authorId="1" shapeId="0">
      <text>
        <r>
          <rPr>
            <b/>
            <sz val="14"/>
            <color indexed="81"/>
            <rFont val="Segoe UI"/>
            <family val="2"/>
          </rPr>
          <t>User:</t>
        </r>
        <r>
          <rPr>
            <sz val="14"/>
            <color indexed="81"/>
            <rFont val="Segoe UI"/>
            <family val="2"/>
          </rPr>
          <t xml:space="preserve">
DESPESAS DE EXERCIO ANTERIORES: EMPENHO: 130020369/2018 VALOR: 12000
</t>
        </r>
      </text>
    </comment>
    <comment ref="AL165" authorId="0" shapeId="0">
      <text>
        <r>
          <rPr>
            <b/>
            <sz val="9"/>
            <color indexed="81"/>
            <rFont val="Segoe UI"/>
            <family val="2"/>
          </rPr>
          <t>Controle Interno:</t>
        </r>
        <r>
          <rPr>
            <sz val="9"/>
            <color indexed="81"/>
            <rFont val="Segoe UI"/>
            <family val="2"/>
          </rPr>
          <t xml:space="preserve">
11 MESES E 08 DIAS</t>
        </r>
      </text>
    </comment>
    <comment ref="AL213" authorId="2" shapeId="0">
      <text>
        <r>
          <rPr>
            <b/>
            <sz val="14"/>
            <color indexed="81"/>
            <rFont val="Segoe UI"/>
            <family val="2"/>
          </rPr>
          <t>USUARI</t>
        </r>
        <r>
          <rPr>
            <sz val="14"/>
            <color indexed="81"/>
            <rFont val="Segoe UI"/>
            <family val="2"/>
          </rPr>
          <t xml:space="preserve">
=11000*12=132.000
</t>
        </r>
      </text>
    </comment>
    <comment ref="AL214" authorId="2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Segoe UI"/>
            <family val="2"/>
          </rPr>
          <t xml:space="preserve">=11.911,53*12=142.938,36
</t>
        </r>
      </text>
    </comment>
    <comment ref="AL217" authorId="2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Segoe UI"/>
            <family val="2"/>
          </rPr>
          <t>=12598,55*12=151.182,60</t>
        </r>
      </text>
    </comment>
    <comment ref="AL230" authorId="2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Segoe UI"/>
            <family val="2"/>
          </rPr>
          <t>=5.500*12=66000,00</t>
        </r>
      </text>
    </comment>
    <comment ref="AM244" authorId="1" shapeId="0">
      <text>
        <r>
          <rPr>
            <b/>
            <sz val="12"/>
            <color indexed="81"/>
            <rFont val="Segoe UI"/>
            <family val="2"/>
          </rPr>
          <t>User:</t>
        </r>
        <r>
          <rPr>
            <sz val="12"/>
            <color indexed="81"/>
            <rFont val="Segoe UI"/>
            <family val="2"/>
          </rPr>
          <t xml:space="preserve">
DESPESAS DO EXERCICIO ANTERIOR: 16133,07</t>
        </r>
      </text>
    </comment>
  </commentList>
</comments>
</file>

<file path=xl/sharedStrings.xml><?xml version="1.0" encoding="utf-8"?>
<sst xmlns="http://schemas.openxmlformats.org/spreadsheetml/2006/main" count="1447" uniqueCount="661">
  <si>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</si>
  <si>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</si>
  <si>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</si>
  <si>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</si>
  <si>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</si>
  <si>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</si>
  <si>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</si>
  <si>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</si>
  <si>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</si>
  <si>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</si>
  <si>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</si>
  <si>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</si>
  <si>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</si>
  <si>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</si>
  <si>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</si>
  <si>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</si>
  <si>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</si>
  <si>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</si>
  <si>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</si>
  <si>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</si>
  <si>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</si>
  <si>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</si>
  <si>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</si>
  <si>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</si>
  <si>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</si>
  <si>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</si>
  <si>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</si>
  <si>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</si>
  <si>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</si>
  <si>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</si>
  <si>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</si>
  <si>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</si>
  <si>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</si>
  <si>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</si>
  <si>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</si>
  <si>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</si>
  <si>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</si>
  <si>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</si>
  <si>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</si>
  <si>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</si>
  <si>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</si>
  <si>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</si>
  <si>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</si>
  <si>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</si>
  <si>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(z)</t>
  </si>
  <si>
    <t>(aa)</t>
  </si>
  <si>
    <t>(ac)</t>
  </si>
  <si>
    <t>(c )</t>
  </si>
  <si>
    <t>(r )</t>
  </si>
  <si>
    <t>PODER EXECUTIVO MUNICIPAL</t>
  </si>
  <si>
    <t>Especificações do Contrato</t>
  </si>
  <si>
    <t xml:space="preserve">Execução Financeira </t>
  </si>
  <si>
    <t>Seq</t>
  </si>
  <si>
    <t>Parte Concedente</t>
  </si>
  <si>
    <t>Contrapartida</t>
  </si>
  <si>
    <t>(t )</t>
  </si>
  <si>
    <t>(ab)</t>
  </si>
  <si>
    <t>(af)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</si>
  <si>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</si>
  <si>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</si>
  <si>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</si>
  <si>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</si>
  <si>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</si>
  <si>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</si>
  <si>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</si>
  <si>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</si>
  <si>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</si>
  <si>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</si>
  <si>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</si>
  <si>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(am)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</si>
  <si>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</si>
  <si>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</si>
  <si>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</si>
  <si>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</si>
  <si>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</si>
  <si>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</si>
  <si>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</si>
  <si>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</si>
  <si>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</si>
  <si>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</si>
  <si>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</si>
  <si>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</si>
  <si>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</si>
  <si>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Nº do DOE de publicação do extrato da Ata</t>
  </si>
  <si>
    <t>(au)</t>
  </si>
  <si>
    <t>(av)</t>
  </si>
  <si>
    <t>(ax)</t>
  </si>
  <si>
    <t>(az)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</si>
  <si>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</si>
  <si>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</si>
  <si>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</si>
  <si>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</si>
  <si>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</si>
  <si>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(ay)</t>
  </si>
  <si>
    <t>(ba)</t>
  </si>
  <si>
    <t>(bb)</t>
  </si>
  <si>
    <t>(bd)</t>
  </si>
  <si>
    <t>(be)</t>
  </si>
  <si>
    <t>Dispensa ou Inexigibilidade de Licitação</t>
  </si>
  <si>
    <t>RESOLUÇÃO Nº 87, DE 28 DE NOVEMBRO DE 2013 - TRIBUNAL DE CONTAS DO ESTADO DO ACRE</t>
  </si>
  <si>
    <t>257/2012</t>
  </si>
  <si>
    <t>934/2013</t>
  </si>
  <si>
    <t>MENOR PREÇO</t>
  </si>
  <si>
    <t xml:space="preserve">PREGÃO </t>
  </si>
  <si>
    <t>01</t>
  </si>
  <si>
    <t>33.90.36.00</t>
  </si>
  <si>
    <t>33.90.39.00</t>
  </si>
  <si>
    <t>33.90.30.00</t>
  </si>
  <si>
    <t>ESTAÇÃO VIP SEGURANÇA PRIVADA LTDA</t>
  </si>
  <si>
    <t>EDUCANDÁRIO SANTA MARGARIDA</t>
  </si>
  <si>
    <t>IÃ LUCAS CONDUTA</t>
  </si>
  <si>
    <t>LOCAÇÃO DE UM IMOVEL  DESTINADO AO FUNCIONAMENTO DA ESCOLA MUNICIPAL IRMÃ MARIA GABRIELA</t>
  </si>
  <si>
    <t xml:space="preserve">LOCAÇÃO DE 01 (UM) IMÓVEL </t>
  </si>
  <si>
    <t>CONT./SEME/Nº 064/2012</t>
  </si>
  <si>
    <t>Art. 24, inciso X da Lei 8.666/93</t>
  </si>
  <si>
    <t>DISPENSA DE LICITAÇÃO</t>
  </si>
  <si>
    <t xml:space="preserve"> </t>
  </si>
  <si>
    <t>04.003.224/0001-08</t>
  </si>
  <si>
    <t>16</t>
  </si>
  <si>
    <t>CONT./SEME/Nº 160/2013</t>
  </si>
  <si>
    <t>11.160</t>
  </si>
  <si>
    <t>11.815.892/0001-03</t>
  </si>
  <si>
    <t>04.090.759/0001-63</t>
  </si>
  <si>
    <t>09.228.233/0001-10</t>
  </si>
  <si>
    <t>Reajuste de Valor</t>
  </si>
  <si>
    <t>07.850.772/0001-61</t>
  </si>
  <si>
    <t>026/2014</t>
  </si>
  <si>
    <t xml:space="preserve">LOCAÇÃO DE UM IMOVEL </t>
  </si>
  <si>
    <t>D</t>
  </si>
  <si>
    <t>Ana Helena Meireles da Silva</t>
  </si>
  <si>
    <t>Prorrogação de Prazo 12 meses</t>
  </si>
  <si>
    <t>Reajuste de valor</t>
  </si>
  <si>
    <t>02.764.609/0001-62</t>
  </si>
  <si>
    <t>Art. 24, Inciso  X da Lei 8.666/93</t>
  </si>
  <si>
    <t>(ag)</t>
  </si>
  <si>
    <t>ADESÃO A ATA DE REGISTRO DE PREÇO SRP</t>
  </si>
  <si>
    <t>PREGAO SRP</t>
  </si>
  <si>
    <t>Prorrogaçao de Prazo 12 meses</t>
  </si>
  <si>
    <t>002/2015</t>
  </si>
  <si>
    <t>JWC MULTISERVIÇOS LTDA</t>
  </si>
  <si>
    <t>Valor reajustado</t>
  </si>
  <si>
    <t>CONT./SEME/Nº 61/2015</t>
  </si>
  <si>
    <t>Prorrogação de Prazo de Vigencia 12 meses</t>
  </si>
  <si>
    <t>Registro de Preço</t>
  </si>
  <si>
    <t>Nº da Ata de Registro de Preço</t>
  </si>
  <si>
    <t>Vigência da Ata</t>
  </si>
  <si>
    <t xml:space="preserve">Início </t>
  </si>
  <si>
    <t>Especificações de Termo Aditivo ou Termo de Apostilamento</t>
  </si>
  <si>
    <t>Art. 57-LF nº 8666/93</t>
  </si>
  <si>
    <t>Apostilamento</t>
  </si>
  <si>
    <t>Art. 65,  § 8º - LF nº 8.666/93</t>
  </si>
  <si>
    <t>Data da Concessão do Reajuste</t>
  </si>
  <si>
    <t>% de Reajuste</t>
  </si>
  <si>
    <t>Valor do Reajuste</t>
  </si>
  <si>
    <t>Valor da Despesa com a Contratação</t>
  </si>
  <si>
    <t>(y )</t>
  </si>
  <si>
    <t>(ad)</t>
  </si>
  <si>
    <t>(ae)</t>
  </si>
  <si>
    <t xml:space="preserve">(ah) </t>
  </si>
  <si>
    <t xml:space="preserve">(ai) </t>
  </si>
  <si>
    <t xml:space="preserve">(aj) </t>
  </si>
  <si>
    <t xml:space="preserve">(ak) </t>
  </si>
  <si>
    <t>(al) = (n) - (ah) + (ag) + (ak)</t>
  </si>
  <si>
    <t>(ao) = (am) + (an)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</si>
  <si>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</si>
  <si>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</si>
  <si>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</si>
  <si>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</si>
  <si>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</si>
  <si>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</si>
  <si>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</si>
  <si>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</si>
  <si>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</si>
  <si>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 xml:space="preserve"> TERMO ADITIVO </t>
  </si>
  <si>
    <t>1º</t>
  </si>
  <si>
    <t xml:space="preserve">2º </t>
  </si>
  <si>
    <t xml:space="preserve">3º </t>
  </si>
  <si>
    <t xml:space="preserve">5º </t>
  </si>
  <si>
    <t>6º</t>
  </si>
  <si>
    <t>PRORROGAÇÃO DE VIGENCIA</t>
  </si>
  <si>
    <t>TERMO DE APOSTILAMENTO</t>
  </si>
  <si>
    <t xml:space="preserve"> TERMO DE APOSTILAMENTO</t>
  </si>
  <si>
    <t>TERMO ADITIVO</t>
  </si>
  <si>
    <t xml:space="preserve">TERMO DE APOSTILAMENTO </t>
  </si>
  <si>
    <t>TERMO DE ADITIVO</t>
  </si>
  <si>
    <t xml:space="preserve">APOSTILA </t>
  </si>
  <si>
    <t>APOSTILA</t>
  </si>
  <si>
    <t xml:space="preserve">1º </t>
  </si>
  <si>
    <t>2º</t>
  </si>
  <si>
    <t xml:space="preserve">4º </t>
  </si>
  <si>
    <t>3º</t>
  </si>
  <si>
    <t xml:space="preserve">6º </t>
  </si>
  <si>
    <t xml:space="preserve">7º </t>
  </si>
  <si>
    <t>7º</t>
  </si>
  <si>
    <t>5º</t>
  </si>
  <si>
    <t>4º</t>
  </si>
  <si>
    <t>Nº 004/2013</t>
  </si>
  <si>
    <t>Prorrogaçao de Prazo 06 meses</t>
  </si>
  <si>
    <t>ACRÉSCIMO DE VALOR</t>
  </si>
  <si>
    <t>SUPRESSÃO DE VALOR</t>
  </si>
  <si>
    <t>017/2017</t>
  </si>
  <si>
    <t>PRORROGAÇÃO DE VIGÊNCIA 12 MESES</t>
  </si>
  <si>
    <t>4°</t>
  </si>
  <si>
    <t>LOCACAO DE 01 IMOVEL (MAURO LIMA)</t>
  </si>
  <si>
    <t>5°</t>
  </si>
  <si>
    <t>6°</t>
  </si>
  <si>
    <t>056/2017</t>
  </si>
  <si>
    <t>CONT.SEME/Nº 131/2017</t>
  </si>
  <si>
    <t>LOCAÇÃO DE IMOVEL (01)</t>
  </si>
  <si>
    <t>125/2018</t>
  </si>
  <si>
    <t>PRESTAÇÃO DE SERVIÇOS DE TERCEIRIZADOS DE VIGILANCIA ELETRONICA ATRAVES DO SISTEMA DIGITAL DE CAMERAS DE MONITORAMENTO EM CIRCUITO FECHADO (CFTV)</t>
  </si>
  <si>
    <t>026/2018</t>
  </si>
  <si>
    <t>CONT.SEME/Nº 105/2018</t>
  </si>
  <si>
    <t>SECRETARIA MUNICIPAL DE SAUDE</t>
  </si>
  <si>
    <t>PRORROGAÇÃO DE PRAZO DE VIGENCIA 03 MESES</t>
  </si>
  <si>
    <t>024/2011</t>
  </si>
  <si>
    <t>LOCAÇÃO DE 1 (UM) IMÓVEL DESTINADO EXCLUSIVAMENTE PARA SER UTILIZADO COMO SEDE DA SECRETARIA MUNICIPAL DE EDUCAÇÃO</t>
  </si>
  <si>
    <t>CONT./SEME/Nº 016/2012</t>
  </si>
  <si>
    <t xml:space="preserve"> Nº 001/2013</t>
  </si>
  <si>
    <t>Reajuste de  Valor</t>
  </si>
  <si>
    <t>Prorrogação de Prazo 06 meses</t>
  </si>
  <si>
    <t>8º</t>
  </si>
  <si>
    <t>LINK CARD ADMINISTRADORA DE BENEFICIOS EIRELI</t>
  </si>
  <si>
    <t>12.039.966/0001-11</t>
  </si>
  <si>
    <t>7°</t>
  </si>
  <si>
    <t xml:space="preserve">8º </t>
  </si>
  <si>
    <t xml:space="preserve">9º </t>
  </si>
  <si>
    <t xml:space="preserve">10º </t>
  </si>
  <si>
    <t xml:space="preserve">11º </t>
  </si>
  <si>
    <t xml:space="preserve">12º </t>
  </si>
  <si>
    <t xml:space="preserve">13º </t>
  </si>
  <si>
    <t xml:space="preserve">14º </t>
  </si>
  <si>
    <t>LOCAÇÃO DE IMOVEL, SITUADO NA AVENIDA ANTONIO DA ROCHA VIANA, S/Nº, BAIRRO BOSQUE, NESTA CIDADE, DESTINADO AO FUNCIONAMENTO DO DEPÓSITO DA MERENDA ESCOLAR E ALMOXARIFADO DA SEME</t>
  </si>
  <si>
    <t>CONT./SEME/Nº 091/2005</t>
  </si>
  <si>
    <t>VALDOMIRO LOPES VITOLLO E ANTONIO GARCIA MOCHON</t>
  </si>
  <si>
    <t>Prorrogação de Prazo 13 meses e Reajuste de valor</t>
  </si>
  <si>
    <t>Prorrogação de Prazo 12 meses e Reajuste de valor</t>
  </si>
  <si>
    <t>Prorrogação de Prazo 11 meses</t>
  </si>
  <si>
    <t xml:space="preserve"> Nº 32/2010 </t>
  </si>
  <si>
    <t xml:space="preserve"> Nº 10/2011 </t>
  </si>
  <si>
    <t>Reajuste</t>
  </si>
  <si>
    <t xml:space="preserve">7º TERMO ADITIVO </t>
  </si>
  <si>
    <t xml:space="preserve"> Nº 29/2012 </t>
  </si>
  <si>
    <t xml:space="preserve"> Nº 38/2013 </t>
  </si>
  <si>
    <t>9º</t>
  </si>
  <si>
    <t xml:space="preserve">Reajuste </t>
  </si>
  <si>
    <t>ART. 24  INCISO X DA LEI 8666/93</t>
  </si>
  <si>
    <t>I</t>
  </si>
  <si>
    <t>PREGAO PRESENCIAL</t>
  </si>
  <si>
    <t>38/2019</t>
  </si>
  <si>
    <t>76/2019</t>
  </si>
  <si>
    <t>PRESTAÇÃO DE SERVIÇOS DE INSTALAÇÃO E MANUTENÇÃO PREVENTIVA E CORRETIVA NOS CONDICIONADORES DE AR, FREEZER, GELADEIRA, VENTILADOR DE PAREDE E TETO, BEBEDOURO INDUSTRIAL E COMUM, FILTRO INDUSTRIAL, FOGÃO INDUSTRIAL E EXAUSTOR INDUSTRIAL PARA ATENDER AS NECESSIDADES DA SECRETARIA MUNICIPAL DE EDUCAÇÃO - SEME,</t>
  </si>
  <si>
    <t>CONT./SEME/Nº 0110/2019</t>
  </si>
  <si>
    <t>REFRIGERAÇÃO CHAMA AZUL</t>
  </si>
  <si>
    <t>IMOBILIARIA FORTALEZA LTDA/IF LOCAÇOES DE IMOVEIS EIRELI</t>
  </si>
  <si>
    <t>14.294.326/0001-83/34.625.024/0001-58</t>
  </si>
  <si>
    <t>CONT./SEME/Nº 005/2020</t>
  </si>
  <si>
    <t>48/2019</t>
  </si>
  <si>
    <t>095/2019</t>
  </si>
  <si>
    <t>PRESTAÇÃO DE SERVIÇOS DE TRANSPORTE, ATRAVES DO USO DE MOTOCICLETA</t>
  </si>
  <si>
    <t>W O PEREIRA EIRELE</t>
  </si>
  <si>
    <t>OMEGACAR EIRELI</t>
  </si>
  <si>
    <t>08.859.610/0001-57</t>
  </si>
  <si>
    <t>18.765.432/0001-59</t>
  </si>
  <si>
    <t>31/11/2020</t>
  </si>
  <si>
    <t>PRORROGAÇÃO DE PRAZO DE 12 MESES</t>
  </si>
  <si>
    <t>8°</t>
  </si>
  <si>
    <t>173/2019</t>
  </si>
  <si>
    <t>82/2019</t>
  </si>
  <si>
    <t>PRESTAÇÃO DE SERVIÇOS DE LIMPEZA, CONSERV. E HIGIENIZAÇÃO DE ÁREAS INTERNAS E EXTERNAS DE PRÉDIOS, MOBILIÁRIOS, EQUIPAMENTOS, VISANDO À OBTENÇÃO DE ADEQUADAS CONDIÇÕES DE SALUBRIDADE E HIGIENE COM DISPONIBILIDADE DE MÃO DE OBRA, FORNECIMENTO DE PRODUTOS E</t>
  </si>
  <si>
    <t>CONT./SEME/Nº 02/2020</t>
  </si>
  <si>
    <t>CONT./SEME/Nº 01/2020</t>
  </si>
  <si>
    <t>PRORROGÇÃO DE VIGENCIA POR 12 MESES</t>
  </si>
  <si>
    <t>APOSTILAMENTO</t>
  </si>
  <si>
    <t>IF LOCAÇÕES DE IMÓVEIS EIRELI</t>
  </si>
  <si>
    <t>34.625.024/0001-58</t>
  </si>
  <si>
    <t>10</t>
  </si>
  <si>
    <t>Troca de Titularidade da Empresa - IF LOCAÇÕES DE IMÓVEIS EIRELEI</t>
  </si>
  <si>
    <t>TROCA DOE TITULARIDADE DA EMPRESA - IF LOCAÇÕES DE IMOVEIS EIRELI</t>
  </si>
  <si>
    <t>14.294.326/001/83-34.625.024/0001-58</t>
  </si>
  <si>
    <t>9°</t>
  </si>
  <si>
    <t>PRORROGAÇÃO DE PRAZO DE VIGENCIA 06 MRSRS</t>
  </si>
  <si>
    <t>PRORROGAÇÃO DE PRAZO DE VIGENCIA  12 MESES</t>
  </si>
  <si>
    <t>18.255.882/0001-00</t>
  </si>
  <si>
    <t>Nome do titular do Órgão/Entidade/Fundo: Nabiha Bestene Koury</t>
  </si>
  <si>
    <t>CONT./SEME/Nº 145/2014</t>
  </si>
  <si>
    <t>10°</t>
  </si>
  <si>
    <t>CONTRATAÇÃO DE SERVIÇOS DE TRANSPORTE DE BENS E PESSOAS, COMPREENDENDO A DISPONIBILIZAÇÃO DE VEICULOS TIPO SEDAM COM MOTORISTA, VISANDO PRESTAR APOIO LOGISTICO NECESSARIO AS UNIDADES ADMINISTRATIVA DA SEME</t>
  </si>
  <si>
    <t>CONT./SEME/Nº 034/2021</t>
  </si>
  <si>
    <t>190/2020</t>
  </si>
  <si>
    <t>44/2020</t>
  </si>
  <si>
    <t>PRESTAÇÃO DE SERVIÇO DE LOCAÇÃO DE VEÍCULO</t>
  </si>
  <si>
    <t>CONT.SEME/Nº 04/2021</t>
  </si>
  <si>
    <t>R J ANDRADE TRANSPORTE E TERRAPLANAGEM</t>
  </si>
  <si>
    <t>22.901.124/0001-80</t>
  </si>
  <si>
    <t>CONT.SEME/Nº 05/2021</t>
  </si>
  <si>
    <t>V.C.P DAVILA</t>
  </si>
  <si>
    <t>26.909.991/0001-13</t>
  </si>
  <si>
    <t>011/2021</t>
  </si>
  <si>
    <t>028/2021</t>
  </si>
  <si>
    <t>PREGÃO ELETRONICO</t>
  </si>
  <si>
    <t xml:space="preserve">15º </t>
  </si>
  <si>
    <t xml:space="preserve">16º </t>
  </si>
  <si>
    <t xml:space="preserve">17º </t>
  </si>
  <si>
    <t>PLP SOLUÇOES E COMERCIO EIRELI</t>
  </si>
  <si>
    <t>041/2020</t>
  </si>
  <si>
    <t>11</t>
  </si>
  <si>
    <t>11°</t>
  </si>
  <si>
    <t>ADESÃO A ATA DE SRP</t>
  </si>
  <si>
    <t>Prorrogação de Prazo 3 meses</t>
  </si>
  <si>
    <t>Prorrogação de Prazo 6 meses</t>
  </si>
  <si>
    <t>Prorrogação de Prazo 4 meses</t>
  </si>
  <si>
    <t>PRESTAÇÃO DE SERVIÇO DE LOCAÇÃO DE VEÍCULO - CAMINHAO 3/4</t>
  </si>
  <si>
    <t>116</t>
  </si>
  <si>
    <t>CONT./SEME Nº 111/2021</t>
  </si>
  <si>
    <t>AK OLIVEIRA BATISTA</t>
  </si>
  <si>
    <t>M.M.PAIM EDITORA E DISTRIB. DE LIVROS LTDA/EDINEY DE LIMA CARVALHO HOLANDA</t>
  </si>
  <si>
    <t>TROCA DE TITULARIDADE DA EMPRESA</t>
  </si>
  <si>
    <t>01/01/202</t>
  </si>
  <si>
    <t>Prorrogação de Prazo de Vigencia 6 meses</t>
  </si>
  <si>
    <t>TROCA DE TIRULARIDADE</t>
  </si>
  <si>
    <t>REVISÃO DE VALOR</t>
  </si>
  <si>
    <t xml:space="preserve">PRORROGAÇÃO DE PRAZO </t>
  </si>
  <si>
    <t>31/12/020</t>
  </si>
  <si>
    <t>LOCAÇÃO DE MAQUINA MULTIFUNCIONAL (FOTOCOPIADORA0</t>
  </si>
  <si>
    <t>34.245.877/0001-64</t>
  </si>
  <si>
    <t>32/2021</t>
  </si>
  <si>
    <t>147/2020</t>
  </si>
  <si>
    <t>049/2014</t>
  </si>
  <si>
    <t xml:space="preserve">LOCACAO DE 01 IMOVEL </t>
  </si>
  <si>
    <t>14.294.326/0001-83</t>
  </si>
  <si>
    <t>Reajuste de Valor e Prorrogação de Prazo</t>
  </si>
  <si>
    <t>Prorrogação de Prazo por 12 mess</t>
  </si>
  <si>
    <t>LOCAÇÃO DE 01 IMÓVEL - DIVISÃO DE ALMOXARIFADO</t>
  </si>
  <si>
    <t>CONT./SEME/Nº 38/2021</t>
  </si>
  <si>
    <t>60/2020</t>
  </si>
  <si>
    <t>007/2020</t>
  </si>
  <si>
    <t>PREGAO ELETRÔNICO</t>
  </si>
  <si>
    <t>004/2021</t>
  </si>
  <si>
    <t>30/2021</t>
  </si>
  <si>
    <t>FORNECIMENTO DE ÁGUA POTÁVEL</t>
  </si>
  <si>
    <t>CONT./SEME Nº 003/2022</t>
  </si>
  <si>
    <t>EDIMAR PASQUIM</t>
  </si>
  <si>
    <t>08.223.466/0001-68</t>
  </si>
  <si>
    <t>026/2021</t>
  </si>
  <si>
    <t>12</t>
  </si>
  <si>
    <t>CONT./SEME/Nº 179/2014</t>
  </si>
  <si>
    <t>021/2021</t>
  </si>
  <si>
    <t>PRESTAÇÃO DE SERVIÇOS DE AGENTES DE PORTARIA DIURNO</t>
  </si>
  <si>
    <t>CONT./SEME Nº 001/2022</t>
  </si>
  <si>
    <t>ADSERVI - ADM. DE SERVIÇOS LTDA</t>
  </si>
  <si>
    <t>02.531.343/0001-08</t>
  </si>
  <si>
    <t xml:space="preserve">18º </t>
  </si>
  <si>
    <t>062/2021</t>
  </si>
  <si>
    <t>CONTRATAÇÃO DE EMPRESA NA PRESTAÇÃO DO SERVIÇO DE IMPRESSORA E REPOGRAFIA, COM ACESSO VIA REDE TCP-IP</t>
  </si>
  <si>
    <t>CONT./SEME Nº 008/2022</t>
  </si>
  <si>
    <t>PRINT SOLUTION SERV.DE PROCESSAMENTO DE DOCUMENTOS LTDA-ME</t>
  </si>
  <si>
    <t>07.928.901/0001-97</t>
  </si>
  <si>
    <t>227/2021</t>
  </si>
  <si>
    <t>242/2021</t>
  </si>
  <si>
    <t>84/2021</t>
  </si>
  <si>
    <t>À PRESTAÇÃO DE DE SERVIÇOS TERCEIRIZADOS DE SEGURANÇA E VIGILÂNCIA PATRIMONIAL NOTURNA DESARMADA</t>
  </si>
  <si>
    <t>CONT./SEME Nº 153/2021</t>
  </si>
  <si>
    <t>GOLD SERVICE VIGILANCIA E SEGURANCA - EIREL</t>
  </si>
  <si>
    <t>CONTRATAÇÃO DE PESSOA JURÍDICA PARA A PRESTAÇÃO DE SERVIÇOS TERCEIRIZADOS DE APOIO ADMINISTRATIVO E OPERACIONAL</t>
  </si>
  <si>
    <t>20.345.453/0001-67</t>
  </si>
  <si>
    <t>10.496.033/0001-28</t>
  </si>
  <si>
    <t>316.755.228-04</t>
  </si>
  <si>
    <t>005.225.772-02</t>
  </si>
  <si>
    <t>04.515.235/0001-77 - 558.645.032-15</t>
  </si>
  <si>
    <t>01/01/2022</t>
  </si>
  <si>
    <t>31/12/2022</t>
  </si>
  <si>
    <t>PRORROGAÇÃO DE PRAZO</t>
  </si>
  <si>
    <t xml:space="preserve">PRORROGAÇÃO DE VEGENCIA </t>
  </si>
  <si>
    <t xml:space="preserve">PRORROGAÇÃO DE PRAZO E REAJUSTE </t>
  </si>
  <si>
    <t>07/12/2020</t>
  </si>
  <si>
    <t>06/12/2021</t>
  </si>
  <si>
    <t>07/12/2021</t>
  </si>
  <si>
    <t>06/12/2022</t>
  </si>
  <si>
    <t>11º</t>
  </si>
  <si>
    <t>SECRETARIA DE FINANÇAS</t>
  </si>
  <si>
    <t>PROROGAÇÃO DE VIGENCIA E REPACTUAÇÃO</t>
  </si>
  <si>
    <t>PROROGAÇÃO DE VIGENCIA/REPACTRUAÇÃO DE PREÇO</t>
  </si>
  <si>
    <t>35/2022</t>
  </si>
  <si>
    <t>42/2022</t>
  </si>
  <si>
    <t>AQUISIÇÃO DE EMPRESA PARA PRESTAÇÃO DE SERVIÇO TERCEIRIZADO E CONTINUADO DE APOIO OPERACIONAL E ADMINISTRAVISO</t>
  </si>
  <si>
    <t>CONT./SEME Nº52/2022</t>
  </si>
  <si>
    <t>23/03/20223</t>
  </si>
  <si>
    <t xml:space="preserve">REPACTUAÇÃO DE PREÇO </t>
  </si>
  <si>
    <t>51/2022</t>
  </si>
  <si>
    <t>125/2022</t>
  </si>
  <si>
    <t>006/2022</t>
  </si>
  <si>
    <t>PRESTAÇÃO DE SERVIÇOS DE ROÇO MECANIZDO, VISANDO ATENDER AS DEMANDAS DA SECRETARIA MUNICIPAL DE EDUCAÇÃO -SEME</t>
  </si>
  <si>
    <t>CONT./SEME/Nº 67/2022</t>
  </si>
  <si>
    <t>126/2020</t>
  </si>
  <si>
    <t xml:space="preserve">SERVIÇO TERCEIRIZADOS DE APOIO ADMINISTRATIVO, TECNICO OPERACIONAL PARA LOCAÇÃO DE MÃO DE OBRA - MONITOR PARA ORIENTAÇÃO DE ALUNOS VISANDO ATENDER AS DEMANDAS DO TRANSPORTE ESCOLARES DAS UNIDADES DE ENSINO DE DIFICIL ACESSO. </t>
  </si>
  <si>
    <t>CONT./SEME Nº 64/2022</t>
  </si>
  <si>
    <t>11.140.110/0001-75</t>
  </si>
  <si>
    <t>NORTE XPRESS TRANSPORTE SERVIÇOS EIRELEI</t>
  </si>
  <si>
    <t>012/2022</t>
  </si>
  <si>
    <t>PRESTAÇÃO DE SERVIÇOS DE IMPLATAÇÃO E OPERACIONALIZAÇÃO DE SISTEMA INFORMATIZADO DE ABASTECIMENTO E ADMINISTRAÇÃO DE DESPESAS COM COMBUSTIVEIS EM POSTOS
CREDENCIADOS,MEDIANTE O USO DE CARTÃO ELETRONICO OU MAGNETICO E ETIQUETA COM TECNOLOGIA RFRID(OU SIMILAR). COM O FORNECIMENTO CONTINUO E ININTERRUPTO DE
COMBUSTIVEIS(GASOLINA) PARA VEICULOS PERTECENTES A SECRETARIA MUNICIPAL DE EDUCAÇÃO (PREDIOS)</t>
  </si>
  <si>
    <t>CONT./SEME/Nº 66/2022</t>
  </si>
  <si>
    <t>ASA - AGENCIA DE SERVIÇOS DO ACRE LTDA</t>
  </si>
  <si>
    <t>62/2022</t>
  </si>
  <si>
    <t>61/2021</t>
  </si>
  <si>
    <t>250/2022</t>
  </si>
  <si>
    <t>009/2022</t>
  </si>
  <si>
    <t>SECRETARIA MUNICIPAL DE CUIDADOS COM A CIDADE -SMCCI</t>
  </si>
  <si>
    <t>019/2022</t>
  </si>
  <si>
    <t>290/2022</t>
  </si>
  <si>
    <t>AQUISIÇÃO DE PRESTAÇÃO DE SERVIÇOS DE TRANSPORTE PÚBLICO COLETIVO, PARA ATENDER AS NECESSIDADES DESTA SECRETARIA MUNICIPAL DE EDUCAÇÃO</t>
  </si>
  <si>
    <t>CONT./SEME/Nº 98/2022</t>
  </si>
  <si>
    <t>RICCO TRANSPORTE E TURISMO LTDA</t>
  </si>
  <si>
    <t>30.094.876/0002-96</t>
  </si>
  <si>
    <t>art.24, inciso X da Lei 8.666/93</t>
  </si>
  <si>
    <t>Art. 24, ionciso X da Lei 8.666/93</t>
  </si>
  <si>
    <t>061/2021</t>
  </si>
  <si>
    <t>Art. 25, I, da Lei 8666/1993</t>
  </si>
  <si>
    <t>01/01/2023</t>
  </si>
  <si>
    <t>31/12/2023</t>
  </si>
  <si>
    <t xml:space="preserve">19º </t>
  </si>
  <si>
    <t>12º</t>
  </si>
  <si>
    <t>07/12/2022</t>
  </si>
  <si>
    <t>06/12/2023</t>
  </si>
  <si>
    <t xml:space="preserve">ADITIVO DE VALOR </t>
  </si>
  <si>
    <t>13</t>
  </si>
  <si>
    <t>14</t>
  </si>
  <si>
    <t>001/2022</t>
  </si>
  <si>
    <t>LOCAÇÃO DE IMÓVEL COM FIM  DE FUNCIONAMENTO DA SEDE ADMINISTRATIVA</t>
  </si>
  <si>
    <t>CONT.SEME/Nº 76/2022</t>
  </si>
  <si>
    <t>ARRAS ADM. DE BENS IMOVEIS LIMPEZA E CONSERVACAO LTDA - ME</t>
  </si>
  <si>
    <t>63.600.449/0001-00</t>
  </si>
  <si>
    <t xml:space="preserve">Prorrogação de Prazo de Vigencia </t>
  </si>
  <si>
    <t>023/2022</t>
  </si>
  <si>
    <t>LOCAÇÃO DE VEICULOS COM CONDUTOR TIPO CAMINHÃO</t>
  </si>
  <si>
    <t>865/2022</t>
  </si>
  <si>
    <t xml:space="preserve">07.909.967/0001-30 </t>
  </si>
  <si>
    <t>F A M CHAVES</t>
  </si>
  <si>
    <t xml:space="preserve"> 20.876.834/0001-72</t>
  </si>
  <si>
    <t xml:space="preserve">SUPRESSÃO DE VALOR </t>
  </si>
  <si>
    <t>REEQUILIBRIO ECONÔMICO FINANCEIRO</t>
  </si>
  <si>
    <t>241/2021</t>
  </si>
  <si>
    <t>ART 24, INCISO X DA LEI 8666/93</t>
  </si>
  <si>
    <t>20/07/20222</t>
  </si>
  <si>
    <t>CONT./SEME/Nº 092/2022</t>
  </si>
  <si>
    <t>CONT./SEME/Nº 091/2022</t>
  </si>
  <si>
    <t>184/2022</t>
  </si>
  <si>
    <t>CONT./SEME/Nº 52/2023</t>
  </si>
  <si>
    <t>512/2022</t>
  </si>
  <si>
    <t>391/2022</t>
  </si>
  <si>
    <t>SERVIÇO DE AGUA E ESGOTO - SAERB</t>
  </si>
  <si>
    <t>MULTIMAQUINAS PINTO &amp; CIA LTDA</t>
  </si>
  <si>
    <t>288/2022</t>
  </si>
  <si>
    <t>01/09/2023</t>
  </si>
  <si>
    <t>prorrogação do prazo de vigência e reajuste de preço</t>
  </si>
  <si>
    <t xml:space="preserve">prorrogação do prazo de vigência </t>
  </si>
  <si>
    <t>PRORROGAÇÃO DE PRAZO E REPACTUAÇÃO DE PREÇO</t>
  </si>
  <si>
    <t>ALTERAÇÃO DA CLAUSULA QUINTA - VIGENCIA CONTRATUAL</t>
  </si>
  <si>
    <t>PRORROGAÇÃO DE VIGENCIA E ALTERAÇÃO DA CLAUSULA QUARTA  REFERENTE A PRAZO E REPACTUAÇÃO DE PREÇO</t>
  </si>
  <si>
    <t>PROROGAÇÃO DE VIGENCIA E REAPCTUAÇÃO DE PREÇO</t>
  </si>
  <si>
    <t xml:space="preserve">PRORROGAÇÃO DE VIGENCI E E REPACTUAÇÃO DE PREÇO </t>
  </si>
  <si>
    <t>PRORROGAÇÃO DE PRAZO 06 (SEIS) MESES</t>
  </si>
  <si>
    <t>PRORROGAÇÃO DE PRAZO E REAJUSTE CONTRATUAL</t>
  </si>
  <si>
    <t xml:space="preserve">PRORROGAÇÃO DE PRAZO E REPACTUAÇÃO DE PREÇO </t>
  </si>
  <si>
    <t>PRORROGAÇÃO DE PRAZO E REAJUSTE DE PREÇO</t>
  </si>
  <si>
    <t>001/2023</t>
  </si>
  <si>
    <t>J S CORDEIRO LTDA</t>
  </si>
  <si>
    <t>SUPRESSÃO DE QUANTITATIVO E REEQUILIBRIO DE PREÇO E PRORROGAÇÃO DE PRAZO</t>
  </si>
  <si>
    <t>CONTRATAÇÃO DE EMPRESA PARA PRESTAÇÃO DE SERVIÇO TERCEIRIZADO E CONTINUADO DE APOIO OPERACIONAL E ADMINISTRATIVO, COM DISPONIBILIZAÇÃO
DE MÃO DE OBRA EM REGIME DE DEDICAÇÃO EXCLUSIVA A SEREM EXECUTADOS NO ÂMBITO DESTA SECRETARIA MUNICIPAL DE EDUCAÇÃO -SEME</t>
  </si>
  <si>
    <t>12°</t>
  </si>
  <si>
    <t>ALAB &amp; ASLAB LTDA</t>
  </si>
  <si>
    <t>01.673.229/0001-50</t>
  </si>
  <si>
    <t>007/2023</t>
  </si>
  <si>
    <t>009/2023</t>
  </si>
  <si>
    <t>FM TERCERIZAÇÃO</t>
  </si>
  <si>
    <t>E C O MOURA</t>
  </si>
  <si>
    <t>002/2022</t>
  </si>
  <si>
    <t>LOCAÇÃO DE IMÓVEL COM FIM  DE FUNCIONAMENTO DO ESTACIONAMENTO DA SEDE ADMINISTRATIVA</t>
  </si>
  <si>
    <t>077/2023</t>
  </si>
  <si>
    <t>65/2023</t>
  </si>
  <si>
    <t>11.338.721/0001-22</t>
  </si>
  <si>
    <t>005/2023</t>
  </si>
  <si>
    <t>Sec. de Estado de Educação, Cultura e Esporte - SEE</t>
  </si>
  <si>
    <t>052/2023</t>
  </si>
  <si>
    <t>029/2023</t>
  </si>
  <si>
    <t>007/2022</t>
  </si>
  <si>
    <t>22/03/2024</t>
  </si>
  <si>
    <t>CONT.SEME/Nº 44/2023</t>
  </si>
  <si>
    <t>DISPENSA DE LICITAÇÃO(INEXIGIBILIDADE)</t>
  </si>
  <si>
    <t>018/2022</t>
  </si>
  <si>
    <t>CONT./SEME Nº 40/2022</t>
  </si>
  <si>
    <t>089/2022</t>
  </si>
  <si>
    <t>À CONTRATAÇÃO DE EMPRESA DE ENGENHARIA, PARA SOB DEMANDA, PRESTAR SERVIÇOS CONTINUADOS DE MANUTENÇÃO PREDIAL PREVENTIVA E CORRETIVA COM FORNECIMENTO DE PEÇAS,
EQUIPAMENTOS, MATERIAIS E MÃO DE OBRA, NA FORMA ESTABELECIDA PLANILHAS DE SERVIÇOS E INSUMOS DIVERSOS DESCRITOS NO SISTEMA NACIONAL DE PESQUISA DE CUSTOS E ÌNDICES DA
CONSTRUÇÃO CIVIL, DORAVANTE DENOMINADO SINAPI, VISANDO ATENDER AS NECESSIDADES DAS UNIDADES DE PRÉDIOS ADMINISTRATIVOS PERTENCENTES A SECRETARIA MUNICIPAL DE
EDUCAÇÃO - SEME.
CONTRATO SEME Nº 054/2022
PROCESSO Nº 033/2022 - CPL 02/PMRB
ATA DE REGISTRO DE PREÇOS Nº 002/2022 - SEINFRA
PREGÃO ELETRÔNICO SRP Nº 018/2022
PROCESSO ADMINISTRATIVO SEME Nº 089/2022
TERMO ADESÃO Nº 016/2022 - SEME
FONTE 101 - RP.
Histórico da Liquidação: So</t>
  </si>
  <si>
    <t>CONT./SEME Nº 54/2022</t>
  </si>
  <si>
    <t>INNOVE ARQUITERURA E ENGENHARIA EIRELI</t>
  </si>
  <si>
    <t>23.820.555/0001-85</t>
  </si>
  <si>
    <t>AUGUSTO S. DE ARAUJO LTDA</t>
  </si>
  <si>
    <t>05.511.061/0001-37</t>
  </si>
  <si>
    <t xml:space="preserve"> À CONTRATAÇÃO DE PESSOA JURÍDICA ESPECIALIZADA EM AGENCIAMENTO DE VIAGENS (TRANSPORTE AÉREO DE PASSAGEIROS), SOBE DEMANDA E DE MANEIRA PARCELADA, PRESTAR
SERVIÇOS ED EMISSÃO DE PASSAGENS, INCLUINDO RESERVAS, MARCAÇÃO/REMARCAÇÃO DE BILHETES EM TRECHOS INTERMUNICIPAIS, INTERSTADUAL E INTERNACIONAIS, PARA ATENDER AS
DEMANDAS DA SECRETARIA MUNICIPAL DE EDUCAÇÃO - SEME.</t>
  </si>
  <si>
    <t>WC VIAGENS E TURISMO EIRELI</t>
  </si>
  <si>
    <t>13.480.254/0001-04</t>
  </si>
  <si>
    <t>33.90.33.00</t>
  </si>
  <si>
    <t>LOCAÇÃO DE IMOVEL COM FINS NAO RESIDENCIAL PARA FUNCIONAMENTO DA CRECHE / ESCOLA DE EDUCAÇÃO INFANTIL NO RAMAL DA CASTANHEIRA ( CRECHE/ANEXO DA ESCOLA TEREZINHA
MIGUEIS)</t>
  </si>
  <si>
    <t>CONT.SEME/Nº 136/2023</t>
  </si>
  <si>
    <t>PASCOAL TORRES MUNIZ</t>
  </si>
  <si>
    <t>055.598.395-15</t>
  </si>
  <si>
    <t>034/2023</t>
  </si>
  <si>
    <t>341/2023</t>
  </si>
  <si>
    <t xml:space="preserve">ADESÃO A ATA DE REGISTRO DE PREÇO SRP </t>
  </si>
  <si>
    <t xml:space="preserve">MENOR PREÇO </t>
  </si>
  <si>
    <t xml:space="preserve">REF. CONTRATAÇÃO DE PESSOA JURIDICA PARA PRESTAÇÃO DE SERVIÇOS DE TRANSPORTE, LOCAÇÃO DE 04 VEICULOS TIPO CAMINHONETE PICK - UP CABINE DUPLA COM CONDUTOR), PARA
ATENDER AS NECESSIDADES DA SECRETARIA MUNICIPAL DE EDUCAÇÃO - SEME.
</t>
  </si>
  <si>
    <t>Valor Inicial do Contrato</t>
  </si>
  <si>
    <t>CONT.SEME Nº 177/2023</t>
  </si>
  <si>
    <t>W. L. ISRAEL, SERVIÇOS E COMERCIO LTDA</t>
  </si>
  <si>
    <t>27.582.639/0001-89</t>
  </si>
  <si>
    <t>148/2023</t>
  </si>
  <si>
    <t>48.312.033/0001-01</t>
  </si>
  <si>
    <t>REF. À CONTRATAÇÃO DE EMPRESA DE ENGENHARIA, PARA SOB DEMANDA, PRESTAR SERVIÇOS CONTINUADOS DE MANUTENÇÃO PREDIAL PREVENTIVA E CORRETIVA COM FORNECIMENTO DE PEÇAS, EQUIPAMENTOS, MATERIAIS E MÃO DE OBRA, NA FORMA ESTABELECIDA PLANILHAS DE SERVIÇOS E INSUMOS DIVERSOS DESCRITOS NO SISTEMA NACIONAL DE PESQUISA DE CUSTOS E ÌNDICES DA CONSTRUÇÃO CIVIL, DORAVANTE DENOMINADO SINAPI, VISANDO ATENDER AS NECESSIDADES DAS UNIDADES  PERTENCENTES A SECRETARIA MUNICIPAL DE EDUCAÇÃO - SEME</t>
  </si>
  <si>
    <t>599/2023</t>
  </si>
  <si>
    <t xml:space="preserve">ADESÃO A ATA DE REGISTRO DE PREÇO </t>
  </si>
  <si>
    <t>CONT./SEME/ Nº 183/2023</t>
  </si>
  <si>
    <t>GAMA CONSTRUÇÕES, COMERCIO E REPRESENTAÇÕES LTDA</t>
  </si>
  <si>
    <t>09.374.006/0001-01</t>
  </si>
  <si>
    <t>060/2023</t>
  </si>
  <si>
    <t>60/2023</t>
  </si>
  <si>
    <t>172/2023</t>
  </si>
  <si>
    <t>IF LOCAÇOES DE IMOVEIS EIRELI</t>
  </si>
  <si>
    <t>AQUISIÇÃO DE GENEROS ALIMENTICIOS NÃO PERECIVEIS - ITENS 02,04,20,21,22,26,27, PARA ATENDER AS
NECESSIDADES DAS UNIDADES DE ENSINO INFANTIL - PNAEP, PERTENCENTES A SECRETARIA MUNICIPAL DE EDUCAÇÃO -
SEME</t>
  </si>
  <si>
    <t>CONT./SEME Nº 201/2023</t>
  </si>
  <si>
    <t>175/2023</t>
  </si>
  <si>
    <t>22/08/2024</t>
  </si>
  <si>
    <t xml:space="preserve">REAJUSTE CONTRATUAL </t>
  </si>
  <si>
    <t xml:space="preserve">PRORROGAÇÃO DE PRAZO DE 10 MESES </t>
  </si>
  <si>
    <t xml:space="preserve">TERMO DE ADITIVO </t>
  </si>
  <si>
    <t xml:space="preserve">PRORROGAÇÃO DE PRAZO POR 12 MESES E REAJUSTE CONTRATUAL </t>
  </si>
  <si>
    <t xml:space="preserve">PRORROGAÇÃO DE PRAZO POR 12 MESES </t>
  </si>
  <si>
    <t xml:space="preserve">PRORROGAÇÃO DE PRAZO POR 12 MESES E REAJUSTE CRONTRATUAL </t>
  </si>
  <si>
    <t xml:space="preserve">PRORROGAÇÃO DE PRAZO POR 12 MESES E REPACTUAÇÃO DE PREÇO </t>
  </si>
  <si>
    <t xml:space="preserve">REPACTUAÇÃO </t>
  </si>
  <si>
    <t>PRORROGAÇÃO DE PRAZO POR 12 MESES</t>
  </si>
  <si>
    <t>10/08/2023</t>
  </si>
  <si>
    <t>09/08/2024</t>
  </si>
  <si>
    <t xml:space="preserve">PRORROGAÇÃO DE PRAZO POR 3 MESES </t>
  </si>
  <si>
    <t>ALTERAÇÃO PRAZO FINAL DE VIGENCIA (ONDE SE LÊ 30/07/2023, LÊ-SE 31/07/2023)</t>
  </si>
  <si>
    <t xml:space="preserve">PRORROGAÇÃO DE PRAZO POR 6 MESES </t>
  </si>
  <si>
    <t xml:space="preserve">TERMO ADITIVO </t>
  </si>
  <si>
    <t>10º</t>
  </si>
  <si>
    <t>01/01/2024</t>
  </si>
  <si>
    <t>31/12/2024</t>
  </si>
  <si>
    <t>01/12/2024</t>
  </si>
  <si>
    <t>20º</t>
  </si>
  <si>
    <t>CONT./SEME Nº 83/2023</t>
  </si>
  <si>
    <t>SECRETARIA DE ESTADO DE SAUDE-SESACRE</t>
  </si>
  <si>
    <t>Empresa Municipal de Urbanização de Rio Branco - EMURB</t>
  </si>
  <si>
    <t>Secretaria de Estado de Saude do Acre - SESACRE</t>
  </si>
  <si>
    <t>Secretaria Muncipal de Infraestrutura e Mobilidade Urbana - SEINFRA</t>
  </si>
  <si>
    <t>Tribunal de Contas do Estado Acre - TCE</t>
  </si>
  <si>
    <t>Secretaria Muncipal de Saúde</t>
  </si>
  <si>
    <t>ART 24 , INCISO  X DA LEI 8666/93</t>
  </si>
  <si>
    <t>Em andamento em 2024</t>
  </si>
  <si>
    <t>PRESTAÇÃO DE CONTAS MENSAL - EXERCÍCIO 2024</t>
  </si>
  <si>
    <t xml:space="preserve"> Executado até 2023</t>
  </si>
  <si>
    <t xml:space="preserve"> Executado no Exercício 2024 </t>
  </si>
  <si>
    <t xml:space="preserve">JANEIRO </t>
  </si>
  <si>
    <t>FEVEREIRO</t>
  </si>
  <si>
    <t>1500</t>
  </si>
  <si>
    <t>109/2021</t>
  </si>
  <si>
    <t>018/2021</t>
  </si>
  <si>
    <t>CONTRATAÇÃO DE EMPRESA DE ENGENHARIA PARA PRESTAR SERVIÇOS DE MANUTENÇÃO PREDIAL PREVENTIVA E CORRETIVA COM FORNECIMENTO DE PEÇAS E EQUIPAMENTOS, MATERIAL  MÃO DE OBRA NA FORMA ESTABELECIDA EM PLANILHAS DE SERVIÇOS E INSUMOS DIVERSOS</t>
  </si>
  <si>
    <t>CONT./SEME/Nº 121/2021</t>
  </si>
  <si>
    <t>E M COSTA ENGENHARIA EIRELI</t>
  </si>
  <si>
    <t>11.621.292/0001-04</t>
  </si>
  <si>
    <t>DEPARTAMENTO DE ESTRADAS E RODAGENS INFRAESTRUTURA E HIDROVIARIA E AEROPORTOAEREA DO ACRE</t>
  </si>
  <si>
    <t>MARÇO</t>
  </si>
  <si>
    <t>FORNECIMENTO DE MATERIAL DE CONSUMO DO TIPO RECARGA DE GÁS LIQUEFEITO DE PETRÓLEO DE 13KG – ITEM 01, PARA ATENDER AS NECESSIDADES DOS ENSINO PRÉ-ESCOLA, PERTENCENTES A SECRETARIA MUNICIPAL DE EDUCAÇÃO – SEME</t>
  </si>
  <si>
    <t>CONT./SEME Nº 28/2024</t>
  </si>
  <si>
    <t>A. A. C. ROCHA - ME</t>
  </si>
  <si>
    <t>183/2023</t>
  </si>
  <si>
    <t>187/2023</t>
  </si>
  <si>
    <t xml:space="preserve">AQUISIÇÃO DE MATERIAL DE CONSUMO – INSTRUMENTOS MUSICAIS – ITEM 5 PARA ATENDER AS DEMANDAS DO CENTRO DE MULTIMEIOS DESTA SECRETARIA MUNICIPAL DE EDUCAÇÃO – SEME.  
PARA: DEPARTAMENTO DE GESTÃO ADMINISTRATIVA
</t>
  </si>
  <si>
    <t>CONT./SEME Nº 25/2024</t>
  </si>
  <si>
    <t>36.073.412/0001-02</t>
  </si>
  <si>
    <t>: CONTRATAÇÃO DE EMPRESA ESPECIALIZADA EM SERVIÇOS DE LAVAGEM E LUBRIFICAÇÃO DE VEÍCULOS, PARA ATENDER AS NECESSIDADES DA DIVISÃO DE ZELADORIA E TRANSPORTE, DESTA SECRETARIA MUNICIPAL DE EDUCAÇÃO – SEME</t>
  </si>
  <si>
    <t>CONT./SEME Nº 29/2024</t>
  </si>
  <si>
    <t>198/2023</t>
  </si>
  <si>
    <t>184/2023</t>
  </si>
  <si>
    <t xml:space="preserve">AQUISIÇÃO DE MATERIAL DE CONSUMO (COPA E COZINHA) – ITEM 13 PARA ATENDER AS UNIDADES DE ENSINO DA SECRETARIA MUNICIPAL DE EDUCAÇÃO – SEME. </t>
  </si>
  <si>
    <t>CONT./SEME Nº 04/2024</t>
  </si>
  <si>
    <t>CASA DO BARALHO INDUSTRIA E COMÉRCIO DE CARTAS PARA JOGOS LTDA.</t>
  </si>
  <si>
    <t>02.241.421.878/0001-90</t>
  </si>
  <si>
    <t>ABRIL</t>
  </si>
  <si>
    <t>178/2023</t>
  </si>
  <si>
    <t>195/2023</t>
  </si>
  <si>
    <t>AQUISIÇÃO DE MATERIAL DE CONSUMO (LIMPEZA E DESCARTÁVEIS) – ITEM 03 E 18, PARA ATENDER OS PRÉ-ESCOLA DA SECRETARIA MUNICIPAL DE EDUCAÇÃO – SEME</t>
  </si>
  <si>
    <t>CONT./SEME Nº 14/2024</t>
  </si>
  <si>
    <t>D L RAMOS ME</t>
  </si>
  <si>
    <t>05.146.814/0001-52</t>
  </si>
  <si>
    <t xml:space="preserve">AQUISIÇÃO DE MATERIAL DE CONSUMO (COPA E COZINHA) – ITENS 6 E 7, PARA ATENDER AS UNIDADES DE ENSINO PRÉ ESCOLA DA SECRETARIA MUNICIPAL DE EDUCAÇÃO – SEME
</t>
  </si>
  <si>
    <t>CONT./SEME Nº 06/2024</t>
  </si>
  <si>
    <t>CONT./SEME Nº 07/2024</t>
  </si>
  <si>
    <t>JR DISTRIBUIDORA LTDA</t>
  </si>
  <si>
    <t>AQUISIÇÃO DE MATERIAL DE CONSUMO (COPA E COZINHA) – ITENS 28 E 29, PARA ATENDER AS UNIDADES DE ENSINO DA PRÉ ESCOLA SECRETARIA MUNICIPAL DE EDUCAÇÃO – SEME</t>
  </si>
  <si>
    <t>33.412.571/0001-92</t>
  </si>
  <si>
    <t>CONT./SEME Nº 09/2024</t>
  </si>
  <si>
    <t>J GUILHERME PAVAO LTDA</t>
  </si>
  <si>
    <t>51.190.667/0001-35</t>
  </si>
  <si>
    <t>CONT./SEME Nº 17/2024</t>
  </si>
  <si>
    <t>COMFORT RBO LTDA</t>
  </si>
  <si>
    <t>AQUISIÇÃO DE MATERIAL DE CONSUMO (LIMPEZA E DESCARTÁVEIS) – ITENS: 5/8/9/16 E 17, PARA ATENDER AS NECESSIDADES DA DIVISÃO DE ALMOXARIFADO DA SECRETARIA MUNICIPAL DE EDUCAÇÃO – SEME</t>
  </si>
  <si>
    <t>48.660.273/0001-99</t>
  </si>
  <si>
    <t>CONT./SEME Nº 26/2024</t>
  </si>
  <si>
    <t xml:space="preserve">AQUISIÇÃO DE MATERIAL DE CONSUMO – INSTRUMENTOS MUSICAIS – ITENS 1 E 12 PARA ATENDER AS DEMANDAS DO CENTRO DE MULTIMEIOS DESTA SECRETARIA MUNICIPAL DE EDUCAÇÃO – SEME.  
</t>
  </si>
  <si>
    <t>38.069.222/0001-33</t>
  </si>
  <si>
    <t>S L DA SILVA JUNQUEIRA</t>
  </si>
  <si>
    <t>229/2023</t>
  </si>
  <si>
    <t>87/2023</t>
  </si>
  <si>
    <t>PRESTAÇÃO DE SERVIÇOS DE MANUTENÇÃO PREVENTIVA E CORRETIVA EM MÁQUINAS E EQUIPAMENTOS (BEBEDOURO, FILTROS INDUSTRIAIS, FOGÕES, FOGÕES INDUSTRIAIS. FREEZER, GELADEIRAS, FRIGOBAR, LIQUIDIFICADOR INDÚSTRIA E BOMBA D’ÁGUA) VISANDO ATENDER AS NECESSIDADES DA SECRETARIA MUNICIPAL DE EDUCAÇÃO DE RIO BRANCO</t>
  </si>
  <si>
    <t>CONT./SEME Nº 176/2023</t>
  </si>
  <si>
    <t>L.J.A SOUZA IMPORTAÇÃO E EXPORTAÇÃO LTDA-ME</t>
  </si>
  <si>
    <t>07.495.537/0001-19</t>
  </si>
  <si>
    <t>AQUISIÇÃO DE MATERIAL DE EXPEDIENTE PARA ATENDER AS UNIDADES DE ENSINO DESTA SECRETARIA MUNICIPAL DE EDUCAÇÃO – SEME</t>
  </si>
  <si>
    <t>CONT./SEME Nº 35/2024</t>
  </si>
  <si>
    <t>NOVA VIDA EIRELI</t>
  </si>
  <si>
    <t>14.359.681/0001-93</t>
  </si>
  <si>
    <t>CONT./SEME Nº 34/2024</t>
  </si>
  <si>
    <t>AQUISIÇÃO DE MATERIAL DE EXPEDIENTE PARA ATENDER AS UNIDADES DE ENSINO DESTA SECRETARIA MUNICIPAL DE EDUCAÇÃO – SEME.</t>
  </si>
  <si>
    <t>CONT./SEME Nº 36/2024</t>
  </si>
  <si>
    <t>AQUISIÇÃO DE MATERIAL DE CONSUMO (COPA E COZINHA) – ITEM 65, PARA ATENDER PRÉDIO ADMINISTRATIVO DA SECRETARIA MUNICIPAL DE EDUCAÇÃO – SEME</t>
  </si>
  <si>
    <t>CONT./SEME Nº 12/2024</t>
  </si>
  <si>
    <t xml:space="preserve">CONTRATAÇÃO DE EMPRESA ESPECIALIZADA EM SERVIÇOS DE FORNECIMENTO DE PEÇAS, ACESSÓRIOS, MANUTENÇÃO PREVENTIVA E CORRETIVA VEICULAR DESTINADO A ATENDER AS DEMANDAS DA DIVISÃO DE ZELADORIA E TRANSPORTE, DESTA SECRETARIA MUNICIPAL DE EDUCAÇÃO – SEME.  
</t>
  </si>
  <si>
    <t>89/2023</t>
  </si>
  <si>
    <t>86/2023</t>
  </si>
  <si>
    <t>DALCAR AUTO PEÇAS LTDA</t>
  </si>
  <si>
    <t>63.595.979/0001-08</t>
  </si>
  <si>
    <t>CONT./SEME Nº 18/2024</t>
  </si>
  <si>
    <t>JBV ALBUQUERQUE EIRELI</t>
  </si>
  <si>
    <t>00.432.870/0001-30</t>
  </si>
  <si>
    <t>AQUISIÇÃO DE MATERIAL DE CONSUMO (LIMPEZA E DESCARTÁVEIS)) – ITEM 10 PARA ATENDER AS UNIDADES DE ENSINO DA SECRETARIA MUNICIPAL DE EDUCAÇÃO – SEME</t>
  </si>
  <si>
    <t>CONT./SEME Nº 33/2024</t>
  </si>
  <si>
    <t>PAPELARIA MUNDO IMP E EXP LTDA</t>
  </si>
  <si>
    <t>CONT./SEME Nº 03/2024</t>
  </si>
  <si>
    <t xml:space="preserve">B2G MEDICAL COM DE PRODUTOS </t>
  </si>
  <si>
    <t>AQUISIÇÃO DE MATERIAL DE CONSUMO (COPA E COZINHA) – ITEM 20, PARA ATENDER UNIDADES DE ENSINO FUNDAMENTAL SECRETARIA MUNICIPAL DE EDUCAÇÃO – SEME</t>
  </si>
  <si>
    <t>22.808.990/0001-21</t>
  </si>
  <si>
    <t>BC COMERCIO E SERVIÇOS</t>
  </si>
  <si>
    <t>685/2023</t>
  </si>
  <si>
    <t>CONT.SEME/Nº 57/2024</t>
  </si>
  <si>
    <t>ART 75 , INCISO II DA LEI 14.133/2021</t>
  </si>
  <si>
    <t>CONT./SEME Nº 38/2024</t>
  </si>
  <si>
    <t xml:space="preserve"> AQUISIÇÃO DE GÊNEROS ALIMENTÍCIOS NÃO PERECÍVEIS – ITENS 02, 03, 05 E 06, PARA ATENDER AS UNIDADES DE ENSINO DESTA SECRETARIA MUNICIPAL DE EDUCAÇÃO – SEME.</t>
  </si>
  <si>
    <t>1552</t>
  </si>
  <si>
    <t>CONT./SEME Nº 40/2024</t>
  </si>
  <si>
    <t xml:space="preserve"> AQUISIÇÃO DE GÊNEROS ALIMENTÍCIOS NÃO PERECÍVEIS – ITENS 01 PARA ATENDER AS UNIDADES DE ENSINO DESTA SECRETARIA MUNICIPAL DE EDUCAÇÃO – SEME.</t>
  </si>
  <si>
    <t>DATA DA ÚLTIMA ATUALIZAÇÃO: 24/05/2024</t>
  </si>
  <si>
    <t>Art. 65, caput § 1º a 6ª - LF nº 8.666/93</t>
  </si>
  <si>
    <t>(an)</t>
  </si>
  <si>
    <t>Total</t>
  </si>
  <si>
    <t>MANUAL DE REFERÊNCIA - 10ª EDIÇÃO - Anexos IV, VI, VII e VIII</t>
  </si>
  <si>
    <t>ÓRGÃO/ENTIDADE/FUNDO: SECRETARIA MUNICIPAL DE EDUCAÇÃO - SEME</t>
  </si>
  <si>
    <t>MÊS/ANO (ACUMULADO): JANEIRO A ABRIL/2024</t>
  </si>
  <si>
    <t>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</si>
</sst>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b/>
      <sz val="14"/>
      <color indexed="81"/>
      <name val="Segoe U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44" fontId="2" fillId="0" borderId="1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3" xfId="2" applyFont="1" applyFill="1" applyBorder="1" applyAlignment="1">
      <alignment horizontal="center" vertical="center" wrapText="1"/>
    </xf>
    <xf numFmtId="44" fontId="9" fillId="0" borderId="8" xfId="2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vertical="center"/>
    </xf>
    <xf numFmtId="44" fontId="2" fillId="0" borderId="1" xfId="2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10" fontId="9" fillId="0" borderId="0" xfId="0" applyNumberFormat="1" applyFont="1" applyFill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10" fontId="9" fillId="0" borderId="17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4" fontId="9" fillId="0" borderId="8" xfId="0" applyNumberFormat="1" applyFont="1" applyFill="1" applyBorder="1" applyAlignment="1">
      <alignment horizontal="center" vertical="center" wrapText="1"/>
    </xf>
    <xf numFmtId="44" fontId="9" fillId="0" borderId="10" xfId="0" applyNumberFormat="1" applyFont="1" applyFill="1" applyBorder="1" applyAlignment="1">
      <alignment horizontal="center" vertical="center" wrapText="1"/>
    </xf>
    <xf numFmtId="44" fontId="9" fillId="0" borderId="7" xfId="0" applyNumberFormat="1" applyFont="1" applyFill="1" applyBorder="1" applyAlignment="1">
      <alignment horizontal="center" vertical="center" wrapText="1"/>
    </xf>
    <xf numFmtId="44" fontId="9" fillId="0" borderId="8" xfId="0" applyNumberFormat="1" applyFont="1" applyFill="1" applyBorder="1" applyAlignment="1">
      <alignment horizontal="center" vertical="center"/>
    </xf>
    <xf numFmtId="44" fontId="9" fillId="0" borderId="9" xfId="0" applyNumberFormat="1" applyFont="1" applyFill="1" applyBorder="1" applyAlignment="1">
      <alignment horizontal="center" vertical="center"/>
    </xf>
    <xf numFmtId="4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left" vertical="center"/>
    </xf>
    <xf numFmtId="10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8" fontId="9" fillId="0" borderId="0" xfId="0" applyNumberFormat="1" applyFont="1" applyFill="1" applyAlignment="1">
      <alignment horizontal="left" vertical="center" wrapText="1"/>
    </xf>
    <xf numFmtId="44" fontId="2" fillId="0" borderId="0" xfId="2" applyFont="1" applyFill="1" applyAlignment="1">
      <alignment horizontal="left" vertical="center"/>
    </xf>
    <xf numFmtId="44" fontId="9" fillId="0" borderId="0" xfId="2" applyFont="1" applyFill="1" applyAlignment="1">
      <alignment horizontal="left" vertical="center" wrapText="1"/>
    </xf>
    <xf numFmtId="44" fontId="9" fillId="0" borderId="0" xfId="2" applyFont="1" applyFill="1" applyAlignment="1">
      <alignment horizontal="left" vertical="center"/>
    </xf>
    <xf numFmtId="44" fontId="9" fillId="0" borderId="1" xfId="2" applyFont="1" applyFill="1" applyBorder="1" applyAlignment="1">
      <alignment horizontal="center" vertical="center" wrapText="1"/>
    </xf>
    <xf numFmtId="44" fontId="9" fillId="0" borderId="17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/>
    </xf>
    <xf numFmtId="44" fontId="2" fillId="0" borderId="3" xfId="2" applyFont="1" applyFill="1" applyBorder="1" applyAlignment="1">
      <alignment horizontal="center" vertical="center" wrapText="1"/>
    </xf>
    <xf numFmtId="44" fontId="2" fillId="0" borderId="0" xfId="2" applyFont="1" applyFill="1" applyAlignment="1">
      <alignment vertical="center"/>
    </xf>
    <xf numFmtId="44" fontId="9" fillId="0" borderId="0" xfId="2" applyFont="1" applyFill="1" applyAlignment="1">
      <alignment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2" fillId="0" borderId="0" xfId="2" applyFont="1" applyFill="1" applyAlignment="1">
      <alignment horizontal="left" vertical="center" wrapText="1"/>
    </xf>
    <xf numFmtId="44" fontId="2" fillId="0" borderId="2" xfId="2" applyFont="1" applyFill="1" applyBorder="1" applyAlignment="1">
      <alignment horizontal="right" vertical="center" wrapText="1"/>
    </xf>
    <xf numFmtId="44" fontId="2" fillId="0" borderId="2" xfId="2" applyFont="1" applyFill="1" applyBorder="1" applyAlignment="1">
      <alignment horizontal="right" vertical="center"/>
    </xf>
    <xf numFmtId="44" fontId="2" fillId="0" borderId="2" xfId="2" applyFont="1" applyFill="1" applyBorder="1" applyAlignment="1">
      <alignment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3" xfId="2" applyFont="1" applyFill="1" applyBorder="1" applyAlignment="1">
      <alignment horizontal="right" vertical="center" wrapText="1"/>
    </xf>
    <xf numFmtId="44" fontId="2" fillId="0" borderId="3" xfId="2" applyFont="1" applyFill="1" applyBorder="1" applyAlignment="1">
      <alignment horizontal="right" vertical="center"/>
    </xf>
    <xf numFmtId="44" fontId="2" fillId="0" borderId="3" xfId="2" applyFont="1" applyFill="1" applyBorder="1" applyAlignment="1">
      <alignment vertical="center" wrapText="1"/>
    </xf>
    <xf numFmtId="44" fontId="9" fillId="0" borderId="8" xfId="2" applyFont="1" applyFill="1" applyBorder="1" applyAlignment="1">
      <alignment horizontal="righ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9900"/>
      <color rgb="FF9999FF"/>
      <color rgb="FF6666FF"/>
      <color rgb="FFFF99FF"/>
      <color rgb="FFD60093"/>
      <color rgb="FFFF0066"/>
      <color rgb="FF33CCCC"/>
      <color rgb="FFFF66CC"/>
      <color rgb="FF144C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981075</xdr:colOff>
      <xdr:row>0</xdr:row>
      <xdr:rowOff>85725</xdr:rowOff>
    </xdr:from>
    <xdr:to>
      <xdr:col>11</xdr:col>
      <xdr:colOff>981075</xdr:colOff>
      <xdr:row>3</xdr:row>
      <xdr:rowOff>74479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FC261996-C0A5-49C0-98EE-13160CB25E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25550" y="85725"/>
          <a:ext cx="0" cy="46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155122</xdr:colOff>
      <xdr:row>0</xdr:row>
      <xdr:rowOff>30276</xdr:rowOff>
    </xdr:from>
    <xdr:to>
      <xdr:col>1</xdr:col>
      <xdr:colOff>779010</xdr:colOff>
      <xdr:row>3</xdr:row>
      <xdr:rowOff>120763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49363566-0D7A-4868-ACD2-918BA8DFC8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278" y="30276"/>
          <a:ext cx="623888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351"/>
  <sheetViews>
    <sheetView tabSelected="1" zoomScale="80" zoomScaleNormal="80" zoomScaleSheetLayoutView="10" workbookViewId="0">
      <selection activeCell="AU291" sqref="AU291"/>
    </sheetView>
  </sheetViews>
  <sheetFormatPr defaultRowHeight="12.75" x14ac:dyDescent="0.25"/>
  <cols>
    <col min="1" max="1" width="7.28515625" style="15" customWidth="1"/>
    <col min="2" max="2" width="15.85546875" style="15" bestFit="1" customWidth="1"/>
    <col min="3" max="3" width="9.85546875" style="15" bestFit="1" customWidth="1"/>
    <col min="4" max="4" width="36.85546875" style="15" customWidth="1"/>
    <col min="5" max="5" width="15.7109375" style="15" bestFit="1" customWidth="1"/>
    <col min="6" max="6" width="61.42578125" style="15" customWidth="1"/>
    <col min="7" max="7" width="12.7109375" style="15" customWidth="1"/>
    <col min="8" max="8" width="14.85546875" style="15" customWidth="1"/>
    <col min="9" max="10" width="10.85546875" style="15" bestFit="1" customWidth="1"/>
    <col min="11" max="11" width="25" style="15" bestFit="1" customWidth="1"/>
    <col min="12" max="12" width="56.85546875" style="129" customWidth="1"/>
    <col min="13" max="13" width="28.42578125" style="15" customWidth="1"/>
    <col min="14" max="14" width="15.140625" style="15" customWidth="1"/>
    <col min="15" max="15" width="25.7109375" style="154" bestFit="1" customWidth="1"/>
    <col min="16" max="16" width="13.140625" style="15" customWidth="1"/>
    <col min="17" max="17" width="14" style="15" customWidth="1"/>
    <col min="18" max="18" width="12" style="15" customWidth="1"/>
    <col min="19" max="19" width="10.7109375" style="17" customWidth="1"/>
    <col min="20" max="20" width="12" style="15" customWidth="1"/>
    <col min="21" max="21" width="19.28515625" style="154" bestFit="1" customWidth="1"/>
    <col min="22" max="22" width="14.85546875" style="154" bestFit="1" customWidth="1"/>
    <col min="23" max="23" width="15.28515625" style="15" customWidth="1"/>
    <col min="24" max="24" width="27.28515625" style="15" bestFit="1" customWidth="1"/>
    <col min="25" max="25" width="10.5703125" style="17" customWidth="1"/>
    <col min="26" max="26" width="12.28515625" style="15" customWidth="1"/>
    <col min="27" max="27" width="14.7109375" style="18" customWidth="1"/>
    <col min="28" max="28" width="47.28515625" style="15" customWidth="1"/>
    <col min="29" max="29" width="12" style="15" bestFit="1" customWidth="1"/>
    <col min="30" max="30" width="12.42578125" style="15" bestFit="1" customWidth="1"/>
    <col min="31" max="31" width="12.28515625" style="19" customWidth="1"/>
    <col min="32" max="32" width="14.28515625" style="15" customWidth="1"/>
    <col min="33" max="34" width="16.5703125" style="154" bestFit="1" customWidth="1"/>
    <col min="35" max="35" width="21.140625" style="20" customWidth="1"/>
    <col min="36" max="36" width="16.85546875" style="20" customWidth="1"/>
    <col min="37" max="37" width="18.85546875" style="154" customWidth="1"/>
    <col min="38" max="38" width="28.42578125" style="154" customWidth="1"/>
    <col min="39" max="39" width="20.5703125" style="154" bestFit="1" customWidth="1"/>
    <col min="40" max="41" width="15.28515625" style="154" hidden="1" customWidth="1"/>
    <col min="42" max="42" width="16.5703125" style="154" hidden="1" customWidth="1"/>
    <col min="43" max="43" width="11.5703125" style="154" hidden="1" customWidth="1"/>
    <col min="44" max="44" width="17.7109375" style="154" bestFit="1" customWidth="1"/>
    <col min="45" max="45" width="18.85546875" style="154" customWidth="1"/>
    <col min="46" max="46" width="11.5703125" style="15" customWidth="1"/>
    <col min="47" max="47" width="10.85546875" style="15" bestFit="1" customWidth="1"/>
    <col min="48" max="48" width="12" style="15" bestFit="1" customWidth="1"/>
    <col min="49" max="49" width="13.85546875" style="15" customWidth="1"/>
    <col min="50" max="50" width="25.42578125" style="15" customWidth="1"/>
    <col min="51" max="51" width="13.140625" style="15" customWidth="1"/>
    <col min="52" max="52" width="17" style="15" bestFit="1" customWidth="1"/>
    <col min="53" max="53" width="31.42578125" style="15" bestFit="1" customWidth="1"/>
    <col min="54" max="54" width="16" style="15" customWidth="1"/>
    <col min="55" max="55" width="13.7109375" style="15" customWidth="1"/>
    <col min="56" max="56" width="16.7109375" style="15" customWidth="1"/>
    <col min="57" max="57" width="12.28515625" style="15" customWidth="1"/>
    <col min="58" max="58" width="13" style="15" customWidth="1"/>
    <col min="59" max="59" width="11.28515625" style="15" customWidth="1"/>
    <col min="60" max="60" width="6.42578125" style="15" bestFit="1" customWidth="1"/>
    <col min="61" max="61" width="9.5703125" style="15" bestFit="1" customWidth="1"/>
    <col min="62" max="63" width="5.140625" style="15" bestFit="1" customWidth="1"/>
    <col min="64" max="64" width="12.7109375" style="15" bestFit="1" customWidth="1"/>
    <col min="65" max="65" width="15.42578125" style="15" customWidth="1"/>
    <col min="66" max="66" width="12.28515625" style="15" customWidth="1"/>
    <col min="67" max="67" width="6.42578125" style="15" bestFit="1" customWidth="1"/>
    <col min="68" max="68" width="8.85546875" style="15" bestFit="1" customWidth="1"/>
    <col min="69" max="69" width="7.85546875" style="15" bestFit="1" customWidth="1"/>
    <col min="70" max="16384" width="9.140625" style="15"/>
  </cols>
  <sheetData>
    <row r="1" spans="1:69" s="21" customFormat="1" x14ac:dyDescent="0.25">
      <c r="O1" s="144"/>
      <c r="U1" s="144"/>
      <c r="V1" s="144"/>
      <c r="AA1" s="137"/>
      <c r="AE1" s="138"/>
      <c r="AG1" s="144"/>
      <c r="AH1" s="144"/>
      <c r="AI1" s="139"/>
      <c r="AJ1" s="139"/>
      <c r="AK1" s="144"/>
      <c r="AL1" s="144"/>
      <c r="AM1" s="144"/>
      <c r="AN1" s="144"/>
      <c r="AO1" s="144"/>
      <c r="AP1" s="144"/>
      <c r="AQ1" s="144"/>
      <c r="AR1" s="144"/>
      <c r="AS1" s="144"/>
    </row>
    <row r="2" spans="1:69" s="21" customFormat="1" x14ac:dyDescent="0.25">
      <c r="L2" s="140"/>
      <c r="N2" s="141"/>
      <c r="O2" s="144"/>
      <c r="U2" s="144"/>
      <c r="V2" s="144"/>
      <c r="AA2" s="137"/>
      <c r="AE2" s="138"/>
      <c r="AG2" s="144"/>
      <c r="AH2" s="144"/>
      <c r="AI2" s="139"/>
      <c r="AJ2" s="139"/>
      <c r="AK2" s="144"/>
      <c r="AL2" s="144"/>
      <c r="AM2" s="144"/>
      <c r="AN2" s="144"/>
      <c r="AO2" s="144"/>
      <c r="AP2" s="144"/>
      <c r="AQ2" s="144"/>
      <c r="AR2" s="144"/>
      <c r="AS2" s="144"/>
    </row>
    <row r="3" spans="1:69" s="21" customFormat="1" x14ac:dyDescent="0.25">
      <c r="L3" s="140"/>
      <c r="N3" s="141"/>
      <c r="O3" s="144"/>
      <c r="U3" s="144"/>
      <c r="V3" s="144"/>
      <c r="AA3" s="137"/>
      <c r="AE3" s="138"/>
      <c r="AG3" s="144"/>
      <c r="AH3" s="144"/>
      <c r="AI3" s="139"/>
      <c r="AJ3" s="139"/>
      <c r="AK3" s="144"/>
      <c r="AL3" s="144"/>
      <c r="AM3" s="144"/>
      <c r="AN3" s="144"/>
      <c r="AO3" s="144"/>
      <c r="AP3" s="144"/>
      <c r="AQ3" s="144"/>
      <c r="AR3" s="144"/>
      <c r="AS3" s="144"/>
    </row>
    <row r="4" spans="1:69" s="21" customFormat="1" x14ac:dyDescent="0.25">
      <c r="F4" s="30"/>
      <c r="J4" s="26"/>
      <c r="L4" s="140"/>
      <c r="N4" s="141"/>
      <c r="O4" s="144"/>
      <c r="U4" s="144"/>
      <c r="V4" s="144"/>
      <c r="Y4" s="141"/>
      <c r="AA4" s="137"/>
      <c r="AE4" s="142"/>
      <c r="AF4" s="142"/>
      <c r="AG4" s="144"/>
      <c r="AH4" s="144"/>
      <c r="AI4" s="141"/>
      <c r="AJ4" s="141"/>
      <c r="AK4" s="144"/>
      <c r="AL4" s="159"/>
      <c r="AM4" s="144"/>
      <c r="AN4" s="144"/>
      <c r="AO4" s="144"/>
      <c r="AP4" s="144"/>
      <c r="AQ4" s="144"/>
      <c r="AR4" s="144"/>
      <c r="AS4" s="144"/>
    </row>
    <row r="5" spans="1:69" s="30" customFormat="1" x14ac:dyDescent="0.25">
      <c r="A5" s="30" t="s">
        <v>49</v>
      </c>
      <c r="I5" s="26"/>
      <c r="J5" s="26"/>
      <c r="L5" s="26"/>
      <c r="M5" s="26"/>
      <c r="N5" s="26"/>
      <c r="O5" s="145"/>
      <c r="P5" s="26"/>
      <c r="Q5" s="26"/>
      <c r="R5" s="26"/>
      <c r="S5" s="26"/>
      <c r="T5" s="26"/>
      <c r="U5" s="146"/>
      <c r="V5" s="146"/>
      <c r="Y5" s="29"/>
      <c r="AA5" s="29"/>
      <c r="AE5" s="34"/>
      <c r="AF5" s="29"/>
      <c r="AG5" s="146"/>
      <c r="AH5" s="146"/>
      <c r="AI5" s="31"/>
      <c r="AJ5" s="31"/>
      <c r="AK5" s="146"/>
      <c r="AL5" s="145"/>
      <c r="AM5" s="146"/>
      <c r="AN5" s="146"/>
      <c r="AO5" s="146"/>
      <c r="AP5" s="146"/>
      <c r="AQ5" s="146"/>
      <c r="AR5" s="146"/>
      <c r="AS5" s="146"/>
    </row>
    <row r="6" spans="1:69" s="30" customFormat="1" x14ac:dyDescent="0.25">
      <c r="F6" s="26"/>
      <c r="G6" s="26"/>
      <c r="H6" s="26"/>
      <c r="I6" s="26"/>
      <c r="J6" s="26"/>
      <c r="K6" s="30" t="s">
        <v>116</v>
      </c>
      <c r="L6" s="26"/>
      <c r="M6" s="26"/>
      <c r="N6" s="26"/>
      <c r="O6" s="145"/>
      <c r="P6" s="26"/>
      <c r="Q6" s="26"/>
      <c r="R6" s="26"/>
      <c r="S6" s="26"/>
      <c r="T6" s="26"/>
      <c r="U6" s="146"/>
      <c r="V6" s="146"/>
      <c r="AA6" s="29"/>
      <c r="AE6" s="34"/>
      <c r="AG6" s="146"/>
      <c r="AH6" s="146"/>
      <c r="AI6" s="31"/>
      <c r="AJ6" s="31"/>
      <c r="AK6" s="146"/>
      <c r="AL6" s="146"/>
      <c r="AM6" s="146"/>
      <c r="AN6" s="146"/>
      <c r="AO6" s="146"/>
      <c r="AP6" s="146"/>
      <c r="AQ6" s="146"/>
      <c r="AR6" s="146"/>
      <c r="AS6" s="146"/>
    </row>
    <row r="7" spans="1:69" s="30" customFormat="1" x14ac:dyDescent="0.25">
      <c r="A7" s="30" t="s">
        <v>560</v>
      </c>
      <c r="O7" s="146"/>
      <c r="U7" s="146"/>
      <c r="V7" s="146"/>
      <c r="AA7" s="29"/>
      <c r="AC7" s="33"/>
      <c r="AE7" s="32"/>
      <c r="AG7" s="146"/>
      <c r="AH7" s="146"/>
      <c r="AI7" s="143"/>
      <c r="AJ7" s="31"/>
      <c r="AK7" s="146"/>
      <c r="AL7" s="146"/>
      <c r="AM7" s="146"/>
      <c r="AN7" s="146"/>
      <c r="AO7" s="146"/>
      <c r="AP7" s="146"/>
      <c r="AQ7" s="146"/>
      <c r="AR7" s="146"/>
      <c r="AS7" s="146"/>
      <c r="BH7" s="29"/>
      <c r="BJ7" s="29"/>
    </row>
    <row r="8" spans="1:69" s="30" customFormat="1" x14ac:dyDescent="0.25">
      <c r="A8" s="30" t="s">
        <v>99</v>
      </c>
      <c r="N8" s="29"/>
      <c r="O8" s="146"/>
      <c r="P8" s="29"/>
      <c r="R8" s="29"/>
      <c r="U8" s="146"/>
      <c r="V8" s="146"/>
      <c r="Y8" s="29"/>
      <c r="Z8" s="29"/>
      <c r="AB8" s="29"/>
      <c r="AC8" s="29"/>
      <c r="AE8" s="29"/>
      <c r="AG8" s="146"/>
      <c r="AH8" s="146"/>
      <c r="AI8" s="143"/>
      <c r="AJ8" s="31"/>
      <c r="AK8" s="146"/>
      <c r="AL8" s="146"/>
      <c r="AM8" s="145"/>
      <c r="AN8" s="145"/>
      <c r="AO8" s="145"/>
      <c r="AP8" s="145"/>
      <c r="AQ8" s="145"/>
      <c r="AR8" s="146"/>
      <c r="AS8" s="146"/>
      <c r="BH8" s="29"/>
      <c r="BJ8" s="29"/>
    </row>
    <row r="9" spans="1:69" s="30" customFormat="1" x14ac:dyDescent="0.25">
      <c r="A9" s="30" t="s">
        <v>657</v>
      </c>
      <c r="L9" s="26"/>
      <c r="N9" s="29"/>
      <c r="O9" s="146"/>
      <c r="P9" s="29"/>
      <c r="R9" s="29"/>
      <c r="S9" s="29"/>
      <c r="U9" s="146"/>
      <c r="V9" s="146"/>
      <c r="Y9" s="29"/>
      <c r="Z9" s="29"/>
      <c r="AA9" s="29"/>
      <c r="AB9" s="29"/>
      <c r="AC9" s="29"/>
      <c r="AE9" s="32"/>
      <c r="AF9" s="29"/>
      <c r="AG9" s="146"/>
      <c r="AH9" s="146"/>
      <c r="AI9" s="143"/>
      <c r="AJ9" s="34"/>
      <c r="AK9" s="146"/>
      <c r="AL9" s="146"/>
      <c r="AM9" s="145"/>
      <c r="AN9" s="145"/>
      <c r="AO9" s="145"/>
      <c r="AP9" s="145"/>
      <c r="AQ9" s="145"/>
      <c r="AR9" s="146"/>
      <c r="AS9" s="146"/>
      <c r="BH9" s="29"/>
    </row>
    <row r="10" spans="1:69" s="30" customFormat="1" x14ac:dyDescent="0.25">
      <c r="L10" s="26"/>
      <c r="O10" s="146"/>
      <c r="P10" s="29"/>
      <c r="R10" s="29"/>
      <c r="T10" s="29"/>
      <c r="U10" s="146"/>
      <c r="V10" s="146"/>
      <c r="Z10" s="29"/>
      <c r="AA10" s="29"/>
      <c r="AB10" s="29"/>
      <c r="AD10" s="29"/>
      <c r="AE10" s="29"/>
      <c r="AG10" s="146"/>
      <c r="AH10" s="146"/>
      <c r="AI10" s="31"/>
      <c r="AJ10" s="31"/>
      <c r="AK10" s="146"/>
      <c r="AL10" s="146"/>
      <c r="AM10" s="145"/>
      <c r="AN10" s="145"/>
      <c r="AO10" s="145"/>
      <c r="AP10" s="145"/>
      <c r="AQ10" s="145"/>
      <c r="AR10" s="146"/>
      <c r="AS10" s="146"/>
      <c r="BH10" s="29"/>
      <c r="BJ10" s="29"/>
    </row>
    <row r="11" spans="1:69" s="30" customFormat="1" x14ac:dyDescent="0.25">
      <c r="A11" s="30" t="s">
        <v>658</v>
      </c>
      <c r="O11" s="146"/>
      <c r="U11" s="146"/>
      <c r="V11" s="146"/>
      <c r="AG11" s="146"/>
      <c r="AH11" s="146"/>
      <c r="AK11" s="146"/>
      <c r="AL11" s="146"/>
      <c r="AM11" s="146"/>
      <c r="AN11" s="146"/>
      <c r="AO11" s="146"/>
      <c r="AP11" s="146"/>
      <c r="AQ11" s="146"/>
      <c r="AR11" s="146"/>
      <c r="AS11" s="146"/>
      <c r="BH11" s="29"/>
      <c r="BJ11" s="29"/>
    </row>
    <row r="12" spans="1:69" s="30" customFormat="1" x14ac:dyDescent="0.25">
      <c r="A12" s="30" t="s">
        <v>659</v>
      </c>
      <c r="O12" s="146"/>
      <c r="U12" s="146"/>
      <c r="V12" s="146"/>
      <c r="AG12" s="146"/>
      <c r="AH12" s="146"/>
      <c r="AK12" s="146"/>
      <c r="AL12" s="146"/>
      <c r="AM12" s="146"/>
      <c r="AN12" s="146"/>
      <c r="AO12" s="146"/>
      <c r="AP12" s="146"/>
      <c r="AQ12" s="146"/>
      <c r="AR12" s="146"/>
      <c r="AS12" s="146"/>
      <c r="BH12" s="29"/>
      <c r="BJ12" s="29"/>
    </row>
    <row r="13" spans="1:69" s="30" customFormat="1" x14ac:dyDescent="0.25">
      <c r="A13" s="30" t="s">
        <v>653</v>
      </c>
      <c r="O13" s="146"/>
      <c r="U13" s="146"/>
      <c r="V13" s="146"/>
      <c r="AG13" s="146"/>
      <c r="AH13" s="146"/>
      <c r="AK13" s="146"/>
      <c r="AL13" s="146"/>
      <c r="AM13" s="146"/>
      <c r="AN13" s="146"/>
      <c r="AO13" s="146"/>
      <c r="AP13" s="146"/>
      <c r="AQ13" s="146"/>
      <c r="AR13" s="146"/>
      <c r="AS13" s="146"/>
    </row>
    <row r="14" spans="1:69" s="30" customFormat="1" x14ac:dyDescent="0.25">
      <c r="L14" s="26"/>
      <c r="O14" s="146"/>
      <c r="U14" s="146"/>
      <c r="V14" s="146"/>
      <c r="AG14" s="146"/>
      <c r="AH14" s="146"/>
      <c r="AK14" s="146"/>
      <c r="AL14" s="146"/>
      <c r="AM14" s="146"/>
      <c r="AN14" s="146"/>
      <c r="AO14" s="146"/>
      <c r="AP14" s="146"/>
      <c r="AQ14" s="146"/>
      <c r="AR14" s="146"/>
      <c r="AS14" s="146"/>
    </row>
    <row r="15" spans="1:69" s="30" customFormat="1" ht="13.5" thickBot="1" x14ac:dyDescent="0.3">
      <c r="A15" s="30" t="s">
        <v>74</v>
      </c>
      <c r="L15" s="26"/>
      <c r="O15" s="146"/>
      <c r="U15" s="146"/>
      <c r="V15" s="146"/>
      <c r="AG15" s="146"/>
      <c r="AH15" s="146"/>
      <c r="AK15" s="146"/>
      <c r="AL15" s="146"/>
      <c r="AM15" s="146"/>
      <c r="AN15" s="146"/>
      <c r="AO15" s="146"/>
      <c r="AP15" s="146"/>
      <c r="AQ15" s="146"/>
      <c r="AR15" s="146"/>
      <c r="AS15" s="146"/>
    </row>
    <row r="16" spans="1:69" x14ac:dyDescent="0.25">
      <c r="A16" s="35" t="s">
        <v>52</v>
      </c>
      <c r="B16" s="36" t="s">
        <v>22</v>
      </c>
      <c r="C16" s="36"/>
      <c r="D16" s="36"/>
      <c r="E16" s="36"/>
      <c r="F16" s="36"/>
      <c r="G16" s="36"/>
      <c r="H16" s="36" t="s">
        <v>143</v>
      </c>
      <c r="I16" s="36"/>
      <c r="J16" s="36"/>
      <c r="K16" s="36" t="s">
        <v>75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 t="s">
        <v>79</v>
      </c>
      <c r="AU16" s="36"/>
      <c r="AV16" s="36"/>
      <c r="AW16" s="36"/>
      <c r="AX16" s="36"/>
      <c r="AY16" s="36"/>
      <c r="AZ16" s="36" t="s">
        <v>98</v>
      </c>
      <c r="BA16" s="36"/>
      <c r="BB16" s="36"/>
      <c r="BC16" s="36"/>
      <c r="BD16" s="36"/>
      <c r="BE16" s="36"/>
      <c r="BF16" s="36" t="s">
        <v>76</v>
      </c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7"/>
    </row>
    <row r="17" spans="1:69" x14ac:dyDescent="0.25">
      <c r="A17" s="38"/>
      <c r="B17" s="39"/>
      <c r="C17" s="39"/>
      <c r="D17" s="39"/>
      <c r="E17" s="39"/>
      <c r="F17" s="39"/>
      <c r="G17" s="39"/>
      <c r="H17" s="39" t="s">
        <v>144</v>
      </c>
      <c r="I17" s="39" t="s">
        <v>145</v>
      </c>
      <c r="J17" s="39"/>
      <c r="K17" s="39" t="s">
        <v>50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 t="s">
        <v>147</v>
      </c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 t="s">
        <v>149</v>
      </c>
      <c r="AJ17" s="39"/>
      <c r="AK17" s="39"/>
      <c r="AL17" s="147" t="s">
        <v>51</v>
      </c>
      <c r="AM17" s="147"/>
      <c r="AN17" s="147"/>
      <c r="AO17" s="147"/>
      <c r="AP17" s="147"/>
      <c r="AQ17" s="147"/>
      <c r="AR17" s="147"/>
      <c r="AS17" s="147"/>
      <c r="AT17" s="39" t="s">
        <v>81</v>
      </c>
      <c r="AU17" s="39" t="s">
        <v>145</v>
      </c>
      <c r="AV17" s="39"/>
      <c r="AW17" s="39" t="s">
        <v>82</v>
      </c>
      <c r="AX17" s="39" t="s">
        <v>80</v>
      </c>
      <c r="AY17" s="39" t="s">
        <v>83</v>
      </c>
      <c r="AZ17" s="39" t="s">
        <v>88</v>
      </c>
      <c r="BA17" s="39" t="s">
        <v>89</v>
      </c>
      <c r="BB17" s="39" t="s">
        <v>90</v>
      </c>
      <c r="BC17" s="39" t="s">
        <v>92</v>
      </c>
      <c r="BD17" s="39" t="s">
        <v>91</v>
      </c>
      <c r="BE17" s="39" t="s">
        <v>92</v>
      </c>
      <c r="BF17" s="39" t="s">
        <v>1</v>
      </c>
      <c r="BG17" s="39" t="s">
        <v>58</v>
      </c>
      <c r="BH17" s="40" t="s">
        <v>62</v>
      </c>
      <c r="BI17" s="40"/>
      <c r="BJ17" s="40"/>
      <c r="BK17" s="40" t="s">
        <v>65</v>
      </c>
      <c r="BL17" s="40"/>
      <c r="BM17" s="39" t="s">
        <v>660</v>
      </c>
      <c r="BN17" s="39" t="s">
        <v>559</v>
      </c>
      <c r="BO17" s="40" t="s">
        <v>68</v>
      </c>
      <c r="BP17" s="40"/>
      <c r="BQ17" s="41"/>
    </row>
    <row r="18" spans="1:69" x14ac:dyDescent="0.25">
      <c r="A18" s="38"/>
      <c r="B18" s="42"/>
      <c r="C18" s="42"/>
      <c r="D18" s="42"/>
      <c r="E18" s="42"/>
      <c r="F18" s="132"/>
      <c r="G18" s="42"/>
      <c r="H18" s="39"/>
      <c r="I18" s="42"/>
      <c r="J18" s="42"/>
      <c r="K18" s="43" t="s">
        <v>9</v>
      </c>
      <c r="L18" s="39" t="s">
        <v>3</v>
      </c>
      <c r="M18" s="39" t="s">
        <v>20</v>
      </c>
      <c r="N18" s="39" t="s">
        <v>10</v>
      </c>
      <c r="O18" s="147" t="s">
        <v>511</v>
      </c>
      <c r="P18" s="39" t="s">
        <v>15</v>
      </c>
      <c r="Q18" s="39" t="s">
        <v>14</v>
      </c>
      <c r="R18" s="39" t="s">
        <v>13</v>
      </c>
      <c r="S18" s="39" t="s">
        <v>4</v>
      </c>
      <c r="T18" s="39" t="s">
        <v>78</v>
      </c>
      <c r="U18" s="147" t="s">
        <v>53</v>
      </c>
      <c r="V18" s="147" t="s">
        <v>54</v>
      </c>
      <c r="W18" s="39" t="s">
        <v>5</v>
      </c>
      <c r="X18" s="39" t="s">
        <v>1</v>
      </c>
      <c r="Y18" s="39" t="s">
        <v>11</v>
      </c>
      <c r="Z18" s="39" t="s">
        <v>10</v>
      </c>
      <c r="AA18" s="44" t="s">
        <v>15</v>
      </c>
      <c r="AB18" s="39" t="s">
        <v>12</v>
      </c>
      <c r="AC18" s="39" t="s">
        <v>148</v>
      </c>
      <c r="AD18" s="39"/>
      <c r="AE18" s="39" t="s">
        <v>654</v>
      </c>
      <c r="AF18" s="39"/>
      <c r="AG18" s="39"/>
      <c r="AH18" s="39"/>
      <c r="AI18" s="39" t="s">
        <v>150</v>
      </c>
      <c r="AJ18" s="39"/>
      <c r="AK18" s="39"/>
      <c r="AL18" s="158"/>
      <c r="AM18" s="147" t="s">
        <v>154</v>
      </c>
      <c r="AN18" s="147"/>
      <c r="AO18" s="147"/>
      <c r="AP18" s="147"/>
      <c r="AQ18" s="147"/>
      <c r="AR18" s="147"/>
      <c r="AS18" s="147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45"/>
      <c r="BI18" s="45"/>
      <c r="BJ18" s="45"/>
      <c r="BK18" s="45"/>
      <c r="BL18" s="45"/>
      <c r="BM18" s="39"/>
      <c r="BN18" s="39"/>
      <c r="BO18" s="45"/>
      <c r="BP18" s="45"/>
      <c r="BQ18" s="46"/>
    </row>
    <row r="19" spans="1:69" ht="38.25" x14ac:dyDescent="0.25">
      <c r="A19" s="38"/>
      <c r="B19" s="42" t="s">
        <v>6</v>
      </c>
      <c r="C19" s="42" t="s">
        <v>7</v>
      </c>
      <c r="D19" s="42" t="s">
        <v>0</v>
      </c>
      <c r="E19" s="42" t="s">
        <v>1</v>
      </c>
      <c r="F19" s="42" t="s">
        <v>2</v>
      </c>
      <c r="G19" s="42" t="s">
        <v>8</v>
      </c>
      <c r="H19" s="39"/>
      <c r="I19" s="42" t="s">
        <v>146</v>
      </c>
      <c r="J19" s="42" t="s">
        <v>60</v>
      </c>
      <c r="K19" s="43"/>
      <c r="L19" s="39"/>
      <c r="M19" s="39"/>
      <c r="N19" s="39"/>
      <c r="O19" s="147"/>
      <c r="P19" s="39"/>
      <c r="Q19" s="39"/>
      <c r="R19" s="39"/>
      <c r="S19" s="39"/>
      <c r="T19" s="39"/>
      <c r="U19" s="147"/>
      <c r="V19" s="147"/>
      <c r="W19" s="39"/>
      <c r="X19" s="39"/>
      <c r="Y19" s="39"/>
      <c r="Z19" s="39"/>
      <c r="AA19" s="44"/>
      <c r="AB19" s="39"/>
      <c r="AC19" s="42" t="s">
        <v>14</v>
      </c>
      <c r="AD19" s="42" t="s">
        <v>13</v>
      </c>
      <c r="AE19" s="47" t="s">
        <v>16</v>
      </c>
      <c r="AF19" s="42" t="s">
        <v>17</v>
      </c>
      <c r="AG19" s="158" t="s">
        <v>18</v>
      </c>
      <c r="AH19" s="158" t="s">
        <v>19</v>
      </c>
      <c r="AI19" s="48" t="s">
        <v>151</v>
      </c>
      <c r="AJ19" s="48" t="s">
        <v>152</v>
      </c>
      <c r="AK19" s="158" t="s">
        <v>153</v>
      </c>
      <c r="AL19" s="158" t="s">
        <v>23</v>
      </c>
      <c r="AM19" s="158" t="s">
        <v>561</v>
      </c>
      <c r="AN19" s="158" t="s">
        <v>590</v>
      </c>
      <c r="AO19" s="158" t="s">
        <v>573</v>
      </c>
      <c r="AP19" s="158" t="s">
        <v>564</v>
      </c>
      <c r="AQ19" s="158" t="s">
        <v>563</v>
      </c>
      <c r="AR19" s="158" t="s">
        <v>562</v>
      </c>
      <c r="AS19" s="158" t="s">
        <v>21</v>
      </c>
      <c r="AT19" s="39"/>
      <c r="AU19" s="42" t="s">
        <v>59</v>
      </c>
      <c r="AV19" s="42" t="s">
        <v>60</v>
      </c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45" t="s">
        <v>59</v>
      </c>
      <c r="BI19" s="45" t="s">
        <v>60</v>
      </c>
      <c r="BJ19" s="45" t="s">
        <v>61</v>
      </c>
      <c r="BK19" s="45" t="s">
        <v>63</v>
      </c>
      <c r="BL19" s="42" t="s">
        <v>64</v>
      </c>
      <c r="BM19" s="39"/>
      <c r="BN19" s="39"/>
      <c r="BO19" s="45" t="s">
        <v>59</v>
      </c>
      <c r="BP19" s="45" t="s">
        <v>67</v>
      </c>
      <c r="BQ19" s="46" t="s">
        <v>66</v>
      </c>
    </row>
    <row r="20" spans="1:69" ht="26.25" thickBot="1" x14ac:dyDescent="0.3">
      <c r="A20" s="49"/>
      <c r="B20" s="50" t="s">
        <v>24</v>
      </c>
      <c r="C20" s="50" t="s">
        <v>25</v>
      </c>
      <c r="D20" s="51" t="s">
        <v>47</v>
      </c>
      <c r="E20" s="50" t="s">
        <v>26</v>
      </c>
      <c r="F20" s="50" t="s">
        <v>27</v>
      </c>
      <c r="G20" s="50" t="s">
        <v>28</v>
      </c>
      <c r="H20" s="50" t="s">
        <v>29</v>
      </c>
      <c r="I20" s="50" t="s">
        <v>30</v>
      </c>
      <c r="J20" s="50" t="s">
        <v>31</v>
      </c>
      <c r="K20" s="50" t="s">
        <v>32</v>
      </c>
      <c r="L20" s="52" t="s">
        <v>33</v>
      </c>
      <c r="M20" s="50" t="s">
        <v>34</v>
      </c>
      <c r="N20" s="50" t="s">
        <v>35</v>
      </c>
      <c r="O20" s="148" t="s">
        <v>36</v>
      </c>
      <c r="P20" s="50" t="s">
        <v>37</v>
      </c>
      <c r="Q20" s="50" t="s">
        <v>38</v>
      </c>
      <c r="R20" s="50" t="s">
        <v>39</v>
      </c>
      <c r="S20" s="50" t="s">
        <v>48</v>
      </c>
      <c r="T20" s="50" t="s">
        <v>40</v>
      </c>
      <c r="U20" s="148" t="s">
        <v>55</v>
      </c>
      <c r="V20" s="148" t="s">
        <v>41</v>
      </c>
      <c r="W20" s="53" t="s">
        <v>42</v>
      </c>
      <c r="X20" s="50" t="s">
        <v>43</v>
      </c>
      <c r="Y20" s="50" t="s">
        <v>155</v>
      </c>
      <c r="Z20" s="50" t="s">
        <v>44</v>
      </c>
      <c r="AA20" s="53" t="s">
        <v>45</v>
      </c>
      <c r="AB20" s="50" t="s">
        <v>56</v>
      </c>
      <c r="AC20" s="50" t="s">
        <v>46</v>
      </c>
      <c r="AD20" s="50" t="s">
        <v>156</v>
      </c>
      <c r="AE20" s="54" t="s">
        <v>157</v>
      </c>
      <c r="AF20" s="50" t="s">
        <v>57</v>
      </c>
      <c r="AG20" s="148" t="s">
        <v>134</v>
      </c>
      <c r="AH20" s="148" t="s">
        <v>158</v>
      </c>
      <c r="AI20" s="55" t="s">
        <v>159</v>
      </c>
      <c r="AJ20" s="55" t="s">
        <v>160</v>
      </c>
      <c r="AK20" s="148" t="s">
        <v>161</v>
      </c>
      <c r="AL20" s="148" t="s">
        <v>162</v>
      </c>
      <c r="AM20" s="148" t="s">
        <v>69</v>
      </c>
      <c r="AN20" s="148"/>
      <c r="AO20" s="148"/>
      <c r="AP20" s="148"/>
      <c r="AQ20" s="148"/>
      <c r="AR20" s="148" t="s">
        <v>655</v>
      </c>
      <c r="AS20" s="148" t="s">
        <v>163</v>
      </c>
      <c r="AT20" s="50" t="s">
        <v>70</v>
      </c>
      <c r="AU20" s="50" t="s">
        <v>71</v>
      </c>
      <c r="AV20" s="50" t="s">
        <v>72</v>
      </c>
      <c r="AW20" s="50" t="s">
        <v>73</v>
      </c>
      <c r="AX20" s="50" t="s">
        <v>77</v>
      </c>
      <c r="AY20" s="50" t="s">
        <v>84</v>
      </c>
      <c r="AZ20" s="56" t="s">
        <v>85</v>
      </c>
      <c r="BA20" s="56" t="s">
        <v>86</v>
      </c>
      <c r="BB20" s="56" t="s">
        <v>93</v>
      </c>
      <c r="BC20" s="56" t="s">
        <v>87</v>
      </c>
      <c r="BD20" s="56" t="s">
        <v>94</v>
      </c>
      <c r="BE20" s="56" t="s">
        <v>95</v>
      </c>
      <c r="BF20" s="56" t="s">
        <v>95</v>
      </c>
      <c r="BG20" s="56" t="s">
        <v>96</v>
      </c>
      <c r="BH20" s="56" t="s">
        <v>97</v>
      </c>
      <c r="BI20" s="56" t="s">
        <v>164</v>
      </c>
      <c r="BJ20" s="56" t="s">
        <v>165</v>
      </c>
      <c r="BK20" s="56" t="s">
        <v>166</v>
      </c>
      <c r="BL20" s="56" t="s">
        <v>167</v>
      </c>
      <c r="BM20" s="56" t="s">
        <v>168</v>
      </c>
      <c r="BN20" s="56" t="s">
        <v>169</v>
      </c>
      <c r="BO20" s="56" t="s">
        <v>170</v>
      </c>
      <c r="BP20" s="56" t="s">
        <v>171</v>
      </c>
      <c r="BQ20" s="57" t="s">
        <v>172</v>
      </c>
    </row>
    <row r="21" spans="1:69" x14ac:dyDescent="0.25">
      <c r="A21" s="58">
        <v>1</v>
      </c>
      <c r="B21" s="58" t="s">
        <v>289</v>
      </c>
      <c r="C21" s="59" t="s">
        <v>290</v>
      </c>
      <c r="D21" s="58" t="s">
        <v>103</v>
      </c>
      <c r="E21" s="59" t="s">
        <v>102</v>
      </c>
      <c r="F21" s="133" t="s">
        <v>312</v>
      </c>
      <c r="G21" s="60">
        <v>12905</v>
      </c>
      <c r="H21" s="60"/>
      <c r="I21" s="60"/>
      <c r="J21" s="60"/>
      <c r="K21" s="59" t="s">
        <v>295</v>
      </c>
      <c r="L21" s="133" t="s">
        <v>296</v>
      </c>
      <c r="M21" s="59" t="s">
        <v>297</v>
      </c>
      <c r="N21" s="61">
        <v>44224</v>
      </c>
      <c r="O21" s="149">
        <v>117720</v>
      </c>
      <c r="P21" s="60">
        <v>12973</v>
      </c>
      <c r="Q21" s="62">
        <v>44224</v>
      </c>
      <c r="R21" s="62">
        <v>44561</v>
      </c>
      <c r="S21" s="58">
        <v>1500</v>
      </c>
      <c r="T21" s="59"/>
      <c r="U21" s="156"/>
      <c r="V21" s="156"/>
      <c r="W21" s="59" t="s">
        <v>106</v>
      </c>
      <c r="X21" s="63"/>
      <c r="Y21" s="63"/>
      <c r="Z21" s="64"/>
      <c r="AA21" s="65"/>
      <c r="AB21" s="63"/>
      <c r="AC21" s="64"/>
      <c r="AD21" s="64"/>
      <c r="AE21" s="66"/>
      <c r="AF21" s="67"/>
      <c r="AG21" s="10"/>
      <c r="AH21" s="10"/>
      <c r="AI21" s="68"/>
      <c r="AJ21" s="68"/>
      <c r="AK21" s="10"/>
      <c r="AL21" s="160">
        <f>$O$21-AH21+AG21+AK21</f>
        <v>117720</v>
      </c>
      <c r="AM21" s="161">
        <f>14715+4905+4905+4905+4905+4905+4905+4905+63769.8+67449.96</f>
        <v>180269.76</v>
      </c>
      <c r="AN21" s="161">
        <f>5835.83</f>
        <v>5835.83</v>
      </c>
      <c r="AO21" s="161"/>
      <c r="AP21" s="161">
        <v>5835.83</v>
      </c>
      <c r="AQ21" s="161"/>
      <c r="AR21" s="161">
        <f>AQ21+AP21+AO21+AN21</f>
        <v>11671.66</v>
      </c>
      <c r="AS21" s="162">
        <f>AR21+AM21</f>
        <v>191941.42</v>
      </c>
      <c r="AT21" s="67"/>
      <c r="AU21" s="67"/>
      <c r="AV21" s="67"/>
      <c r="AW21" s="65"/>
      <c r="AX21" s="67"/>
      <c r="AY21" s="69"/>
      <c r="AZ21" s="67"/>
      <c r="BA21" s="67"/>
      <c r="BB21" s="65"/>
      <c r="BC21" s="64"/>
      <c r="BD21" s="65"/>
      <c r="BE21" s="64"/>
      <c r="BF21" s="67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</row>
    <row r="22" spans="1:69" x14ac:dyDescent="0.25">
      <c r="A22" s="70"/>
      <c r="B22" s="70"/>
      <c r="C22" s="71"/>
      <c r="D22" s="70"/>
      <c r="E22" s="71"/>
      <c r="F22" s="134"/>
      <c r="G22" s="72"/>
      <c r="H22" s="72"/>
      <c r="I22" s="72"/>
      <c r="J22" s="72"/>
      <c r="K22" s="71"/>
      <c r="L22" s="134"/>
      <c r="M22" s="71"/>
      <c r="N22" s="73"/>
      <c r="O22" s="150"/>
      <c r="P22" s="72"/>
      <c r="Q22" s="74"/>
      <c r="R22" s="74"/>
      <c r="S22" s="70"/>
      <c r="T22" s="71"/>
      <c r="U22" s="151"/>
      <c r="V22" s="151"/>
      <c r="W22" s="71"/>
      <c r="X22" s="75" t="s">
        <v>182</v>
      </c>
      <c r="Y22" s="75" t="s">
        <v>187</v>
      </c>
      <c r="Z22" s="76">
        <v>44551</v>
      </c>
      <c r="AA22" s="77">
        <v>13193</v>
      </c>
      <c r="AB22" s="75" t="s">
        <v>454</v>
      </c>
      <c r="AC22" s="75" t="s">
        <v>370</v>
      </c>
      <c r="AD22" s="75" t="s">
        <v>371</v>
      </c>
      <c r="AE22" s="78">
        <f>AG22/AL21</f>
        <v>8.3414882772680943E-2</v>
      </c>
      <c r="AF22" s="79"/>
      <c r="AG22" s="2">
        <v>9819.6</v>
      </c>
      <c r="AH22" s="2"/>
      <c r="AI22" s="80"/>
      <c r="AJ22" s="80"/>
      <c r="AK22" s="2"/>
      <c r="AL22" s="163">
        <f t="shared" ref="AL22:AL24" si="0">$O$21-AH22+AG22+AK22</f>
        <v>127539.6</v>
      </c>
      <c r="AM22" s="7"/>
      <c r="AN22" s="7"/>
      <c r="AO22" s="7"/>
      <c r="AP22" s="7"/>
      <c r="AQ22" s="7"/>
      <c r="AR22" s="7"/>
      <c r="AS22" s="157"/>
      <c r="AT22" s="79"/>
      <c r="AU22" s="79"/>
      <c r="AV22" s="79"/>
      <c r="AW22" s="77"/>
      <c r="AX22" s="79"/>
      <c r="AY22" s="81"/>
      <c r="AZ22" s="79"/>
      <c r="BA22" s="79"/>
      <c r="BB22" s="77"/>
      <c r="BC22" s="76"/>
      <c r="BD22" s="77"/>
      <c r="BE22" s="76"/>
      <c r="BF22" s="79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</row>
    <row r="23" spans="1:69" x14ac:dyDescent="0.25">
      <c r="A23" s="70"/>
      <c r="B23" s="70"/>
      <c r="C23" s="71"/>
      <c r="D23" s="70"/>
      <c r="E23" s="71"/>
      <c r="F23" s="134"/>
      <c r="G23" s="72"/>
      <c r="H23" s="72"/>
      <c r="I23" s="72"/>
      <c r="J23" s="72"/>
      <c r="K23" s="71"/>
      <c r="L23" s="134"/>
      <c r="M23" s="71"/>
      <c r="N23" s="73"/>
      <c r="O23" s="150"/>
      <c r="P23" s="72"/>
      <c r="Q23" s="74"/>
      <c r="R23" s="74"/>
      <c r="S23" s="70"/>
      <c r="T23" s="71"/>
      <c r="U23" s="151"/>
      <c r="V23" s="151"/>
      <c r="W23" s="71"/>
      <c r="X23" s="75" t="s">
        <v>182</v>
      </c>
      <c r="Y23" s="75" t="s">
        <v>175</v>
      </c>
      <c r="Z23" s="76">
        <v>44923</v>
      </c>
      <c r="AA23" s="77">
        <v>13457</v>
      </c>
      <c r="AB23" s="75" t="s">
        <v>454</v>
      </c>
      <c r="AC23" s="75" t="s">
        <v>418</v>
      </c>
      <c r="AD23" s="75" t="s">
        <v>419</v>
      </c>
      <c r="AE23" s="78">
        <f>AG23/AL21</f>
        <v>0</v>
      </c>
      <c r="AF23" s="79"/>
      <c r="AG23" s="2"/>
      <c r="AH23" s="2"/>
      <c r="AI23" s="80"/>
      <c r="AJ23" s="80"/>
      <c r="AK23" s="2"/>
      <c r="AL23" s="163">
        <f t="shared" si="0"/>
        <v>117720</v>
      </c>
      <c r="AM23" s="7"/>
      <c r="AN23" s="7"/>
      <c r="AO23" s="7"/>
      <c r="AP23" s="7"/>
      <c r="AQ23" s="7"/>
      <c r="AR23" s="7"/>
      <c r="AS23" s="157"/>
      <c r="AT23" s="79"/>
      <c r="AU23" s="79"/>
      <c r="AV23" s="79"/>
      <c r="AW23" s="77"/>
      <c r="AX23" s="79"/>
      <c r="AY23" s="81"/>
      <c r="AZ23" s="79"/>
      <c r="BA23" s="79"/>
      <c r="BB23" s="77"/>
      <c r="BC23" s="76"/>
      <c r="BD23" s="77"/>
      <c r="BE23" s="76"/>
      <c r="BF23" s="79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</row>
    <row r="24" spans="1:69" x14ac:dyDescent="0.25">
      <c r="A24" s="70"/>
      <c r="B24" s="70"/>
      <c r="C24" s="71"/>
      <c r="D24" s="70"/>
      <c r="E24" s="71"/>
      <c r="F24" s="134"/>
      <c r="G24" s="72"/>
      <c r="H24" s="72"/>
      <c r="I24" s="72"/>
      <c r="J24" s="72"/>
      <c r="K24" s="71"/>
      <c r="L24" s="134"/>
      <c r="M24" s="71"/>
      <c r="N24" s="73"/>
      <c r="O24" s="150"/>
      <c r="P24" s="72"/>
      <c r="Q24" s="74"/>
      <c r="R24" s="74"/>
      <c r="S24" s="70"/>
      <c r="T24" s="71"/>
      <c r="U24" s="151"/>
      <c r="V24" s="151"/>
      <c r="W24" s="71"/>
      <c r="X24" s="75" t="s">
        <v>182</v>
      </c>
      <c r="Y24" s="75" t="s">
        <v>176</v>
      </c>
      <c r="Z24" s="76">
        <v>45288</v>
      </c>
      <c r="AA24" s="77">
        <v>13691</v>
      </c>
      <c r="AB24" s="75" t="s">
        <v>454</v>
      </c>
      <c r="AC24" s="75" t="s">
        <v>547</v>
      </c>
      <c r="AD24" s="75" t="s">
        <v>548</v>
      </c>
      <c r="AE24" s="78"/>
      <c r="AF24" s="79"/>
      <c r="AG24" s="2">
        <v>7360.32</v>
      </c>
      <c r="AH24" s="2"/>
      <c r="AI24" s="80"/>
      <c r="AJ24" s="80"/>
      <c r="AK24" s="2"/>
      <c r="AL24" s="163">
        <f t="shared" si="0"/>
        <v>125080.32000000001</v>
      </c>
      <c r="AM24" s="7"/>
      <c r="AN24" s="7"/>
      <c r="AO24" s="7"/>
      <c r="AP24" s="7"/>
      <c r="AQ24" s="7"/>
      <c r="AR24" s="7"/>
      <c r="AS24" s="157"/>
      <c r="AT24" s="79"/>
      <c r="AU24" s="79"/>
      <c r="AV24" s="79"/>
      <c r="AW24" s="77"/>
      <c r="AX24" s="79"/>
      <c r="AY24" s="81"/>
      <c r="AZ24" s="79"/>
      <c r="BA24" s="79"/>
      <c r="BB24" s="77"/>
      <c r="BC24" s="76"/>
      <c r="BD24" s="77"/>
      <c r="BE24" s="76"/>
      <c r="BF24" s="79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</row>
    <row r="25" spans="1:69" x14ac:dyDescent="0.25">
      <c r="A25" s="70">
        <v>2</v>
      </c>
      <c r="B25" s="70" t="s">
        <v>289</v>
      </c>
      <c r="C25" s="71" t="s">
        <v>290</v>
      </c>
      <c r="D25" s="70" t="s">
        <v>103</v>
      </c>
      <c r="E25" s="71" t="s">
        <v>102</v>
      </c>
      <c r="F25" s="134" t="s">
        <v>291</v>
      </c>
      <c r="G25" s="72">
        <v>12905</v>
      </c>
      <c r="H25" s="72"/>
      <c r="I25" s="72"/>
      <c r="J25" s="72"/>
      <c r="K25" s="71" t="s">
        <v>292</v>
      </c>
      <c r="L25" s="134" t="s">
        <v>293</v>
      </c>
      <c r="M25" s="71" t="s">
        <v>294</v>
      </c>
      <c r="N25" s="73">
        <v>44224</v>
      </c>
      <c r="O25" s="150">
        <v>59880</v>
      </c>
      <c r="P25" s="72">
        <v>12973</v>
      </c>
      <c r="Q25" s="74">
        <v>44224</v>
      </c>
      <c r="R25" s="74">
        <v>44561</v>
      </c>
      <c r="S25" s="70">
        <v>1500</v>
      </c>
      <c r="T25" s="71"/>
      <c r="U25" s="151"/>
      <c r="V25" s="151"/>
      <c r="W25" s="71" t="s">
        <v>106</v>
      </c>
      <c r="X25" s="75"/>
      <c r="Y25" s="75"/>
      <c r="Z25" s="76"/>
      <c r="AA25" s="77"/>
      <c r="AB25" s="75"/>
      <c r="AC25" s="75"/>
      <c r="AD25" s="75"/>
      <c r="AE25" s="78"/>
      <c r="AF25" s="79"/>
      <c r="AG25" s="2"/>
      <c r="AH25" s="2"/>
      <c r="AI25" s="80"/>
      <c r="AJ25" s="80"/>
      <c r="AK25" s="2"/>
      <c r="AL25" s="163">
        <f>$O$25-AH25+AG25+AK25</f>
        <v>59880</v>
      </c>
      <c r="AM25" s="7">
        <f>44910+64874.88+64874.88</f>
        <v>174659.76</v>
      </c>
      <c r="AN25" s="7">
        <f>5994.26</f>
        <v>5994.26</v>
      </c>
      <c r="AO25" s="7">
        <f>5994.26</f>
        <v>5994.26</v>
      </c>
      <c r="AP25" s="7">
        <f>5994.26</f>
        <v>5994.26</v>
      </c>
      <c r="AQ25" s="7"/>
      <c r="AR25" s="7">
        <f>AQ25+AP25+AO25+AN25</f>
        <v>17982.78</v>
      </c>
      <c r="AS25" s="157">
        <f>AR25+AM25</f>
        <v>192642.54</v>
      </c>
      <c r="AT25" s="79"/>
      <c r="AU25" s="79"/>
      <c r="AV25" s="79"/>
      <c r="AW25" s="77"/>
      <c r="AX25" s="79"/>
      <c r="AY25" s="81"/>
      <c r="AZ25" s="79"/>
      <c r="BA25" s="79"/>
      <c r="BB25" s="77"/>
      <c r="BC25" s="76"/>
      <c r="BD25" s="77"/>
      <c r="BE25" s="76"/>
      <c r="BF25" s="79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</row>
    <row r="26" spans="1:69" x14ac:dyDescent="0.25">
      <c r="A26" s="70"/>
      <c r="B26" s="70"/>
      <c r="C26" s="71"/>
      <c r="D26" s="70"/>
      <c r="E26" s="71"/>
      <c r="F26" s="134"/>
      <c r="G26" s="72"/>
      <c r="H26" s="72"/>
      <c r="I26" s="72"/>
      <c r="J26" s="72"/>
      <c r="K26" s="71"/>
      <c r="L26" s="134"/>
      <c r="M26" s="71"/>
      <c r="N26" s="73"/>
      <c r="O26" s="150"/>
      <c r="P26" s="72"/>
      <c r="Q26" s="74"/>
      <c r="R26" s="74"/>
      <c r="S26" s="70"/>
      <c r="T26" s="71"/>
      <c r="U26" s="151"/>
      <c r="V26" s="151"/>
      <c r="W26" s="71"/>
      <c r="X26" s="75" t="s">
        <v>182</v>
      </c>
      <c r="Y26" s="75" t="s">
        <v>187</v>
      </c>
      <c r="Z26" s="76">
        <v>44551</v>
      </c>
      <c r="AA26" s="77">
        <v>13194</v>
      </c>
      <c r="AB26" s="75" t="s">
        <v>454</v>
      </c>
      <c r="AC26" s="75" t="s">
        <v>370</v>
      </c>
      <c r="AD26" s="75" t="s">
        <v>371</v>
      </c>
      <c r="AE26" s="78">
        <f>AG26/AL25</f>
        <v>8.3414829659318637E-2</v>
      </c>
      <c r="AF26" s="79"/>
      <c r="AG26" s="2">
        <v>4994.88</v>
      </c>
      <c r="AH26" s="2"/>
      <c r="AI26" s="80"/>
      <c r="AJ26" s="80"/>
      <c r="AK26" s="2"/>
      <c r="AL26" s="163">
        <f t="shared" ref="AL26:AL28" si="1">$O$25-AH26+AG26+AK26</f>
        <v>64874.879999999997</v>
      </c>
      <c r="AM26" s="7"/>
      <c r="AN26" s="7"/>
      <c r="AO26" s="7"/>
      <c r="AP26" s="7"/>
      <c r="AQ26" s="7"/>
      <c r="AR26" s="7"/>
      <c r="AS26" s="157"/>
      <c r="AT26" s="79"/>
      <c r="AU26" s="79"/>
      <c r="AV26" s="79"/>
      <c r="AW26" s="77"/>
      <c r="AX26" s="79"/>
      <c r="AY26" s="81"/>
      <c r="AZ26" s="79"/>
      <c r="BA26" s="79"/>
      <c r="BB26" s="77"/>
      <c r="BC26" s="76"/>
      <c r="BD26" s="77"/>
      <c r="BE26" s="76"/>
      <c r="BF26" s="79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</row>
    <row r="27" spans="1:69" x14ac:dyDescent="0.25">
      <c r="A27" s="70"/>
      <c r="B27" s="70"/>
      <c r="C27" s="71"/>
      <c r="D27" s="70"/>
      <c r="E27" s="71"/>
      <c r="F27" s="134"/>
      <c r="G27" s="72"/>
      <c r="H27" s="72"/>
      <c r="I27" s="72"/>
      <c r="J27" s="72"/>
      <c r="K27" s="71"/>
      <c r="L27" s="134"/>
      <c r="M27" s="71"/>
      <c r="N27" s="73"/>
      <c r="O27" s="150"/>
      <c r="P27" s="72"/>
      <c r="Q27" s="74"/>
      <c r="R27" s="74"/>
      <c r="S27" s="70"/>
      <c r="T27" s="71"/>
      <c r="U27" s="151"/>
      <c r="V27" s="151"/>
      <c r="W27" s="71"/>
      <c r="X27" s="75"/>
      <c r="Y27" s="75" t="s">
        <v>175</v>
      </c>
      <c r="Z27" s="76">
        <v>44923</v>
      </c>
      <c r="AA27" s="77">
        <v>13457</v>
      </c>
      <c r="AB27" s="75" t="s">
        <v>455</v>
      </c>
      <c r="AC27" s="75" t="s">
        <v>418</v>
      </c>
      <c r="AD27" s="75" t="s">
        <v>419</v>
      </c>
      <c r="AE27" s="78"/>
      <c r="AF27" s="79"/>
      <c r="AG27" s="2"/>
      <c r="AH27" s="2"/>
      <c r="AI27" s="80"/>
      <c r="AJ27" s="80"/>
      <c r="AK27" s="2"/>
      <c r="AL27" s="163">
        <f t="shared" si="1"/>
        <v>59880</v>
      </c>
      <c r="AM27" s="7"/>
      <c r="AN27" s="7"/>
      <c r="AO27" s="7"/>
      <c r="AP27" s="7"/>
      <c r="AQ27" s="7"/>
      <c r="AR27" s="7"/>
      <c r="AS27" s="157"/>
      <c r="AT27" s="79"/>
      <c r="AU27" s="79"/>
      <c r="AV27" s="79"/>
      <c r="AW27" s="77"/>
      <c r="AX27" s="79"/>
      <c r="AY27" s="81"/>
      <c r="AZ27" s="79"/>
      <c r="BA27" s="79"/>
      <c r="BB27" s="77"/>
      <c r="BC27" s="76"/>
      <c r="BD27" s="77"/>
      <c r="BE27" s="76"/>
      <c r="BF27" s="79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</row>
    <row r="28" spans="1:69" x14ac:dyDescent="0.25">
      <c r="A28" s="70"/>
      <c r="B28" s="70"/>
      <c r="C28" s="71"/>
      <c r="D28" s="70"/>
      <c r="E28" s="71"/>
      <c r="F28" s="134"/>
      <c r="G28" s="72"/>
      <c r="H28" s="72"/>
      <c r="I28" s="72"/>
      <c r="J28" s="72"/>
      <c r="K28" s="71"/>
      <c r="L28" s="134"/>
      <c r="M28" s="71"/>
      <c r="N28" s="73"/>
      <c r="O28" s="150"/>
      <c r="P28" s="72"/>
      <c r="Q28" s="74"/>
      <c r="R28" s="74"/>
      <c r="S28" s="70"/>
      <c r="T28" s="71"/>
      <c r="U28" s="151"/>
      <c r="V28" s="151"/>
      <c r="W28" s="71"/>
      <c r="X28" s="75" t="s">
        <v>182</v>
      </c>
      <c r="Y28" s="75" t="s">
        <v>176</v>
      </c>
      <c r="Z28" s="76">
        <v>45286</v>
      </c>
      <c r="AA28" s="77">
        <v>13696</v>
      </c>
      <c r="AB28" s="75" t="s">
        <v>455</v>
      </c>
      <c r="AC28" s="75" t="s">
        <v>547</v>
      </c>
      <c r="AD28" s="75" t="s">
        <v>548</v>
      </c>
      <c r="AE28" s="78"/>
      <c r="AF28" s="79"/>
      <c r="AG28" s="2"/>
      <c r="AH28" s="2"/>
      <c r="AI28" s="80"/>
      <c r="AJ28" s="80"/>
      <c r="AK28" s="2"/>
      <c r="AL28" s="163">
        <f t="shared" si="1"/>
        <v>59880</v>
      </c>
      <c r="AM28" s="7"/>
      <c r="AN28" s="7"/>
      <c r="AO28" s="7"/>
      <c r="AP28" s="7"/>
      <c r="AQ28" s="7"/>
      <c r="AR28" s="7"/>
      <c r="AS28" s="157"/>
      <c r="AT28" s="79"/>
      <c r="AU28" s="79"/>
      <c r="AV28" s="79"/>
      <c r="AW28" s="77"/>
      <c r="AX28" s="79"/>
      <c r="AY28" s="81"/>
      <c r="AZ28" s="79"/>
      <c r="BA28" s="79"/>
      <c r="BB28" s="77"/>
      <c r="BC28" s="76"/>
      <c r="BD28" s="77"/>
      <c r="BE28" s="76"/>
      <c r="BF28" s="79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</row>
    <row r="29" spans="1:69" x14ac:dyDescent="0.25">
      <c r="A29" s="70">
        <v>3</v>
      </c>
      <c r="B29" s="70" t="s">
        <v>249</v>
      </c>
      <c r="C29" s="71" t="s">
        <v>250</v>
      </c>
      <c r="D29" s="71" t="s">
        <v>136</v>
      </c>
      <c r="E29" s="71" t="s">
        <v>102</v>
      </c>
      <c r="F29" s="134" t="s">
        <v>251</v>
      </c>
      <c r="G29" s="82">
        <v>12652</v>
      </c>
      <c r="H29" s="70"/>
      <c r="I29" s="70"/>
      <c r="J29" s="70"/>
      <c r="K29" s="83" t="s">
        <v>252</v>
      </c>
      <c r="L29" s="134" t="s">
        <v>253</v>
      </c>
      <c r="M29" s="84" t="s">
        <v>125</v>
      </c>
      <c r="N29" s="73">
        <v>43748</v>
      </c>
      <c r="O29" s="151">
        <v>950649</v>
      </c>
      <c r="P29" s="82">
        <v>12659</v>
      </c>
      <c r="Q29" s="73">
        <v>43748</v>
      </c>
      <c r="R29" s="73">
        <v>43830</v>
      </c>
      <c r="S29" s="83" t="s">
        <v>565</v>
      </c>
      <c r="T29" s="71"/>
      <c r="U29" s="151"/>
      <c r="V29" s="151"/>
      <c r="W29" s="71" t="s">
        <v>106</v>
      </c>
      <c r="X29" s="79"/>
      <c r="Y29" s="79"/>
      <c r="Z29" s="79"/>
      <c r="AA29" s="77"/>
      <c r="AB29" s="79"/>
      <c r="AC29" s="79"/>
      <c r="AD29" s="79"/>
      <c r="AE29" s="78"/>
      <c r="AF29" s="79"/>
      <c r="AG29" s="2"/>
      <c r="AH29" s="2"/>
      <c r="AI29" s="85"/>
      <c r="AJ29" s="80"/>
      <c r="AK29" s="2"/>
      <c r="AL29" s="157">
        <f>$O$29-AH29+AG29+AK29</f>
        <v>950649</v>
      </c>
      <c r="AM29" s="163">
        <f>1890+25030+23090.9+37552+1695+1225+10917+2685+3202+16690+708258+502+5540+3584+2475+4454+5483+2910+1741+5311+5285+5739+12272+8438+14974+7960+13153+4640+24300+35820+36609+2159.5+1830+2470+5976+1630+2600+2143+1150+2548+21487+15301+25601+21969+2175+8098+13350+41211+50377+843+29384+9148+82739.5+1918+589999+843602.05</f>
        <v>2813133.95</v>
      </c>
      <c r="AN29" s="163">
        <f>20640+43608+72787</f>
        <v>137035</v>
      </c>
      <c r="AO29" s="163">
        <f>14697+31756+56106</f>
        <v>102559</v>
      </c>
      <c r="AP29" s="163">
        <f>7050+4904</f>
        <v>11954</v>
      </c>
      <c r="AQ29" s="163"/>
      <c r="AR29" s="7">
        <f>AQ29+AP29+AO29+AN29</f>
        <v>251548</v>
      </c>
      <c r="AS29" s="157">
        <f>AR29+AM29</f>
        <v>3064681.95</v>
      </c>
      <c r="AT29" s="79"/>
      <c r="AU29" s="79"/>
      <c r="AV29" s="79"/>
      <c r="AW29" s="77"/>
      <c r="AX29" s="79"/>
      <c r="AY29" s="81"/>
      <c r="AZ29" s="79"/>
      <c r="BA29" s="79"/>
      <c r="BB29" s="77"/>
      <c r="BC29" s="76"/>
      <c r="BD29" s="77"/>
      <c r="BE29" s="76"/>
      <c r="BF29" s="79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</row>
    <row r="30" spans="1:69" x14ac:dyDescent="0.25">
      <c r="A30" s="70"/>
      <c r="B30" s="70"/>
      <c r="C30" s="71"/>
      <c r="D30" s="71"/>
      <c r="E30" s="71"/>
      <c r="F30" s="134"/>
      <c r="G30" s="82"/>
      <c r="H30" s="70"/>
      <c r="I30" s="70"/>
      <c r="J30" s="70"/>
      <c r="K30" s="83"/>
      <c r="L30" s="134"/>
      <c r="M30" s="84"/>
      <c r="N30" s="73"/>
      <c r="O30" s="151"/>
      <c r="P30" s="82"/>
      <c r="Q30" s="73"/>
      <c r="R30" s="73"/>
      <c r="S30" s="83"/>
      <c r="T30" s="71"/>
      <c r="U30" s="151"/>
      <c r="V30" s="151"/>
      <c r="W30" s="71"/>
      <c r="X30" s="79" t="s">
        <v>184</v>
      </c>
      <c r="Y30" s="79" t="s">
        <v>174</v>
      </c>
      <c r="Z30" s="76">
        <v>43825</v>
      </c>
      <c r="AA30" s="77">
        <v>12710</v>
      </c>
      <c r="AB30" s="79" t="s">
        <v>265</v>
      </c>
      <c r="AC30" s="76">
        <v>43831</v>
      </c>
      <c r="AD30" s="76">
        <v>44196</v>
      </c>
      <c r="AE30" s="78"/>
      <c r="AF30" s="79"/>
      <c r="AG30" s="2"/>
      <c r="AH30" s="2"/>
      <c r="AI30" s="85"/>
      <c r="AJ30" s="80"/>
      <c r="AK30" s="2"/>
      <c r="AL30" s="157">
        <f t="shared" ref="AL30:AL35" si="2">$O$29-AH30+AG30+AK30</f>
        <v>950649</v>
      </c>
      <c r="AM30" s="163"/>
      <c r="AN30" s="163"/>
      <c r="AO30" s="163"/>
      <c r="AP30" s="163"/>
      <c r="AQ30" s="163"/>
      <c r="AR30" s="7"/>
      <c r="AS30" s="157"/>
      <c r="AT30" s="79"/>
      <c r="AU30" s="79"/>
      <c r="AV30" s="79"/>
      <c r="AW30" s="77"/>
      <c r="AX30" s="79"/>
      <c r="AY30" s="81"/>
      <c r="AZ30" s="79"/>
      <c r="BA30" s="79"/>
      <c r="BB30" s="77"/>
      <c r="BC30" s="76"/>
      <c r="BD30" s="77"/>
      <c r="BE30" s="76"/>
      <c r="BF30" s="79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</row>
    <row r="31" spans="1:69" x14ac:dyDescent="0.25">
      <c r="A31" s="70"/>
      <c r="B31" s="70"/>
      <c r="C31" s="71"/>
      <c r="D31" s="71"/>
      <c r="E31" s="71"/>
      <c r="F31" s="134"/>
      <c r="G31" s="82"/>
      <c r="H31" s="70"/>
      <c r="I31" s="70"/>
      <c r="J31" s="70"/>
      <c r="K31" s="83"/>
      <c r="L31" s="134"/>
      <c r="M31" s="84"/>
      <c r="N31" s="73"/>
      <c r="O31" s="151"/>
      <c r="P31" s="82"/>
      <c r="Q31" s="73"/>
      <c r="R31" s="73"/>
      <c r="S31" s="83" t="s">
        <v>118</v>
      </c>
      <c r="T31" s="71"/>
      <c r="U31" s="151"/>
      <c r="V31" s="151"/>
      <c r="W31" s="71"/>
      <c r="X31" s="79" t="s">
        <v>184</v>
      </c>
      <c r="Y31" s="79" t="s">
        <v>188</v>
      </c>
      <c r="Z31" s="76">
        <v>44197</v>
      </c>
      <c r="AA31" s="77">
        <v>12953</v>
      </c>
      <c r="AB31" s="79" t="s">
        <v>265</v>
      </c>
      <c r="AC31" s="76">
        <v>44197</v>
      </c>
      <c r="AD31" s="76">
        <v>44561</v>
      </c>
      <c r="AE31" s="78"/>
      <c r="AF31" s="79"/>
      <c r="AG31" s="2"/>
      <c r="AH31" s="2"/>
      <c r="AI31" s="85"/>
      <c r="AJ31" s="80"/>
      <c r="AK31" s="2"/>
      <c r="AL31" s="157">
        <f t="shared" si="2"/>
        <v>950649</v>
      </c>
      <c r="AM31" s="163"/>
      <c r="AN31" s="163"/>
      <c r="AO31" s="163"/>
      <c r="AP31" s="163"/>
      <c r="AQ31" s="163"/>
      <c r="AR31" s="7"/>
      <c r="AS31" s="157"/>
      <c r="AT31" s="79"/>
      <c r="AU31" s="79"/>
      <c r="AV31" s="79"/>
      <c r="AW31" s="77"/>
      <c r="AX31" s="79"/>
      <c r="AY31" s="81"/>
      <c r="AZ31" s="79"/>
      <c r="BA31" s="79"/>
      <c r="BB31" s="77"/>
      <c r="BC31" s="76"/>
      <c r="BD31" s="77"/>
      <c r="BE31" s="76"/>
      <c r="BF31" s="79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</row>
    <row r="32" spans="1:69" x14ac:dyDescent="0.25">
      <c r="A32" s="70"/>
      <c r="B32" s="70"/>
      <c r="C32" s="71"/>
      <c r="D32" s="71"/>
      <c r="E32" s="71"/>
      <c r="F32" s="134"/>
      <c r="G32" s="82"/>
      <c r="H32" s="70"/>
      <c r="I32" s="70"/>
      <c r="J32" s="70"/>
      <c r="K32" s="83"/>
      <c r="L32" s="134"/>
      <c r="M32" s="84"/>
      <c r="N32" s="73"/>
      <c r="O32" s="151"/>
      <c r="P32" s="82"/>
      <c r="Q32" s="73"/>
      <c r="R32" s="73"/>
      <c r="S32" s="83"/>
      <c r="T32" s="71"/>
      <c r="U32" s="151"/>
      <c r="V32" s="151"/>
      <c r="W32" s="71"/>
      <c r="X32" s="79" t="s">
        <v>184</v>
      </c>
      <c r="Y32" s="79" t="s">
        <v>190</v>
      </c>
      <c r="Z32" s="76">
        <v>44559</v>
      </c>
      <c r="AA32" s="77">
        <v>13206</v>
      </c>
      <c r="AB32" s="79" t="s">
        <v>265</v>
      </c>
      <c r="AC32" s="76">
        <v>44562</v>
      </c>
      <c r="AD32" s="76">
        <v>44926</v>
      </c>
      <c r="AE32" s="78"/>
      <c r="AF32" s="79"/>
      <c r="AG32" s="2"/>
      <c r="AH32" s="2"/>
      <c r="AI32" s="85"/>
      <c r="AJ32" s="80"/>
      <c r="AK32" s="2"/>
      <c r="AL32" s="157">
        <f t="shared" si="2"/>
        <v>950649</v>
      </c>
      <c r="AM32" s="163"/>
      <c r="AN32" s="163"/>
      <c r="AO32" s="163"/>
      <c r="AP32" s="163"/>
      <c r="AQ32" s="163"/>
      <c r="AR32" s="7"/>
      <c r="AS32" s="157"/>
      <c r="AT32" s="79"/>
      <c r="AU32" s="79"/>
      <c r="AV32" s="79"/>
      <c r="AW32" s="77"/>
      <c r="AX32" s="79"/>
      <c r="AY32" s="81"/>
      <c r="AZ32" s="79"/>
      <c r="BA32" s="79"/>
      <c r="BB32" s="77"/>
      <c r="BC32" s="76"/>
      <c r="BD32" s="77"/>
      <c r="BE32" s="76"/>
      <c r="BF32" s="79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</row>
    <row r="33" spans="1:69" x14ac:dyDescent="0.25">
      <c r="A33" s="70"/>
      <c r="B33" s="70"/>
      <c r="C33" s="71"/>
      <c r="D33" s="71"/>
      <c r="E33" s="71"/>
      <c r="F33" s="134"/>
      <c r="G33" s="82"/>
      <c r="H33" s="70"/>
      <c r="I33" s="70"/>
      <c r="J33" s="70"/>
      <c r="K33" s="83"/>
      <c r="L33" s="134"/>
      <c r="M33" s="84"/>
      <c r="N33" s="73"/>
      <c r="O33" s="151"/>
      <c r="P33" s="82"/>
      <c r="Q33" s="73"/>
      <c r="R33" s="73"/>
      <c r="S33" s="83"/>
      <c r="T33" s="71"/>
      <c r="U33" s="151"/>
      <c r="V33" s="151"/>
      <c r="W33" s="71"/>
      <c r="X33" s="79" t="s">
        <v>184</v>
      </c>
      <c r="Y33" s="79" t="s">
        <v>195</v>
      </c>
      <c r="Z33" s="76">
        <v>44921</v>
      </c>
      <c r="AA33" s="77">
        <v>13457</v>
      </c>
      <c r="AB33" s="79" t="s">
        <v>265</v>
      </c>
      <c r="AC33" s="76">
        <v>44927</v>
      </c>
      <c r="AD33" s="76">
        <v>45291</v>
      </c>
      <c r="AE33" s="78"/>
      <c r="AF33" s="79"/>
      <c r="AG33" s="2"/>
      <c r="AH33" s="2"/>
      <c r="AI33" s="85"/>
      <c r="AJ33" s="80"/>
      <c r="AK33" s="2"/>
      <c r="AL33" s="157">
        <f t="shared" si="2"/>
        <v>950649</v>
      </c>
      <c r="AM33" s="163"/>
      <c r="AN33" s="163"/>
      <c r="AO33" s="163"/>
      <c r="AP33" s="163"/>
      <c r="AQ33" s="163"/>
      <c r="AR33" s="7"/>
      <c r="AS33" s="157"/>
      <c r="AT33" s="79"/>
      <c r="AU33" s="79"/>
      <c r="AV33" s="79"/>
      <c r="AW33" s="77"/>
      <c r="AX33" s="79"/>
      <c r="AY33" s="81"/>
      <c r="AZ33" s="79"/>
      <c r="BA33" s="79"/>
      <c r="BB33" s="77"/>
      <c r="BC33" s="76"/>
      <c r="BD33" s="77"/>
      <c r="BE33" s="76"/>
      <c r="BF33" s="79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</row>
    <row r="34" spans="1:69" x14ac:dyDescent="0.25">
      <c r="A34" s="70"/>
      <c r="B34" s="70"/>
      <c r="C34" s="71"/>
      <c r="D34" s="71"/>
      <c r="E34" s="71"/>
      <c r="F34" s="134"/>
      <c r="G34" s="82"/>
      <c r="H34" s="70"/>
      <c r="I34" s="70"/>
      <c r="J34" s="70"/>
      <c r="K34" s="83"/>
      <c r="L34" s="134"/>
      <c r="M34" s="84"/>
      <c r="N34" s="73"/>
      <c r="O34" s="151"/>
      <c r="P34" s="82"/>
      <c r="Q34" s="73"/>
      <c r="R34" s="73"/>
      <c r="S34" s="83"/>
      <c r="T34" s="71"/>
      <c r="U34" s="151"/>
      <c r="V34" s="151"/>
      <c r="W34" s="71"/>
      <c r="X34" s="79" t="s">
        <v>184</v>
      </c>
      <c r="Y34" s="79" t="s">
        <v>194</v>
      </c>
      <c r="Z34" s="76">
        <v>45209</v>
      </c>
      <c r="AA34" s="77">
        <v>13639</v>
      </c>
      <c r="AB34" s="79" t="s">
        <v>531</v>
      </c>
      <c r="AC34" s="76">
        <v>44927</v>
      </c>
      <c r="AD34" s="76">
        <v>45291</v>
      </c>
      <c r="AE34" s="78"/>
      <c r="AF34" s="79"/>
      <c r="AG34" s="2"/>
      <c r="AH34" s="2"/>
      <c r="AI34" s="85"/>
      <c r="AJ34" s="78">
        <f>AK34/AL29</f>
        <v>7.9344794976905247E-2</v>
      </c>
      <c r="AK34" s="2">
        <v>75429.05</v>
      </c>
      <c r="AL34" s="157">
        <f t="shared" si="2"/>
        <v>1026078.05</v>
      </c>
      <c r="AM34" s="163"/>
      <c r="AN34" s="163"/>
      <c r="AO34" s="163"/>
      <c r="AP34" s="163"/>
      <c r="AQ34" s="163"/>
      <c r="AR34" s="7"/>
      <c r="AS34" s="157"/>
      <c r="AT34" s="79"/>
      <c r="AU34" s="79"/>
      <c r="AV34" s="79"/>
      <c r="AW34" s="77"/>
      <c r="AX34" s="79"/>
      <c r="AY34" s="81"/>
      <c r="AZ34" s="79"/>
      <c r="BA34" s="79"/>
      <c r="BB34" s="77"/>
      <c r="BC34" s="76"/>
      <c r="BD34" s="77"/>
      <c r="BE34" s="76"/>
      <c r="BF34" s="79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</row>
    <row r="35" spans="1:69" x14ac:dyDescent="0.25">
      <c r="A35" s="70"/>
      <c r="B35" s="70"/>
      <c r="C35" s="71"/>
      <c r="D35" s="71"/>
      <c r="E35" s="71"/>
      <c r="F35" s="134"/>
      <c r="G35" s="82"/>
      <c r="H35" s="70"/>
      <c r="I35" s="70"/>
      <c r="J35" s="70"/>
      <c r="K35" s="83"/>
      <c r="L35" s="134"/>
      <c r="M35" s="84"/>
      <c r="N35" s="73"/>
      <c r="O35" s="151"/>
      <c r="P35" s="82"/>
      <c r="Q35" s="73"/>
      <c r="R35" s="73"/>
      <c r="S35" s="83"/>
      <c r="T35" s="71"/>
      <c r="U35" s="151"/>
      <c r="V35" s="151"/>
      <c r="W35" s="71"/>
      <c r="X35" s="79" t="s">
        <v>184</v>
      </c>
      <c r="Y35" s="79" t="s">
        <v>191</v>
      </c>
      <c r="Z35" s="76">
        <v>45286</v>
      </c>
      <c r="AA35" s="77">
        <v>13689</v>
      </c>
      <c r="AB35" s="79" t="s">
        <v>532</v>
      </c>
      <c r="AC35" s="76">
        <v>45292</v>
      </c>
      <c r="AD35" s="76">
        <v>45578</v>
      </c>
      <c r="AE35" s="78"/>
      <c r="AF35" s="79"/>
      <c r="AG35" s="2"/>
      <c r="AH35" s="2"/>
      <c r="AI35" s="85"/>
      <c r="AJ35" s="80"/>
      <c r="AK35" s="2"/>
      <c r="AL35" s="157">
        <f t="shared" si="2"/>
        <v>950649</v>
      </c>
      <c r="AM35" s="163"/>
      <c r="AN35" s="163"/>
      <c r="AO35" s="163"/>
      <c r="AP35" s="163"/>
      <c r="AQ35" s="163"/>
      <c r="AR35" s="7"/>
      <c r="AS35" s="157"/>
      <c r="AT35" s="79"/>
      <c r="AU35" s="79"/>
      <c r="AV35" s="79"/>
      <c r="AW35" s="77"/>
      <c r="AX35" s="79"/>
      <c r="AY35" s="81"/>
      <c r="AZ35" s="79"/>
      <c r="BA35" s="79"/>
      <c r="BB35" s="77"/>
      <c r="BC35" s="76"/>
      <c r="BD35" s="77"/>
      <c r="BE35" s="76"/>
      <c r="BF35" s="79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</row>
    <row r="36" spans="1:69" x14ac:dyDescent="0.25">
      <c r="A36" s="70">
        <v>4</v>
      </c>
      <c r="B36" s="70" t="s">
        <v>584</v>
      </c>
      <c r="C36" s="71" t="s">
        <v>585</v>
      </c>
      <c r="D36" s="71" t="s">
        <v>337</v>
      </c>
      <c r="E36" s="71" t="s">
        <v>102</v>
      </c>
      <c r="F36" s="134" t="s">
        <v>642</v>
      </c>
      <c r="G36" s="82">
        <v>13669</v>
      </c>
      <c r="H36" s="70"/>
      <c r="I36" s="70"/>
      <c r="J36" s="70"/>
      <c r="K36" s="83" t="s">
        <v>640</v>
      </c>
      <c r="L36" s="134" t="s">
        <v>641</v>
      </c>
      <c r="M36" s="71" t="s">
        <v>643</v>
      </c>
      <c r="N36" s="73">
        <v>45320</v>
      </c>
      <c r="O36" s="151">
        <v>8000</v>
      </c>
      <c r="P36" s="82">
        <v>13710</v>
      </c>
      <c r="Q36" s="73">
        <v>45320</v>
      </c>
      <c r="R36" s="73">
        <v>45657</v>
      </c>
      <c r="S36" s="83" t="s">
        <v>565</v>
      </c>
      <c r="T36" s="71"/>
      <c r="U36" s="151"/>
      <c r="V36" s="151"/>
      <c r="W36" s="71" t="s">
        <v>107</v>
      </c>
      <c r="X36" s="79"/>
      <c r="Y36" s="79"/>
      <c r="Z36" s="76"/>
      <c r="AA36" s="77"/>
      <c r="AB36" s="79"/>
      <c r="AC36" s="76"/>
      <c r="AD36" s="76"/>
      <c r="AE36" s="78"/>
      <c r="AF36" s="79"/>
      <c r="AG36" s="2"/>
      <c r="AH36" s="2"/>
      <c r="AI36" s="85"/>
      <c r="AJ36" s="80"/>
      <c r="AK36" s="2"/>
      <c r="AL36" s="157">
        <f>$O$36-AH36+AG36+AK36</f>
        <v>8000</v>
      </c>
      <c r="AM36" s="163"/>
      <c r="AN36" s="163">
        <f>2400+2400+3200</f>
        <v>8000</v>
      </c>
      <c r="AO36" s="163"/>
      <c r="AP36" s="163"/>
      <c r="AQ36" s="163"/>
      <c r="AR36" s="7">
        <f>AQ36+AP36+AO36+AN36</f>
        <v>8000</v>
      </c>
      <c r="AS36" s="157">
        <f>AR36+AM36</f>
        <v>8000</v>
      </c>
      <c r="AT36" s="79"/>
      <c r="AU36" s="79"/>
      <c r="AV36" s="79"/>
      <c r="AW36" s="77"/>
      <c r="AX36" s="79"/>
      <c r="AY36" s="81"/>
      <c r="AZ36" s="79"/>
      <c r="BA36" s="79"/>
      <c r="BB36" s="77"/>
      <c r="BC36" s="76"/>
      <c r="BD36" s="77"/>
      <c r="BE36" s="76"/>
      <c r="BF36" s="79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</row>
    <row r="37" spans="1:69" x14ac:dyDescent="0.25">
      <c r="A37" s="70"/>
      <c r="B37" s="70"/>
      <c r="C37" s="71"/>
      <c r="D37" s="71"/>
      <c r="E37" s="71"/>
      <c r="F37" s="134"/>
      <c r="G37" s="82"/>
      <c r="H37" s="70"/>
      <c r="I37" s="70"/>
      <c r="J37" s="70"/>
      <c r="K37" s="83"/>
      <c r="L37" s="134"/>
      <c r="M37" s="71"/>
      <c r="N37" s="73"/>
      <c r="O37" s="151"/>
      <c r="P37" s="82"/>
      <c r="Q37" s="73"/>
      <c r="R37" s="73"/>
      <c r="S37" s="83"/>
      <c r="T37" s="71"/>
      <c r="U37" s="151"/>
      <c r="V37" s="151"/>
      <c r="W37" s="71"/>
      <c r="X37" s="79"/>
      <c r="Y37" s="79"/>
      <c r="Z37" s="76"/>
      <c r="AA37" s="77"/>
      <c r="AB37" s="79"/>
      <c r="AC37" s="76"/>
      <c r="AD37" s="76"/>
      <c r="AE37" s="78"/>
      <c r="AF37" s="79"/>
      <c r="AG37" s="2"/>
      <c r="AH37" s="2"/>
      <c r="AI37" s="85"/>
      <c r="AJ37" s="80"/>
      <c r="AK37" s="2"/>
      <c r="AL37" s="157"/>
      <c r="AM37" s="163"/>
      <c r="AN37" s="163"/>
      <c r="AO37" s="163"/>
      <c r="AP37" s="163"/>
      <c r="AQ37" s="163"/>
      <c r="AR37" s="7"/>
      <c r="AS37" s="157"/>
      <c r="AT37" s="79"/>
      <c r="AU37" s="79"/>
      <c r="AV37" s="79"/>
      <c r="AW37" s="77"/>
      <c r="AX37" s="79"/>
      <c r="AY37" s="81"/>
      <c r="AZ37" s="79"/>
      <c r="BA37" s="79"/>
      <c r="BB37" s="77"/>
      <c r="BC37" s="76"/>
      <c r="BD37" s="77"/>
      <c r="BE37" s="76"/>
      <c r="BF37" s="79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</row>
    <row r="38" spans="1:69" x14ac:dyDescent="0.25">
      <c r="A38" s="70">
        <v>5</v>
      </c>
      <c r="B38" s="70" t="s">
        <v>584</v>
      </c>
      <c r="C38" s="71" t="s">
        <v>585</v>
      </c>
      <c r="D38" s="71" t="s">
        <v>337</v>
      </c>
      <c r="E38" s="71" t="s">
        <v>102</v>
      </c>
      <c r="F38" s="134" t="s">
        <v>586</v>
      </c>
      <c r="G38" s="82">
        <v>13669</v>
      </c>
      <c r="H38" s="70"/>
      <c r="I38" s="70"/>
      <c r="J38" s="70"/>
      <c r="K38" s="83" t="s">
        <v>587</v>
      </c>
      <c r="L38" s="134" t="s">
        <v>588</v>
      </c>
      <c r="M38" s="71" t="s">
        <v>589</v>
      </c>
      <c r="N38" s="73">
        <v>45320</v>
      </c>
      <c r="O38" s="151">
        <v>24400</v>
      </c>
      <c r="P38" s="82">
        <v>13707</v>
      </c>
      <c r="Q38" s="73">
        <v>45320</v>
      </c>
      <c r="R38" s="73">
        <v>45657</v>
      </c>
      <c r="S38" s="83" t="s">
        <v>565</v>
      </c>
      <c r="T38" s="71"/>
      <c r="U38" s="151"/>
      <c r="V38" s="151"/>
      <c r="W38" s="71" t="s">
        <v>107</v>
      </c>
      <c r="X38" s="79"/>
      <c r="Y38" s="79"/>
      <c r="Z38" s="76"/>
      <c r="AA38" s="77"/>
      <c r="AB38" s="79"/>
      <c r="AC38" s="76"/>
      <c r="AD38" s="76"/>
      <c r="AE38" s="78"/>
      <c r="AF38" s="79"/>
      <c r="AG38" s="2"/>
      <c r="AH38" s="2"/>
      <c r="AI38" s="85"/>
      <c r="AJ38" s="80"/>
      <c r="AK38" s="2"/>
      <c r="AL38" s="157">
        <f>$O$38-AH38+AG38+AK38</f>
        <v>24400</v>
      </c>
      <c r="AM38" s="163"/>
      <c r="AN38" s="163"/>
      <c r="AO38" s="163">
        <f>8540+7320+8540</f>
        <v>24400</v>
      </c>
      <c r="AP38" s="163"/>
      <c r="AQ38" s="163"/>
      <c r="AR38" s="7">
        <f>AQ38+AP38+AO38+AN38</f>
        <v>24400</v>
      </c>
      <c r="AS38" s="157">
        <f>AR38+AM38</f>
        <v>24400</v>
      </c>
      <c r="AT38" s="79"/>
      <c r="AU38" s="79"/>
      <c r="AV38" s="79"/>
      <c r="AW38" s="77"/>
      <c r="AX38" s="79"/>
      <c r="AY38" s="81"/>
      <c r="AZ38" s="79"/>
      <c r="BA38" s="79"/>
      <c r="BB38" s="77"/>
      <c r="BC38" s="76"/>
      <c r="BD38" s="77"/>
      <c r="BE38" s="76"/>
      <c r="BF38" s="79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</row>
    <row r="39" spans="1:69" x14ac:dyDescent="0.25">
      <c r="A39" s="70"/>
      <c r="B39" s="70"/>
      <c r="C39" s="71"/>
      <c r="D39" s="71"/>
      <c r="E39" s="71"/>
      <c r="F39" s="134"/>
      <c r="G39" s="82"/>
      <c r="H39" s="70"/>
      <c r="I39" s="70"/>
      <c r="J39" s="70"/>
      <c r="K39" s="83"/>
      <c r="L39" s="134"/>
      <c r="M39" s="71"/>
      <c r="N39" s="73"/>
      <c r="O39" s="151"/>
      <c r="P39" s="82"/>
      <c r="Q39" s="73"/>
      <c r="R39" s="73"/>
      <c r="S39" s="83"/>
      <c r="T39" s="71"/>
      <c r="U39" s="151"/>
      <c r="V39" s="151"/>
      <c r="W39" s="71"/>
      <c r="X39" s="79"/>
      <c r="Y39" s="79"/>
      <c r="Z39" s="76"/>
      <c r="AA39" s="77"/>
      <c r="AB39" s="79"/>
      <c r="AC39" s="76"/>
      <c r="AD39" s="76"/>
      <c r="AE39" s="78"/>
      <c r="AF39" s="79"/>
      <c r="AG39" s="2"/>
      <c r="AH39" s="2"/>
      <c r="AI39" s="85"/>
      <c r="AJ39" s="80"/>
      <c r="AK39" s="2"/>
      <c r="AL39" s="157"/>
      <c r="AM39" s="163"/>
      <c r="AN39" s="163"/>
      <c r="AO39" s="163"/>
      <c r="AP39" s="163"/>
      <c r="AQ39" s="163"/>
      <c r="AR39" s="7"/>
      <c r="AS39" s="157"/>
      <c r="AT39" s="79"/>
      <c r="AU39" s="79"/>
      <c r="AV39" s="79"/>
      <c r="AW39" s="77"/>
      <c r="AX39" s="79"/>
      <c r="AY39" s="81"/>
      <c r="AZ39" s="79"/>
      <c r="BA39" s="79"/>
      <c r="BB39" s="77"/>
      <c r="BC39" s="76"/>
      <c r="BD39" s="77"/>
      <c r="BE39" s="76"/>
      <c r="BF39" s="79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</row>
    <row r="40" spans="1:69" x14ac:dyDescent="0.25">
      <c r="A40" s="70">
        <v>6</v>
      </c>
      <c r="B40" s="70" t="s">
        <v>584</v>
      </c>
      <c r="C40" s="71" t="s">
        <v>585</v>
      </c>
      <c r="D40" s="71" t="s">
        <v>337</v>
      </c>
      <c r="E40" s="71" t="s">
        <v>102</v>
      </c>
      <c r="F40" s="134" t="s">
        <v>597</v>
      </c>
      <c r="G40" s="82">
        <v>13669</v>
      </c>
      <c r="H40" s="70"/>
      <c r="I40" s="70"/>
      <c r="J40" s="70"/>
      <c r="K40" s="83" t="s">
        <v>598</v>
      </c>
      <c r="L40" s="134" t="s">
        <v>595</v>
      </c>
      <c r="M40" s="71" t="s">
        <v>596</v>
      </c>
      <c r="N40" s="73">
        <v>45320</v>
      </c>
      <c r="O40" s="151">
        <v>9980</v>
      </c>
      <c r="P40" s="82">
        <v>13707</v>
      </c>
      <c r="Q40" s="73">
        <v>45320</v>
      </c>
      <c r="R40" s="73">
        <v>45657</v>
      </c>
      <c r="S40" s="83" t="s">
        <v>565</v>
      </c>
      <c r="T40" s="71"/>
      <c r="U40" s="151"/>
      <c r="V40" s="151"/>
      <c r="W40" s="71" t="s">
        <v>107</v>
      </c>
      <c r="X40" s="79"/>
      <c r="Y40" s="79"/>
      <c r="Z40" s="76"/>
      <c r="AA40" s="77"/>
      <c r="AB40" s="79"/>
      <c r="AC40" s="76"/>
      <c r="AD40" s="76"/>
      <c r="AE40" s="78"/>
      <c r="AF40" s="79"/>
      <c r="AG40" s="2"/>
      <c r="AH40" s="2"/>
      <c r="AI40" s="85"/>
      <c r="AJ40" s="80"/>
      <c r="AK40" s="2"/>
      <c r="AL40" s="157">
        <f>$O$40-AH40+AG40+AK40</f>
        <v>9980</v>
      </c>
      <c r="AM40" s="163"/>
      <c r="AN40" s="163">
        <f>4000+210+1150+390+390+390+1150+1150+1150</f>
        <v>9980</v>
      </c>
      <c r="AO40" s="163"/>
      <c r="AP40" s="163"/>
      <c r="AQ40" s="163"/>
      <c r="AR40" s="7">
        <f>AQ40+AP40+AO40+AN40</f>
        <v>9980</v>
      </c>
      <c r="AS40" s="157">
        <f>AR40+AM40</f>
        <v>9980</v>
      </c>
      <c r="AT40" s="79"/>
      <c r="AU40" s="79"/>
      <c r="AV40" s="79"/>
      <c r="AW40" s="77"/>
      <c r="AX40" s="79"/>
      <c r="AY40" s="81"/>
      <c r="AZ40" s="79"/>
      <c r="BA40" s="79"/>
      <c r="BB40" s="77"/>
      <c r="BC40" s="76"/>
      <c r="BD40" s="77"/>
      <c r="BE40" s="76"/>
      <c r="BF40" s="79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</row>
    <row r="41" spans="1:69" x14ac:dyDescent="0.25">
      <c r="A41" s="70"/>
      <c r="B41" s="70"/>
      <c r="C41" s="71"/>
      <c r="D41" s="71"/>
      <c r="E41" s="71"/>
      <c r="F41" s="134"/>
      <c r="G41" s="82"/>
      <c r="H41" s="70"/>
      <c r="I41" s="70"/>
      <c r="J41" s="70"/>
      <c r="K41" s="83"/>
      <c r="L41" s="134"/>
      <c r="M41" s="71"/>
      <c r="N41" s="73"/>
      <c r="O41" s="151"/>
      <c r="P41" s="82"/>
      <c r="Q41" s="73"/>
      <c r="R41" s="73"/>
      <c r="S41" s="83"/>
      <c r="T41" s="71"/>
      <c r="U41" s="151"/>
      <c r="V41" s="151"/>
      <c r="W41" s="71"/>
      <c r="X41" s="79"/>
      <c r="Y41" s="79"/>
      <c r="Z41" s="76"/>
      <c r="AA41" s="77"/>
      <c r="AB41" s="79"/>
      <c r="AC41" s="76"/>
      <c r="AD41" s="76"/>
      <c r="AE41" s="78"/>
      <c r="AF41" s="79"/>
      <c r="AG41" s="2"/>
      <c r="AH41" s="2"/>
      <c r="AI41" s="85"/>
      <c r="AJ41" s="80"/>
      <c r="AK41" s="2"/>
      <c r="AL41" s="157"/>
      <c r="AM41" s="163"/>
      <c r="AN41" s="163"/>
      <c r="AO41" s="163"/>
      <c r="AP41" s="163"/>
      <c r="AQ41" s="163"/>
      <c r="AR41" s="7"/>
      <c r="AS41" s="157"/>
      <c r="AT41" s="79"/>
      <c r="AU41" s="79"/>
      <c r="AV41" s="79"/>
      <c r="AW41" s="77"/>
      <c r="AX41" s="79"/>
      <c r="AY41" s="81"/>
      <c r="AZ41" s="79"/>
      <c r="BA41" s="79"/>
      <c r="BB41" s="77"/>
      <c r="BC41" s="76"/>
      <c r="BD41" s="77"/>
      <c r="BE41" s="76"/>
      <c r="BF41" s="79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</row>
    <row r="42" spans="1:69" x14ac:dyDescent="0.25">
      <c r="A42" s="70">
        <v>7</v>
      </c>
      <c r="B42" s="70" t="s">
        <v>584</v>
      </c>
      <c r="C42" s="71" t="s">
        <v>585</v>
      </c>
      <c r="D42" s="71" t="s">
        <v>337</v>
      </c>
      <c r="E42" s="71" t="s">
        <v>102</v>
      </c>
      <c r="F42" s="134" t="s">
        <v>601</v>
      </c>
      <c r="G42" s="82">
        <v>13669</v>
      </c>
      <c r="H42" s="70"/>
      <c r="I42" s="70"/>
      <c r="J42" s="70"/>
      <c r="K42" s="83" t="s">
        <v>599</v>
      </c>
      <c r="L42" s="134" t="s">
        <v>600</v>
      </c>
      <c r="M42" s="71" t="s">
        <v>602</v>
      </c>
      <c r="N42" s="73">
        <v>45320</v>
      </c>
      <c r="O42" s="151">
        <v>36000</v>
      </c>
      <c r="P42" s="82">
        <v>13707</v>
      </c>
      <c r="Q42" s="73">
        <v>45320</v>
      </c>
      <c r="R42" s="73">
        <v>45657</v>
      </c>
      <c r="S42" s="83" t="s">
        <v>565</v>
      </c>
      <c r="T42" s="71"/>
      <c r="U42" s="151"/>
      <c r="V42" s="151"/>
      <c r="W42" s="71" t="s">
        <v>107</v>
      </c>
      <c r="X42" s="79"/>
      <c r="Y42" s="79"/>
      <c r="Z42" s="76"/>
      <c r="AA42" s="77"/>
      <c r="AB42" s="79"/>
      <c r="AC42" s="76"/>
      <c r="AD42" s="76"/>
      <c r="AE42" s="78"/>
      <c r="AF42" s="79"/>
      <c r="AG42" s="2"/>
      <c r="AH42" s="2"/>
      <c r="AI42" s="85"/>
      <c r="AJ42" s="80"/>
      <c r="AK42" s="2"/>
      <c r="AL42" s="157">
        <f>$O$42-AH42+AG42+AK42</f>
        <v>36000</v>
      </c>
      <c r="AM42" s="163"/>
      <c r="AN42" s="163">
        <f>3855+10715+10715+10715</f>
        <v>36000</v>
      </c>
      <c r="AO42" s="163"/>
      <c r="AP42" s="163"/>
      <c r="AQ42" s="163"/>
      <c r="AR42" s="7">
        <f>AQ42+AP42+AO42+AN42</f>
        <v>36000</v>
      </c>
      <c r="AS42" s="157">
        <f>AR42+AM42</f>
        <v>36000</v>
      </c>
      <c r="AT42" s="79"/>
      <c r="AU42" s="79"/>
      <c r="AV42" s="79"/>
      <c r="AW42" s="77"/>
      <c r="AX42" s="79"/>
      <c r="AY42" s="81"/>
      <c r="AZ42" s="79"/>
      <c r="BA42" s="79"/>
      <c r="BB42" s="77"/>
      <c r="BC42" s="76"/>
      <c r="BD42" s="77"/>
      <c r="BE42" s="76"/>
      <c r="BF42" s="79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</row>
    <row r="43" spans="1:69" x14ac:dyDescent="0.25">
      <c r="A43" s="70"/>
      <c r="B43" s="70"/>
      <c r="C43" s="71"/>
      <c r="D43" s="71"/>
      <c r="E43" s="71"/>
      <c r="F43" s="134"/>
      <c r="G43" s="82"/>
      <c r="H43" s="70"/>
      <c r="I43" s="70"/>
      <c r="J43" s="70"/>
      <c r="K43" s="83"/>
      <c r="L43" s="134"/>
      <c r="M43" s="71"/>
      <c r="N43" s="73"/>
      <c r="O43" s="151"/>
      <c r="P43" s="82"/>
      <c r="Q43" s="73"/>
      <c r="R43" s="73"/>
      <c r="S43" s="83"/>
      <c r="T43" s="71"/>
      <c r="U43" s="151"/>
      <c r="V43" s="151"/>
      <c r="W43" s="71"/>
      <c r="X43" s="79"/>
      <c r="Y43" s="79"/>
      <c r="Z43" s="76"/>
      <c r="AA43" s="77"/>
      <c r="AB43" s="79"/>
      <c r="AC43" s="76"/>
      <c r="AD43" s="76"/>
      <c r="AE43" s="78"/>
      <c r="AF43" s="79"/>
      <c r="AG43" s="2"/>
      <c r="AH43" s="2"/>
      <c r="AI43" s="85"/>
      <c r="AJ43" s="80"/>
      <c r="AK43" s="2"/>
      <c r="AL43" s="157"/>
      <c r="AM43" s="163"/>
      <c r="AN43" s="163"/>
      <c r="AO43" s="163"/>
      <c r="AP43" s="163"/>
      <c r="AQ43" s="163"/>
      <c r="AR43" s="7"/>
      <c r="AS43" s="157"/>
      <c r="AT43" s="79"/>
      <c r="AU43" s="79"/>
      <c r="AV43" s="79"/>
      <c r="AW43" s="77"/>
      <c r="AX43" s="79"/>
      <c r="AY43" s="81"/>
      <c r="AZ43" s="79"/>
      <c r="BA43" s="79"/>
      <c r="BB43" s="77"/>
      <c r="BC43" s="76"/>
      <c r="BD43" s="77"/>
      <c r="BE43" s="76"/>
      <c r="BF43" s="79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</row>
    <row r="44" spans="1:69" x14ac:dyDescent="0.25">
      <c r="A44" s="70">
        <v>8</v>
      </c>
      <c r="B44" s="70" t="s">
        <v>584</v>
      </c>
      <c r="C44" s="71" t="s">
        <v>585</v>
      </c>
      <c r="D44" s="71" t="s">
        <v>337</v>
      </c>
      <c r="E44" s="71" t="s">
        <v>102</v>
      </c>
      <c r="F44" s="134" t="s">
        <v>601</v>
      </c>
      <c r="G44" s="82">
        <v>13669</v>
      </c>
      <c r="H44" s="70"/>
      <c r="I44" s="70"/>
      <c r="J44" s="70"/>
      <c r="K44" s="83" t="s">
        <v>603</v>
      </c>
      <c r="L44" s="134" t="s">
        <v>604</v>
      </c>
      <c r="M44" s="71" t="s">
        <v>605</v>
      </c>
      <c r="N44" s="73">
        <v>45320</v>
      </c>
      <c r="O44" s="151">
        <v>173114.1</v>
      </c>
      <c r="P44" s="82">
        <v>13707</v>
      </c>
      <c r="Q44" s="73">
        <v>45320</v>
      </c>
      <c r="R44" s="73">
        <v>45657</v>
      </c>
      <c r="S44" s="83" t="s">
        <v>565</v>
      </c>
      <c r="T44" s="71"/>
      <c r="U44" s="151"/>
      <c r="V44" s="151"/>
      <c r="W44" s="71" t="s">
        <v>107</v>
      </c>
      <c r="X44" s="79"/>
      <c r="Y44" s="79"/>
      <c r="Z44" s="76"/>
      <c r="AA44" s="77"/>
      <c r="AB44" s="79"/>
      <c r="AC44" s="76"/>
      <c r="AD44" s="76"/>
      <c r="AE44" s="78"/>
      <c r="AF44" s="79"/>
      <c r="AG44" s="2"/>
      <c r="AH44" s="2"/>
      <c r="AI44" s="85"/>
      <c r="AJ44" s="80"/>
      <c r="AK44" s="2"/>
      <c r="AL44" s="157">
        <f>$O$44-AH44+AG44+AK44</f>
        <v>173114.1</v>
      </c>
      <c r="AM44" s="163"/>
      <c r="AN44" s="163">
        <f>501.8+501.8+1003.6+501.8</f>
        <v>2509</v>
      </c>
      <c r="AO44" s="163"/>
      <c r="AP44" s="163"/>
      <c r="AQ44" s="163"/>
      <c r="AR44" s="7">
        <f>AQ44+AP44+AO44+AN44</f>
        <v>2509</v>
      </c>
      <c r="AS44" s="157">
        <f>AR44+AM44</f>
        <v>2509</v>
      </c>
      <c r="AT44" s="79"/>
      <c r="AU44" s="79"/>
      <c r="AV44" s="79"/>
      <c r="AW44" s="77"/>
      <c r="AX44" s="79"/>
      <c r="AY44" s="81"/>
      <c r="AZ44" s="79"/>
      <c r="BA44" s="79"/>
      <c r="BB44" s="77"/>
      <c r="BC44" s="76"/>
      <c r="BD44" s="77"/>
      <c r="BE44" s="76"/>
      <c r="BF44" s="79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</row>
    <row r="45" spans="1:69" x14ac:dyDescent="0.25">
      <c r="A45" s="70"/>
      <c r="B45" s="70"/>
      <c r="C45" s="71"/>
      <c r="D45" s="71"/>
      <c r="E45" s="71"/>
      <c r="F45" s="134"/>
      <c r="G45" s="82"/>
      <c r="H45" s="70"/>
      <c r="I45" s="70"/>
      <c r="J45" s="70"/>
      <c r="K45" s="83"/>
      <c r="L45" s="134"/>
      <c r="M45" s="71"/>
      <c r="N45" s="73"/>
      <c r="O45" s="151"/>
      <c r="P45" s="82"/>
      <c r="Q45" s="73"/>
      <c r="R45" s="73"/>
      <c r="S45" s="83"/>
      <c r="T45" s="71"/>
      <c r="U45" s="151"/>
      <c r="V45" s="151"/>
      <c r="W45" s="71"/>
      <c r="X45" s="79"/>
      <c r="Y45" s="79"/>
      <c r="Z45" s="76"/>
      <c r="AA45" s="77"/>
      <c r="AB45" s="79"/>
      <c r="AC45" s="76"/>
      <c r="AD45" s="76"/>
      <c r="AE45" s="78"/>
      <c r="AF45" s="79"/>
      <c r="AG45" s="2"/>
      <c r="AH45" s="2"/>
      <c r="AI45" s="85"/>
      <c r="AJ45" s="80"/>
      <c r="AK45" s="2"/>
      <c r="AL45" s="157"/>
      <c r="AM45" s="163"/>
      <c r="AN45" s="163"/>
      <c r="AO45" s="163"/>
      <c r="AP45" s="163"/>
      <c r="AQ45" s="163"/>
      <c r="AR45" s="7"/>
      <c r="AS45" s="157"/>
      <c r="AT45" s="79"/>
      <c r="AU45" s="79"/>
      <c r="AV45" s="79"/>
      <c r="AW45" s="77"/>
      <c r="AX45" s="79"/>
      <c r="AY45" s="81"/>
      <c r="AZ45" s="79"/>
      <c r="BA45" s="79"/>
      <c r="BB45" s="77"/>
      <c r="BC45" s="76"/>
      <c r="BD45" s="77"/>
      <c r="BE45" s="76"/>
      <c r="BF45" s="79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</row>
    <row r="46" spans="1:69" x14ac:dyDescent="0.25">
      <c r="A46" s="70">
        <v>9</v>
      </c>
      <c r="B46" s="70" t="s">
        <v>630</v>
      </c>
      <c r="C46" s="71" t="s">
        <v>631</v>
      </c>
      <c r="D46" s="71" t="s">
        <v>337</v>
      </c>
      <c r="E46" s="71" t="s">
        <v>102</v>
      </c>
      <c r="F46" s="134" t="s">
        <v>629</v>
      </c>
      <c r="G46" s="82">
        <v>13669</v>
      </c>
      <c r="H46" s="70"/>
      <c r="I46" s="70"/>
      <c r="J46" s="70"/>
      <c r="K46" s="83" t="s">
        <v>628</v>
      </c>
      <c r="L46" s="134" t="s">
        <v>632</v>
      </c>
      <c r="M46" s="71" t="s">
        <v>633</v>
      </c>
      <c r="N46" s="73">
        <v>45324</v>
      </c>
      <c r="O46" s="151">
        <v>1860000</v>
      </c>
      <c r="P46" s="82">
        <v>13719</v>
      </c>
      <c r="Q46" s="73">
        <v>45324</v>
      </c>
      <c r="R46" s="73">
        <v>45657</v>
      </c>
      <c r="S46" s="83" t="s">
        <v>565</v>
      </c>
      <c r="T46" s="71"/>
      <c r="U46" s="151"/>
      <c r="V46" s="151"/>
      <c r="W46" s="71" t="s">
        <v>106</v>
      </c>
      <c r="X46" s="79"/>
      <c r="Y46" s="79"/>
      <c r="Z46" s="76"/>
      <c r="AA46" s="77"/>
      <c r="AB46" s="79"/>
      <c r="AC46" s="76"/>
      <c r="AD46" s="76"/>
      <c r="AE46" s="78"/>
      <c r="AF46" s="79"/>
      <c r="AG46" s="2"/>
      <c r="AH46" s="2"/>
      <c r="AI46" s="85"/>
      <c r="AJ46" s="80"/>
      <c r="AK46" s="2"/>
      <c r="AL46" s="157">
        <f>$O$46-AH46+AG46+AK46</f>
        <v>1860000</v>
      </c>
      <c r="AM46" s="163"/>
      <c r="AN46" s="163">
        <f>122367.85+99460.73+27580+49481.62</f>
        <v>298890.2</v>
      </c>
      <c r="AO46" s="163"/>
      <c r="AP46" s="163"/>
      <c r="AQ46" s="163"/>
      <c r="AR46" s="7">
        <f>AQ46+AP46+AO46+AN46</f>
        <v>298890.2</v>
      </c>
      <c r="AS46" s="157">
        <f>AR46+AM46</f>
        <v>298890.2</v>
      </c>
      <c r="AT46" s="79"/>
      <c r="AU46" s="79"/>
      <c r="AV46" s="79"/>
      <c r="AW46" s="77"/>
      <c r="AX46" s="79"/>
      <c r="AY46" s="81"/>
      <c r="AZ46" s="79"/>
      <c r="BA46" s="79"/>
      <c r="BB46" s="77"/>
      <c r="BC46" s="76"/>
      <c r="BD46" s="77"/>
      <c r="BE46" s="76"/>
      <c r="BF46" s="79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</row>
    <row r="47" spans="1:69" x14ac:dyDescent="0.25">
      <c r="A47" s="70"/>
      <c r="B47" s="70"/>
      <c r="C47" s="71"/>
      <c r="D47" s="71"/>
      <c r="E47" s="71"/>
      <c r="F47" s="134"/>
      <c r="G47" s="82"/>
      <c r="H47" s="70"/>
      <c r="I47" s="70"/>
      <c r="J47" s="70"/>
      <c r="K47" s="83"/>
      <c r="L47" s="134"/>
      <c r="M47" s="71"/>
      <c r="N47" s="73"/>
      <c r="O47" s="151"/>
      <c r="P47" s="82"/>
      <c r="Q47" s="73"/>
      <c r="R47" s="73"/>
      <c r="S47" s="83"/>
      <c r="T47" s="71"/>
      <c r="U47" s="151"/>
      <c r="V47" s="151"/>
      <c r="W47" s="71"/>
      <c r="X47" s="79"/>
      <c r="Y47" s="79"/>
      <c r="Z47" s="76"/>
      <c r="AA47" s="77"/>
      <c r="AB47" s="79"/>
      <c r="AC47" s="76"/>
      <c r="AD47" s="76"/>
      <c r="AE47" s="78"/>
      <c r="AF47" s="79"/>
      <c r="AG47" s="2"/>
      <c r="AH47" s="2"/>
      <c r="AI47" s="85"/>
      <c r="AJ47" s="80"/>
      <c r="AK47" s="2"/>
      <c r="AL47" s="157"/>
      <c r="AM47" s="163"/>
      <c r="AN47" s="163"/>
      <c r="AO47" s="163"/>
      <c r="AP47" s="163"/>
      <c r="AQ47" s="163"/>
      <c r="AR47" s="7"/>
      <c r="AS47" s="157"/>
      <c r="AT47" s="79"/>
      <c r="AU47" s="79"/>
      <c r="AV47" s="79"/>
      <c r="AW47" s="77"/>
      <c r="AX47" s="79"/>
      <c r="AY47" s="81"/>
      <c r="AZ47" s="79"/>
      <c r="BA47" s="79"/>
      <c r="BB47" s="77"/>
      <c r="BC47" s="76"/>
      <c r="BD47" s="77"/>
      <c r="BE47" s="76"/>
      <c r="BF47" s="79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</row>
    <row r="48" spans="1:69" x14ac:dyDescent="0.25">
      <c r="A48" s="70">
        <v>10</v>
      </c>
      <c r="B48" s="70" t="s">
        <v>591</v>
      </c>
      <c r="C48" s="71" t="s">
        <v>592</v>
      </c>
      <c r="D48" s="71" t="s">
        <v>337</v>
      </c>
      <c r="E48" s="71" t="s">
        <v>102</v>
      </c>
      <c r="F48" s="134" t="s">
        <v>593</v>
      </c>
      <c r="G48" s="82">
        <v>13678</v>
      </c>
      <c r="H48" s="70"/>
      <c r="I48" s="70"/>
      <c r="J48" s="70"/>
      <c r="K48" s="83" t="s">
        <v>594</v>
      </c>
      <c r="L48" s="134" t="s">
        <v>595</v>
      </c>
      <c r="M48" s="71" t="s">
        <v>596</v>
      </c>
      <c r="N48" s="73">
        <v>45327</v>
      </c>
      <c r="O48" s="151">
        <v>16550</v>
      </c>
      <c r="P48" s="82">
        <v>13715</v>
      </c>
      <c r="Q48" s="73">
        <v>45327</v>
      </c>
      <c r="R48" s="73">
        <v>45657</v>
      </c>
      <c r="S48" s="83" t="s">
        <v>565</v>
      </c>
      <c r="T48" s="71"/>
      <c r="U48" s="151"/>
      <c r="V48" s="151"/>
      <c r="W48" s="71" t="s">
        <v>107</v>
      </c>
      <c r="X48" s="79"/>
      <c r="Y48" s="79"/>
      <c r="Z48" s="76"/>
      <c r="AA48" s="77"/>
      <c r="AB48" s="79"/>
      <c r="AC48" s="76"/>
      <c r="AD48" s="76"/>
      <c r="AE48" s="78"/>
      <c r="AF48" s="79"/>
      <c r="AG48" s="2"/>
      <c r="AH48" s="2"/>
      <c r="AI48" s="85"/>
      <c r="AJ48" s="80"/>
      <c r="AK48" s="2"/>
      <c r="AL48" s="157">
        <f>$O$48-AH48+AG48+AK48</f>
        <v>16550</v>
      </c>
      <c r="AM48" s="163"/>
      <c r="AN48" s="163">
        <f>450+11800+450+450+450+1475+1475</f>
        <v>16550</v>
      </c>
      <c r="AO48" s="163"/>
      <c r="AP48" s="163"/>
      <c r="AQ48" s="163"/>
      <c r="AR48" s="7">
        <f>AQ48+AP48+AO48+AN48</f>
        <v>16550</v>
      </c>
      <c r="AS48" s="157">
        <f>AR48+AM48</f>
        <v>16550</v>
      </c>
      <c r="AT48" s="79"/>
      <c r="AU48" s="79"/>
      <c r="AV48" s="79"/>
      <c r="AW48" s="77"/>
      <c r="AX48" s="79"/>
      <c r="AY48" s="81"/>
      <c r="AZ48" s="79"/>
      <c r="BA48" s="79"/>
      <c r="BB48" s="77"/>
      <c r="BC48" s="76"/>
      <c r="BD48" s="77"/>
      <c r="BE48" s="76"/>
      <c r="BF48" s="79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</row>
    <row r="49" spans="1:69" x14ac:dyDescent="0.25">
      <c r="A49" s="70"/>
      <c r="B49" s="70"/>
      <c r="C49" s="71"/>
      <c r="D49" s="71"/>
      <c r="E49" s="71"/>
      <c r="F49" s="134"/>
      <c r="G49" s="82"/>
      <c r="H49" s="70"/>
      <c r="I49" s="70"/>
      <c r="J49" s="70"/>
      <c r="K49" s="83"/>
      <c r="L49" s="134"/>
      <c r="M49" s="71"/>
      <c r="N49" s="73"/>
      <c r="O49" s="151"/>
      <c r="P49" s="82"/>
      <c r="Q49" s="73"/>
      <c r="R49" s="73"/>
      <c r="S49" s="83"/>
      <c r="T49" s="71"/>
      <c r="U49" s="151"/>
      <c r="V49" s="151"/>
      <c r="W49" s="71"/>
      <c r="X49" s="79"/>
      <c r="Y49" s="79"/>
      <c r="Z49" s="76"/>
      <c r="AA49" s="77"/>
      <c r="AB49" s="79"/>
      <c r="AC49" s="76"/>
      <c r="AD49" s="76"/>
      <c r="AE49" s="78"/>
      <c r="AF49" s="79"/>
      <c r="AG49" s="2"/>
      <c r="AH49" s="2"/>
      <c r="AI49" s="85"/>
      <c r="AJ49" s="80"/>
      <c r="AK49" s="2"/>
      <c r="AL49" s="157"/>
      <c r="AM49" s="163"/>
      <c r="AN49" s="163"/>
      <c r="AO49" s="163"/>
      <c r="AP49" s="163"/>
      <c r="AQ49" s="163"/>
      <c r="AR49" s="7"/>
      <c r="AS49" s="157"/>
      <c r="AT49" s="79"/>
      <c r="AU49" s="79"/>
      <c r="AV49" s="79"/>
      <c r="AW49" s="77"/>
      <c r="AX49" s="79"/>
      <c r="AY49" s="81"/>
      <c r="AZ49" s="79"/>
      <c r="BA49" s="79"/>
      <c r="BB49" s="77"/>
      <c r="BC49" s="76"/>
      <c r="BD49" s="77"/>
      <c r="BE49" s="76"/>
      <c r="BF49" s="79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</row>
    <row r="50" spans="1:69" x14ac:dyDescent="0.25">
      <c r="A50" s="70">
        <v>11</v>
      </c>
      <c r="B50" s="70" t="s">
        <v>591</v>
      </c>
      <c r="C50" s="71" t="s">
        <v>592</v>
      </c>
      <c r="D50" s="71" t="s">
        <v>337</v>
      </c>
      <c r="E50" s="71" t="s">
        <v>102</v>
      </c>
      <c r="F50" s="134" t="s">
        <v>608</v>
      </c>
      <c r="G50" s="82">
        <v>13678</v>
      </c>
      <c r="H50" s="70"/>
      <c r="I50" s="70"/>
      <c r="J50" s="70"/>
      <c r="K50" s="83" t="s">
        <v>606</v>
      </c>
      <c r="L50" s="134" t="s">
        <v>607</v>
      </c>
      <c r="M50" s="71" t="s">
        <v>609</v>
      </c>
      <c r="N50" s="73">
        <v>45327</v>
      </c>
      <c r="O50" s="151">
        <v>51307.5</v>
      </c>
      <c r="P50" s="82">
        <v>13714</v>
      </c>
      <c r="Q50" s="73">
        <v>45327</v>
      </c>
      <c r="R50" s="73">
        <v>45657</v>
      </c>
      <c r="S50" s="83" t="s">
        <v>565</v>
      </c>
      <c r="T50" s="71"/>
      <c r="U50" s="151"/>
      <c r="V50" s="151"/>
      <c r="W50" s="71" t="s">
        <v>107</v>
      </c>
      <c r="X50" s="79"/>
      <c r="Y50" s="79"/>
      <c r="Z50" s="76"/>
      <c r="AA50" s="77"/>
      <c r="AB50" s="79"/>
      <c r="AC50" s="76"/>
      <c r="AD50" s="76"/>
      <c r="AE50" s="78"/>
      <c r="AF50" s="79"/>
      <c r="AG50" s="2"/>
      <c r="AH50" s="2"/>
      <c r="AI50" s="85"/>
      <c r="AJ50" s="80"/>
      <c r="AK50" s="2"/>
      <c r="AL50" s="157">
        <f>$O$50-AH50+AG50+AK50</f>
        <v>51307.5</v>
      </c>
      <c r="AM50" s="163"/>
      <c r="AN50" s="163">
        <f>12794+3798.5+5597.5+5597.5</f>
        <v>27787.5</v>
      </c>
      <c r="AO50" s="163"/>
      <c r="AP50" s="163"/>
      <c r="AQ50" s="163"/>
      <c r="AR50" s="7">
        <f>AQ50+AP50+AO50+AN50</f>
        <v>27787.5</v>
      </c>
      <c r="AS50" s="157">
        <f>AR50+AM50</f>
        <v>27787.5</v>
      </c>
      <c r="AT50" s="79"/>
      <c r="AU50" s="79"/>
      <c r="AV50" s="79"/>
      <c r="AW50" s="77"/>
      <c r="AX50" s="79"/>
      <c r="AY50" s="81"/>
      <c r="AZ50" s="79"/>
      <c r="BA50" s="79"/>
      <c r="BB50" s="77"/>
      <c r="BC50" s="76"/>
      <c r="BD50" s="77"/>
      <c r="BE50" s="76"/>
      <c r="BF50" s="79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</row>
    <row r="51" spans="1:69" x14ac:dyDescent="0.25">
      <c r="A51" s="70"/>
      <c r="B51" s="70"/>
      <c r="C51" s="71"/>
      <c r="D51" s="71"/>
      <c r="E51" s="71"/>
      <c r="F51" s="134"/>
      <c r="G51" s="82"/>
      <c r="H51" s="70"/>
      <c r="I51" s="70"/>
      <c r="J51" s="70"/>
      <c r="K51" s="83"/>
      <c r="L51" s="134"/>
      <c r="M51" s="71"/>
      <c r="N51" s="73"/>
      <c r="O51" s="151"/>
      <c r="P51" s="82"/>
      <c r="Q51" s="73"/>
      <c r="R51" s="73"/>
      <c r="S51" s="83"/>
      <c r="T51" s="71"/>
      <c r="U51" s="151"/>
      <c r="V51" s="151"/>
      <c r="W51" s="71"/>
      <c r="X51" s="79"/>
      <c r="Y51" s="79"/>
      <c r="Z51" s="76"/>
      <c r="AA51" s="77"/>
      <c r="AB51" s="79"/>
      <c r="AC51" s="76"/>
      <c r="AD51" s="76"/>
      <c r="AE51" s="78"/>
      <c r="AF51" s="79"/>
      <c r="AG51" s="2"/>
      <c r="AH51" s="2"/>
      <c r="AI51" s="85"/>
      <c r="AJ51" s="80"/>
      <c r="AK51" s="2"/>
      <c r="AL51" s="157"/>
      <c r="AM51" s="163"/>
      <c r="AN51" s="163"/>
      <c r="AO51" s="163"/>
      <c r="AP51" s="163"/>
      <c r="AQ51" s="163"/>
      <c r="AR51" s="7"/>
      <c r="AS51" s="157"/>
      <c r="AT51" s="79"/>
      <c r="AU51" s="79"/>
      <c r="AV51" s="79"/>
      <c r="AW51" s="77"/>
      <c r="AX51" s="79"/>
      <c r="AY51" s="81"/>
      <c r="AZ51" s="79"/>
      <c r="BA51" s="79"/>
      <c r="BB51" s="77"/>
      <c r="BC51" s="76"/>
      <c r="BD51" s="77"/>
      <c r="BE51" s="76"/>
      <c r="BF51" s="79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</row>
    <row r="52" spans="1:69" x14ac:dyDescent="0.25">
      <c r="A52" s="70">
        <v>12</v>
      </c>
      <c r="B52" s="70" t="s">
        <v>591</v>
      </c>
      <c r="C52" s="71" t="s">
        <v>592</v>
      </c>
      <c r="D52" s="71" t="s">
        <v>337</v>
      </c>
      <c r="E52" s="71" t="s">
        <v>102</v>
      </c>
      <c r="F52" s="134" t="s">
        <v>637</v>
      </c>
      <c r="G52" s="82">
        <v>13678</v>
      </c>
      <c r="H52" s="70"/>
      <c r="I52" s="70"/>
      <c r="J52" s="70"/>
      <c r="K52" s="83" t="s">
        <v>634</v>
      </c>
      <c r="L52" s="134" t="s">
        <v>635</v>
      </c>
      <c r="M52" s="71" t="s">
        <v>636</v>
      </c>
      <c r="N52" s="73">
        <v>45327</v>
      </c>
      <c r="O52" s="151">
        <v>590</v>
      </c>
      <c r="P52" s="82">
        <v>13712</v>
      </c>
      <c r="Q52" s="73">
        <v>45327</v>
      </c>
      <c r="R52" s="73">
        <v>45657</v>
      </c>
      <c r="S52" s="83" t="s">
        <v>565</v>
      </c>
      <c r="T52" s="71"/>
      <c r="U52" s="151"/>
      <c r="V52" s="151"/>
      <c r="W52" s="71" t="s">
        <v>107</v>
      </c>
      <c r="X52" s="79"/>
      <c r="Y52" s="79"/>
      <c r="Z52" s="76"/>
      <c r="AA52" s="77"/>
      <c r="AB52" s="79"/>
      <c r="AC52" s="76"/>
      <c r="AD52" s="76"/>
      <c r="AE52" s="78"/>
      <c r="AF52" s="79"/>
      <c r="AG52" s="2"/>
      <c r="AH52" s="2"/>
      <c r="AI52" s="85"/>
      <c r="AJ52" s="80"/>
      <c r="AK52" s="2"/>
      <c r="AL52" s="157">
        <f>$O$52-AH52+AG52+AK52</f>
        <v>590</v>
      </c>
      <c r="AM52" s="163"/>
      <c r="AN52" s="163">
        <f>295+147.5+147.5</f>
        <v>590</v>
      </c>
      <c r="AO52" s="163"/>
      <c r="AP52" s="163"/>
      <c r="AQ52" s="163"/>
      <c r="AR52" s="7">
        <f>AQ52+AP52+AO52+AN52</f>
        <v>590</v>
      </c>
      <c r="AS52" s="157">
        <f>AR52+AM52</f>
        <v>590</v>
      </c>
      <c r="AT52" s="79"/>
      <c r="AU52" s="79"/>
      <c r="AV52" s="79"/>
      <c r="AW52" s="77"/>
      <c r="AX52" s="79"/>
      <c r="AY52" s="81"/>
      <c r="AZ52" s="79"/>
      <c r="BA52" s="79"/>
      <c r="BB52" s="77"/>
      <c r="BC52" s="76"/>
      <c r="BD52" s="77"/>
      <c r="BE52" s="76"/>
      <c r="BF52" s="79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</row>
    <row r="53" spans="1:69" x14ac:dyDescent="0.25">
      <c r="A53" s="70"/>
      <c r="B53" s="70"/>
      <c r="C53" s="71"/>
      <c r="D53" s="71"/>
      <c r="E53" s="71"/>
      <c r="F53" s="134"/>
      <c r="G53" s="82"/>
      <c r="H53" s="70"/>
      <c r="I53" s="70"/>
      <c r="J53" s="70"/>
      <c r="K53" s="83"/>
      <c r="L53" s="134"/>
      <c r="M53" s="71"/>
      <c r="N53" s="73"/>
      <c r="O53" s="151"/>
      <c r="P53" s="82"/>
      <c r="Q53" s="73"/>
      <c r="R53" s="73"/>
      <c r="S53" s="83"/>
      <c r="T53" s="71"/>
      <c r="U53" s="151"/>
      <c r="V53" s="151"/>
      <c r="W53" s="71"/>
      <c r="X53" s="79"/>
      <c r="Y53" s="79"/>
      <c r="Z53" s="76"/>
      <c r="AA53" s="77"/>
      <c r="AB53" s="79"/>
      <c r="AC53" s="76"/>
      <c r="AD53" s="76"/>
      <c r="AE53" s="78"/>
      <c r="AF53" s="79"/>
      <c r="AG53" s="2"/>
      <c r="AH53" s="2"/>
      <c r="AI53" s="85"/>
      <c r="AJ53" s="80"/>
      <c r="AK53" s="2"/>
      <c r="AL53" s="157"/>
      <c r="AM53" s="163"/>
      <c r="AN53" s="163"/>
      <c r="AO53" s="163"/>
      <c r="AP53" s="163"/>
      <c r="AQ53" s="163"/>
      <c r="AR53" s="7"/>
      <c r="AS53" s="157"/>
      <c r="AT53" s="79"/>
      <c r="AU53" s="79"/>
      <c r="AV53" s="79"/>
      <c r="AW53" s="77"/>
      <c r="AX53" s="79"/>
      <c r="AY53" s="81"/>
      <c r="AZ53" s="79"/>
      <c r="BA53" s="79"/>
      <c r="BB53" s="77"/>
      <c r="BC53" s="76"/>
      <c r="BD53" s="77"/>
      <c r="BE53" s="76"/>
      <c r="BF53" s="79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</row>
    <row r="54" spans="1:69" x14ac:dyDescent="0.25">
      <c r="A54" s="70">
        <v>13</v>
      </c>
      <c r="B54" s="70" t="s">
        <v>577</v>
      </c>
      <c r="C54" s="71" t="s">
        <v>578</v>
      </c>
      <c r="D54" s="71" t="s">
        <v>337</v>
      </c>
      <c r="E54" s="71" t="s">
        <v>102</v>
      </c>
      <c r="F54" s="134" t="s">
        <v>579</v>
      </c>
      <c r="G54" s="82">
        <v>13651</v>
      </c>
      <c r="H54" s="70"/>
      <c r="I54" s="70"/>
      <c r="J54" s="70"/>
      <c r="K54" s="83" t="s">
        <v>580</v>
      </c>
      <c r="L54" s="134" t="s">
        <v>304</v>
      </c>
      <c r="M54" s="71" t="s">
        <v>581</v>
      </c>
      <c r="N54" s="73">
        <v>45328</v>
      </c>
      <c r="O54" s="151">
        <v>599.9</v>
      </c>
      <c r="P54" s="82">
        <v>13710</v>
      </c>
      <c r="Q54" s="73">
        <v>45329</v>
      </c>
      <c r="R54" s="73">
        <v>45657</v>
      </c>
      <c r="S54" s="83" t="s">
        <v>565</v>
      </c>
      <c r="T54" s="71"/>
      <c r="U54" s="151"/>
      <c r="V54" s="151"/>
      <c r="W54" s="71" t="s">
        <v>107</v>
      </c>
      <c r="X54" s="79"/>
      <c r="Y54" s="79"/>
      <c r="Z54" s="76"/>
      <c r="AA54" s="77"/>
      <c r="AB54" s="79"/>
      <c r="AC54" s="76"/>
      <c r="AD54" s="76"/>
      <c r="AE54" s="78"/>
      <c r="AF54" s="79"/>
      <c r="AG54" s="2"/>
      <c r="AH54" s="2"/>
      <c r="AI54" s="85"/>
      <c r="AJ54" s="80"/>
      <c r="AK54" s="2"/>
      <c r="AL54" s="157">
        <f>$O$54-AH54+AG54+AK54</f>
        <v>599.9</v>
      </c>
      <c r="AM54" s="163"/>
      <c r="AN54" s="163"/>
      <c r="AO54" s="163">
        <v>599.9</v>
      </c>
      <c r="AP54" s="163"/>
      <c r="AQ54" s="163"/>
      <c r="AR54" s="7">
        <f>AQ54+AP54+AO54+AN54</f>
        <v>599.9</v>
      </c>
      <c r="AS54" s="157">
        <f>AR54+AM54</f>
        <v>599.9</v>
      </c>
      <c r="AT54" s="79"/>
      <c r="AU54" s="79"/>
      <c r="AV54" s="79"/>
      <c r="AW54" s="77"/>
      <c r="AX54" s="79"/>
      <c r="AY54" s="81"/>
      <c r="AZ54" s="79"/>
      <c r="BA54" s="79"/>
      <c r="BB54" s="77"/>
      <c r="BC54" s="76"/>
      <c r="BD54" s="77"/>
      <c r="BE54" s="76"/>
      <c r="BF54" s="79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</row>
    <row r="55" spans="1:69" x14ac:dyDescent="0.25">
      <c r="A55" s="70"/>
      <c r="B55" s="70"/>
      <c r="C55" s="71"/>
      <c r="D55" s="71"/>
      <c r="E55" s="71"/>
      <c r="F55" s="134"/>
      <c r="G55" s="82"/>
      <c r="H55" s="70"/>
      <c r="I55" s="70"/>
      <c r="J55" s="70"/>
      <c r="K55" s="83"/>
      <c r="L55" s="134"/>
      <c r="M55" s="71"/>
      <c r="N55" s="73"/>
      <c r="O55" s="151"/>
      <c r="P55" s="82"/>
      <c r="Q55" s="73"/>
      <c r="R55" s="73"/>
      <c r="S55" s="83"/>
      <c r="T55" s="71"/>
      <c r="U55" s="151"/>
      <c r="V55" s="151"/>
      <c r="W55" s="71"/>
      <c r="X55" s="79"/>
      <c r="Y55" s="79"/>
      <c r="Z55" s="76"/>
      <c r="AA55" s="77"/>
      <c r="AB55" s="79"/>
      <c r="AC55" s="76"/>
      <c r="AD55" s="76"/>
      <c r="AE55" s="78"/>
      <c r="AF55" s="79"/>
      <c r="AG55" s="2"/>
      <c r="AH55" s="2"/>
      <c r="AI55" s="85"/>
      <c r="AJ55" s="80"/>
      <c r="AK55" s="2"/>
      <c r="AL55" s="157"/>
      <c r="AM55" s="163"/>
      <c r="AN55" s="163"/>
      <c r="AO55" s="163"/>
      <c r="AP55" s="163"/>
      <c r="AQ55" s="163"/>
      <c r="AR55" s="7"/>
      <c r="AS55" s="157"/>
      <c r="AT55" s="79"/>
      <c r="AU55" s="79"/>
      <c r="AV55" s="79"/>
      <c r="AW55" s="77"/>
      <c r="AX55" s="79"/>
      <c r="AY55" s="81"/>
      <c r="AZ55" s="79"/>
      <c r="BA55" s="79"/>
      <c r="BB55" s="77"/>
      <c r="BC55" s="76"/>
      <c r="BD55" s="77"/>
      <c r="BE55" s="76"/>
      <c r="BF55" s="79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</row>
    <row r="56" spans="1:69" x14ac:dyDescent="0.25">
      <c r="A56" s="70">
        <v>14</v>
      </c>
      <c r="B56" s="70" t="s">
        <v>577</v>
      </c>
      <c r="C56" s="71" t="s">
        <v>578</v>
      </c>
      <c r="D56" s="71" t="s">
        <v>337</v>
      </c>
      <c r="E56" s="71" t="s">
        <v>102</v>
      </c>
      <c r="F56" s="134" t="s">
        <v>611</v>
      </c>
      <c r="G56" s="82">
        <v>13651</v>
      </c>
      <c r="H56" s="70"/>
      <c r="I56" s="70"/>
      <c r="J56" s="70"/>
      <c r="K56" s="83" t="s">
        <v>610</v>
      </c>
      <c r="L56" s="134" t="s">
        <v>613</v>
      </c>
      <c r="M56" s="71" t="s">
        <v>612</v>
      </c>
      <c r="N56" s="73">
        <v>45328</v>
      </c>
      <c r="O56" s="151">
        <v>6850</v>
      </c>
      <c r="P56" s="82">
        <v>13710</v>
      </c>
      <c r="Q56" s="73">
        <v>45328</v>
      </c>
      <c r="R56" s="73">
        <v>45657</v>
      </c>
      <c r="S56" s="83" t="s">
        <v>565</v>
      </c>
      <c r="T56" s="71"/>
      <c r="U56" s="151"/>
      <c r="V56" s="151"/>
      <c r="W56" s="71" t="s">
        <v>107</v>
      </c>
      <c r="X56" s="79"/>
      <c r="Y56" s="79"/>
      <c r="Z56" s="76"/>
      <c r="AA56" s="77"/>
      <c r="AB56" s="79"/>
      <c r="AC56" s="76"/>
      <c r="AD56" s="76"/>
      <c r="AE56" s="78"/>
      <c r="AF56" s="79"/>
      <c r="AG56" s="2"/>
      <c r="AH56" s="2"/>
      <c r="AI56" s="85"/>
      <c r="AJ56" s="80"/>
      <c r="AK56" s="2"/>
      <c r="AL56" s="157">
        <f>$O$56-AH56+AG56+AK56</f>
        <v>6850</v>
      </c>
      <c r="AM56" s="163"/>
      <c r="AN56" s="163">
        <f>5050+1500+300</f>
        <v>6850</v>
      </c>
      <c r="AO56" s="163"/>
      <c r="AP56" s="163"/>
      <c r="AQ56" s="163"/>
      <c r="AR56" s="7">
        <f>AQ56+AP56+AO56+AN56</f>
        <v>6850</v>
      </c>
      <c r="AS56" s="157">
        <f>AR56+AM56</f>
        <v>6850</v>
      </c>
      <c r="AT56" s="79"/>
      <c r="AU56" s="79"/>
      <c r="AV56" s="79"/>
      <c r="AW56" s="77"/>
      <c r="AX56" s="79"/>
      <c r="AY56" s="81"/>
      <c r="AZ56" s="79"/>
      <c r="BA56" s="79"/>
      <c r="BB56" s="77"/>
      <c r="BC56" s="76"/>
      <c r="BD56" s="77"/>
      <c r="BE56" s="76"/>
      <c r="BF56" s="79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</row>
    <row r="57" spans="1:69" x14ac:dyDescent="0.25">
      <c r="A57" s="70"/>
      <c r="B57" s="70"/>
      <c r="C57" s="71"/>
      <c r="D57" s="71"/>
      <c r="E57" s="71"/>
      <c r="F57" s="134"/>
      <c r="G57" s="82"/>
      <c r="H57" s="70"/>
      <c r="I57" s="70"/>
      <c r="J57" s="70"/>
      <c r="K57" s="83"/>
      <c r="L57" s="134"/>
      <c r="M57" s="71"/>
      <c r="N57" s="73"/>
      <c r="O57" s="151"/>
      <c r="P57" s="82"/>
      <c r="Q57" s="73"/>
      <c r="R57" s="73"/>
      <c r="S57" s="83"/>
      <c r="T57" s="71"/>
      <c r="U57" s="151"/>
      <c r="V57" s="151"/>
      <c r="W57" s="71"/>
      <c r="X57" s="79"/>
      <c r="Y57" s="79"/>
      <c r="Z57" s="76"/>
      <c r="AA57" s="77"/>
      <c r="AB57" s="79"/>
      <c r="AC57" s="76"/>
      <c r="AD57" s="76"/>
      <c r="AE57" s="78"/>
      <c r="AF57" s="79"/>
      <c r="AG57" s="2"/>
      <c r="AH57" s="2"/>
      <c r="AI57" s="85"/>
      <c r="AJ57" s="80"/>
      <c r="AK57" s="2"/>
      <c r="AL57" s="157"/>
      <c r="AM57" s="163"/>
      <c r="AN57" s="163"/>
      <c r="AO57" s="163"/>
      <c r="AP57" s="163"/>
      <c r="AQ57" s="163"/>
      <c r="AR57" s="7"/>
      <c r="AS57" s="157"/>
      <c r="AT57" s="79"/>
      <c r="AU57" s="79"/>
      <c r="AV57" s="79"/>
      <c r="AW57" s="77"/>
      <c r="AX57" s="79"/>
      <c r="AY57" s="81"/>
      <c r="AZ57" s="79"/>
      <c r="BA57" s="79"/>
      <c r="BB57" s="77"/>
      <c r="BC57" s="76"/>
      <c r="BD57" s="77"/>
      <c r="BE57" s="76"/>
      <c r="BF57" s="79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</row>
    <row r="58" spans="1:69" x14ac:dyDescent="0.25">
      <c r="A58" s="70">
        <v>15</v>
      </c>
      <c r="B58" s="70" t="s">
        <v>483</v>
      </c>
      <c r="C58" s="71" t="s">
        <v>478</v>
      </c>
      <c r="D58" s="71" t="s">
        <v>337</v>
      </c>
      <c r="E58" s="71" t="s">
        <v>102</v>
      </c>
      <c r="F58" s="134" t="s">
        <v>574</v>
      </c>
      <c r="G58" s="82">
        <v>13562</v>
      </c>
      <c r="H58" s="70"/>
      <c r="I58" s="70"/>
      <c r="J58" s="70"/>
      <c r="K58" s="83" t="s">
        <v>575</v>
      </c>
      <c r="L58" s="134" t="s">
        <v>576</v>
      </c>
      <c r="M58" s="71" t="s">
        <v>366</v>
      </c>
      <c r="N58" s="73">
        <v>45329</v>
      </c>
      <c r="O58" s="151">
        <v>142316</v>
      </c>
      <c r="P58" s="82">
        <v>13712</v>
      </c>
      <c r="Q58" s="73">
        <v>45329</v>
      </c>
      <c r="R58" s="73">
        <v>45657</v>
      </c>
      <c r="S58" s="83" t="s">
        <v>565</v>
      </c>
      <c r="T58" s="71"/>
      <c r="U58" s="151"/>
      <c r="V58" s="151"/>
      <c r="W58" s="71" t="s">
        <v>107</v>
      </c>
      <c r="X58" s="79"/>
      <c r="Y58" s="79"/>
      <c r="Z58" s="76"/>
      <c r="AA58" s="77"/>
      <c r="AB58" s="79"/>
      <c r="AC58" s="76"/>
      <c r="AD58" s="76"/>
      <c r="AE58" s="78"/>
      <c r="AF58" s="79"/>
      <c r="AG58" s="2"/>
      <c r="AH58" s="2"/>
      <c r="AI58" s="85"/>
      <c r="AJ58" s="80"/>
      <c r="AK58" s="2"/>
      <c r="AL58" s="157">
        <f>$O$58-AH58+AG58+AK58</f>
        <v>142316</v>
      </c>
      <c r="AM58" s="163"/>
      <c r="AN58" s="163">
        <f>2119.6+4693.4+1665.4+5450.4</f>
        <v>13928.8</v>
      </c>
      <c r="AO58" s="163">
        <f>1059.8+1059.8+1665.4+9084+2573.8+908.4+3028+1514</f>
        <v>20893.199999999997</v>
      </c>
      <c r="AP58" s="163"/>
      <c r="AQ58" s="163"/>
      <c r="AR58" s="7">
        <f>AQ58+AP58+AO58+AN58</f>
        <v>34822</v>
      </c>
      <c r="AS58" s="157">
        <f>AR58+AM58</f>
        <v>34822</v>
      </c>
      <c r="AT58" s="79"/>
      <c r="AU58" s="79"/>
      <c r="AV58" s="79"/>
      <c r="AW58" s="77"/>
      <c r="AX58" s="79"/>
      <c r="AY58" s="81"/>
      <c r="AZ58" s="79"/>
      <c r="BA58" s="79"/>
      <c r="BB58" s="77"/>
      <c r="BC58" s="76"/>
      <c r="BD58" s="77"/>
      <c r="BE58" s="76"/>
      <c r="BF58" s="79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</row>
    <row r="59" spans="1:69" x14ac:dyDescent="0.25">
      <c r="A59" s="70"/>
      <c r="B59" s="70"/>
      <c r="C59" s="71"/>
      <c r="D59" s="71"/>
      <c r="E59" s="71"/>
      <c r="F59" s="134"/>
      <c r="G59" s="82"/>
      <c r="H59" s="70"/>
      <c r="I59" s="70"/>
      <c r="J59" s="70"/>
      <c r="K59" s="83"/>
      <c r="L59" s="134"/>
      <c r="M59" s="71"/>
      <c r="N59" s="73"/>
      <c r="O59" s="151"/>
      <c r="P59" s="82"/>
      <c r="Q59" s="73"/>
      <c r="R59" s="73"/>
      <c r="S59" s="83"/>
      <c r="T59" s="71"/>
      <c r="U59" s="151"/>
      <c r="V59" s="151"/>
      <c r="W59" s="71"/>
      <c r="X59" s="79"/>
      <c r="Y59" s="79"/>
      <c r="Z59" s="76"/>
      <c r="AA59" s="77"/>
      <c r="AB59" s="79"/>
      <c r="AC59" s="76"/>
      <c r="AD59" s="76"/>
      <c r="AE59" s="78"/>
      <c r="AF59" s="79"/>
      <c r="AG59" s="2"/>
      <c r="AH59" s="2"/>
      <c r="AI59" s="85"/>
      <c r="AJ59" s="80"/>
      <c r="AK59" s="2"/>
      <c r="AL59" s="157"/>
      <c r="AM59" s="163"/>
      <c r="AN59" s="163"/>
      <c r="AO59" s="163"/>
      <c r="AP59" s="163"/>
      <c r="AQ59" s="163"/>
      <c r="AR59" s="7"/>
      <c r="AS59" s="157"/>
      <c r="AT59" s="79"/>
      <c r="AU59" s="79"/>
      <c r="AV59" s="79"/>
      <c r="AW59" s="77"/>
      <c r="AX59" s="79"/>
      <c r="AY59" s="81"/>
      <c r="AZ59" s="79"/>
      <c r="BA59" s="79"/>
      <c r="BB59" s="77"/>
      <c r="BC59" s="76"/>
      <c r="BD59" s="77"/>
      <c r="BE59" s="76"/>
      <c r="BF59" s="79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</row>
    <row r="60" spans="1:69" x14ac:dyDescent="0.25">
      <c r="A60" s="70">
        <v>16</v>
      </c>
      <c r="B60" s="70" t="s">
        <v>529</v>
      </c>
      <c r="C60" s="71" t="s">
        <v>525</v>
      </c>
      <c r="D60" s="71" t="s">
        <v>337</v>
      </c>
      <c r="E60" s="71" t="s">
        <v>102</v>
      </c>
      <c r="F60" s="134" t="s">
        <v>582</v>
      </c>
      <c r="G60" s="82">
        <v>13642</v>
      </c>
      <c r="H60" s="70"/>
      <c r="I60" s="70"/>
      <c r="J60" s="70"/>
      <c r="K60" s="83" t="s">
        <v>583</v>
      </c>
      <c r="L60" s="134" t="s">
        <v>260</v>
      </c>
      <c r="M60" s="71" t="s">
        <v>263</v>
      </c>
      <c r="N60" s="73">
        <v>45342</v>
      </c>
      <c r="O60" s="151">
        <v>365072.62</v>
      </c>
      <c r="P60" s="82">
        <v>13719</v>
      </c>
      <c r="Q60" s="73">
        <v>45342</v>
      </c>
      <c r="R60" s="73">
        <v>45657</v>
      </c>
      <c r="S60" s="83" t="s">
        <v>565</v>
      </c>
      <c r="T60" s="71"/>
      <c r="U60" s="151"/>
      <c r="V60" s="151"/>
      <c r="W60" s="71" t="s">
        <v>106</v>
      </c>
      <c r="X60" s="79"/>
      <c r="Y60" s="79"/>
      <c r="Z60" s="76"/>
      <c r="AA60" s="77"/>
      <c r="AB60" s="79"/>
      <c r="AC60" s="76"/>
      <c r="AD60" s="76"/>
      <c r="AE60" s="78"/>
      <c r="AF60" s="79"/>
      <c r="AG60" s="2"/>
      <c r="AH60" s="2"/>
      <c r="AI60" s="85"/>
      <c r="AJ60" s="80"/>
      <c r="AK60" s="2"/>
      <c r="AL60" s="157">
        <f>$O$60-AH60+AG60+AK60</f>
        <v>365072.62</v>
      </c>
      <c r="AM60" s="163"/>
      <c r="AN60" s="163">
        <f>15914.24</f>
        <v>15914.24</v>
      </c>
      <c r="AO60" s="163">
        <f>10110.78</f>
        <v>10110.780000000001</v>
      </c>
      <c r="AP60" s="163"/>
      <c r="AQ60" s="163"/>
      <c r="AR60" s="7">
        <f>AQ60+AP60+AO60+AN60</f>
        <v>26025.02</v>
      </c>
      <c r="AS60" s="157">
        <f>AR60+AM60</f>
        <v>26025.02</v>
      </c>
      <c r="AT60" s="79"/>
      <c r="AU60" s="79"/>
      <c r="AV60" s="79"/>
      <c r="AW60" s="77"/>
      <c r="AX60" s="79"/>
      <c r="AY60" s="81"/>
      <c r="AZ60" s="79"/>
      <c r="BA60" s="79"/>
      <c r="BB60" s="77"/>
      <c r="BC60" s="76"/>
      <c r="BD60" s="77"/>
      <c r="BE60" s="76"/>
      <c r="BF60" s="79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</row>
    <row r="61" spans="1:69" x14ac:dyDescent="0.25">
      <c r="A61" s="70"/>
      <c r="B61" s="70"/>
      <c r="C61" s="71"/>
      <c r="D61" s="71"/>
      <c r="E61" s="71"/>
      <c r="F61" s="134"/>
      <c r="G61" s="82"/>
      <c r="H61" s="70"/>
      <c r="I61" s="70"/>
      <c r="J61" s="70"/>
      <c r="K61" s="83"/>
      <c r="L61" s="134"/>
      <c r="M61" s="71"/>
      <c r="N61" s="73"/>
      <c r="O61" s="151"/>
      <c r="P61" s="82"/>
      <c r="Q61" s="73"/>
      <c r="R61" s="73"/>
      <c r="S61" s="83"/>
      <c r="T61" s="71"/>
      <c r="U61" s="151"/>
      <c r="V61" s="151"/>
      <c r="W61" s="71"/>
      <c r="X61" s="79"/>
      <c r="Y61" s="79"/>
      <c r="Z61" s="76"/>
      <c r="AA61" s="77"/>
      <c r="AB61" s="79"/>
      <c r="AC61" s="76"/>
      <c r="AD61" s="76"/>
      <c r="AE61" s="78"/>
      <c r="AF61" s="79"/>
      <c r="AG61" s="2"/>
      <c r="AH61" s="2"/>
      <c r="AI61" s="85"/>
      <c r="AJ61" s="80"/>
      <c r="AK61" s="2"/>
      <c r="AL61" s="157"/>
      <c r="AM61" s="163"/>
      <c r="AN61" s="163"/>
      <c r="AO61" s="163"/>
      <c r="AP61" s="163"/>
      <c r="AQ61" s="163"/>
      <c r="AR61" s="7"/>
      <c r="AS61" s="157"/>
      <c r="AT61" s="79"/>
      <c r="AU61" s="79"/>
      <c r="AV61" s="79"/>
      <c r="AW61" s="77"/>
      <c r="AX61" s="79"/>
      <c r="AY61" s="81"/>
      <c r="AZ61" s="79"/>
      <c r="BA61" s="79"/>
      <c r="BB61" s="77"/>
      <c r="BC61" s="76"/>
      <c r="BD61" s="77"/>
      <c r="BE61" s="76"/>
      <c r="BF61" s="79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</row>
    <row r="62" spans="1:69" x14ac:dyDescent="0.25">
      <c r="A62" s="70">
        <v>17</v>
      </c>
      <c r="B62" s="70" t="s">
        <v>585</v>
      </c>
      <c r="C62" s="71" t="s">
        <v>515</v>
      </c>
      <c r="D62" s="71" t="s">
        <v>337</v>
      </c>
      <c r="E62" s="71" t="s">
        <v>102</v>
      </c>
      <c r="F62" s="134" t="s">
        <v>625</v>
      </c>
      <c r="G62" s="82">
        <v>13638</v>
      </c>
      <c r="H62" s="70"/>
      <c r="I62" s="70"/>
      <c r="J62" s="70"/>
      <c r="K62" s="83" t="s">
        <v>638</v>
      </c>
      <c r="L62" s="134" t="s">
        <v>639</v>
      </c>
      <c r="M62" s="71" t="s">
        <v>263</v>
      </c>
      <c r="N62" s="73">
        <v>45342</v>
      </c>
      <c r="O62" s="151">
        <v>365072.62</v>
      </c>
      <c r="P62" s="82">
        <v>13736</v>
      </c>
      <c r="Q62" s="73">
        <v>45344</v>
      </c>
      <c r="R62" s="73">
        <v>45657</v>
      </c>
      <c r="S62" s="83" t="s">
        <v>565</v>
      </c>
      <c r="T62" s="71"/>
      <c r="U62" s="151"/>
      <c r="V62" s="151"/>
      <c r="W62" s="71" t="s">
        <v>107</v>
      </c>
      <c r="X62" s="79"/>
      <c r="Y62" s="79"/>
      <c r="Z62" s="76"/>
      <c r="AA62" s="77"/>
      <c r="AB62" s="79"/>
      <c r="AC62" s="76"/>
      <c r="AD62" s="76"/>
      <c r="AE62" s="78"/>
      <c r="AF62" s="79"/>
      <c r="AG62" s="2"/>
      <c r="AH62" s="2"/>
      <c r="AI62" s="85"/>
      <c r="AJ62" s="80"/>
      <c r="AK62" s="2"/>
      <c r="AL62" s="157">
        <f>$O$62-AH62+AG62+AK62</f>
        <v>365072.62</v>
      </c>
      <c r="AM62" s="163"/>
      <c r="AN62" s="163">
        <f>3498</f>
        <v>3498</v>
      </c>
      <c r="AO62" s="163"/>
      <c r="AP62" s="163"/>
      <c r="AQ62" s="163"/>
      <c r="AR62" s="7">
        <f>AQ62+AP62+AO62+AN62</f>
        <v>3498</v>
      </c>
      <c r="AS62" s="157">
        <f>AR62+AM62</f>
        <v>3498</v>
      </c>
      <c r="AT62" s="79"/>
      <c r="AU62" s="79"/>
      <c r="AV62" s="79"/>
      <c r="AW62" s="77"/>
      <c r="AX62" s="79"/>
      <c r="AY62" s="81"/>
      <c r="AZ62" s="79"/>
      <c r="BA62" s="79"/>
      <c r="BB62" s="77"/>
      <c r="BC62" s="76"/>
      <c r="BD62" s="77"/>
      <c r="BE62" s="76"/>
      <c r="BF62" s="79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</row>
    <row r="63" spans="1:69" x14ac:dyDescent="0.25">
      <c r="A63" s="70"/>
      <c r="B63" s="70"/>
      <c r="C63" s="71"/>
      <c r="D63" s="71"/>
      <c r="E63" s="71"/>
      <c r="F63" s="134"/>
      <c r="G63" s="82"/>
      <c r="H63" s="70"/>
      <c r="I63" s="70"/>
      <c r="J63" s="70"/>
      <c r="K63" s="83"/>
      <c r="L63" s="134"/>
      <c r="M63" s="71"/>
      <c r="N63" s="73"/>
      <c r="O63" s="151"/>
      <c r="P63" s="82"/>
      <c r="Q63" s="73"/>
      <c r="R63" s="73"/>
      <c r="S63" s="83"/>
      <c r="T63" s="71"/>
      <c r="U63" s="151"/>
      <c r="V63" s="151"/>
      <c r="W63" s="71"/>
      <c r="X63" s="79"/>
      <c r="Y63" s="79"/>
      <c r="Z63" s="76"/>
      <c r="AA63" s="77"/>
      <c r="AB63" s="79"/>
      <c r="AC63" s="76"/>
      <c r="AD63" s="76"/>
      <c r="AE63" s="78"/>
      <c r="AF63" s="79"/>
      <c r="AG63" s="2"/>
      <c r="AH63" s="2"/>
      <c r="AI63" s="85"/>
      <c r="AJ63" s="80"/>
      <c r="AK63" s="2"/>
      <c r="AL63" s="157"/>
      <c r="AM63" s="163"/>
      <c r="AN63" s="163"/>
      <c r="AO63" s="163"/>
      <c r="AP63" s="163"/>
      <c r="AQ63" s="163"/>
      <c r="AR63" s="7"/>
      <c r="AS63" s="157"/>
      <c r="AT63" s="79"/>
      <c r="AU63" s="79"/>
      <c r="AV63" s="79"/>
      <c r="AW63" s="77"/>
      <c r="AX63" s="79"/>
      <c r="AY63" s="81"/>
      <c r="AZ63" s="79"/>
      <c r="BA63" s="79"/>
      <c r="BB63" s="77"/>
      <c r="BC63" s="76"/>
      <c r="BD63" s="77"/>
      <c r="BE63" s="76"/>
      <c r="BF63" s="79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</row>
    <row r="64" spans="1:69" x14ac:dyDescent="0.25">
      <c r="A64" s="70">
        <v>18</v>
      </c>
      <c r="B64" s="70" t="s">
        <v>585</v>
      </c>
      <c r="C64" s="71" t="s">
        <v>515</v>
      </c>
      <c r="D64" s="71" t="s">
        <v>337</v>
      </c>
      <c r="E64" s="71" t="s">
        <v>102</v>
      </c>
      <c r="F64" s="134" t="s">
        <v>625</v>
      </c>
      <c r="G64" s="82">
        <v>13638</v>
      </c>
      <c r="H64" s="70"/>
      <c r="I64" s="70"/>
      <c r="J64" s="70"/>
      <c r="K64" s="83" t="s">
        <v>624</v>
      </c>
      <c r="L64" s="134" t="s">
        <v>466</v>
      </c>
      <c r="M64" s="71" t="s">
        <v>283</v>
      </c>
      <c r="N64" s="73">
        <v>45344</v>
      </c>
      <c r="O64" s="151">
        <v>49538.5</v>
      </c>
      <c r="P64" s="82">
        <v>13726</v>
      </c>
      <c r="Q64" s="73">
        <v>45344</v>
      </c>
      <c r="R64" s="73">
        <v>45657</v>
      </c>
      <c r="S64" s="83" t="s">
        <v>565</v>
      </c>
      <c r="T64" s="71"/>
      <c r="U64" s="151"/>
      <c r="V64" s="151"/>
      <c r="W64" s="71" t="s">
        <v>107</v>
      </c>
      <c r="X64" s="79"/>
      <c r="Y64" s="79"/>
      <c r="Z64" s="76"/>
      <c r="AA64" s="77"/>
      <c r="AB64" s="79"/>
      <c r="AC64" s="76"/>
      <c r="AD64" s="76"/>
      <c r="AE64" s="78"/>
      <c r="AF64" s="79"/>
      <c r="AG64" s="2"/>
      <c r="AH64" s="2"/>
      <c r="AI64" s="85"/>
      <c r="AJ64" s="80"/>
      <c r="AK64" s="2"/>
      <c r="AL64" s="157">
        <f>$O$64-AH64+AG64+AK64</f>
        <v>49538.5</v>
      </c>
      <c r="AM64" s="163"/>
      <c r="AN64" s="163">
        <f>1872+1802+1802+1872</f>
        <v>7348</v>
      </c>
      <c r="AO64" s="163"/>
      <c r="AP64" s="163"/>
      <c r="AQ64" s="163"/>
      <c r="AR64" s="7">
        <f>AQ64+AP64+AO64+AN64</f>
        <v>7348</v>
      </c>
      <c r="AS64" s="157">
        <f>AR64+AM64</f>
        <v>7348</v>
      </c>
      <c r="AT64" s="79"/>
      <c r="AU64" s="79"/>
      <c r="AV64" s="79"/>
      <c r="AW64" s="77"/>
      <c r="AX64" s="79"/>
      <c r="AY64" s="81"/>
      <c r="AZ64" s="79"/>
      <c r="BA64" s="79"/>
      <c r="BB64" s="77"/>
      <c r="BC64" s="76"/>
      <c r="BD64" s="77"/>
      <c r="BE64" s="76"/>
      <c r="BF64" s="79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</row>
    <row r="65" spans="1:69" x14ac:dyDescent="0.25">
      <c r="A65" s="70"/>
      <c r="B65" s="70"/>
      <c r="C65" s="71"/>
      <c r="D65" s="71"/>
      <c r="E65" s="71"/>
      <c r="F65" s="134"/>
      <c r="G65" s="82"/>
      <c r="H65" s="70"/>
      <c r="I65" s="70"/>
      <c r="J65" s="70"/>
      <c r="K65" s="83"/>
      <c r="L65" s="134"/>
      <c r="M65" s="71"/>
      <c r="N65" s="73"/>
      <c r="O65" s="151"/>
      <c r="P65" s="82"/>
      <c r="Q65" s="73"/>
      <c r="R65" s="73"/>
      <c r="S65" s="83"/>
      <c r="T65" s="71"/>
      <c r="U65" s="151"/>
      <c r="V65" s="151"/>
      <c r="W65" s="71"/>
      <c r="X65" s="79"/>
      <c r="Y65" s="79"/>
      <c r="Z65" s="76"/>
      <c r="AA65" s="77"/>
      <c r="AB65" s="79"/>
      <c r="AC65" s="76"/>
      <c r="AD65" s="76"/>
      <c r="AE65" s="78"/>
      <c r="AF65" s="79"/>
      <c r="AG65" s="2"/>
      <c r="AH65" s="2"/>
      <c r="AI65" s="85"/>
      <c r="AJ65" s="80"/>
      <c r="AK65" s="2"/>
      <c r="AL65" s="157"/>
      <c r="AM65" s="163"/>
      <c r="AN65" s="163"/>
      <c r="AO65" s="163"/>
      <c r="AP65" s="163"/>
      <c r="AQ65" s="163"/>
      <c r="AR65" s="7"/>
      <c r="AS65" s="157"/>
      <c r="AT65" s="79"/>
      <c r="AU65" s="79"/>
      <c r="AV65" s="79"/>
      <c r="AW65" s="77"/>
      <c r="AX65" s="79"/>
      <c r="AY65" s="81"/>
      <c r="AZ65" s="79"/>
      <c r="BA65" s="79"/>
      <c r="BB65" s="77"/>
      <c r="BC65" s="76"/>
      <c r="BD65" s="77"/>
      <c r="BE65" s="76"/>
      <c r="BF65" s="79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</row>
    <row r="66" spans="1:69" x14ac:dyDescent="0.25">
      <c r="A66" s="70">
        <v>19</v>
      </c>
      <c r="B66" s="70" t="s">
        <v>585</v>
      </c>
      <c r="C66" s="71" t="s">
        <v>515</v>
      </c>
      <c r="D66" s="71" t="s">
        <v>337</v>
      </c>
      <c r="E66" s="71" t="s">
        <v>102</v>
      </c>
      <c r="F66" s="134" t="s">
        <v>620</v>
      </c>
      <c r="G66" s="82">
        <v>13638</v>
      </c>
      <c r="H66" s="70"/>
      <c r="I66" s="70"/>
      <c r="J66" s="70"/>
      <c r="K66" s="83" t="s">
        <v>621</v>
      </c>
      <c r="L66" s="134" t="s">
        <v>622</v>
      </c>
      <c r="M66" s="71" t="s">
        <v>623</v>
      </c>
      <c r="N66" s="73">
        <v>45344</v>
      </c>
      <c r="O66" s="151">
        <v>26106</v>
      </c>
      <c r="P66" s="82">
        <v>13728</v>
      </c>
      <c r="Q66" s="73">
        <v>45344</v>
      </c>
      <c r="R66" s="73">
        <v>45657</v>
      </c>
      <c r="S66" s="83" t="s">
        <v>565</v>
      </c>
      <c r="T66" s="71"/>
      <c r="U66" s="151"/>
      <c r="V66" s="151"/>
      <c r="W66" s="71" t="s">
        <v>107</v>
      </c>
      <c r="X66" s="79"/>
      <c r="Y66" s="79"/>
      <c r="Z66" s="76"/>
      <c r="AA66" s="77"/>
      <c r="AB66" s="79"/>
      <c r="AC66" s="76"/>
      <c r="AD66" s="76"/>
      <c r="AE66" s="78"/>
      <c r="AF66" s="79"/>
      <c r="AG66" s="2"/>
      <c r="AH66" s="2"/>
      <c r="AI66" s="85"/>
      <c r="AJ66" s="80"/>
      <c r="AK66" s="2"/>
      <c r="AL66" s="157">
        <f>$O$66-AH66+AG66+AK66</f>
        <v>26106</v>
      </c>
      <c r="AM66" s="163"/>
      <c r="AN66" s="163">
        <f>10092.25+207.5+4294.75+4294.75+6594.25+207.5+207.5+207.5</f>
        <v>26106</v>
      </c>
      <c r="AO66" s="163"/>
      <c r="AP66" s="163"/>
      <c r="AQ66" s="163"/>
      <c r="AR66" s="7">
        <f>AQ66+AP66+AO66+AN66</f>
        <v>26106</v>
      </c>
      <c r="AS66" s="157">
        <f>AR66+AM66</f>
        <v>26106</v>
      </c>
      <c r="AT66" s="79"/>
      <c r="AU66" s="79"/>
      <c r="AV66" s="79"/>
      <c r="AW66" s="77"/>
      <c r="AX66" s="79"/>
      <c r="AY66" s="81"/>
      <c r="AZ66" s="79"/>
      <c r="BA66" s="79"/>
      <c r="BB66" s="77"/>
      <c r="BC66" s="76"/>
      <c r="BD66" s="77"/>
      <c r="BE66" s="76"/>
      <c r="BF66" s="79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</row>
    <row r="67" spans="1:69" x14ac:dyDescent="0.25">
      <c r="A67" s="70"/>
      <c r="B67" s="70"/>
      <c r="C67" s="71"/>
      <c r="D67" s="71"/>
      <c r="E67" s="71"/>
      <c r="F67" s="134"/>
      <c r="G67" s="82"/>
      <c r="H67" s="70"/>
      <c r="I67" s="70"/>
      <c r="J67" s="70"/>
      <c r="K67" s="83"/>
      <c r="L67" s="134"/>
      <c r="M67" s="71"/>
      <c r="N67" s="73"/>
      <c r="O67" s="151"/>
      <c r="P67" s="82"/>
      <c r="Q67" s="73"/>
      <c r="R67" s="73"/>
      <c r="S67" s="83"/>
      <c r="T67" s="71"/>
      <c r="U67" s="151"/>
      <c r="V67" s="151"/>
      <c r="W67" s="71"/>
      <c r="X67" s="79"/>
      <c r="Y67" s="79"/>
      <c r="Z67" s="76"/>
      <c r="AA67" s="77"/>
      <c r="AB67" s="79"/>
      <c r="AC67" s="76"/>
      <c r="AD67" s="76"/>
      <c r="AE67" s="78"/>
      <c r="AF67" s="79"/>
      <c r="AG67" s="2"/>
      <c r="AH67" s="2"/>
      <c r="AI67" s="85"/>
      <c r="AJ67" s="80"/>
      <c r="AK67" s="2"/>
      <c r="AL67" s="157"/>
      <c r="AM67" s="163"/>
      <c r="AN67" s="163"/>
      <c r="AO67" s="163"/>
      <c r="AP67" s="163"/>
      <c r="AQ67" s="163"/>
      <c r="AR67" s="7"/>
      <c r="AS67" s="157"/>
      <c r="AT67" s="79"/>
      <c r="AU67" s="79"/>
      <c r="AV67" s="79"/>
      <c r="AW67" s="77"/>
      <c r="AX67" s="79"/>
      <c r="AY67" s="81"/>
      <c r="AZ67" s="79"/>
      <c r="BA67" s="79"/>
      <c r="BB67" s="77"/>
      <c r="BC67" s="76"/>
      <c r="BD67" s="77"/>
      <c r="BE67" s="76"/>
      <c r="BF67" s="79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</row>
    <row r="68" spans="1:69" x14ac:dyDescent="0.25">
      <c r="A68" s="70">
        <v>20</v>
      </c>
      <c r="B68" s="70" t="s">
        <v>584</v>
      </c>
      <c r="C68" s="71" t="s">
        <v>585</v>
      </c>
      <c r="D68" s="71" t="s">
        <v>337</v>
      </c>
      <c r="E68" s="71" t="s">
        <v>102</v>
      </c>
      <c r="F68" s="134" t="s">
        <v>627</v>
      </c>
      <c r="G68" s="82">
        <v>13638</v>
      </c>
      <c r="H68" s="70"/>
      <c r="I68" s="70"/>
      <c r="J68" s="70"/>
      <c r="K68" s="83" t="s">
        <v>626</v>
      </c>
      <c r="L68" s="134" t="s">
        <v>600</v>
      </c>
      <c r="M68" s="71" t="s">
        <v>602</v>
      </c>
      <c r="N68" s="73">
        <v>45344</v>
      </c>
      <c r="O68" s="151">
        <v>2398</v>
      </c>
      <c r="P68" s="82">
        <v>13726</v>
      </c>
      <c r="Q68" s="73">
        <v>45344</v>
      </c>
      <c r="R68" s="73">
        <v>45657</v>
      </c>
      <c r="S68" s="83" t="s">
        <v>565</v>
      </c>
      <c r="T68" s="71"/>
      <c r="U68" s="151"/>
      <c r="V68" s="151"/>
      <c r="W68" s="71" t="s">
        <v>107</v>
      </c>
      <c r="X68" s="79"/>
      <c r="Y68" s="79"/>
      <c r="Z68" s="76"/>
      <c r="AA68" s="77"/>
      <c r="AB68" s="79"/>
      <c r="AC68" s="76"/>
      <c r="AD68" s="76"/>
      <c r="AE68" s="78"/>
      <c r="AF68" s="79"/>
      <c r="AG68" s="2"/>
      <c r="AH68" s="2"/>
      <c r="AI68" s="85"/>
      <c r="AJ68" s="80"/>
      <c r="AK68" s="2"/>
      <c r="AL68" s="157">
        <f>$O$68-AH68+AG68+AK68</f>
        <v>2398</v>
      </c>
      <c r="AM68" s="163"/>
      <c r="AN68" s="163">
        <f>2398.5</f>
        <v>2398.5</v>
      </c>
      <c r="AO68" s="163"/>
      <c r="AP68" s="163"/>
      <c r="AQ68" s="163"/>
      <c r="AR68" s="7">
        <f>AQ68+AP68+AO68+AN68</f>
        <v>2398.5</v>
      </c>
      <c r="AS68" s="157">
        <f>AR68+AM68</f>
        <v>2398.5</v>
      </c>
      <c r="AT68" s="79"/>
      <c r="AU68" s="79"/>
      <c r="AV68" s="79"/>
      <c r="AW68" s="77"/>
      <c r="AX68" s="79"/>
      <c r="AY68" s="81"/>
      <c r="AZ68" s="79"/>
      <c r="BA68" s="79"/>
      <c r="BB68" s="77"/>
      <c r="BC68" s="76"/>
      <c r="BD68" s="77"/>
      <c r="BE68" s="76"/>
      <c r="BF68" s="79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</row>
    <row r="69" spans="1:69" x14ac:dyDescent="0.25">
      <c r="A69" s="70"/>
      <c r="B69" s="70"/>
      <c r="C69" s="71"/>
      <c r="D69" s="71"/>
      <c r="E69" s="71"/>
      <c r="F69" s="134"/>
      <c r="G69" s="82"/>
      <c r="H69" s="70"/>
      <c r="I69" s="70"/>
      <c r="J69" s="70"/>
      <c r="K69" s="83"/>
      <c r="L69" s="134"/>
      <c r="M69" s="71"/>
      <c r="N69" s="73"/>
      <c r="O69" s="151"/>
      <c r="P69" s="82"/>
      <c r="Q69" s="73"/>
      <c r="R69" s="73"/>
      <c r="S69" s="83"/>
      <c r="T69" s="71"/>
      <c r="U69" s="151"/>
      <c r="V69" s="151"/>
      <c r="W69" s="71"/>
      <c r="X69" s="79"/>
      <c r="Y69" s="79"/>
      <c r="Z69" s="76"/>
      <c r="AA69" s="77"/>
      <c r="AB69" s="79"/>
      <c r="AC69" s="76"/>
      <c r="AD69" s="76"/>
      <c r="AE69" s="78"/>
      <c r="AF69" s="79"/>
      <c r="AG69" s="2"/>
      <c r="AH69" s="2"/>
      <c r="AI69" s="85"/>
      <c r="AJ69" s="80"/>
      <c r="AK69" s="2"/>
      <c r="AL69" s="157"/>
      <c r="AM69" s="163"/>
      <c r="AN69" s="163"/>
      <c r="AO69" s="163"/>
      <c r="AP69" s="163"/>
      <c r="AQ69" s="163"/>
      <c r="AR69" s="7"/>
      <c r="AS69" s="157"/>
      <c r="AT69" s="79"/>
      <c r="AU69" s="79"/>
      <c r="AV69" s="79"/>
      <c r="AW69" s="77"/>
      <c r="AX69" s="79"/>
      <c r="AY69" s="81"/>
      <c r="AZ69" s="79"/>
      <c r="BA69" s="79"/>
      <c r="BB69" s="77"/>
      <c r="BC69" s="76"/>
      <c r="BD69" s="77"/>
      <c r="BE69" s="76"/>
      <c r="BF69" s="79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</row>
    <row r="70" spans="1:69" x14ac:dyDescent="0.25">
      <c r="A70" s="70">
        <v>21</v>
      </c>
      <c r="B70" s="70" t="s">
        <v>523</v>
      </c>
      <c r="C70" s="71" t="s">
        <v>524</v>
      </c>
      <c r="D70" s="71" t="s">
        <v>337</v>
      </c>
      <c r="E70" s="71" t="s">
        <v>102</v>
      </c>
      <c r="F70" s="134" t="s">
        <v>649</v>
      </c>
      <c r="G70" s="82">
        <v>13569</v>
      </c>
      <c r="H70" s="70"/>
      <c r="I70" s="70"/>
      <c r="J70" s="70"/>
      <c r="K70" s="83" t="s">
        <v>648</v>
      </c>
      <c r="L70" s="134" t="s">
        <v>496</v>
      </c>
      <c r="M70" s="71" t="s">
        <v>480</v>
      </c>
      <c r="N70" s="73">
        <v>45357</v>
      </c>
      <c r="O70" s="151">
        <v>45716</v>
      </c>
      <c r="P70" s="82">
        <v>13732</v>
      </c>
      <c r="Q70" s="73">
        <v>45357</v>
      </c>
      <c r="R70" s="73">
        <v>45657</v>
      </c>
      <c r="S70" s="83" t="s">
        <v>650</v>
      </c>
      <c r="T70" s="71"/>
      <c r="U70" s="151"/>
      <c r="V70" s="151"/>
      <c r="W70" s="71" t="s">
        <v>107</v>
      </c>
      <c r="X70" s="79"/>
      <c r="Y70" s="79"/>
      <c r="Z70" s="76"/>
      <c r="AA70" s="77"/>
      <c r="AB70" s="79"/>
      <c r="AC70" s="76"/>
      <c r="AD70" s="76"/>
      <c r="AE70" s="78"/>
      <c r="AF70" s="79"/>
      <c r="AG70" s="2"/>
      <c r="AH70" s="2"/>
      <c r="AI70" s="85"/>
      <c r="AJ70" s="80"/>
      <c r="AK70" s="2"/>
      <c r="AL70" s="157">
        <f>$O$70-AH70+AG70+AK70</f>
        <v>45716</v>
      </c>
      <c r="AM70" s="163"/>
      <c r="AN70" s="163">
        <f>2051.7+265+9146.9+8286.4</f>
        <v>19750</v>
      </c>
      <c r="AO70" s="163"/>
      <c r="AP70" s="163"/>
      <c r="AQ70" s="163"/>
      <c r="AR70" s="7">
        <f>AQ70+AP70+AO70+AN70</f>
        <v>19750</v>
      </c>
      <c r="AS70" s="157">
        <f>AR70+AM70</f>
        <v>19750</v>
      </c>
      <c r="AT70" s="79"/>
      <c r="AU70" s="79"/>
      <c r="AV70" s="79"/>
      <c r="AW70" s="77"/>
      <c r="AX70" s="79"/>
      <c r="AY70" s="81"/>
      <c r="AZ70" s="79"/>
      <c r="BA70" s="79"/>
      <c r="BB70" s="77"/>
      <c r="BC70" s="76"/>
      <c r="BD70" s="77"/>
      <c r="BE70" s="76"/>
      <c r="BF70" s="79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</row>
    <row r="71" spans="1:69" x14ac:dyDescent="0.25">
      <c r="A71" s="70"/>
      <c r="B71" s="70"/>
      <c r="C71" s="71"/>
      <c r="D71" s="71"/>
      <c r="E71" s="71"/>
      <c r="F71" s="134"/>
      <c r="G71" s="82"/>
      <c r="H71" s="70"/>
      <c r="I71" s="70"/>
      <c r="J71" s="70"/>
      <c r="K71" s="83"/>
      <c r="L71" s="134"/>
      <c r="M71" s="71"/>
      <c r="N71" s="73"/>
      <c r="O71" s="151"/>
      <c r="P71" s="82"/>
      <c r="Q71" s="73"/>
      <c r="R71" s="73"/>
      <c r="S71" s="83"/>
      <c r="T71" s="71"/>
      <c r="U71" s="151"/>
      <c r="V71" s="151"/>
      <c r="W71" s="71"/>
      <c r="X71" s="79"/>
      <c r="Y71" s="79"/>
      <c r="Z71" s="76"/>
      <c r="AA71" s="77"/>
      <c r="AB71" s="79"/>
      <c r="AC71" s="76"/>
      <c r="AD71" s="76"/>
      <c r="AE71" s="78"/>
      <c r="AF71" s="79"/>
      <c r="AG71" s="2"/>
      <c r="AH71" s="2"/>
      <c r="AI71" s="85"/>
      <c r="AJ71" s="80"/>
      <c r="AK71" s="2"/>
      <c r="AL71" s="157"/>
      <c r="AM71" s="163"/>
      <c r="AN71" s="163"/>
      <c r="AO71" s="163"/>
      <c r="AP71" s="163"/>
      <c r="AQ71" s="163"/>
      <c r="AR71" s="7"/>
      <c r="AS71" s="157"/>
      <c r="AT71" s="79"/>
      <c r="AU71" s="79"/>
      <c r="AV71" s="79"/>
      <c r="AW71" s="77"/>
      <c r="AX71" s="79"/>
      <c r="AY71" s="81"/>
      <c r="AZ71" s="79"/>
      <c r="BA71" s="79"/>
      <c r="BB71" s="77"/>
      <c r="BC71" s="76"/>
      <c r="BD71" s="77"/>
      <c r="BE71" s="76"/>
      <c r="BF71" s="79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</row>
    <row r="72" spans="1:69" x14ac:dyDescent="0.25">
      <c r="A72" s="70">
        <v>22</v>
      </c>
      <c r="B72" s="70" t="s">
        <v>523</v>
      </c>
      <c r="C72" s="71" t="s">
        <v>524</v>
      </c>
      <c r="D72" s="71" t="s">
        <v>337</v>
      </c>
      <c r="E72" s="71" t="s">
        <v>102</v>
      </c>
      <c r="F72" s="134" t="s">
        <v>652</v>
      </c>
      <c r="G72" s="82">
        <v>13569</v>
      </c>
      <c r="H72" s="70"/>
      <c r="I72" s="70"/>
      <c r="J72" s="70"/>
      <c r="K72" s="83" t="s">
        <v>651</v>
      </c>
      <c r="L72" s="134" t="s">
        <v>475</v>
      </c>
      <c r="M72" s="71" t="s">
        <v>497</v>
      </c>
      <c r="N72" s="73">
        <v>45357</v>
      </c>
      <c r="O72" s="151">
        <v>22199.1</v>
      </c>
      <c r="P72" s="82">
        <v>13732</v>
      </c>
      <c r="Q72" s="73">
        <v>45357</v>
      </c>
      <c r="R72" s="73">
        <v>45657</v>
      </c>
      <c r="S72" s="83" t="s">
        <v>650</v>
      </c>
      <c r="T72" s="71"/>
      <c r="U72" s="151"/>
      <c r="V72" s="151"/>
      <c r="W72" s="71" t="s">
        <v>107</v>
      </c>
      <c r="X72" s="79"/>
      <c r="Y72" s="79"/>
      <c r="Z72" s="76"/>
      <c r="AA72" s="77"/>
      <c r="AB72" s="79"/>
      <c r="AC72" s="76"/>
      <c r="AD72" s="76"/>
      <c r="AE72" s="78"/>
      <c r="AF72" s="79"/>
      <c r="AG72" s="2"/>
      <c r="AH72" s="2"/>
      <c r="AI72" s="85"/>
      <c r="AJ72" s="80"/>
      <c r="AK72" s="2"/>
      <c r="AL72" s="157">
        <f>$O$72-AH72+AG72+AK72</f>
        <v>22199.1</v>
      </c>
      <c r="AM72" s="163"/>
      <c r="AN72" s="163">
        <f>613.8+886.6+4194.3+4535.3</f>
        <v>10230</v>
      </c>
      <c r="AO72" s="163"/>
      <c r="AP72" s="163"/>
      <c r="AQ72" s="163"/>
      <c r="AR72" s="7">
        <f>AQ72+AP72+AO72+AN72</f>
        <v>10230</v>
      </c>
      <c r="AS72" s="157">
        <f>AR72+AM72</f>
        <v>10230</v>
      </c>
      <c r="AT72" s="79"/>
      <c r="AU72" s="79"/>
      <c r="AV72" s="79"/>
      <c r="AW72" s="77"/>
      <c r="AX72" s="79"/>
      <c r="AY72" s="81"/>
      <c r="AZ72" s="79"/>
      <c r="BA72" s="79"/>
      <c r="BB72" s="77"/>
      <c r="BC72" s="76"/>
      <c r="BD72" s="77"/>
      <c r="BE72" s="76"/>
      <c r="BF72" s="79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</row>
    <row r="73" spans="1:69" x14ac:dyDescent="0.25">
      <c r="A73" s="70"/>
      <c r="B73" s="70"/>
      <c r="C73" s="71"/>
      <c r="D73" s="71"/>
      <c r="E73" s="71"/>
      <c r="F73" s="134"/>
      <c r="G73" s="82"/>
      <c r="H73" s="70"/>
      <c r="I73" s="70"/>
      <c r="J73" s="70"/>
      <c r="K73" s="83"/>
      <c r="L73" s="134"/>
      <c r="M73" s="71"/>
      <c r="N73" s="73"/>
      <c r="O73" s="151"/>
      <c r="P73" s="82"/>
      <c r="Q73" s="73"/>
      <c r="R73" s="73"/>
      <c r="S73" s="83"/>
      <c r="T73" s="71"/>
      <c r="U73" s="151"/>
      <c r="V73" s="151"/>
      <c r="W73" s="71"/>
      <c r="X73" s="79"/>
      <c r="Y73" s="79"/>
      <c r="Z73" s="76"/>
      <c r="AA73" s="77"/>
      <c r="AB73" s="79"/>
      <c r="AC73" s="76"/>
      <c r="AD73" s="76"/>
      <c r="AE73" s="78"/>
      <c r="AF73" s="79"/>
      <c r="AG73" s="2"/>
      <c r="AH73" s="2"/>
      <c r="AI73" s="85"/>
      <c r="AJ73" s="80"/>
      <c r="AK73" s="2"/>
      <c r="AL73" s="157"/>
      <c r="AM73" s="163"/>
      <c r="AN73" s="163"/>
      <c r="AO73" s="163"/>
      <c r="AP73" s="163"/>
      <c r="AQ73" s="163"/>
      <c r="AR73" s="7"/>
      <c r="AS73" s="157"/>
      <c r="AT73" s="79"/>
      <c r="AU73" s="79"/>
      <c r="AV73" s="79"/>
      <c r="AW73" s="77"/>
      <c r="AX73" s="79"/>
      <c r="AY73" s="81"/>
      <c r="AZ73" s="79"/>
      <c r="BA73" s="79"/>
      <c r="BB73" s="77"/>
      <c r="BC73" s="76"/>
      <c r="BD73" s="77"/>
      <c r="BE73" s="76"/>
      <c r="BF73" s="79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</row>
    <row r="74" spans="1:69" x14ac:dyDescent="0.25">
      <c r="A74" s="70">
        <v>23</v>
      </c>
      <c r="B74" s="70" t="s">
        <v>614</v>
      </c>
      <c r="C74" s="71" t="s">
        <v>615</v>
      </c>
      <c r="D74" s="71" t="s">
        <v>337</v>
      </c>
      <c r="E74" s="71" t="s">
        <v>102</v>
      </c>
      <c r="F74" s="134" t="s">
        <v>616</v>
      </c>
      <c r="G74" s="82">
        <v>13513</v>
      </c>
      <c r="H74" s="70"/>
      <c r="I74" s="70"/>
      <c r="J74" s="70"/>
      <c r="K74" s="83" t="s">
        <v>617</v>
      </c>
      <c r="L74" s="134" t="s">
        <v>618</v>
      </c>
      <c r="M74" s="71" t="s">
        <v>619</v>
      </c>
      <c r="N74" s="73">
        <v>45196</v>
      </c>
      <c r="O74" s="151">
        <v>254000</v>
      </c>
      <c r="P74" s="82">
        <v>13456</v>
      </c>
      <c r="Q74" s="73">
        <v>45196</v>
      </c>
      <c r="R74" s="73">
        <v>45562</v>
      </c>
      <c r="S74" s="83" t="s">
        <v>565</v>
      </c>
      <c r="T74" s="71"/>
      <c r="U74" s="151"/>
      <c r="V74" s="151"/>
      <c r="W74" s="71" t="s">
        <v>106</v>
      </c>
      <c r="X74" s="79"/>
      <c r="Y74" s="79"/>
      <c r="Z74" s="76"/>
      <c r="AA74" s="77"/>
      <c r="AB74" s="79"/>
      <c r="AC74" s="76"/>
      <c r="AD74" s="76"/>
      <c r="AE74" s="78"/>
      <c r="AF74" s="79"/>
      <c r="AG74" s="2"/>
      <c r="AH74" s="2"/>
      <c r="AI74" s="85"/>
      <c r="AJ74" s="80"/>
      <c r="AK74" s="2"/>
      <c r="AL74" s="157">
        <f>$O$74-AH74+AG74+AK74</f>
        <v>254000</v>
      </c>
      <c r="AM74" s="163"/>
      <c r="AN74" s="163">
        <f>4862+18330.3</f>
        <v>23192.3</v>
      </c>
      <c r="AO74" s="163"/>
      <c r="AP74" s="163"/>
      <c r="AQ74" s="163"/>
      <c r="AR74" s="7">
        <f>AQ74+AP74+AO74+AN74</f>
        <v>23192.3</v>
      </c>
      <c r="AS74" s="157">
        <f>AR74+AM74</f>
        <v>23192.3</v>
      </c>
      <c r="AT74" s="79"/>
      <c r="AU74" s="79"/>
      <c r="AV74" s="79"/>
      <c r="AW74" s="77"/>
      <c r="AX74" s="79"/>
      <c r="AY74" s="81"/>
      <c r="AZ74" s="79"/>
      <c r="BA74" s="79"/>
      <c r="BB74" s="77"/>
      <c r="BC74" s="76"/>
      <c r="BD74" s="77"/>
      <c r="BE74" s="76"/>
      <c r="BF74" s="79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</row>
    <row r="75" spans="1:69" x14ac:dyDescent="0.25">
      <c r="A75" s="70"/>
      <c r="B75" s="70"/>
      <c r="C75" s="71"/>
      <c r="D75" s="71"/>
      <c r="E75" s="71"/>
      <c r="F75" s="134"/>
      <c r="G75" s="82"/>
      <c r="H75" s="70"/>
      <c r="I75" s="70"/>
      <c r="J75" s="70"/>
      <c r="K75" s="83"/>
      <c r="L75" s="134"/>
      <c r="M75" s="71"/>
      <c r="N75" s="73"/>
      <c r="O75" s="151"/>
      <c r="P75" s="82"/>
      <c r="Q75" s="73"/>
      <c r="R75" s="73"/>
      <c r="S75" s="83"/>
      <c r="T75" s="71"/>
      <c r="U75" s="151"/>
      <c r="V75" s="151"/>
      <c r="W75" s="71"/>
      <c r="X75" s="79"/>
      <c r="Y75" s="79"/>
      <c r="Z75" s="76"/>
      <c r="AA75" s="77"/>
      <c r="AB75" s="79"/>
      <c r="AC75" s="76"/>
      <c r="AD75" s="76"/>
      <c r="AE75" s="78"/>
      <c r="AF75" s="79"/>
      <c r="AG75" s="2"/>
      <c r="AH75" s="2"/>
      <c r="AI75" s="85"/>
      <c r="AJ75" s="80"/>
      <c r="AK75" s="2"/>
      <c r="AL75" s="157"/>
      <c r="AM75" s="163"/>
      <c r="AN75" s="163"/>
      <c r="AO75" s="163"/>
      <c r="AP75" s="163"/>
      <c r="AQ75" s="163"/>
      <c r="AR75" s="7"/>
      <c r="AS75" s="157"/>
      <c r="AT75" s="79"/>
      <c r="AU75" s="79"/>
      <c r="AV75" s="79"/>
      <c r="AW75" s="77"/>
      <c r="AX75" s="79"/>
      <c r="AY75" s="81"/>
      <c r="AZ75" s="79"/>
      <c r="BA75" s="79"/>
      <c r="BB75" s="77"/>
      <c r="BC75" s="76"/>
      <c r="BD75" s="77"/>
      <c r="BE75" s="76"/>
      <c r="BF75" s="79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</row>
    <row r="76" spans="1:69" x14ac:dyDescent="0.25">
      <c r="A76" s="70">
        <v>24</v>
      </c>
      <c r="B76" s="70" t="s">
        <v>359</v>
      </c>
      <c r="C76" s="71" t="s">
        <v>360</v>
      </c>
      <c r="D76" s="71" t="s">
        <v>337</v>
      </c>
      <c r="E76" s="71" t="s">
        <v>102</v>
      </c>
      <c r="F76" s="134" t="s">
        <v>361</v>
      </c>
      <c r="G76" s="82">
        <v>13174</v>
      </c>
      <c r="H76" s="70"/>
      <c r="I76" s="70"/>
      <c r="J76" s="70"/>
      <c r="K76" s="83" t="s">
        <v>362</v>
      </c>
      <c r="L76" s="134" t="s">
        <v>363</v>
      </c>
      <c r="M76" s="71" t="s">
        <v>132</v>
      </c>
      <c r="N76" s="73">
        <v>44560</v>
      </c>
      <c r="O76" s="151">
        <v>2071428.24</v>
      </c>
      <c r="P76" s="82">
        <v>13199</v>
      </c>
      <c r="Q76" s="73">
        <v>44560</v>
      </c>
      <c r="R76" s="73">
        <v>44925</v>
      </c>
      <c r="S76" s="83" t="s">
        <v>565</v>
      </c>
      <c r="T76" s="71"/>
      <c r="U76" s="151"/>
      <c r="V76" s="151"/>
      <c r="W76" s="71" t="s">
        <v>107</v>
      </c>
      <c r="X76" s="79"/>
      <c r="Y76" s="79"/>
      <c r="Z76" s="76"/>
      <c r="AA76" s="77"/>
      <c r="AB76" s="79"/>
      <c r="AC76" s="76"/>
      <c r="AD76" s="76"/>
      <c r="AE76" s="78"/>
      <c r="AF76" s="79"/>
      <c r="AG76" s="2"/>
      <c r="AH76" s="2"/>
      <c r="AI76" s="85"/>
      <c r="AJ76" s="80"/>
      <c r="AK76" s="2"/>
      <c r="AL76" s="157">
        <f>$O$76-AH76+AG76+AK76</f>
        <v>2071428.24</v>
      </c>
      <c r="AM76" s="163">
        <f>2165475.84+3036590.97</f>
        <v>5202066.8100000005</v>
      </c>
      <c r="AN76" s="163">
        <f>271749.24</f>
        <v>271749.24</v>
      </c>
      <c r="AO76" s="163">
        <f>271749.24</f>
        <v>271749.24</v>
      </c>
      <c r="AP76" s="163">
        <f>271749.24+271749.24+172072.8</f>
        <v>715571.28</v>
      </c>
      <c r="AQ76" s="163"/>
      <c r="AR76" s="7">
        <f>AQ76+AP76+AO76+AN76</f>
        <v>1259069.76</v>
      </c>
      <c r="AS76" s="157">
        <f>AR76+AM76</f>
        <v>6461136.5700000003</v>
      </c>
      <c r="AT76" s="79"/>
      <c r="AU76" s="79"/>
      <c r="AV76" s="79"/>
      <c r="AW76" s="77"/>
      <c r="AX76" s="79"/>
      <c r="AY76" s="81"/>
      <c r="AZ76" s="79"/>
      <c r="BA76" s="79"/>
      <c r="BB76" s="77"/>
      <c r="BC76" s="76"/>
      <c r="BD76" s="77"/>
      <c r="BE76" s="76"/>
      <c r="BF76" s="79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</row>
    <row r="77" spans="1:69" x14ac:dyDescent="0.25">
      <c r="A77" s="70"/>
      <c r="B77" s="70"/>
      <c r="C77" s="71"/>
      <c r="D77" s="71"/>
      <c r="E77" s="71"/>
      <c r="F77" s="134"/>
      <c r="G77" s="82"/>
      <c r="H77" s="70"/>
      <c r="I77" s="70"/>
      <c r="J77" s="70"/>
      <c r="K77" s="83"/>
      <c r="L77" s="134"/>
      <c r="M77" s="71"/>
      <c r="N77" s="73"/>
      <c r="O77" s="151"/>
      <c r="P77" s="82"/>
      <c r="Q77" s="73"/>
      <c r="R77" s="73"/>
      <c r="S77" s="83"/>
      <c r="T77" s="71"/>
      <c r="U77" s="151"/>
      <c r="V77" s="151"/>
      <c r="W77" s="71"/>
      <c r="X77" s="79" t="s">
        <v>184</v>
      </c>
      <c r="Y77" s="79" t="s">
        <v>174</v>
      </c>
      <c r="Z77" s="76">
        <v>44788</v>
      </c>
      <c r="AA77" s="77">
        <v>13425</v>
      </c>
      <c r="AB77" s="79" t="s">
        <v>198</v>
      </c>
      <c r="AC77" s="76">
        <v>44788</v>
      </c>
      <c r="AD77" s="76">
        <v>44926</v>
      </c>
      <c r="AE77" s="78">
        <f>AG77/AL76</f>
        <v>0.24137931034482757</v>
      </c>
      <c r="AF77" s="79"/>
      <c r="AG77" s="2">
        <v>499999.92</v>
      </c>
      <c r="AH77" s="2"/>
      <c r="AI77" s="85"/>
      <c r="AJ77" s="80"/>
      <c r="AK77" s="2"/>
      <c r="AL77" s="157">
        <f t="shared" ref="AL77:AL79" si="3">$O$76-AH77+AG77+AK77</f>
        <v>2571428.16</v>
      </c>
      <c r="AM77" s="163"/>
      <c r="AN77" s="163"/>
      <c r="AO77" s="163"/>
      <c r="AP77" s="163"/>
      <c r="AQ77" s="163"/>
      <c r="AR77" s="7"/>
      <c r="AS77" s="157"/>
      <c r="AT77" s="79"/>
      <c r="AU77" s="79"/>
      <c r="AV77" s="79"/>
      <c r="AW77" s="77"/>
      <c r="AX77" s="79"/>
      <c r="AY77" s="81"/>
      <c r="AZ77" s="79"/>
      <c r="BA77" s="79"/>
      <c r="BB77" s="77"/>
      <c r="BC77" s="76"/>
      <c r="BD77" s="77"/>
      <c r="BE77" s="76"/>
      <c r="BF77" s="79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</row>
    <row r="78" spans="1:69" ht="25.5" x14ac:dyDescent="0.25">
      <c r="A78" s="70"/>
      <c r="B78" s="70"/>
      <c r="C78" s="71"/>
      <c r="D78" s="71"/>
      <c r="E78" s="71"/>
      <c r="F78" s="134"/>
      <c r="G78" s="82"/>
      <c r="H78" s="70"/>
      <c r="I78" s="70"/>
      <c r="J78" s="70"/>
      <c r="K78" s="83"/>
      <c r="L78" s="134"/>
      <c r="M78" s="71"/>
      <c r="N78" s="73"/>
      <c r="O78" s="151"/>
      <c r="P78" s="82"/>
      <c r="Q78" s="73"/>
      <c r="R78" s="73"/>
      <c r="S78" s="83"/>
      <c r="T78" s="71"/>
      <c r="U78" s="151"/>
      <c r="V78" s="151"/>
      <c r="W78" s="71"/>
      <c r="X78" s="79" t="s">
        <v>184</v>
      </c>
      <c r="Y78" s="79" t="s">
        <v>188</v>
      </c>
      <c r="Z78" s="76">
        <v>44921</v>
      </c>
      <c r="AA78" s="77">
        <v>13440</v>
      </c>
      <c r="AB78" s="79" t="s">
        <v>456</v>
      </c>
      <c r="AC78" s="76">
        <v>44927</v>
      </c>
      <c r="AD78" s="76">
        <v>45291</v>
      </c>
      <c r="AE78" s="78">
        <f>AG78/AL77</f>
        <v>0.1878626700580272</v>
      </c>
      <c r="AF78" s="79"/>
      <c r="AG78" s="2">
        <v>483075.36</v>
      </c>
      <c r="AH78" s="2"/>
      <c r="AI78" s="85"/>
      <c r="AJ78" s="80"/>
      <c r="AK78" s="2"/>
      <c r="AL78" s="157">
        <f t="shared" si="3"/>
        <v>2554503.6</v>
      </c>
      <c r="AM78" s="163"/>
      <c r="AN78" s="163"/>
      <c r="AO78" s="163"/>
      <c r="AP78" s="163"/>
      <c r="AQ78" s="163"/>
      <c r="AR78" s="7"/>
      <c r="AS78" s="157"/>
      <c r="AT78" s="79"/>
      <c r="AU78" s="79"/>
      <c r="AV78" s="79"/>
      <c r="AW78" s="77"/>
      <c r="AX78" s="79"/>
      <c r="AY78" s="81"/>
      <c r="AZ78" s="79"/>
      <c r="BA78" s="79"/>
      <c r="BB78" s="77"/>
      <c r="BC78" s="76"/>
      <c r="BD78" s="77"/>
      <c r="BE78" s="76"/>
      <c r="BF78" s="79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</row>
    <row r="79" spans="1:69" ht="25.5" x14ac:dyDescent="0.25">
      <c r="A79" s="70"/>
      <c r="B79" s="70"/>
      <c r="C79" s="71"/>
      <c r="D79" s="71"/>
      <c r="E79" s="71"/>
      <c r="F79" s="134"/>
      <c r="G79" s="82"/>
      <c r="H79" s="70"/>
      <c r="I79" s="70"/>
      <c r="J79" s="70"/>
      <c r="K79" s="83"/>
      <c r="L79" s="134"/>
      <c r="M79" s="71"/>
      <c r="N79" s="73"/>
      <c r="O79" s="151"/>
      <c r="P79" s="82"/>
      <c r="Q79" s="73"/>
      <c r="R79" s="73"/>
      <c r="S79" s="83"/>
      <c r="T79" s="71"/>
      <c r="U79" s="151"/>
      <c r="V79" s="151"/>
      <c r="W79" s="71"/>
      <c r="X79" s="79" t="s">
        <v>533</v>
      </c>
      <c r="Y79" s="79" t="s">
        <v>176</v>
      </c>
      <c r="Z79" s="76">
        <v>45286</v>
      </c>
      <c r="AA79" s="77">
        <v>13689</v>
      </c>
      <c r="AB79" s="79" t="s">
        <v>463</v>
      </c>
      <c r="AC79" s="76">
        <v>45292</v>
      </c>
      <c r="AD79" s="76">
        <v>45657</v>
      </c>
      <c r="AE79" s="78"/>
      <c r="AF79" s="79"/>
      <c r="AG79" s="2"/>
      <c r="AH79" s="2"/>
      <c r="AI79" s="85"/>
      <c r="AJ79" s="78">
        <f>AK79/AL78</f>
        <v>8.083267527984693E-2</v>
      </c>
      <c r="AK79" s="2">
        <v>206487.36</v>
      </c>
      <c r="AL79" s="157">
        <f t="shared" si="3"/>
        <v>2277915.6</v>
      </c>
      <c r="AM79" s="163"/>
      <c r="AN79" s="163"/>
      <c r="AO79" s="163"/>
      <c r="AP79" s="163"/>
      <c r="AQ79" s="163"/>
      <c r="AR79" s="7"/>
      <c r="AS79" s="157"/>
      <c r="AT79" s="79"/>
      <c r="AU79" s="79"/>
      <c r="AV79" s="79"/>
      <c r="AW79" s="77"/>
      <c r="AX79" s="79"/>
      <c r="AY79" s="81"/>
      <c r="AZ79" s="79"/>
      <c r="BA79" s="79"/>
      <c r="BB79" s="77"/>
      <c r="BC79" s="76"/>
      <c r="BD79" s="77"/>
      <c r="BE79" s="76"/>
      <c r="BF79" s="79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</row>
    <row r="80" spans="1:69" x14ac:dyDescent="0.25">
      <c r="A80" s="70">
        <v>25</v>
      </c>
      <c r="B80" s="70" t="s">
        <v>403</v>
      </c>
      <c r="C80" s="71" t="s">
        <v>394</v>
      </c>
      <c r="D80" s="71" t="s">
        <v>308</v>
      </c>
      <c r="E80" s="71" t="s">
        <v>102</v>
      </c>
      <c r="F80" s="134" t="s">
        <v>395</v>
      </c>
      <c r="G80" s="82">
        <v>13146</v>
      </c>
      <c r="H80" s="70" t="s">
        <v>404</v>
      </c>
      <c r="I80" s="74">
        <v>44482</v>
      </c>
      <c r="J80" s="74">
        <v>44847</v>
      </c>
      <c r="K80" s="83" t="s">
        <v>396</v>
      </c>
      <c r="L80" s="134" t="s">
        <v>398</v>
      </c>
      <c r="M80" s="71" t="s">
        <v>397</v>
      </c>
      <c r="N80" s="73">
        <v>44789</v>
      </c>
      <c r="O80" s="151">
        <v>784875</v>
      </c>
      <c r="P80" s="82">
        <v>13354</v>
      </c>
      <c r="Q80" s="73">
        <v>44789</v>
      </c>
      <c r="R80" s="73">
        <v>45154</v>
      </c>
      <c r="S80" s="83" t="s">
        <v>565</v>
      </c>
      <c r="T80" s="71"/>
      <c r="U80" s="151"/>
      <c r="V80" s="151"/>
      <c r="W80" s="71" t="s">
        <v>106</v>
      </c>
      <c r="X80" s="79" t="s">
        <v>185</v>
      </c>
      <c r="Y80" s="79" t="s">
        <v>187</v>
      </c>
      <c r="Z80" s="76">
        <v>45287</v>
      </c>
      <c r="AA80" s="77"/>
      <c r="AB80" s="79" t="s">
        <v>388</v>
      </c>
      <c r="AC80" s="76">
        <v>45155</v>
      </c>
      <c r="AD80" s="76">
        <v>45520</v>
      </c>
      <c r="AE80" s="78"/>
      <c r="AF80" s="79"/>
      <c r="AG80" s="2"/>
      <c r="AH80" s="2"/>
      <c r="AI80" s="85"/>
      <c r="AJ80" s="78">
        <f>AK80/AL80</f>
        <v>0.17683205014048523</v>
      </c>
      <c r="AK80" s="2">
        <v>168606</v>
      </c>
      <c r="AL80" s="157">
        <f>$O$80-AH80+AG80+AK80</f>
        <v>953481</v>
      </c>
      <c r="AM80" s="163">
        <f>80144.45+654639.2</f>
        <v>734783.64999999991</v>
      </c>
      <c r="AN80" s="163">
        <f>76278.48</f>
        <v>76278.48</v>
      </c>
      <c r="AO80" s="163">
        <f>76172.54+76172.54+76172.54+77653.73</f>
        <v>306171.34999999998</v>
      </c>
      <c r="AP80" s="163">
        <f>77655.73+140409.65</f>
        <v>218065.38</v>
      </c>
      <c r="AQ80" s="163"/>
      <c r="AR80" s="7">
        <f>AQ80+AP80+AO80+AN80</f>
        <v>600515.21</v>
      </c>
      <c r="AS80" s="157">
        <f>AR80+AM80</f>
        <v>1335298.8599999999</v>
      </c>
      <c r="AT80" s="71" t="s">
        <v>416</v>
      </c>
      <c r="AU80" s="73">
        <v>44482</v>
      </c>
      <c r="AV80" s="73">
        <v>44847</v>
      </c>
      <c r="AW80" s="82">
        <v>13147</v>
      </c>
      <c r="AX80" s="71" t="s">
        <v>482</v>
      </c>
      <c r="AY80" s="72">
        <v>13147</v>
      </c>
      <c r="AZ80" s="79"/>
      <c r="BA80" s="79"/>
      <c r="BB80" s="77"/>
      <c r="BC80" s="76"/>
      <c r="BD80" s="77"/>
      <c r="BE80" s="76"/>
      <c r="BF80" s="79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</row>
    <row r="81" spans="1:69" x14ac:dyDescent="0.25">
      <c r="A81" s="70"/>
      <c r="B81" s="70"/>
      <c r="C81" s="71"/>
      <c r="D81" s="71"/>
      <c r="E81" s="71"/>
      <c r="F81" s="134"/>
      <c r="G81" s="82"/>
      <c r="H81" s="70"/>
      <c r="I81" s="70"/>
      <c r="J81" s="70"/>
      <c r="K81" s="83"/>
      <c r="L81" s="134"/>
      <c r="M81" s="71"/>
      <c r="N81" s="73"/>
      <c r="O81" s="151"/>
      <c r="P81" s="82"/>
      <c r="Q81" s="73"/>
      <c r="R81" s="73"/>
      <c r="S81" s="83"/>
      <c r="T81" s="71"/>
      <c r="U81" s="151"/>
      <c r="V81" s="151"/>
      <c r="W81" s="71"/>
      <c r="X81" s="79" t="s">
        <v>184</v>
      </c>
      <c r="Y81" s="79" t="s">
        <v>174</v>
      </c>
      <c r="Z81" s="76">
        <v>45155</v>
      </c>
      <c r="AA81" s="77">
        <v>13600</v>
      </c>
      <c r="AB81" s="79" t="s">
        <v>535</v>
      </c>
      <c r="AC81" s="76">
        <v>45155</v>
      </c>
      <c r="AD81" s="76">
        <v>45520</v>
      </c>
      <c r="AE81" s="78"/>
      <c r="AF81" s="79"/>
      <c r="AG81" s="2"/>
      <c r="AH81" s="2"/>
      <c r="AI81" s="85"/>
      <c r="AJ81" s="80"/>
      <c r="AK81" s="2"/>
      <c r="AL81" s="157">
        <f>$O$80-AH81+AG81+AK81</f>
        <v>784875</v>
      </c>
      <c r="AM81" s="163"/>
      <c r="AN81" s="163"/>
      <c r="AO81" s="163"/>
      <c r="AP81" s="163"/>
      <c r="AQ81" s="163"/>
      <c r="AR81" s="7"/>
      <c r="AS81" s="157">
        <f>AR81+AM81</f>
        <v>0</v>
      </c>
      <c r="AT81" s="71"/>
      <c r="AU81" s="71"/>
      <c r="AV81" s="71"/>
      <c r="AW81" s="82"/>
      <c r="AX81" s="71"/>
      <c r="AY81" s="70"/>
      <c r="AZ81" s="79"/>
      <c r="BA81" s="79"/>
      <c r="BB81" s="77"/>
      <c r="BC81" s="76"/>
      <c r="BD81" s="77"/>
      <c r="BE81" s="76"/>
      <c r="BF81" s="79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</row>
    <row r="82" spans="1:69" x14ac:dyDescent="0.25">
      <c r="A82" s="70">
        <v>26</v>
      </c>
      <c r="B82" s="70" t="s">
        <v>358</v>
      </c>
      <c r="C82" s="71" t="s">
        <v>353</v>
      </c>
      <c r="D82" s="71" t="s">
        <v>337</v>
      </c>
      <c r="E82" s="71" t="s">
        <v>102</v>
      </c>
      <c r="F82" s="134" t="s">
        <v>354</v>
      </c>
      <c r="G82" s="82">
        <v>13176</v>
      </c>
      <c r="H82" s="70"/>
      <c r="I82" s="70"/>
      <c r="J82" s="70"/>
      <c r="K82" s="83" t="s">
        <v>355</v>
      </c>
      <c r="L82" s="134" t="s">
        <v>356</v>
      </c>
      <c r="M82" s="71" t="s">
        <v>357</v>
      </c>
      <c r="N82" s="73">
        <v>44615</v>
      </c>
      <c r="O82" s="151">
        <f>2041800</f>
        <v>2041800</v>
      </c>
      <c r="P82" s="82">
        <v>13236</v>
      </c>
      <c r="Q82" s="73">
        <v>44615</v>
      </c>
      <c r="R82" s="73">
        <v>44926</v>
      </c>
      <c r="S82" s="83" t="s">
        <v>565</v>
      </c>
      <c r="T82" s="71"/>
      <c r="U82" s="151"/>
      <c r="V82" s="151"/>
      <c r="W82" s="71" t="s">
        <v>106</v>
      </c>
      <c r="X82" s="79"/>
      <c r="Y82" s="79"/>
      <c r="Z82" s="79"/>
      <c r="AA82" s="77"/>
      <c r="AB82" s="79"/>
      <c r="AC82" s="79"/>
      <c r="AD82" s="79"/>
      <c r="AE82" s="78"/>
      <c r="AF82" s="79"/>
      <c r="AG82" s="2"/>
      <c r="AH82" s="2"/>
      <c r="AI82" s="85"/>
      <c r="AJ82" s="80"/>
      <c r="AK82" s="2"/>
      <c r="AL82" s="157">
        <f>$O$82-AH82+AG82+AK82</f>
        <v>2041800</v>
      </c>
      <c r="AM82" s="163">
        <f>1182319.46+1031851.63</f>
        <v>2214171.09</v>
      </c>
      <c r="AN82" s="163">
        <f>68950+5007.75+68950+1371.9+68950+19013.75</f>
        <v>232243.4</v>
      </c>
      <c r="AO82" s="163"/>
      <c r="AP82" s="163"/>
      <c r="AQ82" s="163"/>
      <c r="AR82" s="7">
        <f>AQ82+AP82+AO82+AN82</f>
        <v>232243.4</v>
      </c>
      <c r="AS82" s="157">
        <f>AR82+AM82</f>
        <v>2446414.4899999998</v>
      </c>
      <c r="AT82" s="79"/>
      <c r="AU82" s="79"/>
      <c r="AV82" s="79"/>
      <c r="AW82" s="77"/>
      <c r="AX82" s="79"/>
      <c r="AY82" s="81"/>
      <c r="AZ82" s="79"/>
      <c r="BA82" s="79"/>
      <c r="BB82" s="77"/>
      <c r="BC82" s="76"/>
      <c r="BD82" s="77"/>
      <c r="BE82" s="76"/>
      <c r="BF82" s="79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</row>
    <row r="83" spans="1:69" ht="25.5" x14ac:dyDescent="0.25">
      <c r="A83" s="70"/>
      <c r="B83" s="70"/>
      <c r="C83" s="71"/>
      <c r="D83" s="71"/>
      <c r="E83" s="71"/>
      <c r="F83" s="134"/>
      <c r="G83" s="82"/>
      <c r="H83" s="70"/>
      <c r="I83" s="70"/>
      <c r="J83" s="70"/>
      <c r="K83" s="83"/>
      <c r="L83" s="134"/>
      <c r="M83" s="71"/>
      <c r="N83" s="73"/>
      <c r="O83" s="151"/>
      <c r="P83" s="82"/>
      <c r="Q83" s="73"/>
      <c r="R83" s="73"/>
      <c r="S83" s="83"/>
      <c r="T83" s="71"/>
      <c r="U83" s="151"/>
      <c r="V83" s="151"/>
      <c r="W83" s="71"/>
      <c r="X83" s="79" t="s">
        <v>273</v>
      </c>
      <c r="Y83" s="79" t="s">
        <v>174</v>
      </c>
      <c r="Z83" s="76">
        <v>44914</v>
      </c>
      <c r="AA83" s="77"/>
      <c r="AB83" s="79" t="s">
        <v>457</v>
      </c>
      <c r="AC83" s="76">
        <v>44615</v>
      </c>
      <c r="AD83" s="76">
        <v>44980</v>
      </c>
      <c r="AE83" s="78"/>
      <c r="AF83" s="79"/>
      <c r="AG83" s="2"/>
      <c r="AH83" s="2"/>
      <c r="AI83" s="85"/>
      <c r="AJ83" s="80"/>
      <c r="AK83" s="2"/>
      <c r="AL83" s="157">
        <f t="shared" ref="AL83:AL85" si="4">$O$82-AH83+AG83+AK83</f>
        <v>2041800</v>
      </c>
      <c r="AM83" s="163"/>
      <c r="AN83" s="163"/>
      <c r="AO83" s="163"/>
      <c r="AP83" s="163"/>
      <c r="AQ83" s="163"/>
      <c r="AR83" s="7"/>
      <c r="AS83" s="157"/>
      <c r="AT83" s="79"/>
      <c r="AU83" s="79"/>
      <c r="AV83" s="79"/>
      <c r="AW83" s="77"/>
      <c r="AX83" s="79"/>
      <c r="AY83" s="81"/>
      <c r="AZ83" s="79"/>
      <c r="BA83" s="79"/>
      <c r="BB83" s="77"/>
      <c r="BC83" s="76"/>
      <c r="BD83" s="77"/>
      <c r="BE83" s="76"/>
      <c r="BF83" s="79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</row>
    <row r="84" spans="1:69" x14ac:dyDescent="0.25">
      <c r="A84" s="70"/>
      <c r="B84" s="70"/>
      <c r="C84" s="71"/>
      <c r="D84" s="71"/>
      <c r="E84" s="71"/>
      <c r="F84" s="134"/>
      <c r="G84" s="82"/>
      <c r="H84" s="70"/>
      <c r="I84" s="70"/>
      <c r="J84" s="70"/>
      <c r="K84" s="83"/>
      <c r="L84" s="134"/>
      <c r="M84" s="71"/>
      <c r="N84" s="73"/>
      <c r="O84" s="151"/>
      <c r="P84" s="82"/>
      <c r="Q84" s="73"/>
      <c r="R84" s="73"/>
      <c r="S84" s="83"/>
      <c r="T84" s="71"/>
      <c r="U84" s="151"/>
      <c r="V84" s="151"/>
      <c r="W84" s="71"/>
      <c r="X84" s="79" t="s">
        <v>184</v>
      </c>
      <c r="Y84" s="79" t="s">
        <v>174</v>
      </c>
      <c r="Z84" s="76">
        <v>44980</v>
      </c>
      <c r="AA84" s="77">
        <v>13488</v>
      </c>
      <c r="AB84" s="79" t="s">
        <v>439</v>
      </c>
      <c r="AC84" s="79"/>
      <c r="AD84" s="79"/>
      <c r="AE84" s="78"/>
      <c r="AF84" s="79"/>
      <c r="AG84" s="2"/>
      <c r="AH84" s="2">
        <f>53250*12</f>
        <v>639000</v>
      </c>
      <c r="AI84" s="85"/>
      <c r="AJ84" s="80"/>
      <c r="AK84" s="2"/>
      <c r="AL84" s="157">
        <f t="shared" si="4"/>
        <v>1402800</v>
      </c>
      <c r="AM84" s="163"/>
      <c r="AN84" s="163"/>
      <c r="AO84" s="163"/>
      <c r="AP84" s="163"/>
      <c r="AQ84" s="163"/>
      <c r="AR84" s="7"/>
      <c r="AS84" s="157"/>
      <c r="AT84" s="79"/>
      <c r="AU84" s="79"/>
      <c r="AV84" s="79"/>
      <c r="AW84" s="77"/>
      <c r="AX84" s="79"/>
      <c r="AY84" s="81"/>
      <c r="AZ84" s="79"/>
      <c r="BA84" s="79"/>
      <c r="BB84" s="77"/>
      <c r="BC84" s="76"/>
      <c r="BD84" s="77"/>
      <c r="BE84" s="76"/>
      <c r="BF84" s="79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</row>
    <row r="85" spans="1:69" x14ac:dyDescent="0.25">
      <c r="A85" s="70"/>
      <c r="B85" s="70"/>
      <c r="C85" s="71"/>
      <c r="D85" s="71"/>
      <c r="E85" s="71"/>
      <c r="F85" s="134"/>
      <c r="G85" s="82"/>
      <c r="H85" s="70"/>
      <c r="I85" s="70"/>
      <c r="J85" s="70"/>
      <c r="K85" s="83"/>
      <c r="L85" s="134"/>
      <c r="M85" s="71"/>
      <c r="N85" s="73"/>
      <c r="O85" s="151"/>
      <c r="P85" s="82"/>
      <c r="Q85" s="73"/>
      <c r="R85" s="73"/>
      <c r="S85" s="83"/>
      <c r="T85" s="71"/>
      <c r="U85" s="151"/>
      <c r="V85" s="151"/>
      <c r="W85" s="71"/>
      <c r="X85" s="79" t="s">
        <v>184</v>
      </c>
      <c r="Y85" s="79" t="s">
        <v>188</v>
      </c>
      <c r="Z85" s="76">
        <v>44980</v>
      </c>
      <c r="AA85" s="77">
        <v>13488</v>
      </c>
      <c r="AB85" s="79" t="s">
        <v>372</v>
      </c>
      <c r="AC85" s="76">
        <v>44981</v>
      </c>
      <c r="AD85" s="76">
        <v>45345</v>
      </c>
      <c r="AE85" s="78"/>
      <c r="AF85" s="79"/>
      <c r="AG85" s="2"/>
      <c r="AH85" s="2"/>
      <c r="AI85" s="85"/>
      <c r="AJ85" s="80"/>
      <c r="AK85" s="2"/>
      <c r="AL85" s="157">
        <f t="shared" si="4"/>
        <v>2041800</v>
      </c>
      <c r="AM85" s="163"/>
      <c r="AN85" s="163"/>
      <c r="AO85" s="163"/>
      <c r="AP85" s="163"/>
      <c r="AQ85" s="163"/>
      <c r="AR85" s="7"/>
      <c r="AS85" s="157"/>
      <c r="AT85" s="79"/>
      <c r="AU85" s="79"/>
      <c r="AV85" s="79"/>
      <c r="AW85" s="77"/>
      <c r="AX85" s="79"/>
      <c r="AY85" s="81"/>
      <c r="AZ85" s="79"/>
      <c r="BA85" s="79"/>
      <c r="BB85" s="77"/>
      <c r="BC85" s="76"/>
      <c r="BD85" s="77"/>
      <c r="BE85" s="76"/>
      <c r="BF85" s="79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</row>
    <row r="86" spans="1:69" x14ac:dyDescent="0.25">
      <c r="A86" s="70">
        <v>27</v>
      </c>
      <c r="B86" s="70" t="s">
        <v>344</v>
      </c>
      <c r="C86" s="71" t="s">
        <v>339</v>
      </c>
      <c r="D86" s="71" t="s">
        <v>337</v>
      </c>
      <c r="E86" s="71" t="s">
        <v>102</v>
      </c>
      <c r="F86" s="134" t="s">
        <v>340</v>
      </c>
      <c r="G86" s="82">
        <v>13106</v>
      </c>
      <c r="H86" s="70"/>
      <c r="I86" s="70"/>
      <c r="J86" s="70"/>
      <c r="K86" s="83" t="s">
        <v>341</v>
      </c>
      <c r="L86" s="134" t="s">
        <v>342</v>
      </c>
      <c r="M86" s="71" t="s">
        <v>343</v>
      </c>
      <c r="N86" s="73">
        <v>44570</v>
      </c>
      <c r="O86" s="151">
        <v>1774800</v>
      </c>
      <c r="P86" s="82">
        <v>13221</v>
      </c>
      <c r="Q86" s="73">
        <v>44570</v>
      </c>
      <c r="R86" s="73">
        <v>44935</v>
      </c>
      <c r="S86" s="83" t="s">
        <v>565</v>
      </c>
      <c r="T86" s="71"/>
      <c r="U86" s="151"/>
      <c r="V86" s="151"/>
      <c r="W86" s="71" t="s">
        <v>107</v>
      </c>
      <c r="X86" s="79"/>
      <c r="Y86" s="79"/>
      <c r="Z86" s="79"/>
      <c r="AA86" s="77"/>
      <c r="AB86" s="79"/>
      <c r="AC86" s="79"/>
      <c r="AD86" s="79"/>
      <c r="AE86" s="78"/>
      <c r="AF86" s="79"/>
      <c r="AG86" s="2"/>
      <c r="AH86" s="2"/>
      <c r="AI86" s="85"/>
      <c r="AJ86" s="80"/>
      <c r="AK86" s="2"/>
      <c r="AL86" s="157">
        <f>$O$86-AH86+AG86+AK86</f>
        <v>1774800</v>
      </c>
      <c r="AM86" s="163">
        <f>726983.02+1555297.78</f>
        <v>2282280.7999999998</v>
      </c>
      <c r="AN86" s="163">
        <f>18533.04+38202.54+32476.53+16653.51</f>
        <v>105865.62</v>
      </c>
      <c r="AO86" s="163">
        <f>7386.99+52583.13+52583.13+8742+52583.13+19713.21+12151.38</f>
        <v>205742.97</v>
      </c>
      <c r="AP86" s="163">
        <f>9572.49+18882.72+20106.6+22379.52</f>
        <v>70941.33</v>
      </c>
      <c r="AQ86" s="163"/>
      <c r="AR86" s="7">
        <f>AQ86+AP86+AO86+AN86</f>
        <v>382549.92</v>
      </c>
      <c r="AS86" s="157">
        <f>AR86+AM86</f>
        <v>2664830.7199999997</v>
      </c>
      <c r="AT86" s="79"/>
      <c r="AU86" s="79"/>
      <c r="AV86" s="79"/>
      <c r="AW86" s="77"/>
      <c r="AX86" s="79"/>
      <c r="AY86" s="81"/>
      <c r="AZ86" s="79"/>
      <c r="BA86" s="79"/>
      <c r="BB86" s="77"/>
      <c r="BC86" s="76"/>
      <c r="BD86" s="77"/>
      <c r="BE86" s="76"/>
      <c r="BF86" s="79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</row>
    <row r="87" spans="1:69" x14ac:dyDescent="0.25">
      <c r="A87" s="70"/>
      <c r="B87" s="70"/>
      <c r="C87" s="71"/>
      <c r="D87" s="71"/>
      <c r="E87" s="71"/>
      <c r="F87" s="134"/>
      <c r="G87" s="82"/>
      <c r="H87" s="70"/>
      <c r="I87" s="70"/>
      <c r="J87" s="70"/>
      <c r="K87" s="83"/>
      <c r="L87" s="134"/>
      <c r="M87" s="71"/>
      <c r="N87" s="73"/>
      <c r="O87" s="151"/>
      <c r="P87" s="82"/>
      <c r="Q87" s="73"/>
      <c r="R87" s="73"/>
      <c r="S87" s="83"/>
      <c r="T87" s="71"/>
      <c r="U87" s="151"/>
      <c r="V87" s="151"/>
      <c r="W87" s="71"/>
      <c r="X87" s="79" t="s">
        <v>184</v>
      </c>
      <c r="Y87" s="79" t="s">
        <v>174</v>
      </c>
      <c r="Z87" s="76">
        <v>44762</v>
      </c>
      <c r="AA87" s="77">
        <v>13333</v>
      </c>
      <c r="AB87" s="79" t="s">
        <v>440</v>
      </c>
      <c r="AC87" s="79" t="s">
        <v>443</v>
      </c>
      <c r="AD87" s="76">
        <v>45291</v>
      </c>
      <c r="AE87" s="78">
        <f>AG87/AL86</f>
        <v>0.19598617872436333</v>
      </c>
      <c r="AF87" s="79"/>
      <c r="AG87" s="2">
        <v>347836.27</v>
      </c>
      <c r="AH87" s="2"/>
      <c r="AI87" s="85"/>
      <c r="AJ87" s="80"/>
      <c r="AK87" s="2"/>
      <c r="AL87" s="157">
        <f t="shared" ref="AL87:AL89" si="5">$O$86-AH87+AG87+AK87</f>
        <v>2122636.27</v>
      </c>
      <c r="AM87" s="163"/>
      <c r="AN87" s="163"/>
      <c r="AO87" s="163"/>
      <c r="AP87" s="163"/>
      <c r="AQ87" s="163"/>
      <c r="AR87" s="7"/>
      <c r="AS87" s="157"/>
      <c r="AT87" s="79"/>
      <c r="AU87" s="79"/>
      <c r="AV87" s="79"/>
      <c r="AW87" s="77"/>
      <c r="AX87" s="79"/>
      <c r="AY87" s="81"/>
      <c r="AZ87" s="79"/>
      <c r="BA87" s="79"/>
      <c r="BB87" s="77"/>
      <c r="BC87" s="76"/>
      <c r="BD87" s="77"/>
      <c r="BE87" s="76"/>
      <c r="BF87" s="79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</row>
    <row r="88" spans="1:69" x14ac:dyDescent="0.25">
      <c r="A88" s="70"/>
      <c r="B88" s="70"/>
      <c r="C88" s="71"/>
      <c r="D88" s="71"/>
      <c r="E88" s="71"/>
      <c r="F88" s="134"/>
      <c r="G88" s="82"/>
      <c r="H88" s="70"/>
      <c r="I88" s="70"/>
      <c r="J88" s="70"/>
      <c r="K88" s="83"/>
      <c r="L88" s="134"/>
      <c r="M88" s="71"/>
      <c r="N88" s="73"/>
      <c r="O88" s="151"/>
      <c r="P88" s="82"/>
      <c r="Q88" s="73"/>
      <c r="R88" s="73"/>
      <c r="S88" s="83"/>
      <c r="T88" s="71"/>
      <c r="U88" s="151"/>
      <c r="V88" s="151"/>
      <c r="W88" s="71"/>
      <c r="X88" s="79" t="s">
        <v>184</v>
      </c>
      <c r="Y88" s="79" t="s">
        <v>188</v>
      </c>
      <c r="Z88" s="76">
        <v>44944</v>
      </c>
      <c r="AA88" s="77">
        <v>13459</v>
      </c>
      <c r="AB88" s="79" t="s">
        <v>372</v>
      </c>
      <c r="AC88" s="76">
        <v>44946</v>
      </c>
      <c r="AD88" s="76">
        <v>45310</v>
      </c>
      <c r="AE88" s="78"/>
      <c r="AF88" s="79"/>
      <c r="AG88" s="2"/>
      <c r="AH88" s="2"/>
      <c r="AI88" s="85"/>
      <c r="AJ88" s="80"/>
      <c r="AK88" s="2"/>
      <c r="AL88" s="157">
        <f t="shared" si="5"/>
        <v>1774800</v>
      </c>
      <c r="AM88" s="163"/>
      <c r="AN88" s="163"/>
      <c r="AO88" s="163"/>
      <c r="AP88" s="163"/>
      <c r="AQ88" s="163"/>
      <c r="AR88" s="7"/>
      <c r="AS88" s="157"/>
      <c r="AT88" s="79"/>
      <c r="AU88" s="79"/>
      <c r="AV88" s="79"/>
      <c r="AW88" s="77"/>
      <c r="AX88" s="79"/>
      <c r="AY88" s="81"/>
      <c r="AZ88" s="79"/>
      <c r="BA88" s="79"/>
      <c r="BB88" s="77"/>
      <c r="BC88" s="76"/>
      <c r="BD88" s="77"/>
      <c r="BE88" s="76"/>
      <c r="BF88" s="79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</row>
    <row r="89" spans="1:69" x14ac:dyDescent="0.25">
      <c r="A89" s="70"/>
      <c r="B89" s="70"/>
      <c r="C89" s="71"/>
      <c r="D89" s="71"/>
      <c r="E89" s="71"/>
      <c r="F89" s="134"/>
      <c r="G89" s="82"/>
      <c r="H89" s="70"/>
      <c r="I89" s="70"/>
      <c r="J89" s="70"/>
      <c r="K89" s="83"/>
      <c r="L89" s="134"/>
      <c r="M89" s="71"/>
      <c r="N89" s="73"/>
      <c r="O89" s="151"/>
      <c r="P89" s="82"/>
      <c r="Q89" s="73"/>
      <c r="R89" s="73"/>
      <c r="S89" s="83"/>
      <c r="T89" s="71"/>
      <c r="U89" s="151"/>
      <c r="V89" s="151"/>
      <c r="W89" s="71"/>
      <c r="X89" s="79" t="s">
        <v>184</v>
      </c>
      <c r="Y89" s="79" t="s">
        <v>190</v>
      </c>
      <c r="Z89" s="76">
        <v>45250</v>
      </c>
      <c r="AA89" s="77">
        <v>13659</v>
      </c>
      <c r="AB89" s="79" t="s">
        <v>372</v>
      </c>
      <c r="AC89" s="76">
        <v>45311</v>
      </c>
      <c r="AD89" s="76">
        <v>45677</v>
      </c>
      <c r="AE89" s="78"/>
      <c r="AF89" s="79"/>
      <c r="AG89" s="2"/>
      <c r="AH89" s="2"/>
      <c r="AI89" s="85"/>
      <c r="AJ89" s="80"/>
      <c r="AK89" s="2"/>
      <c r="AL89" s="157">
        <f t="shared" si="5"/>
        <v>1774800</v>
      </c>
      <c r="AM89" s="163"/>
      <c r="AN89" s="163"/>
      <c r="AO89" s="163"/>
      <c r="AP89" s="163"/>
      <c r="AQ89" s="163"/>
      <c r="AR89" s="7"/>
      <c r="AS89" s="157"/>
      <c r="AT89" s="79"/>
      <c r="AU89" s="79"/>
      <c r="AV89" s="79"/>
      <c r="AW89" s="77"/>
      <c r="AX89" s="79"/>
      <c r="AY89" s="81"/>
      <c r="AZ89" s="79"/>
      <c r="BA89" s="79"/>
      <c r="BB89" s="77"/>
      <c r="BC89" s="76"/>
      <c r="BD89" s="77"/>
      <c r="BE89" s="76"/>
      <c r="BF89" s="79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</row>
    <row r="90" spans="1:69" x14ac:dyDescent="0.25">
      <c r="A90" s="70">
        <v>28</v>
      </c>
      <c r="B90" s="70" t="s">
        <v>448</v>
      </c>
      <c r="C90" s="71" t="s">
        <v>446</v>
      </c>
      <c r="D90" s="71" t="s">
        <v>135</v>
      </c>
      <c r="E90" s="71" t="s">
        <v>102</v>
      </c>
      <c r="F90" s="134" t="s">
        <v>468</v>
      </c>
      <c r="G90" s="82">
        <v>13411</v>
      </c>
      <c r="H90" s="70" t="s">
        <v>449</v>
      </c>
      <c r="I90" s="74">
        <v>44881</v>
      </c>
      <c r="J90" s="74">
        <v>45246</v>
      </c>
      <c r="K90" s="83" t="s">
        <v>447</v>
      </c>
      <c r="L90" s="134" t="s">
        <v>402</v>
      </c>
      <c r="M90" s="71" t="s">
        <v>121</v>
      </c>
      <c r="N90" s="73">
        <v>45000</v>
      </c>
      <c r="O90" s="151">
        <v>2117988</v>
      </c>
      <c r="P90" s="82">
        <v>13499</v>
      </c>
      <c r="Q90" s="74">
        <v>45017</v>
      </c>
      <c r="R90" s="74">
        <v>45382</v>
      </c>
      <c r="S90" s="83" t="s">
        <v>565</v>
      </c>
      <c r="T90" s="70"/>
      <c r="U90" s="151"/>
      <c r="V90" s="151"/>
      <c r="W90" s="71" t="s">
        <v>106</v>
      </c>
      <c r="X90" s="79" t="s">
        <v>185</v>
      </c>
      <c r="Y90" s="79" t="s">
        <v>174</v>
      </c>
      <c r="Z90" s="76">
        <v>45306</v>
      </c>
      <c r="AA90" s="77">
        <v>13697</v>
      </c>
      <c r="AB90" s="79" t="s">
        <v>538</v>
      </c>
      <c r="AC90" s="76">
        <v>45017</v>
      </c>
      <c r="AD90" s="76">
        <v>45382</v>
      </c>
      <c r="AE90" s="78"/>
      <c r="AF90" s="79"/>
      <c r="AG90" s="2"/>
      <c r="AH90" s="2"/>
      <c r="AI90" s="85"/>
      <c r="AJ90" s="78">
        <f>AK90/AL90</f>
        <v>4.7011795415112682E-2</v>
      </c>
      <c r="AK90" s="2">
        <v>104482.32</v>
      </c>
      <c r="AL90" s="157">
        <f>$O$90-AH90+AG90+AK90</f>
        <v>2222470.3199999998</v>
      </c>
      <c r="AM90" s="7">
        <v>1496709.21</v>
      </c>
      <c r="AN90" s="7">
        <f>182242.14</f>
        <v>182242.14</v>
      </c>
      <c r="AO90" s="7">
        <f>185205.63</f>
        <v>185205.63</v>
      </c>
      <c r="AP90" s="7">
        <f>185205.63+73919.1+185205.63</f>
        <v>444330.36</v>
      </c>
      <c r="AQ90" s="7"/>
      <c r="AR90" s="7">
        <f>AQ90+AP90+AO90+AN90</f>
        <v>811778.13</v>
      </c>
      <c r="AS90" s="157">
        <f>AR90+AM90</f>
        <v>2308487.34</v>
      </c>
      <c r="AT90" s="71" t="s">
        <v>449</v>
      </c>
      <c r="AU90" s="73">
        <v>44881</v>
      </c>
      <c r="AV90" s="73">
        <v>45246</v>
      </c>
      <c r="AW90" s="82"/>
      <c r="AX90" s="71" t="s">
        <v>552</v>
      </c>
      <c r="AY90" s="82"/>
      <c r="AZ90" s="79"/>
      <c r="BA90" s="79"/>
      <c r="BB90" s="77"/>
      <c r="BC90" s="76"/>
      <c r="BD90" s="77"/>
      <c r="BE90" s="76"/>
      <c r="BF90" s="79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</row>
    <row r="91" spans="1:69" x14ac:dyDescent="0.25">
      <c r="A91" s="70"/>
      <c r="B91" s="70"/>
      <c r="C91" s="71"/>
      <c r="D91" s="71"/>
      <c r="E91" s="71"/>
      <c r="F91" s="134"/>
      <c r="G91" s="82"/>
      <c r="H91" s="70"/>
      <c r="I91" s="70"/>
      <c r="J91" s="70"/>
      <c r="K91" s="83"/>
      <c r="L91" s="134"/>
      <c r="M91" s="71"/>
      <c r="N91" s="73"/>
      <c r="O91" s="151"/>
      <c r="P91" s="82"/>
      <c r="Q91" s="74"/>
      <c r="R91" s="74"/>
      <c r="S91" s="83"/>
      <c r="T91" s="70"/>
      <c r="U91" s="151"/>
      <c r="V91" s="151"/>
      <c r="W91" s="71"/>
      <c r="X91" s="79"/>
      <c r="Y91" s="79"/>
      <c r="Z91" s="79"/>
      <c r="AA91" s="77"/>
      <c r="AB91" s="79"/>
      <c r="AC91" s="79"/>
      <c r="AD91" s="79"/>
      <c r="AE91" s="78"/>
      <c r="AF91" s="79"/>
      <c r="AG91" s="2"/>
      <c r="AH91" s="2"/>
      <c r="AI91" s="85"/>
      <c r="AJ91" s="80"/>
      <c r="AK91" s="2"/>
      <c r="AL91" s="157"/>
      <c r="AM91" s="163"/>
      <c r="AN91" s="163"/>
      <c r="AO91" s="163"/>
      <c r="AP91" s="163"/>
      <c r="AQ91" s="163"/>
      <c r="AR91" s="7"/>
      <c r="AS91" s="157"/>
      <c r="AT91" s="71"/>
      <c r="AU91" s="73"/>
      <c r="AV91" s="73"/>
      <c r="AW91" s="82"/>
      <c r="AX91" s="71"/>
      <c r="AY91" s="82"/>
      <c r="AZ91" s="79"/>
      <c r="BA91" s="79"/>
      <c r="BB91" s="77"/>
      <c r="BC91" s="76"/>
      <c r="BD91" s="77"/>
      <c r="BE91" s="76"/>
      <c r="BF91" s="79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</row>
    <row r="92" spans="1:69" ht="51" x14ac:dyDescent="0.25">
      <c r="A92" s="70">
        <v>29</v>
      </c>
      <c r="B92" s="70" t="s">
        <v>566</v>
      </c>
      <c r="C92" s="71" t="s">
        <v>567</v>
      </c>
      <c r="D92" s="71" t="s">
        <v>135</v>
      </c>
      <c r="E92" s="71" t="s">
        <v>102</v>
      </c>
      <c r="F92" s="134" t="s">
        <v>568</v>
      </c>
      <c r="G92" s="82">
        <v>13147</v>
      </c>
      <c r="H92" s="70" t="s">
        <v>326</v>
      </c>
      <c r="I92" s="74">
        <v>44397</v>
      </c>
      <c r="J92" s="74">
        <v>44762</v>
      </c>
      <c r="K92" s="83" t="s">
        <v>569</v>
      </c>
      <c r="L92" s="134" t="s">
        <v>570</v>
      </c>
      <c r="M92" s="71" t="s">
        <v>571</v>
      </c>
      <c r="N92" s="73">
        <v>44545</v>
      </c>
      <c r="O92" s="151">
        <v>1375000</v>
      </c>
      <c r="P92" s="82">
        <v>13187</v>
      </c>
      <c r="Q92" s="73">
        <v>44545</v>
      </c>
      <c r="R92" s="73">
        <v>44910</v>
      </c>
      <c r="S92" s="83" t="s">
        <v>565</v>
      </c>
      <c r="T92" s="71"/>
      <c r="U92" s="151"/>
      <c r="V92" s="151"/>
      <c r="W92" s="71" t="s">
        <v>106</v>
      </c>
      <c r="X92" s="79"/>
      <c r="Y92" s="79"/>
      <c r="Z92" s="79"/>
      <c r="AA92" s="77"/>
      <c r="AB92" s="79"/>
      <c r="AC92" s="79"/>
      <c r="AD92" s="79"/>
      <c r="AE92" s="78"/>
      <c r="AF92" s="79"/>
      <c r="AG92" s="2"/>
      <c r="AH92" s="2"/>
      <c r="AI92" s="85"/>
      <c r="AJ92" s="80"/>
      <c r="AK92" s="2"/>
      <c r="AL92" s="157">
        <f>$O$92-AH92+AG92+AK92</f>
        <v>1375000</v>
      </c>
      <c r="AM92" s="163">
        <f>30381.87+63999.95+42620.39</f>
        <v>137002.21</v>
      </c>
      <c r="AN92" s="163">
        <f>56530.57+46024.39+133985.83+298306.04+76905.57</f>
        <v>611752.39999999991</v>
      </c>
      <c r="AO92" s="163">
        <f>16195.04+64684.45+74834.06+40470.71+115303.41+126501.51+249261.93</f>
        <v>687251.11</v>
      </c>
      <c r="AP92" s="163">
        <f>131908.47+141918.18+59626.89+86292.95</f>
        <v>419746.49000000005</v>
      </c>
      <c r="AQ92" s="163"/>
      <c r="AR92" s="7">
        <f>AQ92+AP92+AO92+AN92</f>
        <v>1718750</v>
      </c>
      <c r="AS92" s="157">
        <f>AR92+AM92</f>
        <v>1855752.21</v>
      </c>
      <c r="AT92" s="79" t="s">
        <v>326</v>
      </c>
      <c r="AU92" s="76">
        <v>44397</v>
      </c>
      <c r="AV92" s="76">
        <v>44762</v>
      </c>
      <c r="AW92" s="77">
        <v>13099</v>
      </c>
      <c r="AX92" s="79" t="s">
        <v>572</v>
      </c>
      <c r="AY92" s="81">
        <v>13099</v>
      </c>
      <c r="AZ92" s="79"/>
      <c r="BA92" s="79"/>
      <c r="BB92" s="77"/>
      <c r="BC92" s="76"/>
      <c r="BD92" s="77"/>
      <c r="BE92" s="76"/>
      <c r="BF92" s="79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</row>
    <row r="93" spans="1:69" x14ac:dyDescent="0.25">
      <c r="A93" s="70"/>
      <c r="B93" s="70"/>
      <c r="C93" s="71"/>
      <c r="D93" s="71"/>
      <c r="E93" s="71"/>
      <c r="F93" s="134"/>
      <c r="G93" s="82"/>
      <c r="H93" s="70"/>
      <c r="I93" s="74"/>
      <c r="J93" s="74"/>
      <c r="K93" s="83"/>
      <c r="L93" s="134"/>
      <c r="M93" s="71"/>
      <c r="N93" s="73"/>
      <c r="O93" s="151"/>
      <c r="P93" s="82"/>
      <c r="Q93" s="73"/>
      <c r="R93" s="73"/>
      <c r="S93" s="83"/>
      <c r="T93" s="71"/>
      <c r="U93" s="151"/>
      <c r="V93" s="151"/>
      <c r="W93" s="71"/>
      <c r="X93" s="79" t="s">
        <v>533</v>
      </c>
      <c r="Y93" s="79" t="s">
        <v>174</v>
      </c>
      <c r="Z93" s="79"/>
      <c r="AA93" s="77">
        <v>13256</v>
      </c>
      <c r="AB93" s="79" t="s">
        <v>198</v>
      </c>
      <c r="AC93" s="76">
        <v>44545</v>
      </c>
      <c r="AD93" s="76">
        <v>44910</v>
      </c>
      <c r="AE93" s="86">
        <f>AG93/AL92</f>
        <v>0.25</v>
      </c>
      <c r="AF93" s="79"/>
      <c r="AG93" s="2">
        <v>343750</v>
      </c>
      <c r="AH93" s="2"/>
      <c r="AI93" s="85"/>
      <c r="AJ93" s="80"/>
      <c r="AK93" s="2"/>
      <c r="AL93" s="157">
        <f t="shared" ref="AL93:AL95" si="6">$O$92-AH93+AG93+AK93</f>
        <v>1718750</v>
      </c>
      <c r="AM93" s="163"/>
      <c r="AN93" s="163"/>
      <c r="AO93" s="163"/>
      <c r="AP93" s="163"/>
      <c r="AQ93" s="163"/>
      <c r="AR93" s="7"/>
      <c r="AS93" s="157"/>
      <c r="AT93" s="79"/>
      <c r="AU93" s="76"/>
      <c r="AV93" s="76"/>
      <c r="AW93" s="77"/>
      <c r="AX93" s="79"/>
      <c r="AY93" s="81"/>
      <c r="AZ93" s="79"/>
      <c r="BA93" s="79"/>
      <c r="BB93" s="77"/>
      <c r="BC93" s="76"/>
      <c r="BD93" s="77"/>
      <c r="BE93" s="76"/>
      <c r="BF93" s="79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</row>
    <row r="94" spans="1:69" x14ac:dyDescent="0.25">
      <c r="A94" s="70"/>
      <c r="B94" s="70"/>
      <c r="C94" s="71"/>
      <c r="D94" s="71"/>
      <c r="E94" s="71"/>
      <c r="F94" s="134"/>
      <c r="G94" s="82"/>
      <c r="H94" s="70"/>
      <c r="I94" s="74"/>
      <c r="J94" s="74"/>
      <c r="K94" s="83"/>
      <c r="L94" s="134"/>
      <c r="M94" s="71"/>
      <c r="N94" s="73"/>
      <c r="O94" s="151"/>
      <c r="P94" s="82"/>
      <c r="Q94" s="73"/>
      <c r="R94" s="73"/>
      <c r="S94" s="83"/>
      <c r="T94" s="71"/>
      <c r="U94" s="151"/>
      <c r="V94" s="151"/>
      <c r="W94" s="71"/>
      <c r="X94" s="79" t="s">
        <v>533</v>
      </c>
      <c r="Y94" s="79" t="s">
        <v>188</v>
      </c>
      <c r="Z94" s="79"/>
      <c r="AA94" s="77">
        <v>13426</v>
      </c>
      <c r="AB94" s="79" t="s">
        <v>372</v>
      </c>
      <c r="AC94" s="76">
        <v>44911</v>
      </c>
      <c r="AD94" s="76">
        <v>45276</v>
      </c>
      <c r="AE94" s="78"/>
      <c r="AF94" s="79"/>
      <c r="AG94" s="2"/>
      <c r="AH94" s="2"/>
      <c r="AI94" s="85"/>
      <c r="AJ94" s="80"/>
      <c r="AK94" s="2"/>
      <c r="AL94" s="157">
        <f t="shared" si="6"/>
        <v>1375000</v>
      </c>
      <c r="AM94" s="163"/>
      <c r="AN94" s="163"/>
      <c r="AO94" s="163"/>
      <c r="AP94" s="163"/>
      <c r="AQ94" s="163"/>
      <c r="AR94" s="7"/>
      <c r="AS94" s="157"/>
      <c r="AT94" s="79"/>
      <c r="AU94" s="76"/>
      <c r="AV94" s="76"/>
      <c r="AW94" s="77"/>
      <c r="AX94" s="79"/>
      <c r="AY94" s="81"/>
      <c r="AZ94" s="79"/>
      <c r="BA94" s="79"/>
      <c r="BB94" s="77"/>
      <c r="BC94" s="76"/>
      <c r="BD94" s="77"/>
      <c r="BE94" s="76"/>
      <c r="BF94" s="79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</row>
    <row r="95" spans="1:69" x14ac:dyDescent="0.25">
      <c r="A95" s="70"/>
      <c r="B95" s="70"/>
      <c r="C95" s="71"/>
      <c r="D95" s="71"/>
      <c r="E95" s="71"/>
      <c r="F95" s="134"/>
      <c r="G95" s="82"/>
      <c r="H95" s="70"/>
      <c r="I95" s="74"/>
      <c r="J95" s="74"/>
      <c r="K95" s="83"/>
      <c r="L95" s="134"/>
      <c r="M95" s="71"/>
      <c r="N95" s="73"/>
      <c r="O95" s="151"/>
      <c r="P95" s="82"/>
      <c r="Q95" s="73"/>
      <c r="R95" s="73"/>
      <c r="S95" s="83"/>
      <c r="T95" s="71"/>
      <c r="U95" s="151"/>
      <c r="V95" s="151"/>
      <c r="W95" s="71"/>
      <c r="X95" s="79" t="s">
        <v>533</v>
      </c>
      <c r="Y95" s="79" t="s">
        <v>190</v>
      </c>
      <c r="Z95" s="79"/>
      <c r="AA95" s="77">
        <v>13689</v>
      </c>
      <c r="AB95" s="79" t="s">
        <v>372</v>
      </c>
      <c r="AC95" s="76">
        <v>45276</v>
      </c>
      <c r="AD95" s="76">
        <v>45642</v>
      </c>
      <c r="AE95" s="78"/>
      <c r="AF95" s="79"/>
      <c r="AG95" s="2"/>
      <c r="AH95" s="2"/>
      <c r="AI95" s="85"/>
      <c r="AJ95" s="80"/>
      <c r="AK95" s="2"/>
      <c r="AL95" s="157">
        <f t="shared" si="6"/>
        <v>1375000</v>
      </c>
      <c r="AM95" s="163"/>
      <c r="AN95" s="163"/>
      <c r="AO95" s="163"/>
      <c r="AP95" s="163"/>
      <c r="AQ95" s="163"/>
      <c r="AR95" s="7"/>
      <c r="AS95" s="157"/>
      <c r="AT95" s="79"/>
      <c r="AU95" s="76"/>
      <c r="AV95" s="76"/>
      <c r="AW95" s="77"/>
      <c r="AX95" s="79"/>
      <c r="AY95" s="77"/>
      <c r="AZ95" s="79"/>
      <c r="BA95" s="79"/>
      <c r="BB95" s="77"/>
      <c r="BC95" s="76"/>
      <c r="BD95" s="77"/>
      <c r="BE95" s="76"/>
      <c r="BF95" s="79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</row>
    <row r="96" spans="1:69" x14ac:dyDescent="0.25">
      <c r="A96" s="70">
        <v>30</v>
      </c>
      <c r="B96" s="70" t="s">
        <v>405</v>
      </c>
      <c r="C96" s="71" t="s">
        <v>389</v>
      </c>
      <c r="D96" s="71" t="s">
        <v>135</v>
      </c>
      <c r="E96" s="71" t="s">
        <v>102</v>
      </c>
      <c r="F96" s="134" t="s">
        <v>392</v>
      </c>
      <c r="G96" s="82">
        <v>13327</v>
      </c>
      <c r="H96" s="70" t="s">
        <v>406</v>
      </c>
      <c r="I96" s="74">
        <v>44754</v>
      </c>
      <c r="J96" s="74">
        <v>45119</v>
      </c>
      <c r="K96" s="83" t="s">
        <v>393</v>
      </c>
      <c r="L96" s="134" t="s">
        <v>402</v>
      </c>
      <c r="M96" s="71" t="s">
        <v>121</v>
      </c>
      <c r="N96" s="73">
        <v>44823</v>
      </c>
      <c r="O96" s="151">
        <v>1501207.2</v>
      </c>
      <c r="P96" s="82">
        <v>13372</v>
      </c>
      <c r="Q96" s="73">
        <v>44823</v>
      </c>
      <c r="R96" s="73">
        <v>44926</v>
      </c>
      <c r="S96" s="83" t="s">
        <v>565</v>
      </c>
      <c r="T96" s="70"/>
      <c r="U96" s="151"/>
      <c r="V96" s="151"/>
      <c r="W96" s="71" t="s">
        <v>106</v>
      </c>
      <c r="X96" s="79"/>
      <c r="Y96" s="79"/>
      <c r="Z96" s="79"/>
      <c r="AA96" s="77"/>
      <c r="AB96" s="79"/>
      <c r="AC96" s="79"/>
      <c r="AD96" s="79"/>
      <c r="AE96" s="78"/>
      <c r="AF96" s="79"/>
      <c r="AG96" s="2"/>
      <c r="AH96" s="2"/>
      <c r="AI96" s="85"/>
      <c r="AJ96" s="80"/>
      <c r="AK96" s="2"/>
      <c r="AL96" s="157">
        <f>$O$96-AH96+AG96+AK96</f>
        <v>1501207.2</v>
      </c>
      <c r="AM96" s="163">
        <f>156375.75+1417946.92</f>
        <v>1574322.67</v>
      </c>
      <c r="AN96" s="163">
        <f>136942.2</f>
        <v>136942.20000000001</v>
      </c>
      <c r="AO96" s="163">
        <f>136942.2</f>
        <v>136942.20000000001</v>
      </c>
      <c r="AP96" s="163">
        <f>136942.2+136942.2+82891.2</f>
        <v>356775.60000000003</v>
      </c>
      <c r="AQ96" s="163"/>
      <c r="AR96" s="7">
        <f>AQ96+AP96+AO96+AN96</f>
        <v>630660</v>
      </c>
      <c r="AS96" s="157">
        <f>AR96+AM96</f>
        <v>2204982.67</v>
      </c>
      <c r="AT96" s="71" t="s">
        <v>406</v>
      </c>
      <c r="AU96" s="73">
        <v>44754</v>
      </c>
      <c r="AV96" s="73">
        <v>45119</v>
      </c>
      <c r="AW96" s="82">
        <v>13327</v>
      </c>
      <c r="AX96" s="71" t="s">
        <v>407</v>
      </c>
      <c r="AY96" s="70">
        <v>13327</v>
      </c>
      <c r="AZ96" s="79"/>
      <c r="BA96" s="79"/>
      <c r="BB96" s="77"/>
      <c r="BC96" s="76"/>
      <c r="BD96" s="77"/>
      <c r="BE96" s="76"/>
      <c r="BF96" s="79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</row>
    <row r="97" spans="1:69" ht="25.5" x14ac:dyDescent="0.25">
      <c r="A97" s="70"/>
      <c r="B97" s="70"/>
      <c r="C97" s="71"/>
      <c r="D97" s="71"/>
      <c r="E97" s="71"/>
      <c r="F97" s="134"/>
      <c r="G97" s="82"/>
      <c r="H97" s="70"/>
      <c r="I97" s="74"/>
      <c r="J97" s="74"/>
      <c r="K97" s="83"/>
      <c r="L97" s="134"/>
      <c r="M97" s="71"/>
      <c r="N97" s="73"/>
      <c r="O97" s="151"/>
      <c r="P97" s="82"/>
      <c r="Q97" s="73"/>
      <c r="R97" s="73"/>
      <c r="S97" s="83"/>
      <c r="T97" s="70"/>
      <c r="U97" s="151"/>
      <c r="V97" s="151"/>
      <c r="W97" s="71"/>
      <c r="X97" s="79" t="s">
        <v>533</v>
      </c>
      <c r="Y97" s="79" t="s">
        <v>174</v>
      </c>
      <c r="Z97" s="76">
        <v>45184</v>
      </c>
      <c r="AA97" s="77">
        <v>13619</v>
      </c>
      <c r="AB97" s="79" t="s">
        <v>534</v>
      </c>
      <c r="AC97" s="76">
        <v>45184</v>
      </c>
      <c r="AD97" s="76">
        <v>45549</v>
      </c>
      <c r="AE97" s="78"/>
      <c r="AF97" s="79"/>
      <c r="AG97" s="2"/>
      <c r="AH97" s="2"/>
      <c r="AI97" s="85"/>
      <c r="AJ97" s="78">
        <f>AK97/AL96</f>
        <v>9.4657086643336108E-2</v>
      </c>
      <c r="AK97" s="2">
        <v>142099.9</v>
      </c>
      <c r="AL97" s="157">
        <f t="shared" ref="AL97" si="7">$O$96-AH97+AG97+AK97</f>
        <v>1643307.0999999999</v>
      </c>
      <c r="AM97" s="163"/>
      <c r="AN97" s="163"/>
      <c r="AO97" s="163"/>
      <c r="AP97" s="163"/>
      <c r="AQ97" s="163"/>
      <c r="AR97" s="7"/>
      <c r="AS97" s="157"/>
      <c r="AT97" s="71"/>
      <c r="AU97" s="71"/>
      <c r="AV97" s="71"/>
      <c r="AW97" s="82"/>
      <c r="AX97" s="71"/>
      <c r="AY97" s="70"/>
      <c r="AZ97" s="79"/>
      <c r="BA97" s="79"/>
      <c r="BB97" s="77"/>
      <c r="BC97" s="76"/>
      <c r="BD97" s="77"/>
      <c r="BE97" s="76"/>
      <c r="BF97" s="79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</row>
    <row r="98" spans="1:69" x14ac:dyDescent="0.25">
      <c r="A98" s="70">
        <v>31</v>
      </c>
      <c r="B98" s="70" t="s">
        <v>408</v>
      </c>
      <c r="C98" s="71" t="s">
        <v>399</v>
      </c>
      <c r="D98" s="71" t="s">
        <v>300</v>
      </c>
      <c r="E98" s="71" t="s">
        <v>102</v>
      </c>
      <c r="F98" s="134" t="s">
        <v>400</v>
      </c>
      <c r="G98" s="82">
        <v>13258</v>
      </c>
      <c r="H98" s="70"/>
      <c r="I98" s="74"/>
      <c r="J98" s="74"/>
      <c r="K98" s="83" t="s">
        <v>401</v>
      </c>
      <c r="L98" s="134" t="s">
        <v>222</v>
      </c>
      <c r="M98" s="71" t="s">
        <v>223</v>
      </c>
      <c r="N98" s="73">
        <v>44819</v>
      </c>
      <c r="O98" s="151">
        <v>3240000</v>
      </c>
      <c r="P98" s="82">
        <v>13374</v>
      </c>
      <c r="Q98" s="73">
        <v>44819</v>
      </c>
      <c r="R98" s="73">
        <v>45184</v>
      </c>
      <c r="S98" s="83" t="s">
        <v>565</v>
      </c>
      <c r="T98" s="70"/>
      <c r="U98" s="151"/>
      <c r="V98" s="151"/>
      <c r="W98" s="71" t="s">
        <v>106</v>
      </c>
      <c r="X98" s="79" t="s">
        <v>533</v>
      </c>
      <c r="Y98" s="79" t="s">
        <v>174</v>
      </c>
      <c r="Z98" s="76">
        <v>45183</v>
      </c>
      <c r="AA98" s="77">
        <v>13619</v>
      </c>
      <c r="AB98" s="79" t="s">
        <v>535</v>
      </c>
      <c r="AC98" s="76">
        <v>45185</v>
      </c>
      <c r="AD98" s="76">
        <v>45550</v>
      </c>
      <c r="AE98" s="78"/>
      <c r="AF98" s="79"/>
      <c r="AG98" s="2"/>
      <c r="AH98" s="2"/>
      <c r="AI98" s="85"/>
      <c r="AJ98" s="80"/>
      <c r="AK98" s="2"/>
      <c r="AL98" s="157">
        <f>$O$98-AH98+AG98+AK98</f>
        <v>3240000</v>
      </c>
      <c r="AM98" s="163">
        <f>2418.52+26241.78+54374.87+747159.17</f>
        <v>830194.34000000008</v>
      </c>
      <c r="AN98" s="163">
        <f>2358.19+4815.75+8079.69+3418.98+8079.69+3418.98+15008.86+4951.54+3418.98+8079.69+8186.72+5827.37+30263.64+18639.16+22559.15</f>
        <v>147106.39000000001</v>
      </c>
      <c r="AO98" s="163">
        <f>3436.31+2710.8+1624.92+2619.94+22212.86+24966.53+17743.56+15311.5+4345.4+6172.81</f>
        <v>101144.62999999999</v>
      </c>
      <c r="AP98" s="163"/>
      <c r="AQ98" s="163"/>
      <c r="AR98" s="7">
        <f>AQ98+AP98+AO98+AN98</f>
        <v>248251.02000000002</v>
      </c>
      <c r="AS98" s="157">
        <f>AR98+AM98</f>
        <v>1078445.3600000001</v>
      </c>
      <c r="AT98" s="79"/>
      <c r="AU98" s="79"/>
      <c r="AV98" s="79"/>
      <c r="AW98" s="77"/>
      <c r="AX98" s="79"/>
      <c r="AY98" s="81"/>
      <c r="AZ98" s="79"/>
      <c r="BA98" s="79"/>
      <c r="BB98" s="77"/>
      <c r="BC98" s="76"/>
      <c r="BD98" s="77"/>
      <c r="BE98" s="76"/>
      <c r="BF98" s="79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</row>
    <row r="99" spans="1:69" x14ac:dyDescent="0.25">
      <c r="A99" s="70"/>
      <c r="B99" s="70"/>
      <c r="C99" s="71"/>
      <c r="D99" s="71"/>
      <c r="E99" s="71"/>
      <c r="F99" s="134"/>
      <c r="G99" s="82"/>
      <c r="H99" s="70"/>
      <c r="I99" s="74"/>
      <c r="J99" s="74"/>
      <c r="K99" s="83"/>
      <c r="L99" s="134"/>
      <c r="M99" s="71"/>
      <c r="N99" s="73"/>
      <c r="O99" s="151"/>
      <c r="P99" s="82"/>
      <c r="Q99" s="73"/>
      <c r="R99" s="73"/>
      <c r="S99" s="83"/>
      <c r="T99" s="70"/>
      <c r="U99" s="151"/>
      <c r="V99" s="151"/>
      <c r="W99" s="71"/>
      <c r="X99" s="79"/>
      <c r="Y99" s="79"/>
      <c r="Z99" s="76"/>
      <c r="AA99" s="77"/>
      <c r="AB99" s="79"/>
      <c r="AC99" s="76"/>
      <c r="AD99" s="76"/>
      <c r="AE99" s="78"/>
      <c r="AF99" s="79"/>
      <c r="AG99" s="2"/>
      <c r="AH99" s="2"/>
      <c r="AI99" s="85"/>
      <c r="AJ99" s="80"/>
      <c r="AK99" s="2"/>
      <c r="AL99" s="157"/>
      <c r="AM99" s="152"/>
      <c r="AN99" s="152"/>
      <c r="AO99" s="163"/>
      <c r="AP99" s="163"/>
      <c r="AQ99" s="163"/>
      <c r="AR99" s="7"/>
      <c r="AS99" s="157"/>
      <c r="AT99" s="79"/>
      <c r="AU99" s="79"/>
      <c r="AV99" s="79"/>
      <c r="AW99" s="77"/>
      <c r="AX99" s="79"/>
      <c r="AY99" s="81"/>
      <c r="AZ99" s="79"/>
      <c r="BA99" s="79"/>
      <c r="BB99" s="77"/>
      <c r="BC99" s="76"/>
      <c r="BD99" s="77"/>
      <c r="BE99" s="76"/>
      <c r="BF99" s="79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</row>
    <row r="100" spans="1:69" x14ac:dyDescent="0.25">
      <c r="A100" s="70">
        <v>32</v>
      </c>
      <c r="B100" s="70" t="s">
        <v>267</v>
      </c>
      <c r="C100" s="71" t="s">
        <v>268</v>
      </c>
      <c r="D100" s="71" t="s">
        <v>248</v>
      </c>
      <c r="E100" s="71" t="s">
        <v>102</v>
      </c>
      <c r="F100" s="134" t="s">
        <v>269</v>
      </c>
      <c r="G100" s="82">
        <v>12710</v>
      </c>
      <c r="H100" s="70"/>
      <c r="I100" s="74"/>
      <c r="J100" s="74"/>
      <c r="K100" s="83" t="s">
        <v>271</v>
      </c>
      <c r="L100" s="134" t="s">
        <v>139</v>
      </c>
      <c r="M100" s="71" t="s">
        <v>122</v>
      </c>
      <c r="N100" s="73">
        <v>43832</v>
      </c>
      <c r="O100" s="151">
        <v>5235558</v>
      </c>
      <c r="P100" s="82">
        <v>12721</v>
      </c>
      <c r="Q100" s="73">
        <v>43842</v>
      </c>
      <c r="R100" s="73">
        <v>44196</v>
      </c>
      <c r="S100" s="83" t="s">
        <v>565</v>
      </c>
      <c r="T100" s="70"/>
      <c r="U100" s="151"/>
      <c r="V100" s="151"/>
      <c r="W100" s="71" t="s">
        <v>106</v>
      </c>
      <c r="X100" s="79"/>
      <c r="Y100" s="79"/>
      <c r="Z100" s="76"/>
      <c r="AA100" s="77"/>
      <c r="AB100" s="79"/>
      <c r="AC100" s="76"/>
      <c r="AD100" s="79"/>
      <c r="AE100" s="78"/>
      <c r="AF100" s="78"/>
      <c r="AG100" s="2"/>
      <c r="AH100" s="2"/>
      <c r="AI100" s="85"/>
      <c r="AJ100" s="80"/>
      <c r="AK100" s="2"/>
      <c r="AL100" s="157">
        <f>$O$100-AH100+AG100+AK100</f>
        <v>5235558</v>
      </c>
      <c r="AM100" s="163">
        <f>349354.75+403070.75+390910.75+361315.75+313117.5+253437+40886.57+12160+244862+284802+287918+287918+288770+143769.58+146704.42+5156418+6237780</f>
        <v>15203195.07</v>
      </c>
      <c r="AN100" s="163">
        <f>580401.25</f>
        <v>580401.25</v>
      </c>
      <c r="AO100" s="163">
        <f>580401.25</f>
        <v>580401.25</v>
      </c>
      <c r="AP100" s="163">
        <f>580401.25+701595+580401.25</f>
        <v>1862397.5</v>
      </c>
      <c r="AQ100" s="163"/>
      <c r="AR100" s="7">
        <f>AQ100+AP100+AO100+AN100</f>
        <v>3023200</v>
      </c>
      <c r="AS100" s="157">
        <f>AR100+AM100</f>
        <v>18226395.07</v>
      </c>
      <c r="AT100" s="79"/>
      <c r="AU100" s="79"/>
      <c r="AV100" s="79"/>
      <c r="AW100" s="77"/>
      <c r="AX100" s="79"/>
      <c r="AY100" s="81"/>
      <c r="AZ100" s="79"/>
      <c r="BA100" s="79"/>
      <c r="BB100" s="77"/>
      <c r="BC100" s="76"/>
      <c r="BD100" s="77"/>
      <c r="BE100" s="76"/>
      <c r="BF100" s="79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</row>
    <row r="101" spans="1:69" x14ac:dyDescent="0.25">
      <c r="A101" s="70"/>
      <c r="B101" s="70"/>
      <c r="C101" s="71"/>
      <c r="D101" s="71"/>
      <c r="E101" s="71"/>
      <c r="F101" s="134"/>
      <c r="G101" s="82"/>
      <c r="H101" s="70"/>
      <c r="I101" s="74"/>
      <c r="J101" s="74"/>
      <c r="K101" s="83"/>
      <c r="L101" s="134"/>
      <c r="M101" s="71"/>
      <c r="N101" s="73"/>
      <c r="O101" s="151"/>
      <c r="P101" s="82"/>
      <c r="Q101" s="73"/>
      <c r="R101" s="73"/>
      <c r="S101" s="83"/>
      <c r="T101" s="70"/>
      <c r="U101" s="151"/>
      <c r="V101" s="151"/>
      <c r="W101" s="71"/>
      <c r="X101" s="79" t="s">
        <v>184</v>
      </c>
      <c r="Y101" s="79" t="s">
        <v>174</v>
      </c>
      <c r="Z101" s="76">
        <v>44026</v>
      </c>
      <c r="AA101" s="77">
        <v>12872</v>
      </c>
      <c r="AB101" s="79" t="s">
        <v>321</v>
      </c>
      <c r="AC101" s="76">
        <v>43842</v>
      </c>
      <c r="AD101" s="79" t="s">
        <v>323</v>
      </c>
      <c r="AE101" s="78"/>
      <c r="AF101" s="78">
        <f>AH101/AL100</f>
        <v>4.505536945632156E-3</v>
      </c>
      <c r="AG101" s="2"/>
      <c r="AH101" s="2">
        <v>23589</v>
      </c>
      <c r="AI101" s="85"/>
      <c r="AJ101" s="80"/>
      <c r="AK101" s="2"/>
      <c r="AL101" s="157">
        <f t="shared" ref="AL101:AL106" si="8">$O$100-AH101+AG101+AK101</f>
        <v>5211969</v>
      </c>
      <c r="AM101" s="163"/>
      <c r="AN101" s="163"/>
      <c r="AO101" s="163"/>
      <c r="AP101" s="163"/>
      <c r="AQ101" s="163"/>
      <c r="AR101" s="7"/>
      <c r="AS101" s="157"/>
      <c r="AT101" s="79"/>
      <c r="AU101" s="79"/>
      <c r="AV101" s="79"/>
      <c r="AW101" s="77"/>
      <c r="AX101" s="79"/>
      <c r="AY101" s="81"/>
      <c r="AZ101" s="79"/>
      <c r="BA101" s="79"/>
      <c r="BB101" s="77"/>
      <c r="BC101" s="76"/>
      <c r="BD101" s="77"/>
      <c r="BE101" s="76"/>
      <c r="BF101" s="79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</row>
    <row r="102" spans="1:69" x14ac:dyDescent="0.25">
      <c r="A102" s="70"/>
      <c r="B102" s="70"/>
      <c r="C102" s="71"/>
      <c r="D102" s="71"/>
      <c r="E102" s="71"/>
      <c r="F102" s="134"/>
      <c r="G102" s="82"/>
      <c r="H102" s="70"/>
      <c r="I102" s="74"/>
      <c r="J102" s="74"/>
      <c r="K102" s="83"/>
      <c r="L102" s="134"/>
      <c r="M102" s="71"/>
      <c r="N102" s="73"/>
      <c r="O102" s="151"/>
      <c r="P102" s="82"/>
      <c r="Q102" s="73"/>
      <c r="R102" s="73"/>
      <c r="S102" s="83"/>
      <c r="T102" s="70"/>
      <c r="U102" s="151"/>
      <c r="V102" s="151"/>
      <c r="W102" s="71"/>
      <c r="X102" s="79" t="s">
        <v>273</v>
      </c>
      <c r="Y102" s="79" t="s">
        <v>174</v>
      </c>
      <c r="Z102" s="76">
        <v>44224</v>
      </c>
      <c r="AA102" s="77">
        <v>12988</v>
      </c>
      <c r="AB102" s="79" t="s">
        <v>199</v>
      </c>
      <c r="AC102" s="76">
        <v>43831</v>
      </c>
      <c r="AD102" s="76">
        <v>44196</v>
      </c>
      <c r="AE102" s="78"/>
      <c r="AF102" s="78">
        <f>AH102/AL101</f>
        <v>8.3396121504176246E-2</v>
      </c>
      <c r="AG102" s="2"/>
      <c r="AH102" s="2">
        <v>434658</v>
      </c>
      <c r="AI102" s="85"/>
      <c r="AJ102" s="80"/>
      <c r="AK102" s="2"/>
      <c r="AL102" s="157">
        <f t="shared" si="8"/>
        <v>4800900</v>
      </c>
      <c r="AM102" s="163"/>
      <c r="AN102" s="163"/>
      <c r="AO102" s="163"/>
      <c r="AP102" s="163"/>
      <c r="AQ102" s="163"/>
      <c r="AR102" s="7"/>
      <c r="AS102" s="157"/>
      <c r="AT102" s="79"/>
      <c r="AU102" s="79"/>
      <c r="AV102" s="79"/>
      <c r="AW102" s="77"/>
      <c r="AX102" s="79"/>
      <c r="AY102" s="81"/>
      <c r="AZ102" s="79"/>
      <c r="BA102" s="79"/>
      <c r="BB102" s="77"/>
      <c r="BC102" s="76"/>
      <c r="BD102" s="77"/>
      <c r="BE102" s="76"/>
      <c r="BF102" s="79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</row>
    <row r="103" spans="1:69" x14ac:dyDescent="0.25">
      <c r="A103" s="70"/>
      <c r="B103" s="70"/>
      <c r="C103" s="71"/>
      <c r="D103" s="71"/>
      <c r="E103" s="71"/>
      <c r="F103" s="134"/>
      <c r="G103" s="82"/>
      <c r="H103" s="70"/>
      <c r="I103" s="74"/>
      <c r="J103" s="74"/>
      <c r="K103" s="83"/>
      <c r="L103" s="134"/>
      <c r="M103" s="71"/>
      <c r="N103" s="73"/>
      <c r="O103" s="151"/>
      <c r="P103" s="82"/>
      <c r="Q103" s="73"/>
      <c r="R103" s="73"/>
      <c r="S103" s="83"/>
      <c r="T103" s="70"/>
      <c r="U103" s="151"/>
      <c r="V103" s="151"/>
      <c r="W103" s="71"/>
      <c r="X103" s="79" t="s">
        <v>184</v>
      </c>
      <c r="Y103" s="79" t="s">
        <v>188</v>
      </c>
      <c r="Z103" s="76">
        <v>44197</v>
      </c>
      <c r="AA103" s="77">
        <v>12948</v>
      </c>
      <c r="AB103" s="79" t="s">
        <v>179</v>
      </c>
      <c r="AC103" s="76">
        <v>44197</v>
      </c>
      <c r="AD103" s="76">
        <v>44561</v>
      </c>
      <c r="AE103" s="78"/>
      <c r="AF103" s="79"/>
      <c r="AG103" s="2"/>
      <c r="AH103" s="2"/>
      <c r="AI103" s="85"/>
      <c r="AJ103" s="80"/>
      <c r="AK103" s="2"/>
      <c r="AL103" s="157">
        <f t="shared" si="8"/>
        <v>5235558</v>
      </c>
      <c r="AM103" s="163"/>
      <c r="AN103" s="163"/>
      <c r="AO103" s="163"/>
      <c r="AP103" s="163"/>
      <c r="AQ103" s="163"/>
      <c r="AR103" s="7"/>
      <c r="AS103" s="157"/>
      <c r="AT103" s="79"/>
      <c r="AU103" s="79"/>
      <c r="AV103" s="79"/>
      <c r="AW103" s="77"/>
      <c r="AX103" s="79"/>
      <c r="AY103" s="81"/>
      <c r="AZ103" s="79"/>
      <c r="BA103" s="79"/>
      <c r="BB103" s="77"/>
      <c r="BC103" s="76"/>
      <c r="BD103" s="77"/>
      <c r="BE103" s="76"/>
      <c r="BF103" s="79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</row>
    <row r="104" spans="1:69" ht="25.5" x14ac:dyDescent="0.25">
      <c r="A104" s="70"/>
      <c r="B104" s="70"/>
      <c r="C104" s="71"/>
      <c r="D104" s="71"/>
      <c r="E104" s="71"/>
      <c r="F104" s="134"/>
      <c r="G104" s="82"/>
      <c r="H104" s="70"/>
      <c r="I104" s="74"/>
      <c r="J104" s="74"/>
      <c r="K104" s="83"/>
      <c r="L104" s="134"/>
      <c r="M104" s="71"/>
      <c r="N104" s="73"/>
      <c r="O104" s="151"/>
      <c r="P104" s="82"/>
      <c r="Q104" s="73"/>
      <c r="R104" s="73"/>
      <c r="S104" s="83"/>
      <c r="T104" s="70"/>
      <c r="U104" s="151"/>
      <c r="V104" s="151"/>
      <c r="W104" s="71"/>
      <c r="X104" s="79" t="s">
        <v>184</v>
      </c>
      <c r="Y104" s="79" t="s">
        <v>190</v>
      </c>
      <c r="Z104" s="76">
        <v>44553</v>
      </c>
      <c r="AA104" s="77">
        <v>13194</v>
      </c>
      <c r="AB104" s="79" t="s">
        <v>382</v>
      </c>
      <c r="AC104" s="76">
        <v>44562</v>
      </c>
      <c r="AD104" s="76">
        <v>44926</v>
      </c>
      <c r="AE104" s="78"/>
      <c r="AF104" s="78">
        <f>AH104/AL101</f>
        <v>8.058317307719981E-2</v>
      </c>
      <c r="AG104" s="2"/>
      <c r="AH104" s="2">
        <v>419997</v>
      </c>
      <c r="AI104" s="85"/>
      <c r="AJ104" s="80"/>
      <c r="AK104" s="2"/>
      <c r="AL104" s="157">
        <f t="shared" si="8"/>
        <v>4815561</v>
      </c>
      <c r="AM104" s="163"/>
      <c r="AN104" s="163"/>
      <c r="AO104" s="163"/>
      <c r="AP104" s="163"/>
      <c r="AQ104" s="163"/>
      <c r="AR104" s="7"/>
      <c r="AS104" s="157"/>
      <c r="AT104" s="79"/>
      <c r="AU104" s="79"/>
      <c r="AV104" s="79"/>
      <c r="AW104" s="77"/>
      <c r="AX104" s="79"/>
      <c r="AY104" s="81"/>
      <c r="AZ104" s="79"/>
      <c r="BA104" s="79"/>
      <c r="BB104" s="77"/>
      <c r="BC104" s="76"/>
      <c r="BD104" s="77"/>
      <c r="BE104" s="76"/>
      <c r="BF104" s="79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</row>
    <row r="105" spans="1:69" ht="38.25" x14ac:dyDescent="0.25">
      <c r="A105" s="70"/>
      <c r="B105" s="70"/>
      <c r="C105" s="71"/>
      <c r="D105" s="71"/>
      <c r="E105" s="71"/>
      <c r="F105" s="134"/>
      <c r="G105" s="82"/>
      <c r="H105" s="70"/>
      <c r="I105" s="74"/>
      <c r="J105" s="74"/>
      <c r="K105" s="83"/>
      <c r="L105" s="134"/>
      <c r="M105" s="71"/>
      <c r="N105" s="73"/>
      <c r="O105" s="151"/>
      <c r="P105" s="82"/>
      <c r="Q105" s="73"/>
      <c r="R105" s="73"/>
      <c r="S105" s="83"/>
      <c r="T105" s="70"/>
      <c r="U105" s="151"/>
      <c r="V105" s="151"/>
      <c r="W105" s="71"/>
      <c r="X105" s="79" t="s">
        <v>184</v>
      </c>
      <c r="Y105" s="79" t="s">
        <v>195</v>
      </c>
      <c r="Z105" s="76">
        <v>44889</v>
      </c>
      <c r="AA105" s="77">
        <v>13424</v>
      </c>
      <c r="AB105" s="79" t="s">
        <v>458</v>
      </c>
      <c r="AC105" s="76">
        <v>44927</v>
      </c>
      <c r="AD105" s="76">
        <v>45291</v>
      </c>
      <c r="AE105" s="78"/>
      <c r="AF105" s="78">
        <f>AH105/AL104</f>
        <v>0.22079919660450775</v>
      </c>
      <c r="AG105" s="2"/>
      <c r="AH105" s="2">
        <v>1063272</v>
      </c>
      <c r="AI105" s="85"/>
      <c r="AJ105" s="80"/>
      <c r="AK105" s="2"/>
      <c r="AL105" s="157">
        <f t="shared" si="8"/>
        <v>4172286</v>
      </c>
      <c r="AM105" s="163"/>
      <c r="AN105" s="163"/>
      <c r="AO105" s="163"/>
      <c r="AP105" s="163"/>
      <c r="AQ105" s="163"/>
      <c r="AR105" s="7"/>
      <c r="AS105" s="157"/>
      <c r="AT105" s="79"/>
      <c r="AU105" s="79"/>
      <c r="AV105" s="79"/>
      <c r="AW105" s="77"/>
      <c r="AX105" s="79"/>
      <c r="AY105" s="81"/>
      <c r="AZ105" s="79"/>
      <c r="BA105" s="79"/>
      <c r="BB105" s="77"/>
      <c r="BC105" s="76"/>
      <c r="BD105" s="77"/>
      <c r="BE105" s="76"/>
      <c r="BF105" s="79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</row>
    <row r="106" spans="1:69" ht="25.5" x14ac:dyDescent="0.25">
      <c r="A106" s="70"/>
      <c r="B106" s="81"/>
      <c r="C106" s="79"/>
      <c r="D106" s="79"/>
      <c r="E106" s="79"/>
      <c r="F106" s="134"/>
      <c r="G106" s="77"/>
      <c r="H106" s="81"/>
      <c r="I106" s="87"/>
      <c r="J106" s="87"/>
      <c r="K106" s="75"/>
      <c r="L106" s="98"/>
      <c r="M106" s="79"/>
      <c r="N106" s="76"/>
      <c r="O106" s="2"/>
      <c r="P106" s="77"/>
      <c r="Q106" s="76"/>
      <c r="R106" s="76"/>
      <c r="S106" s="83"/>
      <c r="T106" s="81"/>
      <c r="U106" s="151"/>
      <c r="V106" s="151"/>
      <c r="W106" s="71"/>
      <c r="X106" s="79" t="s">
        <v>182</v>
      </c>
      <c r="Y106" s="79" t="s">
        <v>194</v>
      </c>
      <c r="Z106" s="76">
        <v>45286</v>
      </c>
      <c r="AA106" s="77">
        <v>13692</v>
      </c>
      <c r="AB106" s="79" t="s">
        <v>537</v>
      </c>
      <c r="AC106" s="76">
        <v>45292</v>
      </c>
      <c r="AD106" s="76">
        <v>45657</v>
      </c>
      <c r="AE106" s="78"/>
      <c r="AF106" s="78"/>
      <c r="AG106" s="2"/>
      <c r="AH106" s="2"/>
      <c r="AI106" s="85"/>
      <c r="AJ106" s="78">
        <f>AK106/AL105</f>
        <v>0.16878876472034754</v>
      </c>
      <c r="AK106" s="2">
        <v>704235</v>
      </c>
      <c r="AL106" s="157">
        <f t="shared" si="8"/>
        <v>5939793</v>
      </c>
      <c r="AM106" s="163"/>
      <c r="AN106" s="163"/>
      <c r="AO106" s="163"/>
      <c r="AP106" s="163"/>
      <c r="AQ106" s="163"/>
      <c r="AR106" s="7"/>
      <c r="AS106" s="157"/>
      <c r="AT106" s="79"/>
      <c r="AU106" s="79"/>
      <c r="AV106" s="79"/>
      <c r="AW106" s="77"/>
      <c r="AX106" s="79"/>
      <c r="AY106" s="81"/>
      <c r="AZ106" s="79"/>
      <c r="BA106" s="79"/>
      <c r="BB106" s="77"/>
      <c r="BC106" s="76"/>
      <c r="BD106" s="77"/>
      <c r="BE106" s="76"/>
      <c r="BF106" s="79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</row>
    <row r="107" spans="1:69" x14ac:dyDescent="0.25">
      <c r="A107" s="70">
        <v>33</v>
      </c>
      <c r="B107" s="70" t="s">
        <v>267</v>
      </c>
      <c r="C107" s="71" t="s">
        <v>268</v>
      </c>
      <c r="D107" s="71" t="s">
        <v>248</v>
      </c>
      <c r="E107" s="71" t="s">
        <v>102</v>
      </c>
      <c r="F107" s="134" t="s">
        <v>269</v>
      </c>
      <c r="G107" s="82">
        <v>12710</v>
      </c>
      <c r="H107" s="70"/>
      <c r="I107" s="74"/>
      <c r="J107" s="74"/>
      <c r="K107" s="83" t="s">
        <v>270</v>
      </c>
      <c r="L107" s="134" t="s">
        <v>402</v>
      </c>
      <c r="M107" s="71" t="s">
        <v>121</v>
      </c>
      <c r="N107" s="73">
        <v>43832</v>
      </c>
      <c r="O107" s="151">
        <v>3973572</v>
      </c>
      <c r="P107" s="82">
        <v>12721</v>
      </c>
      <c r="Q107" s="73">
        <v>43842</v>
      </c>
      <c r="R107" s="73">
        <v>44196</v>
      </c>
      <c r="S107" s="83" t="s">
        <v>565</v>
      </c>
      <c r="T107" s="70"/>
      <c r="U107" s="151"/>
      <c r="V107" s="151"/>
      <c r="W107" s="71" t="s">
        <v>106</v>
      </c>
      <c r="X107" s="79"/>
      <c r="Y107" s="79"/>
      <c r="Z107" s="79"/>
      <c r="AA107" s="77"/>
      <c r="AB107" s="79"/>
      <c r="AC107" s="79"/>
      <c r="AD107" s="79"/>
      <c r="AE107" s="78"/>
      <c r="AF107" s="79"/>
      <c r="AG107" s="2"/>
      <c r="AH107" s="2"/>
      <c r="AI107" s="85"/>
      <c r="AJ107" s="80"/>
      <c r="AK107" s="2"/>
      <c r="AL107" s="157">
        <f>$O$107-AH107+AG107+AK107</f>
        <v>3973572</v>
      </c>
      <c r="AM107" s="163">
        <f>320711.1+318823.1+320711.1+314723.1+265603.2+189517.2+1888+31273.4+192289.8+216682.8+223676+221353.2+221074.8+222952.8+59468+359468+359468+359468+359468+359468+359468+359468+359468+359468+359468+359468+51645.42+365359.22+317091.6+3846216+4895596.8</f>
        <v>16550804.640000001</v>
      </c>
      <c r="AN107" s="163">
        <f>441165.3</f>
        <v>441165.3</v>
      </c>
      <c r="AO107" s="163">
        <f>441165.3</f>
        <v>441165.3</v>
      </c>
      <c r="AP107" s="163">
        <f>441165.3+441165.3+398386.84</f>
        <v>1280717.44</v>
      </c>
      <c r="AQ107" s="163"/>
      <c r="AR107" s="7">
        <f>AQ107+AP107+AO107+AN107</f>
        <v>2163048.04</v>
      </c>
      <c r="AS107" s="157">
        <f>AR107+AM107</f>
        <v>18713852.68</v>
      </c>
      <c r="AT107" s="79"/>
      <c r="AU107" s="79"/>
      <c r="AV107" s="79"/>
      <c r="AW107" s="77"/>
      <c r="AX107" s="79"/>
      <c r="AY107" s="81"/>
      <c r="AZ107" s="79"/>
      <c r="BA107" s="79"/>
      <c r="BB107" s="77"/>
      <c r="BC107" s="76"/>
      <c r="BD107" s="77"/>
      <c r="BE107" s="76"/>
      <c r="BF107" s="79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</row>
    <row r="108" spans="1:69" x14ac:dyDescent="0.25">
      <c r="A108" s="70"/>
      <c r="B108" s="70"/>
      <c r="C108" s="71"/>
      <c r="D108" s="71"/>
      <c r="E108" s="71"/>
      <c r="F108" s="134"/>
      <c r="G108" s="82"/>
      <c r="H108" s="70"/>
      <c r="I108" s="74"/>
      <c r="J108" s="74"/>
      <c r="K108" s="83"/>
      <c r="L108" s="134"/>
      <c r="M108" s="71"/>
      <c r="N108" s="73"/>
      <c r="O108" s="151"/>
      <c r="P108" s="82"/>
      <c r="Q108" s="73"/>
      <c r="R108" s="73"/>
      <c r="S108" s="83"/>
      <c r="T108" s="70"/>
      <c r="U108" s="151"/>
      <c r="V108" s="151"/>
      <c r="W108" s="71"/>
      <c r="X108" s="79" t="s">
        <v>184</v>
      </c>
      <c r="Y108" s="79" t="s">
        <v>174</v>
      </c>
      <c r="Z108" s="76">
        <v>44026</v>
      </c>
      <c r="AA108" s="77">
        <v>12872</v>
      </c>
      <c r="AB108" s="79" t="s">
        <v>321</v>
      </c>
      <c r="AC108" s="76">
        <v>43842</v>
      </c>
      <c r="AD108" s="76">
        <v>44196</v>
      </c>
      <c r="AE108" s="78"/>
      <c r="AF108" s="78">
        <f>AH108/AL107</f>
        <v>4.4393306576551274E-3</v>
      </c>
      <c r="AG108" s="2"/>
      <c r="AH108" s="2">
        <f>1470*12</f>
        <v>17640</v>
      </c>
      <c r="AI108" s="85"/>
      <c r="AJ108" s="80"/>
      <c r="AK108" s="2"/>
      <c r="AL108" s="157">
        <f t="shared" ref="AL108:AL113" si="9">$O$107-AH108+AG108+AK108</f>
        <v>3955932</v>
      </c>
      <c r="AM108" s="163"/>
      <c r="AN108" s="163"/>
      <c r="AO108" s="163"/>
      <c r="AP108" s="163"/>
      <c r="AQ108" s="163"/>
      <c r="AR108" s="7"/>
      <c r="AS108" s="157"/>
      <c r="AT108" s="79"/>
      <c r="AU108" s="79"/>
      <c r="AV108" s="79"/>
      <c r="AW108" s="77"/>
      <c r="AX108" s="79"/>
      <c r="AY108" s="81"/>
      <c r="AZ108" s="79"/>
      <c r="BA108" s="79"/>
      <c r="BB108" s="77"/>
      <c r="BC108" s="76"/>
      <c r="BD108" s="77"/>
      <c r="BE108" s="76"/>
      <c r="BF108" s="79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</row>
    <row r="109" spans="1:69" x14ac:dyDescent="0.25">
      <c r="A109" s="70"/>
      <c r="B109" s="70"/>
      <c r="C109" s="71"/>
      <c r="D109" s="71"/>
      <c r="E109" s="71"/>
      <c r="F109" s="134"/>
      <c r="G109" s="82"/>
      <c r="H109" s="70"/>
      <c r="I109" s="74"/>
      <c r="J109" s="74"/>
      <c r="K109" s="83"/>
      <c r="L109" s="134"/>
      <c r="M109" s="71"/>
      <c r="N109" s="73"/>
      <c r="O109" s="151"/>
      <c r="P109" s="82"/>
      <c r="Q109" s="73"/>
      <c r="R109" s="73"/>
      <c r="S109" s="83"/>
      <c r="T109" s="70"/>
      <c r="U109" s="151"/>
      <c r="V109" s="151"/>
      <c r="W109" s="71"/>
      <c r="X109" s="79" t="s">
        <v>184</v>
      </c>
      <c r="Y109" s="79" t="s">
        <v>188</v>
      </c>
      <c r="Z109" s="76">
        <v>44197</v>
      </c>
      <c r="AA109" s="77">
        <v>12947</v>
      </c>
      <c r="AB109" s="79" t="s">
        <v>272</v>
      </c>
      <c r="AC109" s="76">
        <v>44197</v>
      </c>
      <c r="AD109" s="76">
        <v>44561</v>
      </c>
      <c r="AE109" s="78"/>
      <c r="AF109" s="78"/>
      <c r="AG109" s="2"/>
      <c r="AH109" s="2"/>
      <c r="AI109" s="85"/>
      <c r="AJ109" s="80"/>
      <c r="AK109" s="2"/>
      <c r="AL109" s="157">
        <f t="shared" si="9"/>
        <v>3973572</v>
      </c>
      <c r="AM109" s="163"/>
      <c r="AN109" s="163"/>
      <c r="AO109" s="163"/>
      <c r="AP109" s="163"/>
      <c r="AQ109" s="163"/>
      <c r="AR109" s="7"/>
      <c r="AS109" s="157"/>
      <c r="AT109" s="79"/>
      <c r="AU109" s="79"/>
      <c r="AV109" s="79"/>
      <c r="AW109" s="77"/>
      <c r="AX109" s="79"/>
      <c r="AY109" s="81"/>
      <c r="AZ109" s="79"/>
      <c r="BA109" s="79"/>
      <c r="BB109" s="77"/>
      <c r="BC109" s="76"/>
      <c r="BD109" s="77"/>
      <c r="BE109" s="76"/>
      <c r="BF109" s="79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</row>
    <row r="110" spans="1:69" x14ac:dyDescent="0.25">
      <c r="A110" s="70"/>
      <c r="B110" s="70"/>
      <c r="C110" s="71"/>
      <c r="D110" s="71"/>
      <c r="E110" s="71"/>
      <c r="F110" s="134"/>
      <c r="G110" s="82"/>
      <c r="H110" s="70"/>
      <c r="I110" s="74"/>
      <c r="J110" s="74"/>
      <c r="K110" s="83"/>
      <c r="L110" s="134"/>
      <c r="M110" s="71"/>
      <c r="N110" s="73"/>
      <c r="O110" s="151"/>
      <c r="P110" s="82"/>
      <c r="Q110" s="73"/>
      <c r="R110" s="73"/>
      <c r="S110" s="83"/>
      <c r="T110" s="70"/>
      <c r="U110" s="151"/>
      <c r="V110" s="151"/>
      <c r="W110" s="71"/>
      <c r="X110" s="79" t="s">
        <v>273</v>
      </c>
      <c r="Y110" s="79" t="s">
        <v>174</v>
      </c>
      <c r="Z110" s="76">
        <v>44235</v>
      </c>
      <c r="AA110" s="77">
        <v>12988</v>
      </c>
      <c r="AB110" s="79" t="s">
        <v>321</v>
      </c>
      <c r="AC110" s="76"/>
      <c r="AD110" s="76"/>
      <c r="AE110" s="78"/>
      <c r="AF110" s="78">
        <f>AH110/AL108</f>
        <v>5.677104662061936E-2</v>
      </c>
      <c r="AG110" s="2"/>
      <c r="AH110" s="2">
        <v>224582.39999999999</v>
      </c>
      <c r="AI110" s="85"/>
      <c r="AJ110" s="80"/>
      <c r="AK110" s="2"/>
      <c r="AL110" s="157">
        <f t="shared" si="9"/>
        <v>3748989.6</v>
      </c>
      <c r="AM110" s="163"/>
      <c r="AN110" s="163"/>
      <c r="AO110" s="163"/>
      <c r="AP110" s="163"/>
      <c r="AQ110" s="163"/>
      <c r="AR110" s="7"/>
      <c r="AS110" s="157"/>
      <c r="AT110" s="79"/>
      <c r="AU110" s="79"/>
      <c r="AV110" s="79"/>
      <c r="AW110" s="77"/>
      <c r="AX110" s="79"/>
      <c r="AY110" s="81"/>
      <c r="AZ110" s="79"/>
      <c r="BA110" s="79"/>
      <c r="BB110" s="77"/>
      <c r="BC110" s="76"/>
      <c r="BD110" s="77"/>
      <c r="BE110" s="76"/>
      <c r="BF110" s="79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</row>
    <row r="111" spans="1:69" x14ac:dyDescent="0.25">
      <c r="A111" s="70"/>
      <c r="B111" s="70"/>
      <c r="C111" s="71"/>
      <c r="D111" s="71"/>
      <c r="E111" s="71"/>
      <c r="F111" s="134"/>
      <c r="G111" s="82"/>
      <c r="H111" s="70"/>
      <c r="I111" s="74"/>
      <c r="J111" s="74"/>
      <c r="K111" s="83"/>
      <c r="L111" s="134"/>
      <c r="M111" s="71"/>
      <c r="N111" s="73"/>
      <c r="O111" s="151"/>
      <c r="P111" s="82"/>
      <c r="Q111" s="73"/>
      <c r="R111" s="73"/>
      <c r="S111" s="83"/>
      <c r="T111" s="70"/>
      <c r="U111" s="151"/>
      <c r="V111" s="151"/>
      <c r="W111" s="71"/>
      <c r="X111" s="79" t="s">
        <v>184</v>
      </c>
      <c r="Y111" s="79" t="s">
        <v>190</v>
      </c>
      <c r="Z111" s="76">
        <v>44559</v>
      </c>
      <c r="AA111" s="77">
        <v>13195</v>
      </c>
      <c r="AB111" s="79" t="s">
        <v>381</v>
      </c>
      <c r="AC111" s="76">
        <v>44562</v>
      </c>
      <c r="AD111" s="76">
        <v>44926</v>
      </c>
      <c r="AE111" s="78">
        <f>AG111/AL110</f>
        <v>4.6065531896914307E-2</v>
      </c>
      <c r="AF111" s="78"/>
      <c r="AG111" s="2">
        <v>172699.2</v>
      </c>
      <c r="AH111" s="2"/>
      <c r="AI111" s="85"/>
      <c r="AJ111" s="80"/>
      <c r="AK111" s="2"/>
      <c r="AL111" s="157">
        <f t="shared" si="9"/>
        <v>4146271.2</v>
      </c>
      <c r="AM111" s="163"/>
      <c r="AN111" s="163"/>
      <c r="AO111" s="163"/>
      <c r="AP111" s="163"/>
      <c r="AQ111" s="163"/>
      <c r="AR111" s="7"/>
      <c r="AS111" s="157"/>
      <c r="AT111" s="79"/>
      <c r="AU111" s="79"/>
      <c r="AV111" s="79"/>
      <c r="AW111" s="77"/>
      <c r="AX111" s="79"/>
      <c r="AY111" s="81"/>
      <c r="AZ111" s="79"/>
      <c r="BA111" s="79"/>
      <c r="BB111" s="77"/>
      <c r="BC111" s="76"/>
      <c r="BD111" s="77"/>
      <c r="BE111" s="76"/>
      <c r="BF111" s="79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</row>
    <row r="112" spans="1:69" ht="25.5" x14ac:dyDescent="0.25">
      <c r="A112" s="70"/>
      <c r="B112" s="70"/>
      <c r="C112" s="71"/>
      <c r="D112" s="71"/>
      <c r="E112" s="71"/>
      <c r="F112" s="134"/>
      <c r="G112" s="82"/>
      <c r="H112" s="70"/>
      <c r="I112" s="74"/>
      <c r="J112" s="74"/>
      <c r="K112" s="83"/>
      <c r="L112" s="134"/>
      <c r="M112" s="71"/>
      <c r="N112" s="73"/>
      <c r="O112" s="151"/>
      <c r="P112" s="82"/>
      <c r="Q112" s="73"/>
      <c r="R112" s="73"/>
      <c r="S112" s="83"/>
      <c r="T112" s="70"/>
      <c r="U112" s="151"/>
      <c r="V112" s="151"/>
      <c r="W112" s="71"/>
      <c r="X112" s="79" t="s">
        <v>184</v>
      </c>
      <c r="Y112" s="79" t="s">
        <v>195</v>
      </c>
      <c r="Z112" s="76">
        <v>44917</v>
      </c>
      <c r="AA112" s="77">
        <v>13438</v>
      </c>
      <c r="AB112" s="79" t="s">
        <v>459</v>
      </c>
      <c r="AC112" s="76">
        <v>44927</v>
      </c>
      <c r="AD112" s="76">
        <v>45291</v>
      </c>
      <c r="AE112" s="78">
        <f>AG112/AL111</f>
        <v>0.23914209953270785</v>
      </c>
      <c r="AF112" s="79"/>
      <c r="AG112" s="2">
        <v>991548</v>
      </c>
      <c r="AH112" s="2"/>
      <c r="AI112" s="85"/>
      <c r="AJ112" s="80"/>
      <c r="AK112" s="2"/>
      <c r="AL112" s="157">
        <f t="shared" si="9"/>
        <v>4965120</v>
      </c>
      <c r="AM112" s="163"/>
      <c r="AN112" s="163"/>
      <c r="AO112" s="163"/>
      <c r="AP112" s="163"/>
      <c r="AQ112" s="163"/>
      <c r="AR112" s="7"/>
      <c r="AS112" s="157"/>
      <c r="AT112" s="79"/>
      <c r="AU112" s="79"/>
      <c r="AV112" s="79"/>
      <c r="AW112" s="77"/>
      <c r="AX112" s="79"/>
      <c r="AY112" s="81"/>
      <c r="AZ112" s="79"/>
      <c r="BA112" s="79"/>
      <c r="BB112" s="77"/>
      <c r="BC112" s="76"/>
      <c r="BD112" s="77"/>
      <c r="BE112" s="76"/>
      <c r="BF112" s="79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</row>
    <row r="113" spans="1:69" ht="25.5" x14ac:dyDescent="0.25">
      <c r="A113" s="70"/>
      <c r="B113" s="81"/>
      <c r="C113" s="79"/>
      <c r="D113" s="79"/>
      <c r="E113" s="79"/>
      <c r="F113" s="134"/>
      <c r="G113" s="77"/>
      <c r="H113" s="81"/>
      <c r="I113" s="87"/>
      <c r="J113" s="87"/>
      <c r="K113" s="75"/>
      <c r="L113" s="98"/>
      <c r="M113" s="79"/>
      <c r="N113" s="76"/>
      <c r="O113" s="2"/>
      <c r="P113" s="77"/>
      <c r="Q113" s="76"/>
      <c r="R113" s="76"/>
      <c r="S113" s="75"/>
      <c r="T113" s="70"/>
      <c r="U113" s="151"/>
      <c r="V113" s="151"/>
      <c r="W113" s="71"/>
      <c r="X113" s="79" t="s">
        <v>533</v>
      </c>
      <c r="Y113" s="79" t="s">
        <v>194</v>
      </c>
      <c r="Z113" s="76">
        <v>45280</v>
      </c>
      <c r="AA113" s="77">
        <v>13686</v>
      </c>
      <c r="AB113" s="79" t="s">
        <v>534</v>
      </c>
      <c r="AC113" s="76">
        <v>45292</v>
      </c>
      <c r="AD113" s="76">
        <v>45657</v>
      </c>
      <c r="AE113" s="78"/>
      <c r="AF113" s="79"/>
      <c r="AG113" s="2"/>
      <c r="AH113" s="2"/>
      <c r="AI113" s="85"/>
      <c r="AJ113" s="78">
        <f>AK113/AL112</f>
        <v>8.0237093967517395E-2</v>
      </c>
      <c r="AK113" s="2">
        <v>398386.8</v>
      </c>
      <c r="AL113" s="157">
        <f t="shared" si="9"/>
        <v>4371958.8</v>
      </c>
      <c r="AM113" s="163"/>
      <c r="AN113" s="163"/>
      <c r="AO113" s="163"/>
      <c r="AP113" s="163"/>
      <c r="AQ113" s="163"/>
      <c r="AR113" s="7"/>
      <c r="AS113" s="157"/>
      <c r="AT113" s="79"/>
      <c r="AU113" s="79"/>
      <c r="AV113" s="79"/>
      <c r="AW113" s="77"/>
      <c r="AX113" s="79"/>
      <c r="AY113" s="81"/>
      <c r="AZ113" s="79"/>
      <c r="BA113" s="79"/>
      <c r="BB113" s="77"/>
      <c r="BC113" s="76"/>
      <c r="BD113" s="77"/>
      <c r="BE113" s="76"/>
      <c r="BF113" s="79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</row>
    <row r="114" spans="1:69" x14ac:dyDescent="0.25">
      <c r="A114" s="70">
        <v>34</v>
      </c>
      <c r="B114" s="70" t="s">
        <v>289</v>
      </c>
      <c r="C114" s="71" t="s">
        <v>290</v>
      </c>
      <c r="D114" s="71" t="s">
        <v>248</v>
      </c>
      <c r="E114" s="71" t="s">
        <v>102</v>
      </c>
      <c r="F114" s="134" t="s">
        <v>287</v>
      </c>
      <c r="G114" s="82">
        <v>12905</v>
      </c>
      <c r="H114" s="70"/>
      <c r="I114" s="74"/>
      <c r="J114" s="74"/>
      <c r="K114" s="83" t="s">
        <v>288</v>
      </c>
      <c r="L114" s="134" t="s">
        <v>261</v>
      </c>
      <c r="M114" s="71" t="s">
        <v>262</v>
      </c>
      <c r="N114" s="73">
        <v>44323</v>
      </c>
      <c r="O114" s="151">
        <v>53760</v>
      </c>
      <c r="P114" s="82">
        <v>13043</v>
      </c>
      <c r="Q114" s="73">
        <v>44323</v>
      </c>
      <c r="R114" s="73">
        <v>44688</v>
      </c>
      <c r="S114" s="83" t="s">
        <v>104</v>
      </c>
      <c r="T114" s="71"/>
      <c r="U114" s="151"/>
      <c r="V114" s="151"/>
      <c r="W114" s="71" t="s">
        <v>106</v>
      </c>
      <c r="X114" s="79"/>
      <c r="Y114" s="79"/>
      <c r="Z114" s="76"/>
      <c r="AA114" s="77"/>
      <c r="AB114" s="79"/>
      <c r="AC114" s="76"/>
      <c r="AD114" s="76"/>
      <c r="AE114" s="78"/>
      <c r="AF114" s="79"/>
      <c r="AG114" s="2"/>
      <c r="AH114" s="2"/>
      <c r="AI114" s="85"/>
      <c r="AJ114" s="80"/>
      <c r="AK114" s="2"/>
      <c r="AL114" s="157">
        <f>$O$114-AH114+AG114+AK114</f>
        <v>53760</v>
      </c>
      <c r="AM114" s="163">
        <f>31957.34+53760+56018.2</f>
        <v>141735.53999999998</v>
      </c>
      <c r="AN114" s="163">
        <f>2401.3</f>
        <v>2401.3000000000002</v>
      </c>
      <c r="AO114" s="163">
        <f>2401.3</f>
        <v>2401.3000000000002</v>
      </c>
      <c r="AP114" s="163">
        <f>4802.6</f>
        <v>4802.6000000000004</v>
      </c>
      <c r="AQ114" s="163"/>
      <c r="AR114" s="7">
        <f>AQ114+AP114+AO114+AN114</f>
        <v>9605.2000000000007</v>
      </c>
      <c r="AS114" s="157">
        <f>AR114+AM114</f>
        <v>151340.74</v>
      </c>
      <c r="AT114" s="79"/>
      <c r="AU114" s="79"/>
      <c r="AV114" s="79"/>
      <c r="AW114" s="77"/>
      <c r="AX114" s="79"/>
      <c r="AY114" s="81"/>
      <c r="AZ114" s="79"/>
      <c r="BA114" s="79"/>
      <c r="BB114" s="77"/>
      <c r="BC114" s="76"/>
      <c r="BD114" s="77"/>
      <c r="BE114" s="76"/>
      <c r="BF114" s="79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</row>
    <row r="115" spans="1:69" x14ac:dyDescent="0.25">
      <c r="A115" s="70"/>
      <c r="B115" s="70"/>
      <c r="C115" s="71"/>
      <c r="D115" s="71"/>
      <c r="E115" s="71"/>
      <c r="F115" s="134"/>
      <c r="G115" s="82"/>
      <c r="H115" s="70"/>
      <c r="I115" s="74"/>
      <c r="J115" s="74"/>
      <c r="K115" s="83"/>
      <c r="L115" s="134"/>
      <c r="M115" s="71"/>
      <c r="N115" s="73"/>
      <c r="O115" s="151"/>
      <c r="P115" s="82"/>
      <c r="Q115" s="73"/>
      <c r="R115" s="73"/>
      <c r="S115" s="83"/>
      <c r="T115" s="71"/>
      <c r="U115" s="151"/>
      <c r="V115" s="151"/>
      <c r="W115" s="71"/>
      <c r="X115" s="79" t="s">
        <v>184</v>
      </c>
      <c r="Y115" s="79">
        <v>1</v>
      </c>
      <c r="Z115" s="76">
        <v>44687</v>
      </c>
      <c r="AA115" s="77">
        <v>13298</v>
      </c>
      <c r="AB115" s="79" t="s">
        <v>201</v>
      </c>
      <c r="AC115" s="76">
        <v>44689</v>
      </c>
      <c r="AD115" s="76">
        <v>45054</v>
      </c>
      <c r="AE115" s="78"/>
      <c r="AF115" s="79"/>
      <c r="AG115" s="2"/>
      <c r="AH115" s="2"/>
      <c r="AI115" s="85"/>
      <c r="AJ115" s="80"/>
      <c r="AK115" s="2"/>
      <c r="AL115" s="157">
        <f t="shared" ref="AL115:AL116" si="10">$O$114-AH115+AG115+AK115</f>
        <v>53760</v>
      </c>
      <c r="AM115" s="163"/>
      <c r="AN115" s="163"/>
      <c r="AO115" s="163"/>
      <c r="AP115" s="163"/>
      <c r="AQ115" s="163"/>
      <c r="AR115" s="7"/>
      <c r="AS115" s="157"/>
      <c r="AT115" s="79"/>
      <c r="AU115" s="79"/>
      <c r="AV115" s="79"/>
      <c r="AW115" s="77"/>
      <c r="AX115" s="79"/>
      <c r="AY115" s="81"/>
      <c r="AZ115" s="79"/>
      <c r="BA115" s="79"/>
      <c r="BB115" s="77"/>
      <c r="BC115" s="76"/>
      <c r="BD115" s="77"/>
      <c r="BE115" s="76"/>
      <c r="BF115" s="79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</row>
    <row r="116" spans="1:69" ht="25.5" x14ac:dyDescent="0.25">
      <c r="A116" s="70"/>
      <c r="B116" s="70"/>
      <c r="C116" s="71"/>
      <c r="D116" s="71"/>
      <c r="E116" s="71"/>
      <c r="F116" s="134"/>
      <c r="G116" s="82"/>
      <c r="H116" s="70"/>
      <c r="I116" s="74"/>
      <c r="J116" s="74"/>
      <c r="K116" s="83"/>
      <c r="L116" s="134"/>
      <c r="M116" s="71"/>
      <c r="N116" s="73"/>
      <c r="O116" s="151"/>
      <c r="P116" s="82"/>
      <c r="Q116" s="73"/>
      <c r="R116" s="73"/>
      <c r="S116" s="83"/>
      <c r="T116" s="71"/>
      <c r="U116" s="151"/>
      <c r="V116" s="151"/>
      <c r="W116" s="71"/>
      <c r="X116" s="79" t="s">
        <v>533</v>
      </c>
      <c r="Y116" s="79" t="s">
        <v>188</v>
      </c>
      <c r="Z116" s="76">
        <v>45051</v>
      </c>
      <c r="AA116" s="77">
        <v>13532</v>
      </c>
      <c r="AB116" s="79" t="s">
        <v>534</v>
      </c>
      <c r="AC116" s="76">
        <v>45054</v>
      </c>
      <c r="AD116" s="76">
        <v>45419</v>
      </c>
      <c r="AE116" s="78"/>
      <c r="AF116" s="79"/>
      <c r="AG116" s="2"/>
      <c r="AH116" s="2"/>
      <c r="AI116" s="85"/>
      <c r="AJ116" s="78">
        <f>AK116/AL114</f>
        <v>7.2008928571428571E-2</v>
      </c>
      <c r="AK116" s="2">
        <v>3871.2</v>
      </c>
      <c r="AL116" s="157">
        <f t="shared" si="10"/>
        <v>57631.199999999997</v>
      </c>
      <c r="AM116" s="163"/>
      <c r="AN116" s="163"/>
      <c r="AO116" s="163"/>
      <c r="AP116" s="163"/>
      <c r="AQ116" s="163"/>
      <c r="AR116" s="7"/>
      <c r="AS116" s="157"/>
      <c r="AT116" s="79"/>
      <c r="AU116" s="79"/>
      <c r="AV116" s="79"/>
      <c r="AW116" s="77"/>
      <c r="AX116" s="79"/>
      <c r="AY116" s="81"/>
      <c r="AZ116" s="79"/>
      <c r="BA116" s="79"/>
      <c r="BB116" s="77"/>
      <c r="BC116" s="76"/>
      <c r="BD116" s="77"/>
      <c r="BE116" s="76"/>
      <c r="BF116" s="79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</row>
    <row r="117" spans="1:69" x14ac:dyDescent="0.25">
      <c r="A117" s="70">
        <v>35</v>
      </c>
      <c r="B117" s="70" t="s">
        <v>257</v>
      </c>
      <c r="C117" s="71" t="s">
        <v>258</v>
      </c>
      <c r="D117" s="71" t="s">
        <v>248</v>
      </c>
      <c r="E117" s="71" t="s">
        <v>102</v>
      </c>
      <c r="F117" s="134" t="s">
        <v>259</v>
      </c>
      <c r="G117" s="82">
        <v>12684</v>
      </c>
      <c r="H117" s="70"/>
      <c r="I117" s="74"/>
      <c r="J117" s="74"/>
      <c r="K117" s="83" t="s">
        <v>256</v>
      </c>
      <c r="L117" s="134" t="s">
        <v>260</v>
      </c>
      <c r="M117" s="71" t="s">
        <v>263</v>
      </c>
      <c r="N117" s="73">
        <v>43832</v>
      </c>
      <c r="O117" s="151">
        <v>47140.56</v>
      </c>
      <c r="P117" s="82">
        <v>12727</v>
      </c>
      <c r="Q117" s="73">
        <v>43832</v>
      </c>
      <c r="R117" s="73">
        <v>44196</v>
      </c>
      <c r="S117" s="83" t="s">
        <v>565</v>
      </c>
      <c r="T117" s="71"/>
      <c r="U117" s="151"/>
      <c r="V117" s="151"/>
      <c r="W117" s="71" t="s">
        <v>106</v>
      </c>
      <c r="X117" s="79" t="s">
        <v>184</v>
      </c>
      <c r="Y117" s="79">
        <v>1</v>
      </c>
      <c r="Z117" s="76">
        <v>44182</v>
      </c>
      <c r="AA117" s="77">
        <v>12947</v>
      </c>
      <c r="AB117" s="79" t="s">
        <v>201</v>
      </c>
      <c r="AC117" s="76">
        <v>44197</v>
      </c>
      <c r="AD117" s="76">
        <v>44561</v>
      </c>
      <c r="AE117" s="78"/>
      <c r="AF117" s="79"/>
      <c r="AG117" s="2"/>
      <c r="AH117" s="2"/>
      <c r="AI117" s="88"/>
      <c r="AJ117" s="89"/>
      <c r="AK117" s="151"/>
      <c r="AL117" s="157">
        <f>$O$117-AH117+AG117+AK117</f>
        <v>47140.56</v>
      </c>
      <c r="AM117" s="157">
        <f>3600+3600+3600+3600+3600+3600+1800+1800+1800+1800+1800+1800+3600+1800+1800+1800+1800+3600+3600+3600+3600+3600+3600+3600+3600+47140.56+47140.56</f>
        <v>166281.12</v>
      </c>
      <c r="AN117" s="157">
        <v>3928.38</v>
      </c>
      <c r="AO117" s="157">
        <f>3928.38+5835.83</f>
        <v>9764.2099999999991</v>
      </c>
      <c r="AP117" s="157">
        <f>3928.38</f>
        <v>3928.38</v>
      </c>
      <c r="AQ117" s="157"/>
      <c r="AR117" s="7">
        <f>AQ117+AP117+AO117+AN117</f>
        <v>17620.97</v>
      </c>
      <c r="AS117" s="157">
        <f>AR117+AM117</f>
        <v>183902.09</v>
      </c>
      <c r="AT117" s="79"/>
      <c r="AU117" s="79"/>
      <c r="AV117" s="79"/>
      <c r="AW117" s="77"/>
      <c r="AX117" s="79"/>
      <c r="AY117" s="81"/>
      <c r="AZ117" s="79"/>
      <c r="BA117" s="79"/>
      <c r="BB117" s="77"/>
      <c r="BC117" s="76"/>
      <c r="BD117" s="77"/>
      <c r="BE117" s="76"/>
      <c r="BF117" s="79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</row>
    <row r="118" spans="1:69" x14ac:dyDescent="0.25">
      <c r="A118" s="70"/>
      <c r="B118" s="70"/>
      <c r="C118" s="71"/>
      <c r="D118" s="71"/>
      <c r="E118" s="71"/>
      <c r="F118" s="134"/>
      <c r="G118" s="82"/>
      <c r="H118" s="70"/>
      <c r="I118" s="74"/>
      <c r="J118" s="74"/>
      <c r="K118" s="83"/>
      <c r="L118" s="134"/>
      <c r="M118" s="71"/>
      <c r="N118" s="73"/>
      <c r="O118" s="151"/>
      <c r="P118" s="82"/>
      <c r="Q118" s="73"/>
      <c r="R118" s="73"/>
      <c r="S118" s="83"/>
      <c r="T118" s="71"/>
      <c r="U118" s="151"/>
      <c r="V118" s="151"/>
      <c r="W118" s="71"/>
      <c r="X118" s="79" t="s">
        <v>184</v>
      </c>
      <c r="Y118" s="79">
        <v>2</v>
      </c>
      <c r="Z118" s="76">
        <v>44545</v>
      </c>
      <c r="AA118" s="77">
        <v>13189</v>
      </c>
      <c r="AB118" s="79" t="s">
        <v>373</v>
      </c>
      <c r="AC118" s="76">
        <v>44562</v>
      </c>
      <c r="AD118" s="76">
        <v>44926</v>
      </c>
      <c r="AE118" s="78"/>
      <c r="AF118" s="79"/>
      <c r="AG118" s="2"/>
      <c r="AH118" s="2"/>
      <c r="AI118" s="88"/>
      <c r="AJ118" s="89"/>
      <c r="AK118" s="151"/>
      <c r="AL118" s="157">
        <f t="shared" ref="AL118:AL120" si="11">$O$117-AH118+AG118+AK118</f>
        <v>47140.56</v>
      </c>
      <c r="AM118" s="157"/>
      <c r="AN118" s="157"/>
      <c r="AO118" s="157"/>
      <c r="AP118" s="157"/>
      <c r="AQ118" s="157"/>
      <c r="AR118" s="7"/>
      <c r="AS118" s="157"/>
      <c r="AT118" s="79"/>
      <c r="AU118" s="79"/>
      <c r="AV118" s="79"/>
      <c r="AW118" s="77"/>
      <c r="AX118" s="79"/>
      <c r="AY118" s="81"/>
      <c r="AZ118" s="79"/>
      <c r="BA118" s="79"/>
      <c r="BB118" s="77"/>
      <c r="BC118" s="76"/>
      <c r="BD118" s="77"/>
      <c r="BE118" s="76"/>
      <c r="BF118" s="79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</row>
    <row r="119" spans="1:69" x14ac:dyDescent="0.25">
      <c r="A119" s="70"/>
      <c r="B119" s="70"/>
      <c r="C119" s="71"/>
      <c r="D119" s="71"/>
      <c r="E119" s="71"/>
      <c r="F119" s="134"/>
      <c r="G119" s="82"/>
      <c r="H119" s="70"/>
      <c r="I119" s="74"/>
      <c r="J119" s="74"/>
      <c r="K119" s="83"/>
      <c r="L119" s="134"/>
      <c r="M119" s="71"/>
      <c r="N119" s="73"/>
      <c r="O119" s="151"/>
      <c r="P119" s="82"/>
      <c r="Q119" s="73"/>
      <c r="R119" s="73"/>
      <c r="S119" s="83"/>
      <c r="T119" s="71"/>
      <c r="U119" s="151"/>
      <c r="V119" s="151"/>
      <c r="W119" s="71"/>
      <c r="X119" s="79" t="s">
        <v>184</v>
      </c>
      <c r="Y119" s="79">
        <v>3</v>
      </c>
      <c r="Z119" s="76">
        <v>44918</v>
      </c>
      <c r="AA119" s="77">
        <v>13443</v>
      </c>
      <c r="AB119" s="79" t="s">
        <v>373</v>
      </c>
      <c r="AC119" s="76">
        <v>44927</v>
      </c>
      <c r="AD119" s="76">
        <v>45291</v>
      </c>
      <c r="AE119" s="78"/>
      <c r="AF119" s="79"/>
      <c r="AG119" s="2"/>
      <c r="AH119" s="2"/>
      <c r="AI119" s="88"/>
      <c r="AJ119" s="89"/>
      <c r="AK119" s="151"/>
      <c r="AL119" s="157">
        <f t="shared" si="11"/>
        <v>47140.56</v>
      </c>
      <c r="AM119" s="157"/>
      <c r="AN119" s="157"/>
      <c r="AO119" s="157"/>
      <c r="AP119" s="157"/>
      <c r="AQ119" s="157"/>
      <c r="AR119" s="7"/>
      <c r="AS119" s="157"/>
      <c r="AT119" s="79"/>
      <c r="AU119" s="79"/>
      <c r="AV119" s="79"/>
      <c r="AW119" s="77"/>
      <c r="AX119" s="79"/>
      <c r="AY119" s="81"/>
      <c r="AZ119" s="79"/>
      <c r="BA119" s="79"/>
      <c r="BB119" s="77"/>
      <c r="BC119" s="76"/>
      <c r="BD119" s="77"/>
      <c r="BE119" s="76"/>
      <c r="BF119" s="79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</row>
    <row r="120" spans="1:69" x14ac:dyDescent="0.25">
      <c r="A120" s="70"/>
      <c r="B120" s="70"/>
      <c r="C120" s="71"/>
      <c r="D120" s="71"/>
      <c r="E120" s="71"/>
      <c r="F120" s="134"/>
      <c r="G120" s="82"/>
      <c r="H120" s="70"/>
      <c r="I120" s="74"/>
      <c r="J120" s="74"/>
      <c r="K120" s="83"/>
      <c r="L120" s="134"/>
      <c r="M120" s="71"/>
      <c r="N120" s="73"/>
      <c r="O120" s="151"/>
      <c r="P120" s="82"/>
      <c r="Q120" s="73"/>
      <c r="R120" s="73"/>
      <c r="S120" s="83"/>
      <c r="T120" s="71"/>
      <c r="U120" s="151"/>
      <c r="V120" s="151"/>
      <c r="W120" s="71"/>
      <c r="X120" s="79" t="s">
        <v>533</v>
      </c>
      <c r="Y120" s="79">
        <v>4</v>
      </c>
      <c r="Z120" s="76">
        <v>45278</v>
      </c>
      <c r="AA120" s="77">
        <v>13686</v>
      </c>
      <c r="AB120" s="79" t="s">
        <v>322</v>
      </c>
      <c r="AC120" s="76">
        <v>45292</v>
      </c>
      <c r="AD120" s="76">
        <v>45657</v>
      </c>
      <c r="AE120" s="78"/>
      <c r="AF120" s="79"/>
      <c r="AG120" s="2"/>
      <c r="AH120" s="2"/>
      <c r="AI120" s="88"/>
      <c r="AJ120" s="89"/>
      <c r="AK120" s="151"/>
      <c r="AL120" s="157">
        <f t="shared" si="11"/>
        <v>47140.56</v>
      </c>
      <c r="AM120" s="157"/>
      <c r="AN120" s="157"/>
      <c r="AO120" s="157"/>
      <c r="AP120" s="157"/>
      <c r="AQ120" s="157"/>
      <c r="AR120" s="7"/>
      <c r="AS120" s="157"/>
      <c r="AT120" s="79"/>
      <c r="AU120" s="79"/>
      <c r="AV120" s="79"/>
      <c r="AW120" s="77"/>
      <c r="AX120" s="79"/>
      <c r="AY120" s="81"/>
      <c r="AZ120" s="79"/>
      <c r="BA120" s="79"/>
      <c r="BB120" s="77"/>
      <c r="BC120" s="76"/>
      <c r="BD120" s="77"/>
      <c r="BE120" s="76"/>
      <c r="BF120" s="79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</row>
    <row r="121" spans="1:69" x14ac:dyDescent="0.25">
      <c r="A121" s="70">
        <v>36</v>
      </c>
      <c r="B121" s="70" t="s">
        <v>518</v>
      </c>
      <c r="C121" s="90" t="s">
        <v>465</v>
      </c>
      <c r="D121" s="71" t="s">
        <v>519</v>
      </c>
      <c r="E121" s="71" t="s">
        <v>509</v>
      </c>
      <c r="F121" s="134" t="s">
        <v>517</v>
      </c>
      <c r="G121" s="82">
        <v>13497</v>
      </c>
      <c r="H121" s="70" t="s">
        <v>472</v>
      </c>
      <c r="I121" s="74">
        <v>45084</v>
      </c>
      <c r="J121" s="74">
        <v>45450</v>
      </c>
      <c r="K121" s="83" t="s">
        <v>520</v>
      </c>
      <c r="L121" s="134" t="s">
        <v>521</v>
      </c>
      <c r="M121" s="71" t="s">
        <v>522</v>
      </c>
      <c r="N121" s="73">
        <v>45238</v>
      </c>
      <c r="O121" s="151">
        <f>2334273.06</f>
        <v>2334273.06</v>
      </c>
      <c r="P121" s="82">
        <v>13653</v>
      </c>
      <c r="Q121" s="73">
        <v>45238</v>
      </c>
      <c r="R121" s="73">
        <v>45604</v>
      </c>
      <c r="S121" s="75" t="s">
        <v>565</v>
      </c>
      <c r="T121" s="71"/>
      <c r="U121" s="151"/>
      <c r="V121" s="151"/>
      <c r="W121" s="71" t="s">
        <v>107</v>
      </c>
      <c r="X121" s="79"/>
      <c r="Y121" s="79"/>
      <c r="Z121" s="76"/>
      <c r="AA121" s="77"/>
      <c r="AB121" s="79"/>
      <c r="AC121" s="76"/>
      <c r="AD121" s="76"/>
      <c r="AE121" s="86"/>
      <c r="AF121" s="79"/>
      <c r="AG121" s="2"/>
      <c r="AH121" s="2"/>
      <c r="AI121" s="85"/>
      <c r="AJ121" s="80"/>
      <c r="AK121" s="2"/>
      <c r="AL121" s="157">
        <f>$O$121-AH121+AG121+AK121</f>
        <v>2334273.06</v>
      </c>
      <c r="AM121" s="163"/>
      <c r="AN121" s="163"/>
      <c r="AO121" s="163">
        <f>99999.72+100554.32+299999.05+188818.82+36236.57</f>
        <v>725608.47999999986</v>
      </c>
      <c r="AP121" s="163"/>
      <c r="AQ121" s="163"/>
      <c r="AR121" s="7">
        <f>AQ121+AP121+AO121+AN121</f>
        <v>725608.47999999986</v>
      </c>
      <c r="AS121" s="157">
        <f>AR121+AM121</f>
        <v>725608.47999999986</v>
      </c>
      <c r="AT121" s="79"/>
      <c r="AU121" s="79"/>
      <c r="AV121" s="79"/>
      <c r="AW121" s="77"/>
      <c r="AX121" s="79"/>
      <c r="AY121" s="81"/>
      <c r="AZ121" s="79"/>
      <c r="BA121" s="79"/>
      <c r="BB121" s="77"/>
      <c r="BC121" s="76"/>
      <c r="BD121" s="77"/>
      <c r="BE121" s="76"/>
      <c r="BF121" s="79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</row>
    <row r="122" spans="1:69" ht="25.5" x14ac:dyDescent="0.25">
      <c r="A122" s="70"/>
      <c r="B122" s="70"/>
      <c r="C122" s="90"/>
      <c r="D122" s="71"/>
      <c r="E122" s="71"/>
      <c r="F122" s="134"/>
      <c r="G122" s="82"/>
      <c r="H122" s="70"/>
      <c r="I122" s="74"/>
      <c r="J122" s="74"/>
      <c r="K122" s="83"/>
      <c r="L122" s="134"/>
      <c r="M122" s="71"/>
      <c r="N122" s="73"/>
      <c r="O122" s="151"/>
      <c r="P122" s="82"/>
      <c r="Q122" s="73"/>
      <c r="R122" s="73"/>
      <c r="S122" s="75" t="s">
        <v>313</v>
      </c>
      <c r="T122" s="71"/>
      <c r="U122" s="151"/>
      <c r="V122" s="151"/>
      <c r="W122" s="71"/>
      <c r="X122" s="79"/>
      <c r="Y122" s="79"/>
      <c r="Z122" s="76"/>
      <c r="AA122" s="77"/>
      <c r="AB122" s="79"/>
      <c r="AC122" s="76"/>
      <c r="AD122" s="76"/>
      <c r="AE122" s="86"/>
      <c r="AF122" s="79"/>
      <c r="AG122" s="2"/>
      <c r="AH122" s="2"/>
      <c r="AI122" s="85"/>
      <c r="AJ122" s="80"/>
      <c r="AK122" s="2"/>
      <c r="AL122" s="157">
        <f>$O$121-AH122+AG122+AK122</f>
        <v>2334273.06</v>
      </c>
      <c r="AM122" s="163">
        <f>625454.04+219445.65+763763.39</f>
        <v>1608663.08</v>
      </c>
      <c r="AN122" s="163"/>
      <c r="AO122" s="163"/>
      <c r="AP122" s="163"/>
      <c r="AQ122" s="163"/>
      <c r="AR122" s="7"/>
      <c r="AS122" s="157">
        <f>AR122+AM122</f>
        <v>1608663.08</v>
      </c>
      <c r="AT122" s="91" t="s">
        <v>472</v>
      </c>
      <c r="AU122" s="76">
        <v>45084</v>
      </c>
      <c r="AV122" s="76">
        <v>45450</v>
      </c>
      <c r="AW122" s="77">
        <v>13499</v>
      </c>
      <c r="AX122" s="79" t="s">
        <v>556</v>
      </c>
      <c r="AY122" s="81">
        <v>13499</v>
      </c>
      <c r="AZ122" s="79"/>
      <c r="BA122" s="79"/>
      <c r="BB122" s="77"/>
      <c r="BC122" s="76"/>
      <c r="BD122" s="77"/>
      <c r="BE122" s="76"/>
      <c r="BF122" s="79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</row>
    <row r="123" spans="1:69" x14ac:dyDescent="0.25">
      <c r="A123" s="70">
        <v>37</v>
      </c>
      <c r="B123" s="70" t="s">
        <v>441</v>
      </c>
      <c r="C123" s="71" t="s">
        <v>433</v>
      </c>
      <c r="D123" s="71" t="s">
        <v>308</v>
      </c>
      <c r="E123" s="71" t="s">
        <v>102</v>
      </c>
      <c r="F123" s="134" t="s">
        <v>434</v>
      </c>
      <c r="G123" s="72">
        <v>13340</v>
      </c>
      <c r="H123" s="83" t="s">
        <v>435</v>
      </c>
      <c r="I123" s="74">
        <v>44802</v>
      </c>
      <c r="J123" s="74">
        <v>45167</v>
      </c>
      <c r="K123" s="83" t="s">
        <v>445</v>
      </c>
      <c r="L123" s="136" t="s">
        <v>437</v>
      </c>
      <c r="M123" s="74" t="s">
        <v>438</v>
      </c>
      <c r="N123" s="73">
        <v>44872</v>
      </c>
      <c r="O123" s="150">
        <v>77880</v>
      </c>
      <c r="P123" s="11">
        <v>13409</v>
      </c>
      <c r="Q123" s="12">
        <v>44872</v>
      </c>
      <c r="R123" s="12">
        <v>45237</v>
      </c>
      <c r="S123" s="92" t="s">
        <v>565</v>
      </c>
      <c r="T123" s="71"/>
      <c r="U123" s="151"/>
      <c r="V123" s="151"/>
      <c r="W123" s="71" t="s">
        <v>106</v>
      </c>
      <c r="X123" s="79" t="s">
        <v>184</v>
      </c>
      <c r="Y123" s="79" t="s">
        <v>174</v>
      </c>
      <c r="Z123" s="76">
        <v>45238</v>
      </c>
      <c r="AA123" s="77">
        <v>13659</v>
      </c>
      <c r="AB123" s="79" t="s">
        <v>322</v>
      </c>
      <c r="AC123" s="76">
        <v>45238</v>
      </c>
      <c r="AD123" s="76">
        <v>45604</v>
      </c>
      <c r="AE123" s="78"/>
      <c r="AF123" s="79"/>
      <c r="AG123" s="2"/>
      <c r="AH123" s="2"/>
      <c r="AI123" s="85"/>
      <c r="AJ123" s="80"/>
      <c r="AK123" s="2"/>
      <c r="AL123" s="157">
        <f>$O$123-AH123+AG123+AK123</f>
        <v>77880</v>
      </c>
      <c r="AM123" s="7">
        <f>64900</f>
        <v>64900</v>
      </c>
      <c r="AN123" s="7">
        <f>6490</f>
        <v>6490</v>
      </c>
      <c r="AO123" s="7">
        <f>6490</f>
        <v>6490</v>
      </c>
      <c r="AP123" s="7">
        <f>6490</f>
        <v>6490</v>
      </c>
      <c r="AQ123" s="7"/>
      <c r="AR123" s="7">
        <f>AQ123+AP123+AO123+AN123</f>
        <v>19470</v>
      </c>
      <c r="AS123" s="157">
        <f>AR123+AM123</f>
        <v>84370</v>
      </c>
      <c r="AT123" s="71" t="s">
        <v>435</v>
      </c>
      <c r="AU123" s="73">
        <v>44802</v>
      </c>
      <c r="AV123" s="73">
        <v>45167</v>
      </c>
      <c r="AW123" s="82">
        <v>13363</v>
      </c>
      <c r="AX123" s="71" t="s">
        <v>450</v>
      </c>
      <c r="AY123" s="70">
        <v>13363</v>
      </c>
      <c r="AZ123" s="79"/>
      <c r="BA123" s="79"/>
      <c r="BB123" s="77"/>
      <c r="BC123" s="76"/>
      <c r="BD123" s="77"/>
      <c r="BE123" s="76"/>
      <c r="BF123" s="79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</row>
    <row r="124" spans="1:69" x14ac:dyDescent="0.25">
      <c r="A124" s="70"/>
      <c r="B124" s="70"/>
      <c r="C124" s="71"/>
      <c r="D124" s="71"/>
      <c r="E124" s="71"/>
      <c r="F124" s="134"/>
      <c r="G124" s="72"/>
      <c r="H124" s="83"/>
      <c r="I124" s="74"/>
      <c r="J124" s="74"/>
      <c r="K124" s="83"/>
      <c r="L124" s="136"/>
      <c r="M124" s="74"/>
      <c r="N124" s="73"/>
      <c r="O124" s="150"/>
      <c r="P124" s="11"/>
      <c r="Q124" s="12"/>
      <c r="R124" s="12"/>
      <c r="S124" s="92"/>
      <c r="T124" s="71"/>
      <c r="U124" s="151"/>
      <c r="V124" s="151"/>
      <c r="W124" s="71"/>
      <c r="X124" s="79"/>
      <c r="Y124" s="79"/>
      <c r="Z124" s="76"/>
      <c r="AA124" s="77"/>
      <c r="AB124" s="79"/>
      <c r="AC124" s="76"/>
      <c r="AD124" s="76"/>
      <c r="AE124" s="78"/>
      <c r="AF124" s="79"/>
      <c r="AG124" s="2"/>
      <c r="AH124" s="2"/>
      <c r="AI124" s="85"/>
      <c r="AJ124" s="80"/>
      <c r="AK124" s="2"/>
      <c r="AL124" s="157"/>
      <c r="AM124" s="7"/>
      <c r="AN124" s="7"/>
      <c r="AO124" s="7"/>
      <c r="AP124" s="7"/>
      <c r="AQ124" s="7"/>
      <c r="AR124" s="7"/>
      <c r="AS124" s="157"/>
      <c r="AT124" s="71"/>
      <c r="AU124" s="71"/>
      <c r="AV124" s="71"/>
      <c r="AW124" s="82"/>
      <c r="AX124" s="71"/>
      <c r="AY124" s="70"/>
      <c r="AZ124" s="79"/>
      <c r="BA124" s="79"/>
      <c r="BB124" s="77"/>
      <c r="BC124" s="76"/>
      <c r="BD124" s="77"/>
      <c r="BE124" s="76"/>
      <c r="BF124" s="79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</row>
    <row r="125" spans="1:69" x14ac:dyDescent="0.25">
      <c r="A125" s="70">
        <v>38</v>
      </c>
      <c r="B125" s="70" t="s">
        <v>452</v>
      </c>
      <c r="C125" s="71" t="s">
        <v>433</v>
      </c>
      <c r="D125" s="71" t="s">
        <v>308</v>
      </c>
      <c r="E125" s="71" t="s">
        <v>102</v>
      </c>
      <c r="F125" s="134" t="s">
        <v>434</v>
      </c>
      <c r="G125" s="72">
        <v>13340</v>
      </c>
      <c r="H125" s="83" t="s">
        <v>435</v>
      </c>
      <c r="I125" s="74">
        <v>44802</v>
      </c>
      <c r="J125" s="74">
        <v>45167</v>
      </c>
      <c r="K125" s="83" t="s">
        <v>444</v>
      </c>
      <c r="L125" s="136" t="s">
        <v>451</v>
      </c>
      <c r="M125" s="74" t="s">
        <v>436</v>
      </c>
      <c r="N125" s="73">
        <v>44872</v>
      </c>
      <c r="O125" s="150">
        <v>75375.240000000005</v>
      </c>
      <c r="P125" s="11">
        <v>13409</v>
      </c>
      <c r="Q125" s="12">
        <v>44872</v>
      </c>
      <c r="R125" s="12">
        <v>45237</v>
      </c>
      <c r="S125" s="92" t="s">
        <v>565</v>
      </c>
      <c r="T125" s="79"/>
      <c r="U125" s="2"/>
      <c r="V125" s="2"/>
      <c r="W125" s="71" t="s">
        <v>106</v>
      </c>
      <c r="X125" s="79" t="s">
        <v>184</v>
      </c>
      <c r="Y125" s="79" t="s">
        <v>174</v>
      </c>
      <c r="Z125" s="76">
        <v>45238</v>
      </c>
      <c r="AA125" s="77">
        <v>13659</v>
      </c>
      <c r="AB125" s="79" t="s">
        <v>322</v>
      </c>
      <c r="AC125" s="76">
        <v>45238</v>
      </c>
      <c r="AD125" s="76">
        <v>45604</v>
      </c>
      <c r="AE125" s="78"/>
      <c r="AF125" s="79"/>
      <c r="AG125" s="2"/>
      <c r="AH125" s="2"/>
      <c r="AI125" s="85"/>
      <c r="AJ125" s="80"/>
      <c r="AK125" s="2"/>
      <c r="AL125" s="157">
        <f>$O$125-AH125+AG125+AK125</f>
        <v>75375.240000000005</v>
      </c>
      <c r="AM125" s="7">
        <f>62812.7</f>
        <v>62812.7</v>
      </c>
      <c r="AN125" s="7">
        <f>6281.27</f>
        <v>6281.27</v>
      </c>
      <c r="AO125" s="7">
        <f>6281.27</f>
        <v>6281.27</v>
      </c>
      <c r="AP125" s="7">
        <f>6281.27</f>
        <v>6281.27</v>
      </c>
      <c r="AQ125" s="7"/>
      <c r="AR125" s="7">
        <f>AQ125+AP125+AO125+AN125</f>
        <v>18843.810000000001</v>
      </c>
      <c r="AS125" s="157">
        <f>AR125+AM125</f>
        <v>81656.509999999995</v>
      </c>
      <c r="AT125" s="71" t="s">
        <v>435</v>
      </c>
      <c r="AU125" s="73">
        <v>44802</v>
      </c>
      <c r="AV125" s="73">
        <v>45167</v>
      </c>
      <c r="AW125" s="82">
        <v>13363</v>
      </c>
      <c r="AX125" s="71" t="s">
        <v>450</v>
      </c>
      <c r="AY125" s="70">
        <v>13363</v>
      </c>
      <c r="AZ125" s="79"/>
      <c r="BA125" s="79"/>
      <c r="BB125" s="77"/>
      <c r="BC125" s="76"/>
      <c r="BD125" s="77"/>
      <c r="BE125" s="76"/>
      <c r="BF125" s="79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</row>
    <row r="126" spans="1:69" x14ac:dyDescent="0.25">
      <c r="A126" s="70"/>
      <c r="B126" s="70"/>
      <c r="C126" s="71"/>
      <c r="D126" s="71"/>
      <c r="E126" s="71"/>
      <c r="F126" s="134"/>
      <c r="G126" s="72"/>
      <c r="H126" s="83"/>
      <c r="I126" s="74"/>
      <c r="J126" s="74"/>
      <c r="K126" s="83"/>
      <c r="L126" s="136"/>
      <c r="M126" s="74"/>
      <c r="N126" s="73"/>
      <c r="O126" s="150"/>
      <c r="P126" s="11"/>
      <c r="Q126" s="12"/>
      <c r="R126" s="12"/>
      <c r="S126" s="92"/>
      <c r="T126" s="79"/>
      <c r="U126" s="2"/>
      <c r="V126" s="2"/>
      <c r="W126" s="71"/>
      <c r="X126" s="79"/>
      <c r="Y126" s="79"/>
      <c r="Z126" s="76"/>
      <c r="AA126" s="77"/>
      <c r="AB126" s="79"/>
      <c r="AC126" s="76"/>
      <c r="AD126" s="76"/>
      <c r="AE126" s="78"/>
      <c r="AF126" s="79"/>
      <c r="AG126" s="2"/>
      <c r="AH126" s="2"/>
      <c r="AI126" s="85"/>
      <c r="AJ126" s="80"/>
      <c r="AK126" s="2"/>
      <c r="AL126" s="157"/>
      <c r="AM126" s="7"/>
      <c r="AN126" s="7"/>
      <c r="AO126" s="7"/>
      <c r="AP126" s="7"/>
      <c r="AQ126" s="7"/>
      <c r="AR126" s="7"/>
      <c r="AS126" s="157"/>
      <c r="AT126" s="71"/>
      <c r="AU126" s="71"/>
      <c r="AV126" s="71"/>
      <c r="AW126" s="82"/>
      <c r="AX126" s="71"/>
      <c r="AY126" s="70"/>
      <c r="AZ126" s="79"/>
      <c r="BA126" s="79"/>
      <c r="BB126" s="77"/>
      <c r="BC126" s="76"/>
      <c r="BD126" s="77"/>
      <c r="BE126" s="76"/>
      <c r="BF126" s="79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</row>
    <row r="127" spans="1:69" x14ac:dyDescent="0.25">
      <c r="A127" s="70">
        <v>39</v>
      </c>
      <c r="B127" s="70" t="s">
        <v>347</v>
      </c>
      <c r="C127" s="71" t="s">
        <v>298</v>
      </c>
      <c r="D127" s="71" t="s">
        <v>300</v>
      </c>
      <c r="E127" s="71" t="s">
        <v>102</v>
      </c>
      <c r="F127" s="134" t="s">
        <v>348</v>
      </c>
      <c r="G127" s="72">
        <v>13194</v>
      </c>
      <c r="H127" s="83"/>
      <c r="I127" s="74"/>
      <c r="J127" s="74"/>
      <c r="K127" s="83" t="s">
        <v>349</v>
      </c>
      <c r="L127" s="136" t="s">
        <v>350</v>
      </c>
      <c r="M127" s="74" t="s">
        <v>351</v>
      </c>
      <c r="N127" s="73">
        <v>44564</v>
      </c>
      <c r="O127" s="150">
        <f>6207644.77</f>
        <v>6207644.7699999996</v>
      </c>
      <c r="P127" s="11">
        <v>13208</v>
      </c>
      <c r="Q127" s="12">
        <v>44564</v>
      </c>
      <c r="R127" s="12">
        <v>44928</v>
      </c>
      <c r="S127" s="92" t="s">
        <v>565</v>
      </c>
      <c r="T127" s="71"/>
      <c r="U127" s="151"/>
      <c r="V127" s="151"/>
      <c r="W127" s="70" t="s">
        <v>106</v>
      </c>
      <c r="X127" s="79"/>
      <c r="Y127" s="79"/>
      <c r="Z127" s="76"/>
      <c r="AA127" s="77"/>
      <c r="AB127" s="79"/>
      <c r="AC127" s="76"/>
      <c r="AD127" s="79"/>
      <c r="AE127" s="78"/>
      <c r="AF127" s="79"/>
      <c r="AG127" s="2"/>
      <c r="AH127" s="2"/>
      <c r="AI127" s="85"/>
      <c r="AJ127" s="80"/>
      <c r="AK127" s="2"/>
      <c r="AL127" s="157">
        <f>$O$127-AH127+AG127+AK127</f>
        <v>6207644.7699999996</v>
      </c>
      <c r="AM127" s="157">
        <f>6108093.25+6870500.34</f>
        <v>12978593.59</v>
      </c>
      <c r="AN127" s="157">
        <f>612697.2</f>
        <v>612697.19999999995</v>
      </c>
      <c r="AO127" s="157">
        <f>612726.42</f>
        <v>612726.42000000004</v>
      </c>
      <c r="AP127" s="157">
        <f>612638.76+486453.6+612726.42</f>
        <v>1711818.7799999998</v>
      </c>
      <c r="AQ127" s="157"/>
      <c r="AR127" s="7">
        <f>AQ127+AP127+AO127+AN127</f>
        <v>2937242.3999999994</v>
      </c>
      <c r="AS127" s="157">
        <f>AR127+AM127</f>
        <v>15915835.989999998</v>
      </c>
      <c r="AT127" s="79"/>
      <c r="AU127" s="79"/>
      <c r="AV127" s="79"/>
      <c r="AW127" s="77"/>
      <c r="AX127" s="79"/>
      <c r="AY127" s="81"/>
      <c r="AZ127" s="79"/>
      <c r="BA127" s="79"/>
      <c r="BB127" s="77"/>
      <c r="BC127" s="76"/>
      <c r="BD127" s="77"/>
      <c r="BE127" s="76"/>
      <c r="BF127" s="79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</row>
    <row r="128" spans="1:69" ht="25.5" x14ac:dyDescent="0.25">
      <c r="A128" s="70"/>
      <c r="B128" s="70"/>
      <c r="C128" s="71"/>
      <c r="D128" s="71"/>
      <c r="E128" s="71"/>
      <c r="F128" s="134"/>
      <c r="G128" s="72"/>
      <c r="H128" s="83"/>
      <c r="I128" s="74"/>
      <c r="J128" s="74"/>
      <c r="K128" s="83"/>
      <c r="L128" s="136"/>
      <c r="M128" s="74"/>
      <c r="N128" s="73"/>
      <c r="O128" s="150"/>
      <c r="P128" s="11"/>
      <c r="Q128" s="12"/>
      <c r="R128" s="12"/>
      <c r="S128" s="92"/>
      <c r="T128" s="71"/>
      <c r="U128" s="151"/>
      <c r="V128" s="151"/>
      <c r="W128" s="70"/>
      <c r="X128" s="79" t="s">
        <v>273</v>
      </c>
      <c r="Y128" s="79">
        <v>1</v>
      </c>
      <c r="Z128" s="76">
        <v>44937</v>
      </c>
      <c r="AA128" s="77">
        <v>13460</v>
      </c>
      <c r="AB128" s="79" t="s">
        <v>460</v>
      </c>
      <c r="AC128" s="76">
        <v>44927</v>
      </c>
      <c r="AD128" s="76">
        <v>44926</v>
      </c>
      <c r="AE128" s="78"/>
      <c r="AF128" s="79"/>
      <c r="AG128" s="2"/>
      <c r="AH128" s="2"/>
      <c r="AI128" s="85">
        <v>44572</v>
      </c>
      <c r="AJ128" s="78">
        <f>AK128/AL127</f>
        <v>7.8455860160310045E-2</v>
      </c>
      <c r="AK128" s="2">
        <v>487026.11</v>
      </c>
      <c r="AL128" s="157">
        <f t="shared" ref="AL128:AL129" si="12">$O$127-AH128+AG128+AK128</f>
        <v>6694670.8799999999</v>
      </c>
      <c r="AM128" s="157"/>
      <c r="AN128" s="157"/>
      <c r="AO128" s="157"/>
      <c r="AP128" s="157"/>
      <c r="AQ128" s="157"/>
      <c r="AR128" s="7"/>
      <c r="AS128" s="157"/>
      <c r="AT128" s="79"/>
      <c r="AU128" s="79"/>
      <c r="AV128" s="79"/>
      <c r="AW128" s="77"/>
      <c r="AX128" s="79"/>
      <c r="AY128" s="81"/>
      <c r="AZ128" s="79"/>
      <c r="BA128" s="79"/>
      <c r="BB128" s="77"/>
      <c r="BC128" s="76"/>
      <c r="BD128" s="77"/>
      <c r="BE128" s="76"/>
      <c r="BF128" s="79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</row>
    <row r="129" spans="1:69" ht="25.5" x14ac:dyDescent="0.25">
      <c r="A129" s="70"/>
      <c r="B129" s="70"/>
      <c r="C129" s="71"/>
      <c r="D129" s="71"/>
      <c r="E129" s="71"/>
      <c r="F129" s="134"/>
      <c r="G129" s="72"/>
      <c r="H129" s="83"/>
      <c r="I129" s="74"/>
      <c r="J129" s="74"/>
      <c r="K129" s="83"/>
      <c r="L129" s="136"/>
      <c r="M129" s="74"/>
      <c r="N129" s="73"/>
      <c r="O129" s="150"/>
      <c r="P129" s="11"/>
      <c r="Q129" s="12"/>
      <c r="R129" s="12"/>
      <c r="S129" s="92"/>
      <c r="T129" s="71"/>
      <c r="U129" s="151"/>
      <c r="V129" s="151"/>
      <c r="W129" s="70"/>
      <c r="X129" s="79" t="s">
        <v>184</v>
      </c>
      <c r="Y129" s="79" t="s">
        <v>188</v>
      </c>
      <c r="Z129" s="76">
        <v>45289</v>
      </c>
      <c r="AA129" s="77">
        <v>13689</v>
      </c>
      <c r="AB129" s="79" t="s">
        <v>536</v>
      </c>
      <c r="AC129" s="76">
        <v>45292</v>
      </c>
      <c r="AD129" s="76">
        <v>45657</v>
      </c>
      <c r="AE129" s="78"/>
      <c r="AF129" s="79"/>
      <c r="AG129" s="2"/>
      <c r="AH129" s="2"/>
      <c r="AI129" s="85"/>
      <c r="AJ129" s="78">
        <f>AK129/AL127</f>
        <v>7.8363633555661727E-2</v>
      </c>
      <c r="AK129" s="2">
        <v>486453.6</v>
      </c>
      <c r="AL129" s="157">
        <f t="shared" si="12"/>
        <v>6694098.3699999992</v>
      </c>
      <c r="AM129" s="157"/>
      <c r="AN129" s="157"/>
      <c r="AO129" s="157"/>
      <c r="AP129" s="157"/>
      <c r="AQ129" s="157"/>
      <c r="AR129" s="7"/>
      <c r="AS129" s="157"/>
      <c r="AT129" s="79"/>
      <c r="AU129" s="79"/>
      <c r="AV129" s="79"/>
      <c r="AW129" s="77"/>
      <c r="AX129" s="79"/>
      <c r="AY129" s="81"/>
      <c r="AZ129" s="79"/>
      <c r="BA129" s="79"/>
      <c r="BB129" s="77"/>
      <c r="BC129" s="76"/>
      <c r="BD129" s="77"/>
      <c r="BE129" s="76"/>
      <c r="BF129" s="79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</row>
    <row r="130" spans="1:69" x14ac:dyDescent="0.25">
      <c r="A130" s="70"/>
      <c r="B130" s="70"/>
      <c r="C130" s="71"/>
      <c r="D130" s="71"/>
      <c r="E130" s="71"/>
      <c r="F130" s="134"/>
      <c r="G130" s="72"/>
      <c r="H130" s="83"/>
      <c r="I130" s="74"/>
      <c r="J130" s="74"/>
      <c r="K130" s="83"/>
      <c r="L130" s="136"/>
      <c r="M130" s="74"/>
      <c r="N130" s="73"/>
      <c r="O130" s="150"/>
      <c r="P130" s="11"/>
      <c r="Q130" s="12"/>
      <c r="R130" s="12"/>
      <c r="S130" s="92"/>
      <c r="T130" s="71"/>
      <c r="U130" s="151"/>
      <c r="V130" s="151"/>
      <c r="W130" s="70"/>
      <c r="X130" s="79"/>
      <c r="Y130" s="79"/>
      <c r="Z130" s="76"/>
      <c r="AA130" s="77"/>
      <c r="AB130" s="79"/>
      <c r="AC130" s="76"/>
      <c r="AD130" s="76"/>
      <c r="AE130" s="78"/>
      <c r="AF130" s="79"/>
      <c r="AG130" s="2"/>
      <c r="AH130" s="2"/>
      <c r="AI130" s="85"/>
      <c r="AJ130" s="80"/>
      <c r="AK130" s="2"/>
      <c r="AL130" s="157"/>
      <c r="AM130" s="157"/>
      <c r="AN130" s="157"/>
      <c r="AO130" s="157"/>
      <c r="AP130" s="157"/>
      <c r="AQ130" s="157"/>
      <c r="AR130" s="7"/>
      <c r="AS130" s="157"/>
      <c r="AT130" s="79"/>
      <c r="AU130" s="79"/>
      <c r="AV130" s="79"/>
      <c r="AW130" s="77"/>
      <c r="AX130" s="79"/>
      <c r="AY130" s="81"/>
      <c r="AZ130" s="79"/>
      <c r="BA130" s="79"/>
      <c r="BB130" s="77"/>
      <c r="BC130" s="76"/>
      <c r="BD130" s="77"/>
      <c r="BE130" s="76"/>
      <c r="BF130" s="79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</row>
    <row r="131" spans="1:69" x14ac:dyDescent="0.25">
      <c r="A131" s="70">
        <v>40</v>
      </c>
      <c r="B131" s="70" t="s">
        <v>484</v>
      </c>
      <c r="C131" s="71" t="s">
        <v>479</v>
      </c>
      <c r="D131" s="71" t="s">
        <v>300</v>
      </c>
      <c r="E131" s="71" t="s">
        <v>102</v>
      </c>
      <c r="F131" s="134" t="s">
        <v>527</v>
      </c>
      <c r="G131" s="72">
        <v>13555</v>
      </c>
      <c r="H131" s="83"/>
      <c r="I131" s="74"/>
      <c r="J131" s="74"/>
      <c r="K131" s="83" t="s">
        <v>528</v>
      </c>
      <c r="L131" s="136" t="s">
        <v>470</v>
      </c>
      <c r="M131" s="74" t="s">
        <v>471</v>
      </c>
      <c r="N131" s="73">
        <v>45272</v>
      </c>
      <c r="O131" s="150">
        <v>701631.9</v>
      </c>
      <c r="P131" s="11">
        <v>13674</v>
      </c>
      <c r="Q131" s="12">
        <v>45272</v>
      </c>
      <c r="R131" s="12">
        <v>45291</v>
      </c>
      <c r="S131" s="93" t="s">
        <v>565</v>
      </c>
      <c r="T131" s="71"/>
      <c r="U131" s="151"/>
      <c r="V131" s="151"/>
      <c r="W131" s="70" t="s">
        <v>107</v>
      </c>
      <c r="X131" s="79"/>
      <c r="Y131" s="79"/>
      <c r="Z131" s="79"/>
      <c r="AA131" s="77"/>
      <c r="AB131" s="79"/>
      <c r="AC131" s="79"/>
      <c r="AD131" s="79"/>
      <c r="AE131" s="78"/>
      <c r="AF131" s="79"/>
      <c r="AG131" s="2"/>
      <c r="AH131" s="2"/>
      <c r="AI131" s="85"/>
      <c r="AJ131" s="80"/>
      <c r="AK131" s="2"/>
      <c r="AL131" s="157">
        <f>$O$131-AH131+AG131+AK131</f>
        <v>701631.9</v>
      </c>
      <c r="AM131" s="7"/>
      <c r="AN131" s="7"/>
      <c r="AO131" s="7">
        <f>23234.4+46733.4+4977+47665.8</f>
        <v>122610.6</v>
      </c>
      <c r="AP131" s="7"/>
      <c r="AQ131" s="7"/>
      <c r="AR131" s="7">
        <f>AQ131+AP131+AO131+AN131</f>
        <v>122610.6</v>
      </c>
      <c r="AS131" s="157">
        <f>AR131+AM131</f>
        <v>122610.6</v>
      </c>
      <c r="AT131" s="79"/>
      <c r="AU131" s="79"/>
      <c r="AV131" s="79"/>
      <c r="AW131" s="77"/>
      <c r="AX131" s="79"/>
      <c r="AY131" s="81"/>
      <c r="AZ131" s="79"/>
      <c r="BA131" s="79"/>
      <c r="BB131" s="77"/>
      <c r="BC131" s="76"/>
      <c r="BD131" s="77"/>
      <c r="BE131" s="76"/>
      <c r="BF131" s="79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</row>
    <row r="132" spans="1:69" x14ac:dyDescent="0.25">
      <c r="A132" s="70"/>
      <c r="B132" s="70"/>
      <c r="C132" s="71"/>
      <c r="D132" s="71"/>
      <c r="E132" s="71"/>
      <c r="F132" s="134"/>
      <c r="G132" s="72"/>
      <c r="H132" s="83"/>
      <c r="I132" s="74"/>
      <c r="J132" s="74"/>
      <c r="K132" s="83"/>
      <c r="L132" s="136"/>
      <c r="M132" s="74"/>
      <c r="N132" s="73"/>
      <c r="O132" s="150"/>
      <c r="P132" s="11"/>
      <c r="Q132" s="12"/>
      <c r="R132" s="12"/>
      <c r="S132" s="93" t="s">
        <v>313</v>
      </c>
      <c r="T132" s="71"/>
      <c r="U132" s="151"/>
      <c r="V132" s="151"/>
      <c r="W132" s="70"/>
      <c r="X132" s="79"/>
      <c r="Y132" s="79"/>
      <c r="Z132" s="79"/>
      <c r="AA132" s="77"/>
      <c r="AB132" s="79"/>
      <c r="AC132" s="79"/>
      <c r="AD132" s="79"/>
      <c r="AE132" s="78"/>
      <c r="AF132" s="79"/>
      <c r="AG132" s="2"/>
      <c r="AH132" s="2"/>
      <c r="AI132" s="85"/>
      <c r="AJ132" s="80"/>
      <c r="AK132" s="2"/>
      <c r="AL132" s="157"/>
      <c r="AM132" s="7">
        <f>241504.3+235708.1+17513.3+204906.2</f>
        <v>699631.9</v>
      </c>
      <c r="AN132" s="7"/>
      <c r="AO132" s="163"/>
      <c r="AP132" s="163"/>
      <c r="AQ132" s="163"/>
      <c r="AR132" s="7"/>
      <c r="AS132" s="157">
        <f>AR132+AM132</f>
        <v>699631.9</v>
      </c>
      <c r="AT132" s="79"/>
      <c r="AU132" s="79"/>
      <c r="AV132" s="79"/>
      <c r="AW132" s="77"/>
      <c r="AX132" s="79"/>
      <c r="AY132" s="81"/>
      <c r="AZ132" s="79"/>
      <c r="BA132" s="79"/>
      <c r="BB132" s="77"/>
      <c r="BC132" s="76"/>
      <c r="BD132" s="77"/>
      <c r="BE132" s="76"/>
      <c r="BF132" s="79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</row>
    <row r="133" spans="1:69" x14ac:dyDescent="0.25">
      <c r="A133" s="70">
        <v>41</v>
      </c>
      <c r="B133" s="70" t="s">
        <v>384</v>
      </c>
      <c r="C133" s="71" t="s">
        <v>383</v>
      </c>
      <c r="D133" s="71" t="s">
        <v>135</v>
      </c>
      <c r="E133" s="71" t="s">
        <v>102</v>
      </c>
      <c r="F133" s="134" t="s">
        <v>385</v>
      </c>
      <c r="G133" s="72">
        <v>13248</v>
      </c>
      <c r="H133" s="83" t="s">
        <v>383</v>
      </c>
      <c r="I133" s="74">
        <v>44643</v>
      </c>
      <c r="J133" s="74">
        <v>45008</v>
      </c>
      <c r="K133" s="83" t="s">
        <v>386</v>
      </c>
      <c r="L133" s="136" t="s">
        <v>139</v>
      </c>
      <c r="M133" s="74" t="s">
        <v>122</v>
      </c>
      <c r="N133" s="73">
        <v>44782</v>
      </c>
      <c r="O133" s="150">
        <v>3977499</v>
      </c>
      <c r="P133" s="11">
        <v>13345</v>
      </c>
      <c r="Q133" s="12">
        <v>44782</v>
      </c>
      <c r="R133" s="12">
        <v>45147</v>
      </c>
      <c r="S133" s="92" t="s">
        <v>565</v>
      </c>
      <c r="T133" s="71"/>
      <c r="U133" s="151"/>
      <c r="V133" s="151"/>
      <c r="W133" s="70" t="s">
        <v>106</v>
      </c>
      <c r="X133" s="79" t="s">
        <v>273</v>
      </c>
      <c r="Y133" s="79" t="s">
        <v>174</v>
      </c>
      <c r="Z133" s="76">
        <v>44888</v>
      </c>
      <c r="AA133" s="77">
        <v>13417</v>
      </c>
      <c r="AB133" s="79" t="s">
        <v>388</v>
      </c>
      <c r="AC133" s="79"/>
      <c r="AD133" s="79"/>
      <c r="AE133" s="78"/>
      <c r="AF133" s="79"/>
      <c r="AG133" s="2"/>
      <c r="AH133" s="2"/>
      <c r="AI133" s="85"/>
      <c r="AJ133" s="78">
        <f>AK133/AL133</f>
        <v>0.16396290134099756</v>
      </c>
      <c r="AK133" s="2">
        <v>780063.8</v>
      </c>
      <c r="AL133" s="157">
        <f>$O$133-AH133+AG133+AK133</f>
        <v>4757562.8</v>
      </c>
      <c r="AM133" s="163">
        <f>1388909.91+369854.93+4660565.45</f>
        <v>6419330.29</v>
      </c>
      <c r="AN133" s="163">
        <f>424604.5</f>
        <v>424604.5</v>
      </c>
      <c r="AO133" s="163">
        <f>420001.5</f>
        <v>420001.5</v>
      </c>
      <c r="AP133" s="163">
        <f>418931.13+189385.33+417051.98</f>
        <v>1025368.44</v>
      </c>
      <c r="AQ133" s="163"/>
      <c r="AR133" s="7">
        <f>AQ133+AP133+AO133+AN133</f>
        <v>1869974.44</v>
      </c>
      <c r="AS133" s="157">
        <f>AR133+AM133</f>
        <v>8289304.7300000004</v>
      </c>
      <c r="AT133" s="71" t="s">
        <v>383</v>
      </c>
      <c r="AU133" s="73">
        <v>44643</v>
      </c>
      <c r="AV133" s="71" t="s">
        <v>387</v>
      </c>
      <c r="AW133" s="82">
        <v>13267</v>
      </c>
      <c r="AX133" s="71" t="s">
        <v>554</v>
      </c>
      <c r="AY133" s="70">
        <v>13267</v>
      </c>
      <c r="AZ133" s="79"/>
      <c r="BA133" s="79"/>
      <c r="BB133" s="77"/>
      <c r="BC133" s="76"/>
      <c r="BD133" s="77"/>
      <c r="BE133" s="76"/>
      <c r="BF133" s="79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</row>
    <row r="134" spans="1:69" ht="25.5" x14ac:dyDescent="0.25">
      <c r="A134" s="70"/>
      <c r="B134" s="70"/>
      <c r="C134" s="71"/>
      <c r="D134" s="71"/>
      <c r="E134" s="71"/>
      <c r="F134" s="134"/>
      <c r="G134" s="72"/>
      <c r="H134" s="83"/>
      <c r="I134" s="74"/>
      <c r="J134" s="74"/>
      <c r="K134" s="83"/>
      <c r="L134" s="136"/>
      <c r="M134" s="74"/>
      <c r="N134" s="73"/>
      <c r="O134" s="150"/>
      <c r="P134" s="11"/>
      <c r="Q134" s="12"/>
      <c r="R134" s="12"/>
      <c r="S134" s="92"/>
      <c r="T134" s="71"/>
      <c r="U134" s="151"/>
      <c r="V134" s="151"/>
      <c r="W134" s="70"/>
      <c r="X134" s="79" t="s">
        <v>184</v>
      </c>
      <c r="Y134" s="79" t="s">
        <v>174</v>
      </c>
      <c r="Z134" s="76">
        <v>45139</v>
      </c>
      <c r="AA134" s="77">
        <v>13590</v>
      </c>
      <c r="AB134" s="79" t="s">
        <v>537</v>
      </c>
      <c r="AC134" s="76">
        <v>45139</v>
      </c>
      <c r="AD134" s="76">
        <v>45504</v>
      </c>
      <c r="AE134" s="78"/>
      <c r="AF134" s="79"/>
      <c r="AG134" s="2"/>
      <c r="AH134" s="2"/>
      <c r="AI134" s="85"/>
      <c r="AJ134" s="78">
        <f>AK134/AL134</f>
        <v>7.8256431048789876E-2</v>
      </c>
      <c r="AK134" s="2">
        <v>337691.4</v>
      </c>
      <c r="AL134" s="157">
        <f>$O$133-AH134+AG134+AK134</f>
        <v>4315190.4000000004</v>
      </c>
      <c r="AM134" s="163"/>
      <c r="AN134" s="163"/>
      <c r="AO134" s="163"/>
      <c r="AP134" s="163"/>
      <c r="AQ134" s="163"/>
      <c r="AR134" s="7"/>
      <c r="AS134" s="157"/>
      <c r="AT134" s="71"/>
      <c r="AU134" s="73"/>
      <c r="AV134" s="71"/>
      <c r="AW134" s="82"/>
      <c r="AX134" s="71"/>
      <c r="AY134" s="70"/>
      <c r="AZ134" s="79"/>
      <c r="BA134" s="79"/>
      <c r="BB134" s="77"/>
      <c r="BC134" s="76"/>
      <c r="BD134" s="77"/>
      <c r="BE134" s="76"/>
      <c r="BF134" s="79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</row>
    <row r="135" spans="1:69" x14ac:dyDescent="0.25">
      <c r="A135" s="70">
        <v>42</v>
      </c>
      <c r="B135" s="70" t="s">
        <v>327</v>
      </c>
      <c r="C135" s="71" t="s">
        <v>305</v>
      </c>
      <c r="D135" s="71" t="s">
        <v>135</v>
      </c>
      <c r="E135" s="71" t="s">
        <v>102</v>
      </c>
      <c r="F135" s="134" t="s">
        <v>324</v>
      </c>
      <c r="G135" s="72">
        <v>12972</v>
      </c>
      <c r="H135" s="83" t="s">
        <v>326</v>
      </c>
      <c r="I135" s="74">
        <v>44487</v>
      </c>
      <c r="J135" s="74">
        <v>44852</v>
      </c>
      <c r="K135" s="83" t="s">
        <v>314</v>
      </c>
      <c r="L135" s="136" t="s">
        <v>315</v>
      </c>
      <c r="M135" s="74" t="s">
        <v>325</v>
      </c>
      <c r="N135" s="73">
        <v>44538</v>
      </c>
      <c r="O135" s="150">
        <v>89208</v>
      </c>
      <c r="P135" s="11">
        <v>13181</v>
      </c>
      <c r="Q135" s="12">
        <v>44538</v>
      </c>
      <c r="R135" s="12">
        <v>44903</v>
      </c>
      <c r="S135" s="92" t="s">
        <v>565</v>
      </c>
      <c r="T135" s="79"/>
      <c r="U135" s="2"/>
      <c r="V135" s="2"/>
      <c r="W135" s="70" t="s">
        <v>106</v>
      </c>
      <c r="X135" s="79"/>
      <c r="Y135" s="79"/>
      <c r="Z135" s="76"/>
      <c r="AA135" s="77"/>
      <c r="AB135" s="79"/>
      <c r="AC135" s="79"/>
      <c r="AD135" s="79"/>
      <c r="AE135" s="78"/>
      <c r="AF135" s="79"/>
      <c r="AG135" s="2"/>
      <c r="AH135" s="2"/>
      <c r="AI135" s="85"/>
      <c r="AJ135" s="80"/>
      <c r="AK135" s="2"/>
      <c r="AL135" s="157">
        <f>$O$135-AH135+AG135+AK135</f>
        <v>89208</v>
      </c>
      <c r="AM135" s="163">
        <f>5197.5+67167+51013.44</f>
        <v>123377.94</v>
      </c>
      <c r="AN135" s="163">
        <f>8502.24+4251.12</f>
        <v>12753.36</v>
      </c>
      <c r="AO135" s="163"/>
      <c r="AP135" s="163"/>
      <c r="AQ135" s="163"/>
      <c r="AR135" s="7">
        <f>AQ135+AP135+AO135+AN135</f>
        <v>12753.36</v>
      </c>
      <c r="AS135" s="157">
        <f>AR135+AM135</f>
        <v>136131.29999999999</v>
      </c>
      <c r="AT135" s="71" t="s">
        <v>326</v>
      </c>
      <c r="AU135" s="73">
        <v>44487</v>
      </c>
      <c r="AV135" s="73">
        <v>44852</v>
      </c>
      <c r="AW135" s="82">
        <v>13151</v>
      </c>
      <c r="AX135" s="71" t="s">
        <v>553</v>
      </c>
      <c r="AY135" s="81"/>
      <c r="AZ135" s="79"/>
      <c r="BA135" s="79"/>
      <c r="BB135" s="77"/>
      <c r="BC135" s="76"/>
      <c r="BD135" s="77"/>
      <c r="BE135" s="76"/>
      <c r="BF135" s="79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</row>
    <row r="136" spans="1:69" ht="25.5" x14ac:dyDescent="0.25">
      <c r="A136" s="70"/>
      <c r="B136" s="70"/>
      <c r="C136" s="71"/>
      <c r="D136" s="71"/>
      <c r="E136" s="71"/>
      <c r="F136" s="134"/>
      <c r="G136" s="72"/>
      <c r="H136" s="83"/>
      <c r="I136" s="74"/>
      <c r="J136" s="74"/>
      <c r="K136" s="83"/>
      <c r="L136" s="136"/>
      <c r="M136" s="74"/>
      <c r="N136" s="73"/>
      <c r="O136" s="150"/>
      <c r="P136" s="11"/>
      <c r="Q136" s="12"/>
      <c r="R136" s="12"/>
      <c r="S136" s="92"/>
      <c r="T136" s="79"/>
      <c r="U136" s="2"/>
      <c r="V136" s="2"/>
      <c r="W136" s="70"/>
      <c r="X136" s="71" t="s">
        <v>182</v>
      </c>
      <c r="Y136" s="71" t="s">
        <v>174</v>
      </c>
      <c r="Z136" s="73">
        <v>44903</v>
      </c>
      <c r="AA136" s="82">
        <v>13445</v>
      </c>
      <c r="AB136" s="79" t="s">
        <v>467</v>
      </c>
      <c r="AC136" s="73">
        <v>44904</v>
      </c>
      <c r="AD136" s="73">
        <v>45268</v>
      </c>
      <c r="AE136" s="78"/>
      <c r="AF136" s="78">
        <f>AH136/AL135</f>
        <v>0.46429916599408122</v>
      </c>
      <c r="AG136" s="2"/>
      <c r="AH136" s="2">
        <f>AL135-47788.8</f>
        <v>41419.199999999997</v>
      </c>
      <c r="AI136" s="85"/>
      <c r="AJ136" s="80"/>
      <c r="AK136" s="2"/>
      <c r="AL136" s="157">
        <f t="shared" ref="AL136:AL137" si="13">$O$135-AH136+AG136+AK136</f>
        <v>47788.800000000003</v>
      </c>
      <c r="AM136" s="163"/>
      <c r="AN136" s="163"/>
      <c r="AO136" s="163"/>
      <c r="AP136" s="163"/>
      <c r="AQ136" s="163"/>
      <c r="AR136" s="7"/>
      <c r="AS136" s="157"/>
      <c r="AT136" s="71"/>
      <c r="AU136" s="73"/>
      <c r="AV136" s="73"/>
      <c r="AW136" s="82"/>
      <c r="AX136" s="71"/>
      <c r="AY136" s="81"/>
      <c r="AZ136" s="79"/>
      <c r="BA136" s="79"/>
      <c r="BB136" s="77"/>
      <c r="BC136" s="76"/>
      <c r="BD136" s="77"/>
      <c r="BE136" s="76"/>
      <c r="BF136" s="79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</row>
    <row r="137" spans="1:69" ht="25.5" x14ac:dyDescent="0.25">
      <c r="A137" s="70"/>
      <c r="B137" s="70"/>
      <c r="C137" s="71"/>
      <c r="D137" s="71"/>
      <c r="E137" s="71"/>
      <c r="F137" s="134"/>
      <c r="G137" s="72"/>
      <c r="H137" s="83"/>
      <c r="I137" s="74"/>
      <c r="J137" s="74"/>
      <c r="K137" s="83"/>
      <c r="L137" s="136"/>
      <c r="M137" s="74"/>
      <c r="N137" s="73"/>
      <c r="O137" s="150"/>
      <c r="P137" s="11"/>
      <c r="Q137" s="12"/>
      <c r="R137" s="12"/>
      <c r="S137" s="92"/>
      <c r="T137" s="79"/>
      <c r="U137" s="2"/>
      <c r="V137" s="2"/>
      <c r="W137" s="70"/>
      <c r="X137" s="71"/>
      <c r="Y137" s="71"/>
      <c r="Z137" s="73"/>
      <c r="AA137" s="82"/>
      <c r="AB137" s="79" t="s">
        <v>467</v>
      </c>
      <c r="AC137" s="73"/>
      <c r="AD137" s="73"/>
      <c r="AE137" s="78"/>
      <c r="AF137" s="78">
        <f>AG137/AL136</f>
        <v>8.8956408196062667E-2</v>
      </c>
      <c r="AG137" s="2">
        <f>4251.12</f>
        <v>4251.12</v>
      </c>
      <c r="AH137" s="2"/>
      <c r="AI137" s="85"/>
      <c r="AJ137" s="80"/>
      <c r="AK137" s="2"/>
      <c r="AL137" s="157">
        <f t="shared" si="13"/>
        <v>93459.12</v>
      </c>
      <c r="AM137" s="163"/>
      <c r="AN137" s="163"/>
      <c r="AO137" s="163"/>
      <c r="AP137" s="163"/>
      <c r="AQ137" s="163"/>
      <c r="AR137" s="7"/>
      <c r="AS137" s="157"/>
      <c r="AT137" s="71"/>
      <c r="AU137" s="73"/>
      <c r="AV137" s="73"/>
      <c r="AW137" s="82"/>
      <c r="AX137" s="71"/>
      <c r="AY137" s="94">
        <v>13151</v>
      </c>
      <c r="AZ137" s="79"/>
      <c r="BA137" s="79"/>
      <c r="BB137" s="77"/>
      <c r="BC137" s="76"/>
      <c r="BD137" s="77"/>
      <c r="BE137" s="76"/>
      <c r="BF137" s="79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</row>
    <row r="138" spans="1:69" ht="25.5" x14ac:dyDescent="0.25">
      <c r="A138" s="70">
        <v>43</v>
      </c>
      <c r="B138" s="95" t="s">
        <v>491</v>
      </c>
      <c r="C138" s="71" t="s">
        <v>489</v>
      </c>
      <c r="D138" s="71" t="s">
        <v>308</v>
      </c>
      <c r="E138" s="71" t="s">
        <v>102</v>
      </c>
      <c r="F138" s="134" t="s">
        <v>492</v>
      </c>
      <c r="G138" s="82">
        <v>13258</v>
      </c>
      <c r="H138" s="70" t="s">
        <v>476</v>
      </c>
      <c r="I138" s="74">
        <v>44655</v>
      </c>
      <c r="J138" s="74">
        <v>45020</v>
      </c>
      <c r="K138" s="83" t="s">
        <v>493</v>
      </c>
      <c r="L138" s="134" t="s">
        <v>494</v>
      </c>
      <c r="M138" s="71" t="s">
        <v>495</v>
      </c>
      <c r="N138" s="73">
        <v>44783</v>
      </c>
      <c r="O138" s="151">
        <v>1250000</v>
      </c>
      <c r="P138" s="82">
        <v>13350</v>
      </c>
      <c r="Q138" s="73">
        <v>44905</v>
      </c>
      <c r="R138" s="73">
        <v>45148</v>
      </c>
      <c r="S138" s="83" t="s">
        <v>565</v>
      </c>
      <c r="T138" s="79"/>
      <c r="U138" s="2"/>
      <c r="V138" s="2"/>
      <c r="W138" s="71" t="s">
        <v>106</v>
      </c>
      <c r="X138" s="79" t="s">
        <v>184</v>
      </c>
      <c r="Y138" s="79" t="s">
        <v>174</v>
      </c>
      <c r="Z138" s="76">
        <v>45145</v>
      </c>
      <c r="AA138" s="77">
        <v>13593</v>
      </c>
      <c r="AB138" s="79" t="s">
        <v>322</v>
      </c>
      <c r="AC138" s="76">
        <v>45149</v>
      </c>
      <c r="AD138" s="76">
        <v>45515</v>
      </c>
      <c r="AE138" s="78"/>
      <c r="AF138" s="78"/>
      <c r="AG138" s="2"/>
      <c r="AH138" s="2"/>
      <c r="AI138" s="85"/>
      <c r="AJ138" s="80"/>
      <c r="AK138" s="2"/>
      <c r="AL138" s="157">
        <f>$O$138-AH138+AG138+AK138</f>
        <v>1250000</v>
      </c>
      <c r="AM138" s="163">
        <f>399999.3+149999.88+379999.92+319999.95+1249511.63</f>
        <v>2499510.6799999997</v>
      </c>
      <c r="AN138" s="163"/>
      <c r="AO138" s="163"/>
      <c r="AP138" s="163">
        <f>312498.64</f>
        <v>312498.64</v>
      </c>
      <c r="AQ138" s="163"/>
      <c r="AR138" s="7">
        <f>AQ138+AP138+AO138+AN138</f>
        <v>312498.64</v>
      </c>
      <c r="AS138" s="157">
        <f>AR138+AM138</f>
        <v>2812009.32</v>
      </c>
      <c r="AT138" s="79" t="s">
        <v>476</v>
      </c>
      <c r="AU138" s="76">
        <v>44655</v>
      </c>
      <c r="AV138" s="76">
        <v>45020</v>
      </c>
      <c r="AW138" s="77">
        <v>13260</v>
      </c>
      <c r="AX138" s="79" t="s">
        <v>555</v>
      </c>
      <c r="AY138" s="81">
        <v>13260</v>
      </c>
      <c r="AZ138" s="79"/>
      <c r="BA138" s="79"/>
      <c r="BB138" s="77"/>
      <c r="BC138" s="76"/>
      <c r="BD138" s="77"/>
      <c r="BE138" s="76"/>
      <c r="BF138" s="79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</row>
    <row r="139" spans="1:69" x14ac:dyDescent="0.25">
      <c r="A139" s="70"/>
      <c r="B139" s="95"/>
      <c r="C139" s="71"/>
      <c r="D139" s="71"/>
      <c r="E139" s="71"/>
      <c r="F139" s="134"/>
      <c r="G139" s="82"/>
      <c r="H139" s="70"/>
      <c r="I139" s="74"/>
      <c r="J139" s="74"/>
      <c r="K139" s="83"/>
      <c r="L139" s="134"/>
      <c r="M139" s="71"/>
      <c r="N139" s="73"/>
      <c r="O139" s="151"/>
      <c r="P139" s="82"/>
      <c r="Q139" s="73"/>
      <c r="R139" s="73"/>
      <c r="S139" s="83"/>
      <c r="T139" s="79"/>
      <c r="U139" s="2"/>
      <c r="V139" s="2"/>
      <c r="W139" s="71"/>
      <c r="X139" s="79" t="s">
        <v>184</v>
      </c>
      <c r="Y139" s="79" t="s">
        <v>188</v>
      </c>
      <c r="Z139" s="76">
        <v>45265</v>
      </c>
      <c r="AA139" s="77">
        <v>13673</v>
      </c>
      <c r="AB139" s="79" t="s">
        <v>424</v>
      </c>
      <c r="AC139" s="76">
        <v>45149</v>
      </c>
      <c r="AD139" s="76">
        <v>45515</v>
      </c>
      <c r="AE139" s="78"/>
      <c r="AF139" s="78">
        <f>AG139/AL138</f>
        <v>0.25</v>
      </c>
      <c r="AG139" s="2">
        <v>312500</v>
      </c>
      <c r="AH139" s="2"/>
      <c r="AI139" s="85"/>
      <c r="AJ139" s="80"/>
      <c r="AK139" s="2"/>
      <c r="AL139" s="157">
        <f>$O$138-AH139+AG139+AK139</f>
        <v>1562500</v>
      </c>
      <c r="AM139" s="163"/>
      <c r="AN139" s="163"/>
      <c r="AO139" s="163"/>
      <c r="AP139" s="163"/>
      <c r="AQ139" s="163"/>
      <c r="AR139" s="7"/>
      <c r="AS139" s="157"/>
      <c r="AT139" s="79"/>
      <c r="AU139" s="76"/>
      <c r="AV139" s="76"/>
      <c r="AW139" s="77"/>
      <c r="AX139" s="79"/>
      <c r="AY139" s="94"/>
      <c r="AZ139" s="79"/>
      <c r="BA139" s="79"/>
      <c r="BB139" s="77"/>
      <c r="BC139" s="76"/>
      <c r="BD139" s="77"/>
      <c r="BE139" s="76"/>
      <c r="BF139" s="79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</row>
    <row r="140" spans="1:69" x14ac:dyDescent="0.25">
      <c r="A140" s="70">
        <v>44</v>
      </c>
      <c r="B140" s="70" t="s">
        <v>481</v>
      </c>
      <c r="C140" s="71" t="s">
        <v>473</v>
      </c>
      <c r="D140" s="71" t="s">
        <v>300</v>
      </c>
      <c r="E140" s="71" t="s">
        <v>102</v>
      </c>
      <c r="F140" s="134" t="s">
        <v>498</v>
      </c>
      <c r="G140" s="72">
        <v>13547</v>
      </c>
      <c r="H140" s="83"/>
      <c r="I140" s="74"/>
      <c r="J140" s="74"/>
      <c r="K140" s="83" t="s">
        <v>551</v>
      </c>
      <c r="L140" s="136" t="s">
        <v>499</v>
      </c>
      <c r="M140" s="70" t="s">
        <v>500</v>
      </c>
      <c r="N140" s="73">
        <v>45076</v>
      </c>
      <c r="O140" s="150">
        <v>150000</v>
      </c>
      <c r="P140" s="11">
        <v>13547</v>
      </c>
      <c r="Q140" s="12">
        <v>45076</v>
      </c>
      <c r="R140" s="12">
        <v>45291</v>
      </c>
      <c r="S140" s="92" t="s">
        <v>565</v>
      </c>
      <c r="T140" s="79"/>
      <c r="U140" s="2"/>
      <c r="V140" s="2"/>
      <c r="W140" s="70" t="s">
        <v>501</v>
      </c>
      <c r="X140" s="79"/>
      <c r="Y140" s="79"/>
      <c r="Z140" s="76"/>
      <c r="AA140" s="77"/>
      <c r="AB140" s="79"/>
      <c r="AC140" s="76"/>
      <c r="AD140" s="76"/>
      <c r="AE140" s="78"/>
      <c r="AF140" s="78"/>
      <c r="AG140" s="2"/>
      <c r="AH140" s="2"/>
      <c r="AI140" s="85"/>
      <c r="AJ140" s="80"/>
      <c r="AK140" s="2"/>
      <c r="AL140" s="157">
        <f>$O$140-AH140+AG140+AK140</f>
        <v>150000</v>
      </c>
      <c r="AM140" s="7">
        <f>37347.67</f>
        <v>37347.67</v>
      </c>
      <c r="AN140" s="7">
        <f>4416.15+6657.95</f>
        <v>11074.099999999999</v>
      </c>
      <c r="AO140" s="7"/>
      <c r="AP140" s="7"/>
      <c r="AQ140" s="7"/>
      <c r="AR140" s="7">
        <f>AQ140+AP140+AO140+AN140</f>
        <v>11074.099999999999</v>
      </c>
      <c r="AS140" s="157">
        <f>AR140+AM140</f>
        <v>48421.77</v>
      </c>
      <c r="AT140" s="79"/>
      <c r="AU140" s="76"/>
      <c r="AV140" s="76"/>
      <c r="AW140" s="77"/>
      <c r="AX140" s="79"/>
      <c r="AY140" s="94"/>
      <c r="AZ140" s="79"/>
      <c r="BA140" s="79"/>
      <c r="BB140" s="77"/>
      <c r="BC140" s="76"/>
      <c r="BD140" s="77"/>
      <c r="BE140" s="76"/>
      <c r="BF140" s="79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</row>
    <row r="141" spans="1:69" x14ac:dyDescent="0.25">
      <c r="A141" s="70"/>
      <c r="B141" s="70"/>
      <c r="C141" s="71"/>
      <c r="D141" s="71"/>
      <c r="E141" s="71"/>
      <c r="F141" s="134"/>
      <c r="G141" s="72"/>
      <c r="H141" s="83"/>
      <c r="I141" s="74"/>
      <c r="J141" s="74"/>
      <c r="K141" s="83"/>
      <c r="L141" s="136"/>
      <c r="M141" s="70"/>
      <c r="N141" s="73"/>
      <c r="O141" s="150"/>
      <c r="P141" s="11"/>
      <c r="Q141" s="12"/>
      <c r="R141" s="12"/>
      <c r="S141" s="92"/>
      <c r="T141" s="79"/>
      <c r="U141" s="2"/>
      <c r="V141" s="2"/>
      <c r="W141" s="70"/>
      <c r="X141" s="79"/>
      <c r="Y141" s="79"/>
      <c r="Z141" s="76"/>
      <c r="AA141" s="77"/>
      <c r="AB141" s="79"/>
      <c r="AC141" s="76"/>
      <c r="AD141" s="76"/>
      <c r="AE141" s="78"/>
      <c r="AF141" s="78"/>
      <c r="AG141" s="2"/>
      <c r="AH141" s="2"/>
      <c r="AI141" s="85"/>
      <c r="AJ141" s="80"/>
      <c r="AK141" s="2"/>
      <c r="AL141" s="157"/>
      <c r="AM141" s="163"/>
      <c r="AN141" s="163"/>
      <c r="AO141" s="163"/>
      <c r="AP141" s="163"/>
      <c r="AQ141" s="163"/>
      <c r="AR141" s="7"/>
      <c r="AS141" s="157"/>
      <c r="AT141" s="79"/>
      <c r="AU141" s="76"/>
      <c r="AV141" s="76"/>
      <c r="AW141" s="77"/>
      <c r="AX141" s="79"/>
      <c r="AY141" s="94"/>
      <c r="AZ141" s="79"/>
      <c r="BA141" s="79"/>
      <c r="BB141" s="77"/>
      <c r="BC141" s="76"/>
      <c r="BD141" s="77"/>
      <c r="BE141" s="76"/>
      <c r="BF141" s="79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</row>
    <row r="142" spans="1:69" ht="89.25" x14ac:dyDescent="0.25">
      <c r="A142" s="81">
        <v>45</v>
      </c>
      <c r="B142" s="81" t="s">
        <v>507</v>
      </c>
      <c r="C142" s="79" t="s">
        <v>507</v>
      </c>
      <c r="D142" s="79" t="s">
        <v>508</v>
      </c>
      <c r="E142" s="79" t="s">
        <v>509</v>
      </c>
      <c r="F142" s="98" t="s">
        <v>510</v>
      </c>
      <c r="G142" s="94"/>
      <c r="H142" s="75" t="s">
        <v>390</v>
      </c>
      <c r="I142" s="87">
        <v>44895</v>
      </c>
      <c r="J142" s="87">
        <v>45260</v>
      </c>
      <c r="K142" s="75" t="s">
        <v>512</v>
      </c>
      <c r="L142" s="96" t="s">
        <v>513</v>
      </c>
      <c r="M142" s="87" t="s">
        <v>514</v>
      </c>
      <c r="N142" s="96">
        <v>45204</v>
      </c>
      <c r="O142" s="152">
        <f>295200</f>
        <v>295200</v>
      </c>
      <c r="P142" s="5">
        <v>13633</v>
      </c>
      <c r="Q142" s="6">
        <v>45204</v>
      </c>
      <c r="R142" s="6">
        <v>45570</v>
      </c>
      <c r="S142" s="93" t="s">
        <v>565</v>
      </c>
      <c r="T142" s="79"/>
      <c r="U142" s="2"/>
      <c r="V142" s="2"/>
      <c r="W142" s="97" t="s">
        <v>106</v>
      </c>
      <c r="X142" s="79"/>
      <c r="Y142" s="79"/>
      <c r="Z142" s="79"/>
      <c r="AA142" s="77"/>
      <c r="AB142" s="79"/>
      <c r="AC142" s="79"/>
      <c r="AD142" s="79"/>
      <c r="AE142" s="78"/>
      <c r="AF142" s="79"/>
      <c r="AG142" s="2"/>
      <c r="AH142" s="2"/>
      <c r="AI142" s="85"/>
      <c r="AJ142" s="80"/>
      <c r="AK142" s="2"/>
      <c r="AL142" s="157">
        <f>O142-AH142+AG142+AK142</f>
        <v>295200</v>
      </c>
      <c r="AM142" s="7">
        <f>67240</f>
        <v>67240</v>
      </c>
      <c r="AN142" s="7">
        <v>24600</v>
      </c>
      <c r="AO142" s="7">
        <f>24600</f>
        <v>24600</v>
      </c>
      <c r="AP142" s="7">
        <f>24600</f>
        <v>24600</v>
      </c>
      <c r="AQ142" s="7"/>
      <c r="AR142" s="7">
        <f>AQ142+AP142+AO142+AN142</f>
        <v>73800</v>
      </c>
      <c r="AS142" s="157">
        <f>AR142+AM142</f>
        <v>141040</v>
      </c>
      <c r="AT142" s="79" t="s">
        <v>390</v>
      </c>
      <c r="AU142" s="76">
        <v>44895</v>
      </c>
      <c r="AV142" s="76">
        <v>45260</v>
      </c>
      <c r="AW142" s="77">
        <v>13469</v>
      </c>
      <c r="AX142" s="79" t="s">
        <v>557</v>
      </c>
      <c r="AY142" s="81">
        <v>13469</v>
      </c>
      <c r="AZ142" s="79"/>
      <c r="BA142" s="79"/>
      <c r="BB142" s="77"/>
      <c r="BC142" s="76"/>
      <c r="BD142" s="77"/>
      <c r="BE142" s="76"/>
      <c r="BF142" s="79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</row>
    <row r="143" spans="1:69" ht="38.25" x14ac:dyDescent="0.25">
      <c r="A143" s="81">
        <v>46</v>
      </c>
      <c r="B143" s="81" t="s">
        <v>299</v>
      </c>
      <c r="C143" s="79" t="s">
        <v>339</v>
      </c>
      <c r="D143" s="79" t="s">
        <v>135</v>
      </c>
      <c r="E143" s="79" t="s">
        <v>102</v>
      </c>
      <c r="F143" s="98" t="s">
        <v>364</v>
      </c>
      <c r="G143" s="94">
        <v>13155</v>
      </c>
      <c r="H143" s="75" t="s">
        <v>338</v>
      </c>
      <c r="I143" s="87">
        <v>44496</v>
      </c>
      <c r="J143" s="87">
        <v>44861</v>
      </c>
      <c r="K143" s="75" t="s">
        <v>490</v>
      </c>
      <c r="L143" s="96" t="s">
        <v>474</v>
      </c>
      <c r="M143" s="87" t="s">
        <v>365</v>
      </c>
      <c r="N143" s="96">
        <v>44687</v>
      </c>
      <c r="O143" s="152">
        <v>472499.4</v>
      </c>
      <c r="P143" s="5">
        <v>13292</v>
      </c>
      <c r="Q143" s="6">
        <v>44687</v>
      </c>
      <c r="R143" s="6">
        <v>45051</v>
      </c>
      <c r="S143" s="93" t="s">
        <v>565</v>
      </c>
      <c r="T143" s="79"/>
      <c r="U143" s="2"/>
      <c r="V143" s="2"/>
      <c r="W143" s="97" t="s">
        <v>106</v>
      </c>
      <c r="X143" s="79" t="s">
        <v>184</v>
      </c>
      <c r="Y143" s="79" t="s">
        <v>174</v>
      </c>
      <c r="Z143" s="76">
        <v>45050</v>
      </c>
      <c r="AA143" s="77">
        <v>13529</v>
      </c>
      <c r="AB143" s="79" t="s">
        <v>535</v>
      </c>
      <c r="AC143" s="76">
        <v>45052</v>
      </c>
      <c r="AD143" s="76">
        <v>45417</v>
      </c>
      <c r="AE143" s="78"/>
      <c r="AF143" s="79"/>
      <c r="AG143" s="2"/>
      <c r="AH143" s="2"/>
      <c r="AI143" s="85"/>
      <c r="AJ143" s="80"/>
      <c r="AK143" s="2"/>
      <c r="AL143" s="157">
        <f>O143-AH143+AG143+AK143</f>
        <v>472499.4</v>
      </c>
      <c r="AM143" s="163">
        <f>270899.59+472499.28</f>
        <v>743398.87000000011</v>
      </c>
      <c r="AN143" s="163">
        <f>39374.94</f>
        <v>39374.94</v>
      </c>
      <c r="AO143" s="163">
        <f>39374.94</f>
        <v>39374.94</v>
      </c>
      <c r="AP143" s="163">
        <f>39374.94+39374.94</f>
        <v>78749.88</v>
      </c>
      <c r="AQ143" s="163"/>
      <c r="AR143" s="7">
        <f>AQ143+AP143+AO143+AN143</f>
        <v>157499.76</v>
      </c>
      <c r="AS143" s="157">
        <f>AR143+AM143</f>
        <v>900898.63000000012</v>
      </c>
      <c r="AT143" s="79" t="s">
        <v>338</v>
      </c>
      <c r="AU143" s="76">
        <v>44496</v>
      </c>
      <c r="AV143" s="76">
        <v>44861</v>
      </c>
      <c r="AW143" s="77">
        <v>13157</v>
      </c>
      <c r="AX143" s="79" t="s">
        <v>380</v>
      </c>
      <c r="AY143" s="77">
        <v>13157</v>
      </c>
      <c r="AZ143" s="79"/>
      <c r="BA143" s="79"/>
      <c r="BB143" s="77"/>
      <c r="BC143" s="76"/>
      <c r="BD143" s="77"/>
      <c r="BE143" s="76"/>
      <c r="BF143" s="79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</row>
    <row r="144" spans="1:69" x14ac:dyDescent="0.25">
      <c r="A144" s="70">
        <v>47</v>
      </c>
      <c r="B144" s="70" t="s">
        <v>206</v>
      </c>
      <c r="C144" s="71"/>
      <c r="D144" s="71" t="s">
        <v>115</v>
      </c>
      <c r="E144" s="13" t="s">
        <v>102</v>
      </c>
      <c r="F144" s="134" t="s">
        <v>208</v>
      </c>
      <c r="G144" s="70"/>
      <c r="H144" s="83"/>
      <c r="I144" s="74"/>
      <c r="J144" s="74"/>
      <c r="K144" s="71" t="s">
        <v>207</v>
      </c>
      <c r="L144" s="134" t="s">
        <v>526</v>
      </c>
      <c r="M144" s="71" t="s">
        <v>255</v>
      </c>
      <c r="N144" s="73">
        <v>43070</v>
      </c>
      <c r="O144" s="150">
        <v>144000</v>
      </c>
      <c r="P144" s="11">
        <v>12282</v>
      </c>
      <c r="Q144" s="12">
        <v>43070</v>
      </c>
      <c r="R144" s="12">
        <v>43434</v>
      </c>
      <c r="S144" s="92" t="s">
        <v>104</v>
      </c>
      <c r="T144" s="79"/>
      <c r="U144" s="157"/>
      <c r="V144" s="2"/>
      <c r="W144" s="70" t="s">
        <v>106</v>
      </c>
      <c r="X144" s="75"/>
      <c r="Y144" s="75"/>
      <c r="Z144" s="76"/>
      <c r="AA144" s="77"/>
      <c r="AB144" s="79"/>
      <c r="AC144" s="76"/>
      <c r="AD144" s="76"/>
      <c r="AE144" s="78"/>
      <c r="AF144" s="78"/>
      <c r="AG144" s="2"/>
      <c r="AH144" s="2"/>
      <c r="AI144" s="80"/>
      <c r="AJ144" s="80"/>
      <c r="AK144" s="2"/>
      <c r="AL144" s="157">
        <f>$O$144-AH144+AG144+AK144</f>
        <v>144000</v>
      </c>
      <c r="AM144" s="1">
        <f>12000+12000+60000+12000+12000+36000+24000+36000+48000+144000+121756.03+132000+13048.39+168639.24+168639.24</f>
        <v>1000082.9</v>
      </c>
      <c r="AN144" s="1">
        <f>14053.27</f>
        <v>14053.27</v>
      </c>
      <c r="AO144" s="1">
        <f>14053.27</f>
        <v>14053.27</v>
      </c>
      <c r="AP144" s="1">
        <f>14053.27</f>
        <v>14053.27</v>
      </c>
      <c r="AQ144" s="1"/>
      <c r="AR144" s="7">
        <f>AQ144+AP144+AO144+AN144</f>
        <v>42159.81</v>
      </c>
      <c r="AS144" s="157">
        <f>AR144+AM144</f>
        <v>1042242.71</v>
      </c>
      <c r="AT144" s="83"/>
      <c r="AU144" s="74"/>
      <c r="AV144" s="74"/>
      <c r="AW144" s="70"/>
      <c r="AX144" s="71"/>
      <c r="AY144" s="70"/>
      <c r="AZ144" s="71" t="s">
        <v>128</v>
      </c>
      <c r="BA144" s="71" t="s">
        <v>246</v>
      </c>
      <c r="BB144" s="82">
        <v>12454</v>
      </c>
      <c r="BC144" s="73">
        <v>43064</v>
      </c>
      <c r="BD144" s="82">
        <v>12454</v>
      </c>
      <c r="BE144" s="73">
        <v>43064</v>
      </c>
      <c r="BF144" s="79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</row>
    <row r="145" spans="1:69" x14ac:dyDescent="0.25">
      <c r="A145" s="70"/>
      <c r="B145" s="70"/>
      <c r="C145" s="71"/>
      <c r="D145" s="71"/>
      <c r="E145" s="13"/>
      <c r="F145" s="134"/>
      <c r="G145" s="70"/>
      <c r="H145" s="83"/>
      <c r="I145" s="74"/>
      <c r="J145" s="74"/>
      <c r="K145" s="71"/>
      <c r="L145" s="134"/>
      <c r="M145" s="71"/>
      <c r="N145" s="73"/>
      <c r="O145" s="150"/>
      <c r="P145" s="11"/>
      <c r="Q145" s="12"/>
      <c r="R145" s="12"/>
      <c r="S145" s="92"/>
      <c r="T145" s="79"/>
      <c r="U145" s="157"/>
      <c r="V145" s="2"/>
      <c r="W145" s="70"/>
      <c r="X145" s="75" t="s">
        <v>184</v>
      </c>
      <c r="Y145" s="75" t="s">
        <v>174</v>
      </c>
      <c r="Z145" s="76">
        <v>43434</v>
      </c>
      <c r="AA145" s="77">
        <v>12454</v>
      </c>
      <c r="AB145" s="79" t="s">
        <v>201</v>
      </c>
      <c r="AC145" s="76">
        <v>43435</v>
      </c>
      <c r="AD145" s="76">
        <v>43799</v>
      </c>
      <c r="AE145" s="78"/>
      <c r="AF145" s="78"/>
      <c r="AG145" s="2"/>
      <c r="AH145" s="2"/>
      <c r="AI145" s="80"/>
      <c r="AJ145" s="80"/>
      <c r="AK145" s="2"/>
      <c r="AL145" s="157">
        <f t="shared" ref="AL145:AL151" si="14">$O$144-AH145+AG145+AK145</f>
        <v>144000</v>
      </c>
      <c r="AM145" s="1"/>
      <c r="AN145" s="1"/>
      <c r="AO145" s="1"/>
      <c r="AP145" s="1"/>
      <c r="AQ145" s="1"/>
      <c r="AR145" s="7"/>
      <c r="AS145" s="157"/>
      <c r="AT145" s="83"/>
      <c r="AU145" s="74"/>
      <c r="AV145" s="74"/>
      <c r="AW145" s="70"/>
      <c r="AX145" s="71"/>
      <c r="AY145" s="70"/>
      <c r="AZ145" s="71"/>
      <c r="BA145" s="71"/>
      <c r="BB145" s="82"/>
      <c r="BC145" s="73"/>
      <c r="BD145" s="82"/>
      <c r="BE145" s="73"/>
      <c r="BF145" s="79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</row>
    <row r="146" spans="1:69" ht="25.5" x14ac:dyDescent="0.25">
      <c r="A146" s="70"/>
      <c r="B146" s="70"/>
      <c r="C146" s="71"/>
      <c r="D146" s="71"/>
      <c r="E146" s="13"/>
      <c r="F146" s="134"/>
      <c r="G146" s="70"/>
      <c r="H146" s="83"/>
      <c r="I146" s="74"/>
      <c r="J146" s="74"/>
      <c r="K146" s="71"/>
      <c r="L146" s="134"/>
      <c r="M146" s="71"/>
      <c r="N146" s="73"/>
      <c r="O146" s="150"/>
      <c r="P146" s="11"/>
      <c r="Q146" s="12"/>
      <c r="R146" s="12"/>
      <c r="S146" s="92"/>
      <c r="T146" s="79"/>
      <c r="U146" s="157"/>
      <c r="V146" s="2"/>
      <c r="W146" s="70"/>
      <c r="X146" s="75" t="s">
        <v>184</v>
      </c>
      <c r="Y146" s="75" t="s">
        <v>188</v>
      </c>
      <c r="Z146" s="76">
        <v>43757</v>
      </c>
      <c r="AA146" s="77">
        <v>12694</v>
      </c>
      <c r="AB146" s="79" t="s">
        <v>277</v>
      </c>
      <c r="AC146" s="76">
        <v>43757</v>
      </c>
      <c r="AD146" s="76">
        <v>43799</v>
      </c>
      <c r="AE146" s="78"/>
      <c r="AF146" s="78"/>
      <c r="AG146" s="2"/>
      <c r="AH146" s="2"/>
      <c r="AI146" s="80"/>
      <c r="AJ146" s="80"/>
      <c r="AK146" s="2"/>
      <c r="AL146" s="157">
        <f t="shared" si="14"/>
        <v>144000</v>
      </c>
      <c r="AM146" s="1"/>
      <c r="AN146" s="1"/>
      <c r="AO146" s="1"/>
      <c r="AP146" s="1"/>
      <c r="AQ146" s="1"/>
      <c r="AR146" s="7"/>
      <c r="AS146" s="157"/>
      <c r="AT146" s="83"/>
      <c r="AU146" s="74"/>
      <c r="AV146" s="74"/>
      <c r="AW146" s="70"/>
      <c r="AX146" s="71"/>
      <c r="AY146" s="70"/>
      <c r="AZ146" s="71"/>
      <c r="BA146" s="71"/>
      <c r="BB146" s="82"/>
      <c r="BC146" s="73"/>
      <c r="BD146" s="82"/>
      <c r="BE146" s="73"/>
      <c r="BF146" s="79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</row>
    <row r="147" spans="1:69" x14ac:dyDescent="0.25">
      <c r="A147" s="70"/>
      <c r="B147" s="70"/>
      <c r="C147" s="71"/>
      <c r="D147" s="71"/>
      <c r="E147" s="13"/>
      <c r="F147" s="134"/>
      <c r="G147" s="70"/>
      <c r="H147" s="83"/>
      <c r="I147" s="74"/>
      <c r="J147" s="74"/>
      <c r="K147" s="71"/>
      <c r="L147" s="134"/>
      <c r="M147" s="71"/>
      <c r="N147" s="73"/>
      <c r="O147" s="150"/>
      <c r="P147" s="11"/>
      <c r="Q147" s="12"/>
      <c r="R147" s="12"/>
      <c r="S147" s="92"/>
      <c r="T147" s="79"/>
      <c r="U147" s="157"/>
      <c r="V147" s="2"/>
      <c r="W147" s="70"/>
      <c r="X147" s="75" t="s">
        <v>184</v>
      </c>
      <c r="Y147" s="75" t="s">
        <v>190</v>
      </c>
      <c r="Z147" s="76">
        <v>43799</v>
      </c>
      <c r="AA147" s="77">
        <v>12697</v>
      </c>
      <c r="AB147" s="79" t="s">
        <v>201</v>
      </c>
      <c r="AC147" s="76">
        <v>43800</v>
      </c>
      <c r="AD147" s="76">
        <v>44165</v>
      </c>
      <c r="AE147" s="78"/>
      <c r="AF147" s="78"/>
      <c r="AG147" s="2"/>
      <c r="AH147" s="2"/>
      <c r="AI147" s="80"/>
      <c r="AJ147" s="80"/>
      <c r="AK147" s="2"/>
      <c r="AL147" s="157">
        <f t="shared" si="14"/>
        <v>144000</v>
      </c>
      <c r="AM147" s="1"/>
      <c r="AN147" s="1"/>
      <c r="AO147" s="1"/>
      <c r="AP147" s="1"/>
      <c r="AQ147" s="1"/>
      <c r="AR147" s="7"/>
      <c r="AS147" s="157"/>
      <c r="AT147" s="83"/>
      <c r="AU147" s="74"/>
      <c r="AV147" s="74"/>
      <c r="AW147" s="70"/>
      <c r="AX147" s="71"/>
      <c r="AY147" s="70"/>
      <c r="AZ147" s="71"/>
      <c r="BA147" s="71"/>
      <c r="BB147" s="82"/>
      <c r="BC147" s="73"/>
      <c r="BD147" s="82"/>
      <c r="BE147" s="73"/>
      <c r="BF147" s="79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</row>
    <row r="148" spans="1:69" x14ac:dyDescent="0.25">
      <c r="A148" s="70"/>
      <c r="B148" s="70"/>
      <c r="C148" s="71"/>
      <c r="D148" s="71"/>
      <c r="E148" s="13"/>
      <c r="F148" s="134"/>
      <c r="G148" s="70"/>
      <c r="H148" s="83"/>
      <c r="I148" s="74"/>
      <c r="J148" s="74"/>
      <c r="K148" s="71"/>
      <c r="L148" s="134"/>
      <c r="M148" s="71"/>
      <c r="N148" s="73"/>
      <c r="O148" s="150"/>
      <c r="P148" s="11"/>
      <c r="Q148" s="12"/>
      <c r="R148" s="12"/>
      <c r="S148" s="92"/>
      <c r="T148" s="79"/>
      <c r="U148" s="157"/>
      <c r="V148" s="2"/>
      <c r="W148" s="70"/>
      <c r="X148" s="75" t="s">
        <v>184</v>
      </c>
      <c r="Y148" s="75" t="s">
        <v>195</v>
      </c>
      <c r="Z148" s="76">
        <v>44147</v>
      </c>
      <c r="AA148" s="77">
        <v>12926</v>
      </c>
      <c r="AB148" s="79" t="s">
        <v>201</v>
      </c>
      <c r="AC148" s="76">
        <v>44166</v>
      </c>
      <c r="AD148" s="76">
        <v>44530</v>
      </c>
      <c r="AE148" s="78"/>
      <c r="AF148" s="78"/>
      <c r="AG148" s="2"/>
      <c r="AH148" s="2"/>
      <c r="AI148" s="80"/>
      <c r="AJ148" s="80"/>
      <c r="AK148" s="2"/>
      <c r="AL148" s="157">
        <f t="shared" si="14"/>
        <v>144000</v>
      </c>
      <c r="AM148" s="1"/>
      <c r="AN148" s="1"/>
      <c r="AO148" s="1"/>
      <c r="AP148" s="1"/>
      <c r="AQ148" s="1"/>
      <c r="AR148" s="7"/>
      <c r="AS148" s="157"/>
      <c r="AT148" s="83"/>
      <c r="AU148" s="74"/>
      <c r="AV148" s="74"/>
      <c r="AW148" s="70"/>
      <c r="AX148" s="71"/>
      <c r="AY148" s="70"/>
      <c r="AZ148" s="71"/>
      <c r="BA148" s="71"/>
      <c r="BB148" s="82"/>
      <c r="BC148" s="73"/>
      <c r="BD148" s="82"/>
      <c r="BE148" s="73"/>
      <c r="BF148" s="79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</row>
    <row r="149" spans="1:69" x14ac:dyDescent="0.25">
      <c r="A149" s="70"/>
      <c r="B149" s="70"/>
      <c r="C149" s="71"/>
      <c r="D149" s="71"/>
      <c r="E149" s="13"/>
      <c r="F149" s="134"/>
      <c r="G149" s="70"/>
      <c r="H149" s="83"/>
      <c r="I149" s="74"/>
      <c r="J149" s="74"/>
      <c r="K149" s="71"/>
      <c r="L149" s="134"/>
      <c r="M149" s="71"/>
      <c r="N149" s="73"/>
      <c r="O149" s="150"/>
      <c r="P149" s="11"/>
      <c r="Q149" s="12"/>
      <c r="R149" s="12"/>
      <c r="S149" s="92"/>
      <c r="T149" s="79"/>
      <c r="U149" s="157"/>
      <c r="V149" s="2"/>
      <c r="W149" s="70"/>
      <c r="X149" s="75" t="s">
        <v>184</v>
      </c>
      <c r="Y149" s="75" t="s">
        <v>194</v>
      </c>
      <c r="Z149" s="76">
        <v>44530</v>
      </c>
      <c r="AA149" s="77">
        <v>13181</v>
      </c>
      <c r="AB149" s="79" t="s">
        <v>374</v>
      </c>
      <c r="AC149" s="76">
        <v>44531</v>
      </c>
      <c r="AD149" s="76">
        <v>44895</v>
      </c>
      <c r="AE149" s="78"/>
      <c r="AF149" s="78"/>
      <c r="AG149" s="2"/>
      <c r="AH149" s="2"/>
      <c r="AI149" s="80"/>
      <c r="AJ149" s="78">
        <f>AK149/AL144</f>
        <v>0.17110583333333335</v>
      </c>
      <c r="AK149" s="2">
        <v>24639.24</v>
      </c>
      <c r="AL149" s="157">
        <f t="shared" si="14"/>
        <v>168639.24</v>
      </c>
      <c r="AM149" s="1"/>
      <c r="AN149" s="1"/>
      <c r="AO149" s="1"/>
      <c r="AP149" s="1"/>
      <c r="AQ149" s="1"/>
      <c r="AR149" s="7"/>
      <c r="AS149" s="157"/>
      <c r="AT149" s="83"/>
      <c r="AU149" s="74"/>
      <c r="AV149" s="74"/>
      <c r="AW149" s="70"/>
      <c r="AX149" s="71"/>
      <c r="AY149" s="70"/>
      <c r="AZ149" s="71"/>
      <c r="BA149" s="71"/>
      <c r="BB149" s="82"/>
      <c r="BC149" s="73"/>
      <c r="BD149" s="82"/>
      <c r="BE149" s="73"/>
      <c r="BF149" s="79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</row>
    <row r="150" spans="1:69" x14ac:dyDescent="0.25">
      <c r="A150" s="70"/>
      <c r="B150" s="70"/>
      <c r="C150" s="71"/>
      <c r="D150" s="71"/>
      <c r="E150" s="13"/>
      <c r="F150" s="134"/>
      <c r="G150" s="70"/>
      <c r="H150" s="83"/>
      <c r="I150" s="74"/>
      <c r="J150" s="74"/>
      <c r="K150" s="71"/>
      <c r="L150" s="134"/>
      <c r="M150" s="71"/>
      <c r="N150" s="73"/>
      <c r="O150" s="150"/>
      <c r="P150" s="11"/>
      <c r="Q150" s="12"/>
      <c r="R150" s="12"/>
      <c r="S150" s="92"/>
      <c r="T150" s="79"/>
      <c r="U150" s="157"/>
      <c r="V150" s="2"/>
      <c r="W150" s="70"/>
      <c r="X150" s="75" t="s">
        <v>184</v>
      </c>
      <c r="Y150" s="75" t="s">
        <v>178</v>
      </c>
      <c r="Z150" s="76">
        <v>44895</v>
      </c>
      <c r="AA150" s="77">
        <v>13427</v>
      </c>
      <c r="AB150" s="79" t="s">
        <v>322</v>
      </c>
      <c r="AC150" s="76">
        <v>44896</v>
      </c>
      <c r="AD150" s="76">
        <v>45260</v>
      </c>
      <c r="AE150" s="78"/>
      <c r="AF150" s="78"/>
      <c r="AG150" s="2"/>
      <c r="AH150" s="2"/>
      <c r="AI150" s="80"/>
      <c r="AJ150" s="78"/>
      <c r="AK150" s="2"/>
      <c r="AL150" s="157">
        <f t="shared" si="14"/>
        <v>144000</v>
      </c>
      <c r="AM150" s="1"/>
      <c r="AN150" s="1"/>
      <c r="AO150" s="1"/>
      <c r="AP150" s="1"/>
      <c r="AQ150" s="1"/>
      <c r="AR150" s="7"/>
      <c r="AS150" s="157"/>
      <c r="AT150" s="83"/>
      <c r="AU150" s="74"/>
      <c r="AV150" s="74"/>
      <c r="AW150" s="70"/>
      <c r="AX150" s="71"/>
      <c r="AY150" s="70"/>
      <c r="AZ150" s="71"/>
      <c r="BA150" s="71"/>
      <c r="BB150" s="82"/>
      <c r="BC150" s="73"/>
      <c r="BD150" s="82"/>
      <c r="BE150" s="73"/>
      <c r="BF150" s="79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</row>
    <row r="151" spans="1:69" x14ac:dyDescent="0.25">
      <c r="A151" s="70"/>
      <c r="B151" s="70"/>
      <c r="C151" s="71"/>
      <c r="D151" s="71"/>
      <c r="E151" s="13"/>
      <c r="F151" s="134"/>
      <c r="G151" s="70"/>
      <c r="H151" s="83"/>
      <c r="I151" s="74"/>
      <c r="J151" s="74"/>
      <c r="K151" s="71"/>
      <c r="L151" s="134"/>
      <c r="M151" s="71"/>
      <c r="N151" s="73"/>
      <c r="O151" s="150"/>
      <c r="P151" s="14"/>
      <c r="Q151" s="12"/>
      <c r="R151" s="12"/>
      <c r="S151" s="92"/>
      <c r="T151" s="79"/>
      <c r="U151" s="157"/>
      <c r="V151" s="2"/>
      <c r="W151" s="70"/>
      <c r="X151" s="75" t="s">
        <v>533</v>
      </c>
      <c r="Y151" s="75" t="s">
        <v>193</v>
      </c>
      <c r="Z151" s="76">
        <v>45250</v>
      </c>
      <c r="AA151" s="77">
        <v>13660</v>
      </c>
      <c r="AB151" s="79" t="s">
        <v>322</v>
      </c>
      <c r="AC151" s="76">
        <v>45261</v>
      </c>
      <c r="AD151" s="76">
        <v>45627</v>
      </c>
      <c r="AE151" s="78"/>
      <c r="AF151" s="78"/>
      <c r="AG151" s="2"/>
      <c r="AH151" s="2"/>
      <c r="AI151" s="80"/>
      <c r="AJ151" s="80"/>
      <c r="AK151" s="2"/>
      <c r="AL151" s="157">
        <f t="shared" si="14"/>
        <v>144000</v>
      </c>
      <c r="AM151" s="1"/>
      <c r="AN151" s="1"/>
      <c r="AO151" s="1"/>
      <c r="AP151" s="1"/>
      <c r="AQ151" s="1"/>
      <c r="AR151" s="7"/>
      <c r="AS151" s="157"/>
      <c r="AT151" s="83"/>
      <c r="AU151" s="74"/>
      <c r="AV151" s="74"/>
      <c r="AW151" s="70"/>
      <c r="AX151" s="71"/>
      <c r="AY151" s="70"/>
      <c r="AZ151" s="71"/>
      <c r="BA151" s="71"/>
      <c r="BB151" s="82"/>
      <c r="BC151" s="73"/>
      <c r="BD151" s="82"/>
      <c r="BE151" s="73"/>
      <c r="BF151" s="79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</row>
    <row r="152" spans="1:69" x14ac:dyDescent="0.25">
      <c r="A152" s="70">
        <v>48</v>
      </c>
      <c r="B152" s="70" t="s">
        <v>209</v>
      </c>
      <c r="C152" s="71" t="s">
        <v>200</v>
      </c>
      <c r="D152" s="71" t="s">
        <v>135</v>
      </c>
      <c r="E152" s="13" t="s">
        <v>102</v>
      </c>
      <c r="F152" s="134" t="s">
        <v>210</v>
      </c>
      <c r="G152" s="70">
        <v>12323</v>
      </c>
      <c r="H152" s="83" t="s">
        <v>211</v>
      </c>
      <c r="I152" s="74">
        <v>43269</v>
      </c>
      <c r="J152" s="74">
        <v>43634</v>
      </c>
      <c r="K152" s="71" t="s">
        <v>212</v>
      </c>
      <c r="L152" s="134" t="s">
        <v>108</v>
      </c>
      <c r="M152" s="71" t="s">
        <v>123</v>
      </c>
      <c r="N152" s="73">
        <v>43312</v>
      </c>
      <c r="O152" s="150">
        <v>745600</v>
      </c>
      <c r="P152" s="14">
        <v>12361</v>
      </c>
      <c r="Q152" s="12">
        <v>43313</v>
      </c>
      <c r="R152" s="12">
        <v>43465</v>
      </c>
      <c r="S152" s="92" t="s">
        <v>565</v>
      </c>
      <c r="T152" s="71"/>
      <c r="U152" s="157"/>
      <c r="V152" s="2"/>
      <c r="W152" s="70" t="s">
        <v>106</v>
      </c>
      <c r="X152" s="75"/>
      <c r="Y152" s="75"/>
      <c r="Z152" s="76"/>
      <c r="AA152" s="77"/>
      <c r="AB152" s="79"/>
      <c r="AC152" s="76"/>
      <c r="AD152" s="76"/>
      <c r="AE152" s="78"/>
      <c r="AF152" s="78"/>
      <c r="AG152" s="2"/>
      <c r="AH152" s="2"/>
      <c r="AI152" s="80"/>
      <c r="AJ152" s="80"/>
      <c r="AK152" s="2"/>
      <c r="AL152" s="157">
        <f>$O$152-AH152+AG152+AK152</f>
        <v>745600</v>
      </c>
      <c r="AM152" s="7">
        <f>105191.73+109976+227283.64+113704+113704+5592+113704+5592+109976+113704+113704+113704+113704+113704+113704+113704+113704+113704+113704+113704+113704+113704+113704+113704+113704+113704+117121.15+1553.15+115878.85+1449135.21+1537054.4+1582287.47</f>
        <v>7640721.6000000006</v>
      </c>
      <c r="AN152" s="7">
        <f>134208</f>
        <v>134208</v>
      </c>
      <c r="AO152" s="7">
        <f>134208</f>
        <v>134208</v>
      </c>
      <c r="AP152" s="7">
        <f>134208+134208</f>
        <v>268416</v>
      </c>
      <c r="AQ152" s="7"/>
      <c r="AR152" s="7">
        <f>AQ152+AP152+AO152+AN152</f>
        <v>536832</v>
      </c>
      <c r="AS152" s="157">
        <f>AR152+AM152</f>
        <v>8177553.6000000006</v>
      </c>
      <c r="AT152" s="83" t="s">
        <v>211</v>
      </c>
      <c r="AU152" s="74">
        <v>43269</v>
      </c>
      <c r="AV152" s="74">
        <v>43634</v>
      </c>
      <c r="AW152" s="70">
        <v>12338</v>
      </c>
      <c r="AX152" s="71" t="s">
        <v>213</v>
      </c>
      <c r="AY152" s="70">
        <v>12338</v>
      </c>
      <c r="AZ152" s="79"/>
      <c r="BA152" s="79"/>
      <c r="BB152" s="77"/>
      <c r="BC152" s="76"/>
      <c r="BD152" s="77"/>
      <c r="BE152" s="76"/>
      <c r="BF152" s="79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</row>
    <row r="153" spans="1:69" ht="25.5" x14ac:dyDescent="0.25">
      <c r="A153" s="70"/>
      <c r="B153" s="70"/>
      <c r="C153" s="71"/>
      <c r="D153" s="71"/>
      <c r="E153" s="13"/>
      <c r="F153" s="134"/>
      <c r="G153" s="70"/>
      <c r="H153" s="83"/>
      <c r="I153" s="74"/>
      <c r="J153" s="74"/>
      <c r="K153" s="71"/>
      <c r="L153" s="134"/>
      <c r="M153" s="71"/>
      <c r="N153" s="73"/>
      <c r="O153" s="150"/>
      <c r="P153" s="14"/>
      <c r="Q153" s="12"/>
      <c r="R153" s="12"/>
      <c r="S153" s="92"/>
      <c r="T153" s="71"/>
      <c r="U153" s="157"/>
      <c r="V153" s="2"/>
      <c r="W153" s="70"/>
      <c r="X153" s="75" t="s">
        <v>184</v>
      </c>
      <c r="Y153" s="75" t="s">
        <v>174</v>
      </c>
      <c r="Z153" s="76">
        <v>43465</v>
      </c>
      <c r="AA153" s="77">
        <v>12474</v>
      </c>
      <c r="AB153" s="79" t="s">
        <v>214</v>
      </c>
      <c r="AC153" s="76">
        <v>43466</v>
      </c>
      <c r="AD153" s="76">
        <v>43556</v>
      </c>
      <c r="AE153" s="78"/>
      <c r="AF153" s="78"/>
      <c r="AG153" s="2"/>
      <c r="AH153" s="2"/>
      <c r="AI153" s="80"/>
      <c r="AJ153" s="80"/>
      <c r="AK153" s="2"/>
      <c r="AL153" s="157">
        <f t="shared" ref="AL153:AL160" si="15">$O$152-AH153+AG153+AK153</f>
        <v>745600</v>
      </c>
      <c r="AM153" s="7"/>
      <c r="AN153" s="7"/>
      <c r="AO153" s="7"/>
      <c r="AP153" s="7"/>
      <c r="AQ153" s="7"/>
      <c r="AR153" s="7"/>
      <c r="AS153" s="157"/>
      <c r="AT153" s="83"/>
      <c r="AU153" s="74"/>
      <c r="AV153" s="74"/>
      <c r="AW153" s="70"/>
      <c r="AX153" s="71"/>
      <c r="AY153" s="70"/>
      <c r="AZ153" s="79"/>
      <c r="BA153" s="79"/>
      <c r="BB153" s="77"/>
      <c r="BC153" s="76"/>
      <c r="BD153" s="77"/>
      <c r="BE153" s="76"/>
      <c r="BF153" s="79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</row>
    <row r="154" spans="1:69" ht="25.5" x14ac:dyDescent="0.25">
      <c r="A154" s="70"/>
      <c r="B154" s="70"/>
      <c r="C154" s="71"/>
      <c r="D154" s="71"/>
      <c r="E154" s="13"/>
      <c r="F154" s="134"/>
      <c r="G154" s="70"/>
      <c r="H154" s="83"/>
      <c r="I154" s="74"/>
      <c r="J154" s="74"/>
      <c r="K154" s="71"/>
      <c r="L154" s="134"/>
      <c r="M154" s="71"/>
      <c r="N154" s="73"/>
      <c r="O154" s="150"/>
      <c r="P154" s="14"/>
      <c r="Q154" s="12"/>
      <c r="R154" s="12"/>
      <c r="S154" s="92"/>
      <c r="T154" s="71"/>
      <c r="U154" s="157"/>
      <c r="V154" s="151"/>
      <c r="W154" s="70"/>
      <c r="X154" s="75" t="s">
        <v>184</v>
      </c>
      <c r="Y154" s="75" t="s">
        <v>188</v>
      </c>
      <c r="Z154" s="76">
        <v>43553</v>
      </c>
      <c r="AA154" s="77">
        <v>12526</v>
      </c>
      <c r="AB154" s="79" t="s">
        <v>214</v>
      </c>
      <c r="AC154" s="76">
        <v>43557</v>
      </c>
      <c r="AD154" s="76">
        <v>43646</v>
      </c>
      <c r="AE154" s="78"/>
      <c r="AF154" s="78"/>
      <c r="AG154" s="2"/>
      <c r="AH154" s="2"/>
      <c r="AI154" s="80"/>
      <c r="AJ154" s="80"/>
      <c r="AK154" s="2"/>
      <c r="AL154" s="157">
        <f t="shared" si="15"/>
        <v>745600</v>
      </c>
      <c r="AM154" s="7"/>
      <c r="AN154" s="7"/>
      <c r="AO154" s="7"/>
      <c r="AP154" s="7"/>
      <c r="AQ154" s="7"/>
      <c r="AR154" s="7"/>
      <c r="AS154" s="157"/>
      <c r="AT154" s="83"/>
      <c r="AU154" s="74"/>
      <c r="AV154" s="74"/>
      <c r="AW154" s="70"/>
      <c r="AX154" s="71"/>
      <c r="AY154" s="70"/>
      <c r="AZ154" s="79"/>
      <c r="BA154" s="79"/>
      <c r="BB154" s="77"/>
      <c r="BC154" s="76"/>
      <c r="BD154" s="77"/>
      <c r="BE154" s="76"/>
      <c r="BF154" s="79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</row>
    <row r="155" spans="1:69" ht="25.5" x14ac:dyDescent="0.25">
      <c r="A155" s="70"/>
      <c r="B155" s="70"/>
      <c r="C155" s="71"/>
      <c r="D155" s="71"/>
      <c r="E155" s="13"/>
      <c r="F155" s="134"/>
      <c r="G155" s="70"/>
      <c r="H155" s="83"/>
      <c r="I155" s="74"/>
      <c r="J155" s="74"/>
      <c r="K155" s="71"/>
      <c r="L155" s="134"/>
      <c r="M155" s="71"/>
      <c r="N155" s="73"/>
      <c r="O155" s="150"/>
      <c r="P155" s="14"/>
      <c r="Q155" s="12"/>
      <c r="R155" s="12"/>
      <c r="S155" s="92"/>
      <c r="T155" s="71"/>
      <c r="U155" s="157"/>
      <c r="V155" s="151"/>
      <c r="W155" s="70"/>
      <c r="X155" s="75" t="s">
        <v>184</v>
      </c>
      <c r="Y155" s="75" t="s">
        <v>190</v>
      </c>
      <c r="Z155" s="76">
        <v>43584</v>
      </c>
      <c r="AA155" s="77"/>
      <c r="AB155" s="79" t="s">
        <v>281</v>
      </c>
      <c r="AC155" s="76">
        <v>43647</v>
      </c>
      <c r="AD155" s="76">
        <v>43830</v>
      </c>
      <c r="AE155" s="78"/>
      <c r="AF155" s="78"/>
      <c r="AG155" s="2"/>
      <c r="AH155" s="2"/>
      <c r="AI155" s="80"/>
      <c r="AJ155" s="80"/>
      <c r="AK155" s="2"/>
      <c r="AL155" s="157">
        <f t="shared" si="15"/>
        <v>745600</v>
      </c>
      <c r="AM155" s="7"/>
      <c r="AN155" s="7"/>
      <c r="AO155" s="7"/>
      <c r="AP155" s="7"/>
      <c r="AQ155" s="7"/>
      <c r="AR155" s="7"/>
      <c r="AS155" s="157"/>
      <c r="AT155" s="83"/>
      <c r="AU155" s="74"/>
      <c r="AV155" s="74"/>
      <c r="AW155" s="70"/>
      <c r="AX155" s="71"/>
      <c r="AY155" s="70"/>
      <c r="AZ155" s="79"/>
      <c r="BA155" s="79"/>
      <c r="BB155" s="77"/>
      <c r="BC155" s="76"/>
      <c r="BD155" s="77"/>
      <c r="BE155" s="76"/>
      <c r="BF155" s="79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</row>
    <row r="156" spans="1:69" ht="25.5" x14ac:dyDescent="0.25">
      <c r="A156" s="70"/>
      <c r="B156" s="70"/>
      <c r="C156" s="71"/>
      <c r="D156" s="71"/>
      <c r="E156" s="13"/>
      <c r="F156" s="134"/>
      <c r="G156" s="70"/>
      <c r="H156" s="83"/>
      <c r="I156" s="74"/>
      <c r="J156" s="74"/>
      <c r="K156" s="71"/>
      <c r="L156" s="134"/>
      <c r="M156" s="71"/>
      <c r="N156" s="73"/>
      <c r="O156" s="150"/>
      <c r="P156" s="14"/>
      <c r="Q156" s="12"/>
      <c r="R156" s="12"/>
      <c r="S156" s="92"/>
      <c r="T156" s="71"/>
      <c r="U156" s="157"/>
      <c r="V156" s="151"/>
      <c r="W156" s="70"/>
      <c r="X156" s="75" t="s">
        <v>184</v>
      </c>
      <c r="Y156" s="75" t="s">
        <v>195</v>
      </c>
      <c r="Z156" s="76">
        <v>43826</v>
      </c>
      <c r="AA156" s="77">
        <v>12710</v>
      </c>
      <c r="AB156" s="79" t="s">
        <v>282</v>
      </c>
      <c r="AC156" s="76">
        <v>43831</v>
      </c>
      <c r="AD156" s="76">
        <v>44196</v>
      </c>
      <c r="AE156" s="78"/>
      <c r="AF156" s="78"/>
      <c r="AG156" s="2"/>
      <c r="AH156" s="2"/>
      <c r="AI156" s="80"/>
      <c r="AJ156" s="80"/>
      <c r="AK156" s="2"/>
      <c r="AL156" s="157">
        <f t="shared" si="15"/>
        <v>745600</v>
      </c>
      <c r="AM156" s="7"/>
      <c r="AN156" s="7"/>
      <c r="AO156" s="7"/>
      <c r="AP156" s="7"/>
      <c r="AQ156" s="7"/>
      <c r="AR156" s="7"/>
      <c r="AS156" s="157"/>
      <c r="AT156" s="83"/>
      <c r="AU156" s="74"/>
      <c r="AV156" s="74"/>
      <c r="AW156" s="70"/>
      <c r="AX156" s="71"/>
      <c r="AY156" s="70"/>
      <c r="AZ156" s="79"/>
      <c r="BA156" s="79"/>
      <c r="BB156" s="77"/>
      <c r="BC156" s="76"/>
      <c r="BD156" s="77"/>
      <c r="BE156" s="76"/>
      <c r="BF156" s="79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</row>
    <row r="157" spans="1:69" ht="25.5" x14ac:dyDescent="0.25">
      <c r="A157" s="70"/>
      <c r="B157" s="70"/>
      <c r="C157" s="71"/>
      <c r="D157" s="71"/>
      <c r="E157" s="13"/>
      <c r="F157" s="134"/>
      <c r="G157" s="70"/>
      <c r="H157" s="83"/>
      <c r="I157" s="74"/>
      <c r="J157" s="74"/>
      <c r="K157" s="71"/>
      <c r="L157" s="134"/>
      <c r="M157" s="71"/>
      <c r="N157" s="73"/>
      <c r="O157" s="150"/>
      <c r="P157" s="14"/>
      <c r="Q157" s="12"/>
      <c r="R157" s="12"/>
      <c r="S157" s="92"/>
      <c r="T157" s="71"/>
      <c r="U157" s="157"/>
      <c r="V157" s="151"/>
      <c r="W157" s="70"/>
      <c r="X157" s="75" t="s">
        <v>184</v>
      </c>
      <c r="Y157" s="75" t="s">
        <v>194</v>
      </c>
      <c r="Z157" s="76">
        <v>44183</v>
      </c>
      <c r="AA157" s="77">
        <v>12947</v>
      </c>
      <c r="AB157" s="79" t="s">
        <v>282</v>
      </c>
      <c r="AC157" s="76">
        <v>44197</v>
      </c>
      <c r="AD157" s="76">
        <v>44561</v>
      </c>
      <c r="AE157" s="78"/>
      <c r="AF157" s="78"/>
      <c r="AG157" s="2"/>
      <c r="AH157" s="2"/>
      <c r="AI157" s="80"/>
      <c r="AJ157" s="80"/>
      <c r="AK157" s="2"/>
      <c r="AL157" s="157">
        <f t="shared" si="15"/>
        <v>745600</v>
      </c>
      <c r="AM157" s="7"/>
      <c r="AN157" s="7"/>
      <c r="AO157" s="7"/>
      <c r="AP157" s="7"/>
      <c r="AQ157" s="7"/>
      <c r="AR157" s="7"/>
      <c r="AS157" s="157"/>
      <c r="AT157" s="83"/>
      <c r="AU157" s="74"/>
      <c r="AV157" s="74"/>
      <c r="AW157" s="70"/>
      <c r="AX157" s="71"/>
      <c r="AY157" s="70"/>
      <c r="AZ157" s="79"/>
      <c r="BA157" s="79"/>
      <c r="BB157" s="77"/>
      <c r="BC157" s="76"/>
      <c r="BD157" s="77"/>
      <c r="BE157" s="76"/>
      <c r="BF157" s="79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</row>
    <row r="158" spans="1:69" x14ac:dyDescent="0.25">
      <c r="A158" s="70"/>
      <c r="B158" s="70"/>
      <c r="C158" s="71"/>
      <c r="D158" s="71"/>
      <c r="E158" s="13"/>
      <c r="F158" s="134"/>
      <c r="G158" s="70"/>
      <c r="H158" s="83"/>
      <c r="I158" s="74"/>
      <c r="J158" s="74"/>
      <c r="K158" s="71"/>
      <c r="L158" s="134"/>
      <c r="M158" s="71"/>
      <c r="N158" s="73"/>
      <c r="O158" s="150"/>
      <c r="P158" s="14"/>
      <c r="Q158" s="12"/>
      <c r="R158" s="12"/>
      <c r="S158" s="92"/>
      <c r="T158" s="71"/>
      <c r="U158" s="157"/>
      <c r="V158" s="151"/>
      <c r="W158" s="70"/>
      <c r="X158" s="75" t="s">
        <v>184</v>
      </c>
      <c r="Y158" s="75" t="s">
        <v>178</v>
      </c>
      <c r="Z158" s="76">
        <v>44552</v>
      </c>
      <c r="AA158" s="77">
        <v>13195</v>
      </c>
      <c r="AB158" s="79" t="s">
        <v>372</v>
      </c>
      <c r="AC158" s="76">
        <v>44562</v>
      </c>
      <c r="AD158" s="76">
        <v>44926</v>
      </c>
      <c r="AE158" s="78"/>
      <c r="AF158" s="78"/>
      <c r="AG158" s="2"/>
      <c r="AH158" s="2"/>
      <c r="AI158" s="80"/>
      <c r="AJ158" s="80"/>
      <c r="AK158" s="2"/>
      <c r="AL158" s="157">
        <f t="shared" si="15"/>
        <v>745600</v>
      </c>
      <c r="AM158" s="7"/>
      <c r="AN158" s="7"/>
      <c r="AO158" s="7"/>
      <c r="AP158" s="7"/>
      <c r="AQ158" s="7"/>
      <c r="AR158" s="7"/>
      <c r="AS158" s="157"/>
      <c r="AT158" s="83"/>
      <c r="AU158" s="74"/>
      <c r="AV158" s="74"/>
      <c r="AW158" s="70"/>
      <c r="AX158" s="71"/>
      <c r="AY158" s="70"/>
      <c r="AZ158" s="79"/>
      <c r="BA158" s="79"/>
      <c r="BB158" s="77"/>
      <c r="BC158" s="76"/>
      <c r="BD158" s="77"/>
      <c r="BE158" s="76"/>
      <c r="BF158" s="79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</row>
    <row r="159" spans="1:69" x14ac:dyDescent="0.25">
      <c r="A159" s="70"/>
      <c r="B159" s="70"/>
      <c r="C159" s="71"/>
      <c r="D159" s="71"/>
      <c r="E159" s="13"/>
      <c r="F159" s="134"/>
      <c r="G159" s="70"/>
      <c r="H159" s="83"/>
      <c r="I159" s="74"/>
      <c r="J159" s="74"/>
      <c r="K159" s="71"/>
      <c r="L159" s="134"/>
      <c r="M159" s="71"/>
      <c r="N159" s="73"/>
      <c r="O159" s="150"/>
      <c r="P159" s="14"/>
      <c r="Q159" s="12"/>
      <c r="R159" s="12"/>
      <c r="S159" s="92"/>
      <c r="T159" s="71"/>
      <c r="U159" s="157"/>
      <c r="V159" s="151"/>
      <c r="W159" s="70"/>
      <c r="X159" s="75" t="s">
        <v>184</v>
      </c>
      <c r="Y159" s="75" t="s">
        <v>193</v>
      </c>
      <c r="Z159" s="76">
        <v>44915</v>
      </c>
      <c r="AA159" s="77">
        <v>13440</v>
      </c>
      <c r="AB159" s="79" t="s">
        <v>461</v>
      </c>
      <c r="AC159" s="76">
        <v>44927</v>
      </c>
      <c r="AD159" s="76">
        <v>45107</v>
      </c>
      <c r="AE159" s="78"/>
      <c r="AF159" s="78"/>
      <c r="AG159" s="2"/>
      <c r="AH159" s="2"/>
      <c r="AI159" s="80"/>
      <c r="AJ159" s="80"/>
      <c r="AK159" s="2"/>
      <c r="AL159" s="157">
        <f t="shared" si="15"/>
        <v>745600</v>
      </c>
      <c r="AM159" s="1"/>
      <c r="AN159" s="1"/>
      <c r="AO159" s="1"/>
      <c r="AP159" s="1"/>
      <c r="AQ159" s="1"/>
      <c r="AR159" s="7"/>
      <c r="AS159" s="157"/>
      <c r="AT159" s="83"/>
      <c r="AU159" s="74"/>
      <c r="AV159" s="74"/>
      <c r="AW159" s="70"/>
      <c r="AX159" s="71"/>
      <c r="AY159" s="70"/>
      <c r="AZ159" s="79"/>
      <c r="BA159" s="79"/>
      <c r="BB159" s="77"/>
      <c r="BC159" s="76"/>
      <c r="BD159" s="77"/>
      <c r="BE159" s="76"/>
      <c r="BF159" s="79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</row>
    <row r="160" spans="1:69" x14ac:dyDescent="0.25">
      <c r="A160" s="70"/>
      <c r="B160" s="70"/>
      <c r="C160" s="71"/>
      <c r="D160" s="71"/>
      <c r="E160" s="13"/>
      <c r="F160" s="134"/>
      <c r="G160" s="70"/>
      <c r="H160" s="83"/>
      <c r="I160" s="74"/>
      <c r="J160" s="74"/>
      <c r="K160" s="71"/>
      <c r="L160" s="134"/>
      <c r="M160" s="71"/>
      <c r="N160" s="73"/>
      <c r="O160" s="150"/>
      <c r="P160" s="14"/>
      <c r="Q160" s="12"/>
      <c r="R160" s="12"/>
      <c r="S160" s="92"/>
      <c r="T160" s="71"/>
      <c r="U160" s="157"/>
      <c r="V160" s="151"/>
      <c r="W160" s="70"/>
      <c r="X160" s="75" t="s">
        <v>545</v>
      </c>
      <c r="Y160" s="75" t="s">
        <v>221</v>
      </c>
      <c r="Z160" s="76">
        <v>45107</v>
      </c>
      <c r="AA160" s="77">
        <v>13571</v>
      </c>
      <c r="AB160" s="79" t="s">
        <v>535</v>
      </c>
      <c r="AC160" s="76">
        <v>45108</v>
      </c>
      <c r="AD160" s="76">
        <v>45473</v>
      </c>
      <c r="AE160" s="78"/>
      <c r="AF160" s="78"/>
      <c r="AG160" s="2"/>
      <c r="AH160" s="2"/>
      <c r="AI160" s="80"/>
      <c r="AJ160" s="80"/>
      <c r="AK160" s="2"/>
      <c r="AL160" s="157">
        <f t="shared" si="15"/>
        <v>745600</v>
      </c>
      <c r="AM160" s="1"/>
      <c r="AN160" s="1"/>
      <c r="AO160" s="1"/>
      <c r="AP160" s="1"/>
      <c r="AQ160" s="1"/>
      <c r="AR160" s="7"/>
      <c r="AS160" s="157"/>
      <c r="AT160" s="75"/>
      <c r="AU160" s="87"/>
      <c r="AV160" s="87"/>
      <c r="AW160" s="81"/>
      <c r="AX160" s="79"/>
      <c r="AY160" s="81"/>
      <c r="AZ160" s="79"/>
      <c r="BA160" s="79"/>
      <c r="BB160" s="77"/>
      <c r="BC160" s="76"/>
      <c r="BD160" s="77"/>
      <c r="BE160" s="76"/>
      <c r="BF160" s="79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</row>
    <row r="161" spans="1:69" ht="51" x14ac:dyDescent="0.25">
      <c r="A161" s="81">
        <v>49</v>
      </c>
      <c r="B161" s="99" t="s">
        <v>645</v>
      </c>
      <c r="C161" s="91"/>
      <c r="D161" s="79" t="s">
        <v>115</v>
      </c>
      <c r="E161" s="8" t="s">
        <v>102</v>
      </c>
      <c r="F161" s="98" t="s">
        <v>620</v>
      </c>
      <c r="G161" s="94">
        <v>13638</v>
      </c>
      <c r="H161" s="75"/>
      <c r="I161" s="87"/>
      <c r="J161" s="87"/>
      <c r="K161" s="79" t="s">
        <v>646</v>
      </c>
      <c r="L161" s="98" t="s">
        <v>644</v>
      </c>
      <c r="M161" s="79" t="s">
        <v>516</v>
      </c>
      <c r="N161" s="76">
        <v>45369</v>
      </c>
      <c r="O161" s="1">
        <v>21641.040000000001</v>
      </c>
      <c r="P161" s="5">
        <v>13740</v>
      </c>
      <c r="Q161" s="9">
        <v>45369</v>
      </c>
      <c r="R161" s="93" t="s">
        <v>419</v>
      </c>
      <c r="S161" s="93" t="s">
        <v>565</v>
      </c>
      <c r="T161" s="79"/>
      <c r="U161" s="157"/>
      <c r="V161" s="2"/>
      <c r="W161" s="81" t="s">
        <v>107</v>
      </c>
      <c r="X161" s="75"/>
      <c r="Y161" s="75"/>
      <c r="Z161" s="76"/>
      <c r="AA161" s="77"/>
      <c r="AB161" s="79"/>
      <c r="AC161" s="76"/>
      <c r="AD161" s="76"/>
      <c r="AE161" s="78"/>
      <c r="AF161" s="78"/>
      <c r="AG161" s="2"/>
      <c r="AH161" s="2"/>
      <c r="AI161" s="80"/>
      <c r="AJ161" s="80"/>
      <c r="AK161" s="2"/>
      <c r="AL161" s="157">
        <f>O161-AH161+AG161+AK161</f>
        <v>21641.040000000001</v>
      </c>
      <c r="AM161" s="1"/>
      <c r="AN161" s="7">
        <f>21641.04</f>
        <v>21641.040000000001</v>
      </c>
      <c r="AO161" s="1"/>
      <c r="AP161" s="1"/>
      <c r="AQ161" s="1"/>
      <c r="AR161" s="7">
        <f>AQ161+AP161+AO161+AN161</f>
        <v>21641.040000000001</v>
      </c>
      <c r="AS161" s="157">
        <f>AR161+AM161</f>
        <v>21641.040000000001</v>
      </c>
      <c r="AT161" s="75"/>
      <c r="AU161" s="87"/>
      <c r="AV161" s="87"/>
      <c r="AW161" s="81"/>
      <c r="AX161" s="79"/>
      <c r="AY161" s="81"/>
      <c r="AZ161" s="79" t="s">
        <v>128</v>
      </c>
      <c r="BA161" s="79" t="s">
        <v>647</v>
      </c>
      <c r="BB161" s="77">
        <v>13638</v>
      </c>
      <c r="BC161" s="76">
        <v>45218</v>
      </c>
      <c r="BD161" s="77">
        <v>13638</v>
      </c>
      <c r="BE161" s="76">
        <v>45218</v>
      </c>
      <c r="BF161" s="79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</row>
    <row r="162" spans="1:69" ht="63.75" x14ac:dyDescent="0.25">
      <c r="A162" s="81">
        <v>50</v>
      </c>
      <c r="B162" s="81" t="s">
        <v>506</v>
      </c>
      <c r="C162" s="79" t="s">
        <v>465</v>
      </c>
      <c r="D162" s="79" t="s">
        <v>115</v>
      </c>
      <c r="E162" s="8" t="s">
        <v>102</v>
      </c>
      <c r="F162" s="98" t="s">
        <v>502</v>
      </c>
      <c r="G162" s="81"/>
      <c r="H162" s="75"/>
      <c r="I162" s="87"/>
      <c r="J162" s="87"/>
      <c r="K162" s="79" t="s">
        <v>503</v>
      </c>
      <c r="L162" s="98" t="s">
        <v>504</v>
      </c>
      <c r="M162" s="79" t="s">
        <v>505</v>
      </c>
      <c r="N162" s="76">
        <v>45160</v>
      </c>
      <c r="O162" s="1">
        <v>48000</v>
      </c>
      <c r="P162" s="5">
        <v>13602</v>
      </c>
      <c r="Q162" s="9">
        <v>45160</v>
      </c>
      <c r="R162" s="93" t="s">
        <v>530</v>
      </c>
      <c r="S162" s="93" t="s">
        <v>565</v>
      </c>
      <c r="T162" s="79"/>
      <c r="U162" s="157"/>
      <c r="V162" s="2"/>
      <c r="W162" s="81" t="s">
        <v>105</v>
      </c>
      <c r="X162" s="75"/>
      <c r="Y162" s="75"/>
      <c r="Z162" s="76"/>
      <c r="AA162" s="77"/>
      <c r="AB162" s="79"/>
      <c r="AC162" s="76"/>
      <c r="AD162" s="76"/>
      <c r="AE162" s="78"/>
      <c r="AF162" s="78"/>
      <c r="AG162" s="2"/>
      <c r="AH162" s="2"/>
      <c r="AI162" s="80"/>
      <c r="AJ162" s="80"/>
      <c r="AK162" s="2"/>
      <c r="AL162" s="157">
        <f t="shared" ref="AL162:AL163" si="16">O162-AH162+AG162+AK162</f>
        <v>48000</v>
      </c>
      <c r="AM162" s="7">
        <v>18400</v>
      </c>
      <c r="AN162" s="7">
        <f>4000</f>
        <v>4000</v>
      </c>
      <c r="AO162" s="7">
        <f>8000</f>
        <v>8000</v>
      </c>
      <c r="AP162" s="7">
        <f>18800</f>
        <v>18800</v>
      </c>
      <c r="AQ162" s="7"/>
      <c r="AR162" s="7">
        <f>AQ162+AP162+AO162+AN162</f>
        <v>30800</v>
      </c>
      <c r="AS162" s="157">
        <f>AR162+AM162</f>
        <v>49200</v>
      </c>
      <c r="AT162" s="75"/>
      <c r="AU162" s="87"/>
      <c r="AV162" s="87"/>
      <c r="AW162" s="81"/>
      <c r="AX162" s="79"/>
      <c r="AY162" s="81"/>
      <c r="AZ162" s="79" t="s">
        <v>128</v>
      </c>
      <c r="BA162" s="79" t="s">
        <v>558</v>
      </c>
      <c r="BB162" s="77">
        <v>13555</v>
      </c>
      <c r="BC162" s="76">
        <v>45097</v>
      </c>
      <c r="BD162" s="77">
        <v>13605</v>
      </c>
      <c r="BE162" s="76">
        <v>45167</v>
      </c>
      <c r="BF162" s="79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</row>
    <row r="163" spans="1:69" ht="38.25" x14ac:dyDescent="0.25">
      <c r="A163" s="81">
        <v>51</v>
      </c>
      <c r="B163" s="81" t="s">
        <v>391</v>
      </c>
      <c r="C163" s="79" t="s">
        <v>427</v>
      </c>
      <c r="D163" s="79" t="s">
        <v>115</v>
      </c>
      <c r="E163" s="8" t="s">
        <v>102</v>
      </c>
      <c r="F163" s="98" t="s">
        <v>428</v>
      </c>
      <c r="G163" s="81"/>
      <c r="H163" s="75"/>
      <c r="I163" s="87"/>
      <c r="J163" s="87"/>
      <c r="K163" s="79" t="s">
        <v>429</v>
      </c>
      <c r="L163" s="98" t="s">
        <v>430</v>
      </c>
      <c r="M163" s="79" t="s">
        <v>431</v>
      </c>
      <c r="N163" s="76">
        <v>44805</v>
      </c>
      <c r="O163" s="1">
        <f>25000*12</f>
        <v>300000</v>
      </c>
      <c r="P163" s="5">
        <v>13381</v>
      </c>
      <c r="Q163" s="9">
        <v>44805</v>
      </c>
      <c r="R163" s="93" t="s">
        <v>453</v>
      </c>
      <c r="S163" s="93" t="s">
        <v>565</v>
      </c>
      <c r="T163" s="79"/>
      <c r="U163" s="157"/>
      <c r="V163" s="2"/>
      <c r="W163" s="81" t="s">
        <v>106</v>
      </c>
      <c r="X163" s="75" t="s">
        <v>184</v>
      </c>
      <c r="Y163" s="75" t="s">
        <v>174</v>
      </c>
      <c r="Z163" s="76">
        <v>45171</v>
      </c>
      <c r="AA163" s="77">
        <v>13649</v>
      </c>
      <c r="AB163" s="79" t="s">
        <v>535</v>
      </c>
      <c r="AC163" s="76">
        <v>45171</v>
      </c>
      <c r="AD163" s="76">
        <v>45537</v>
      </c>
      <c r="AE163" s="78"/>
      <c r="AF163" s="78"/>
      <c r="AG163" s="2"/>
      <c r="AH163" s="2"/>
      <c r="AI163" s="80"/>
      <c r="AJ163" s="80"/>
      <c r="AK163" s="2"/>
      <c r="AL163" s="157">
        <f t="shared" si="16"/>
        <v>300000</v>
      </c>
      <c r="AM163" s="7">
        <f>200000+100000</f>
        <v>300000</v>
      </c>
      <c r="AN163" s="7">
        <v>25000</v>
      </c>
      <c r="AO163" s="7">
        <v>25000</v>
      </c>
      <c r="AP163" s="7">
        <f>25000</f>
        <v>25000</v>
      </c>
      <c r="AQ163" s="7"/>
      <c r="AR163" s="7">
        <f>AQ163+AP163+AO163+AN163</f>
        <v>75000</v>
      </c>
      <c r="AS163" s="157">
        <f>AR163+AM163</f>
        <v>375000</v>
      </c>
      <c r="AT163" s="75"/>
      <c r="AU163" s="87"/>
      <c r="AV163" s="87"/>
      <c r="AW163" s="81"/>
      <c r="AX163" s="79"/>
      <c r="AY163" s="81"/>
      <c r="AZ163" s="79" t="s">
        <v>128</v>
      </c>
      <c r="BA163" s="79" t="s">
        <v>558</v>
      </c>
      <c r="BB163" s="77">
        <v>13380</v>
      </c>
      <c r="BC163" s="76">
        <v>44833</v>
      </c>
      <c r="BD163" s="77">
        <v>13381</v>
      </c>
      <c r="BE163" s="76">
        <v>44834</v>
      </c>
      <c r="BF163" s="79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</row>
    <row r="164" spans="1:69" ht="38.25" x14ac:dyDescent="0.25">
      <c r="A164" s="81">
        <v>52</v>
      </c>
      <c r="B164" s="81" t="s">
        <v>485</v>
      </c>
      <c r="C164" s="79" t="s">
        <v>476</v>
      </c>
      <c r="D164" s="79" t="s">
        <v>115</v>
      </c>
      <c r="E164" s="8" t="s">
        <v>102</v>
      </c>
      <c r="F164" s="98" t="s">
        <v>477</v>
      </c>
      <c r="G164" s="81"/>
      <c r="H164" s="75"/>
      <c r="I164" s="87"/>
      <c r="J164" s="87"/>
      <c r="K164" s="79" t="s">
        <v>487</v>
      </c>
      <c r="L164" s="98" t="s">
        <v>430</v>
      </c>
      <c r="M164" s="79" t="s">
        <v>431</v>
      </c>
      <c r="N164" s="76">
        <v>45007</v>
      </c>
      <c r="O164" s="1">
        <f>2500*12</f>
        <v>30000</v>
      </c>
      <c r="P164" s="5"/>
      <c r="Q164" s="9">
        <v>45007</v>
      </c>
      <c r="R164" s="93" t="s">
        <v>486</v>
      </c>
      <c r="S164" s="93" t="s">
        <v>565</v>
      </c>
      <c r="T164" s="79"/>
      <c r="U164" s="157"/>
      <c r="V164" s="2"/>
      <c r="W164" s="81" t="s">
        <v>106</v>
      </c>
      <c r="X164" s="75"/>
      <c r="Y164" s="75"/>
      <c r="Z164" s="76"/>
      <c r="AA164" s="77"/>
      <c r="AB164" s="79"/>
      <c r="AC164" s="76"/>
      <c r="AD164" s="76"/>
      <c r="AE164" s="78"/>
      <c r="AF164" s="78"/>
      <c r="AG164" s="2"/>
      <c r="AH164" s="2"/>
      <c r="AI164" s="80"/>
      <c r="AJ164" s="80"/>
      <c r="AK164" s="2"/>
      <c r="AL164" s="157">
        <f>O164-AH164+AG164+AK164</f>
        <v>30000</v>
      </c>
      <c r="AM164" s="7">
        <f>22500+57442.49</f>
        <v>79942.489999999991</v>
      </c>
      <c r="AN164" s="7"/>
      <c r="AO164" s="7">
        <v>2500</v>
      </c>
      <c r="AP164" s="7">
        <f>2500</f>
        <v>2500</v>
      </c>
      <c r="AQ164" s="7"/>
      <c r="AR164" s="7">
        <f>AQ164+AP164+AO164+AN164</f>
        <v>5000</v>
      </c>
      <c r="AS164" s="157">
        <f>AR164+AM164</f>
        <v>84942.489999999991</v>
      </c>
      <c r="AT164" s="75"/>
      <c r="AU164" s="87"/>
      <c r="AV164" s="87"/>
      <c r="AW164" s="81"/>
      <c r="AX164" s="79"/>
      <c r="AY164" s="81"/>
      <c r="AZ164" s="79" t="s">
        <v>128</v>
      </c>
      <c r="BA164" s="79" t="s">
        <v>442</v>
      </c>
      <c r="BB164" s="77">
        <v>13381</v>
      </c>
      <c r="BC164" s="76">
        <v>44804</v>
      </c>
      <c r="BD164" s="77">
        <v>13381</v>
      </c>
      <c r="BE164" s="76">
        <v>44804</v>
      </c>
      <c r="BF164" s="79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</row>
    <row r="165" spans="1:69" x14ac:dyDescent="0.25">
      <c r="A165" s="70">
        <v>53</v>
      </c>
      <c r="B165" s="71" t="s">
        <v>215</v>
      </c>
      <c r="C165" s="71"/>
      <c r="D165" s="71" t="s">
        <v>115</v>
      </c>
      <c r="E165" s="71" t="s">
        <v>102</v>
      </c>
      <c r="F165" s="134" t="s">
        <v>216</v>
      </c>
      <c r="G165" s="71">
        <v>10951</v>
      </c>
      <c r="H165" s="71"/>
      <c r="I165" s="71"/>
      <c r="J165" s="71"/>
      <c r="K165" s="83" t="s">
        <v>217</v>
      </c>
      <c r="L165" s="134" t="s">
        <v>254</v>
      </c>
      <c r="M165" s="71" t="s">
        <v>279</v>
      </c>
      <c r="N165" s="73">
        <v>41246</v>
      </c>
      <c r="O165" s="151">
        <v>338000</v>
      </c>
      <c r="P165" s="71">
        <v>10733</v>
      </c>
      <c r="Q165" s="73">
        <v>40932</v>
      </c>
      <c r="R165" s="73">
        <v>41274</v>
      </c>
      <c r="S165" s="83" t="s">
        <v>565</v>
      </c>
      <c r="T165" s="71"/>
      <c r="U165" s="151"/>
      <c r="V165" s="151"/>
      <c r="W165" s="71" t="s">
        <v>106</v>
      </c>
      <c r="X165" s="75"/>
      <c r="Y165" s="75"/>
      <c r="Z165" s="79"/>
      <c r="AA165" s="77"/>
      <c r="AB165" s="75"/>
      <c r="AC165" s="79"/>
      <c r="AD165" s="79"/>
      <c r="AE165" s="78"/>
      <c r="AF165" s="79"/>
      <c r="AG165" s="2"/>
      <c r="AH165" s="2"/>
      <c r="AI165" s="76"/>
      <c r="AJ165" s="80"/>
      <c r="AK165" s="2"/>
      <c r="AL165" s="157">
        <f>$O$165-AH165+AG165+AK165</f>
        <v>338000</v>
      </c>
      <c r="AM165" s="163">
        <f>724404.33+271735.63+418438.39+217036.37+399158.46+211237.24+105613.62+70409.08+35204.54+211227.24+211224.3+211224.3+465370.08+496143.6</f>
        <v>4048427.18</v>
      </c>
      <c r="AN165" s="163">
        <f>360000</f>
        <v>360000</v>
      </c>
      <c r="AO165" s="163"/>
      <c r="AP165" s="163">
        <f>41345.3+41345.3</f>
        <v>82690.600000000006</v>
      </c>
      <c r="AQ165" s="163"/>
      <c r="AR165" s="7">
        <f>AQ165+AP165+AO165+AN165</f>
        <v>442690.6</v>
      </c>
      <c r="AS165" s="157">
        <f>AR165+AM165</f>
        <v>4491117.78</v>
      </c>
      <c r="AT165" s="83"/>
      <c r="AU165" s="74"/>
      <c r="AV165" s="74"/>
      <c r="AW165" s="70"/>
      <c r="AX165" s="71"/>
      <c r="AY165" s="81"/>
      <c r="AZ165" s="71" t="s">
        <v>128</v>
      </c>
      <c r="BA165" s="71" t="s">
        <v>246</v>
      </c>
      <c r="BB165" s="82">
        <v>10723</v>
      </c>
      <c r="BC165" s="73">
        <v>40932</v>
      </c>
      <c r="BD165" s="82">
        <v>10723</v>
      </c>
      <c r="BE165" s="73">
        <v>44220</v>
      </c>
      <c r="BF165" s="79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</row>
    <row r="166" spans="1:69" x14ac:dyDescent="0.25">
      <c r="A166" s="70"/>
      <c r="B166" s="71"/>
      <c r="C166" s="71"/>
      <c r="D166" s="71"/>
      <c r="E166" s="71"/>
      <c r="F166" s="134"/>
      <c r="G166" s="71"/>
      <c r="H166" s="71"/>
      <c r="I166" s="71"/>
      <c r="J166" s="71"/>
      <c r="K166" s="83"/>
      <c r="L166" s="134"/>
      <c r="M166" s="71"/>
      <c r="N166" s="71"/>
      <c r="O166" s="151"/>
      <c r="P166" s="71"/>
      <c r="Q166" s="73"/>
      <c r="R166" s="73"/>
      <c r="S166" s="83"/>
      <c r="T166" s="71"/>
      <c r="U166" s="151"/>
      <c r="V166" s="151"/>
      <c r="W166" s="71"/>
      <c r="X166" s="79" t="s">
        <v>173</v>
      </c>
      <c r="Y166" s="75" t="s">
        <v>187</v>
      </c>
      <c r="Z166" s="76">
        <v>41246</v>
      </c>
      <c r="AA166" s="77">
        <v>10951</v>
      </c>
      <c r="AB166" s="75" t="s">
        <v>130</v>
      </c>
      <c r="AC166" s="76">
        <v>41275</v>
      </c>
      <c r="AD166" s="76">
        <v>41639</v>
      </c>
      <c r="AE166" s="78"/>
      <c r="AF166" s="79"/>
      <c r="AG166" s="2"/>
      <c r="AH166" s="2"/>
      <c r="AI166" s="76"/>
      <c r="AJ166" s="80"/>
      <c r="AK166" s="2"/>
      <c r="AL166" s="157">
        <f t="shared" ref="AL166:AL183" si="17">$O$165-AH166+AG166+AK166</f>
        <v>338000</v>
      </c>
      <c r="AM166" s="163"/>
      <c r="AN166" s="163"/>
      <c r="AO166" s="163"/>
      <c r="AP166" s="163"/>
      <c r="AQ166" s="163"/>
      <c r="AR166" s="7"/>
      <c r="AS166" s="157"/>
      <c r="AT166" s="83"/>
      <c r="AU166" s="74"/>
      <c r="AV166" s="74"/>
      <c r="AW166" s="70"/>
      <c r="AX166" s="71"/>
      <c r="AY166" s="81"/>
      <c r="AZ166" s="71"/>
      <c r="BA166" s="71"/>
      <c r="BB166" s="82"/>
      <c r="BC166" s="73"/>
      <c r="BD166" s="82"/>
      <c r="BE166" s="73"/>
      <c r="BF166" s="79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</row>
    <row r="167" spans="1:69" ht="25.5" x14ac:dyDescent="0.25">
      <c r="A167" s="70"/>
      <c r="B167" s="71"/>
      <c r="C167" s="71"/>
      <c r="D167" s="71"/>
      <c r="E167" s="71"/>
      <c r="F167" s="134"/>
      <c r="G167" s="71"/>
      <c r="H167" s="71"/>
      <c r="I167" s="71"/>
      <c r="J167" s="71"/>
      <c r="K167" s="83"/>
      <c r="L167" s="134"/>
      <c r="M167" s="71"/>
      <c r="N167" s="71"/>
      <c r="O167" s="151"/>
      <c r="P167" s="71"/>
      <c r="Q167" s="73"/>
      <c r="R167" s="73"/>
      <c r="S167" s="83"/>
      <c r="T167" s="71"/>
      <c r="U167" s="151"/>
      <c r="V167" s="151"/>
      <c r="W167" s="71"/>
      <c r="X167" s="75" t="s">
        <v>185</v>
      </c>
      <c r="Y167" s="75" t="s">
        <v>218</v>
      </c>
      <c r="Z167" s="76">
        <v>41333</v>
      </c>
      <c r="AA167" s="77"/>
      <c r="AB167" s="75" t="s">
        <v>124</v>
      </c>
      <c r="AC167" s="76">
        <v>41298</v>
      </c>
      <c r="AD167" s="76">
        <v>41639</v>
      </c>
      <c r="AE167" s="78"/>
      <c r="AF167" s="79"/>
      <c r="AG167" s="2"/>
      <c r="AH167" s="2"/>
      <c r="AI167" s="76">
        <v>41298</v>
      </c>
      <c r="AJ167" s="78">
        <f>AK167/AL165</f>
        <v>7.8119319526627221E-2</v>
      </c>
      <c r="AK167" s="2">
        <v>26404.33</v>
      </c>
      <c r="AL167" s="157">
        <f t="shared" si="17"/>
        <v>364404.33</v>
      </c>
      <c r="AM167" s="163"/>
      <c r="AN167" s="163"/>
      <c r="AO167" s="163"/>
      <c r="AP167" s="163"/>
      <c r="AQ167" s="163"/>
      <c r="AR167" s="7"/>
      <c r="AS167" s="157"/>
      <c r="AT167" s="83"/>
      <c r="AU167" s="74"/>
      <c r="AV167" s="74"/>
      <c r="AW167" s="70"/>
      <c r="AX167" s="71"/>
      <c r="AY167" s="81"/>
      <c r="AZ167" s="71"/>
      <c r="BA167" s="71"/>
      <c r="BB167" s="82"/>
      <c r="BC167" s="73"/>
      <c r="BD167" s="82"/>
      <c r="BE167" s="73"/>
      <c r="BF167" s="79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</row>
    <row r="168" spans="1:69" x14ac:dyDescent="0.25">
      <c r="A168" s="70"/>
      <c r="B168" s="71"/>
      <c r="C168" s="71"/>
      <c r="D168" s="71"/>
      <c r="E168" s="71"/>
      <c r="F168" s="134"/>
      <c r="G168" s="71"/>
      <c r="H168" s="71"/>
      <c r="I168" s="71"/>
      <c r="J168" s="71"/>
      <c r="K168" s="83"/>
      <c r="L168" s="134"/>
      <c r="M168" s="71"/>
      <c r="N168" s="71"/>
      <c r="O168" s="151"/>
      <c r="P168" s="71"/>
      <c r="Q168" s="73"/>
      <c r="R168" s="73"/>
      <c r="S168" s="83"/>
      <c r="T168" s="71"/>
      <c r="U168" s="151"/>
      <c r="V168" s="151"/>
      <c r="W168" s="71"/>
      <c r="X168" s="79" t="s">
        <v>173</v>
      </c>
      <c r="Y168" s="75" t="s">
        <v>188</v>
      </c>
      <c r="Z168" s="76">
        <v>41631</v>
      </c>
      <c r="AA168" s="77">
        <v>11219</v>
      </c>
      <c r="AB168" s="75" t="s">
        <v>130</v>
      </c>
      <c r="AC168" s="76">
        <v>41640</v>
      </c>
      <c r="AD168" s="76">
        <v>42004</v>
      </c>
      <c r="AE168" s="78"/>
      <c r="AF168" s="79"/>
      <c r="AG168" s="2"/>
      <c r="AH168" s="2"/>
      <c r="AI168" s="76"/>
      <c r="AJ168" s="78"/>
      <c r="AK168" s="2"/>
      <c r="AL168" s="157">
        <f t="shared" si="17"/>
        <v>338000</v>
      </c>
      <c r="AM168" s="163"/>
      <c r="AN168" s="163"/>
      <c r="AO168" s="163"/>
      <c r="AP168" s="163"/>
      <c r="AQ168" s="163"/>
      <c r="AR168" s="7"/>
      <c r="AS168" s="157"/>
      <c r="AT168" s="83"/>
      <c r="AU168" s="74"/>
      <c r="AV168" s="74"/>
      <c r="AW168" s="70"/>
      <c r="AX168" s="71"/>
      <c r="AY168" s="81"/>
      <c r="AZ168" s="71"/>
      <c r="BA168" s="71"/>
      <c r="BB168" s="82"/>
      <c r="BC168" s="73"/>
      <c r="BD168" s="82"/>
      <c r="BE168" s="73"/>
      <c r="BF168" s="79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</row>
    <row r="169" spans="1:69" ht="25.5" x14ac:dyDescent="0.25">
      <c r="A169" s="70"/>
      <c r="B169" s="71"/>
      <c r="C169" s="71"/>
      <c r="D169" s="71"/>
      <c r="E169" s="71"/>
      <c r="F169" s="134"/>
      <c r="G169" s="71"/>
      <c r="H169" s="71"/>
      <c r="I169" s="71"/>
      <c r="J169" s="71"/>
      <c r="K169" s="83"/>
      <c r="L169" s="134"/>
      <c r="M169" s="71"/>
      <c r="N169" s="71"/>
      <c r="O169" s="151"/>
      <c r="P169" s="71"/>
      <c r="Q169" s="73"/>
      <c r="R169" s="73"/>
      <c r="S169" s="83"/>
      <c r="T169" s="71"/>
      <c r="U169" s="151"/>
      <c r="V169" s="151"/>
      <c r="W169" s="71"/>
      <c r="X169" s="75" t="s">
        <v>183</v>
      </c>
      <c r="Y169" s="75" t="s">
        <v>175</v>
      </c>
      <c r="Z169" s="76">
        <v>41738</v>
      </c>
      <c r="AA169" s="77">
        <v>11425</v>
      </c>
      <c r="AB169" s="75" t="s">
        <v>219</v>
      </c>
      <c r="AC169" s="76">
        <v>41640</v>
      </c>
      <c r="AD169" s="76">
        <v>42004</v>
      </c>
      <c r="AE169" s="78"/>
      <c r="AF169" s="79"/>
      <c r="AG169" s="2"/>
      <c r="AH169" s="2"/>
      <c r="AI169" s="76">
        <v>41663</v>
      </c>
      <c r="AJ169" s="78">
        <f>AK169/AL168</f>
        <v>5.9573343195266276E-2</v>
      </c>
      <c r="AK169" s="2">
        <v>20135.79</v>
      </c>
      <c r="AL169" s="157">
        <f t="shared" si="17"/>
        <v>358135.79</v>
      </c>
      <c r="AM169" s="163"/>
      <c r="AN169" s="163"/>
      <c r="AO169" s="163"/>
      <c r="AP169" s="163"/>
      <c r="AQ169" s="163"/>
      <c r="AR169" s="7"/>
      <c r="AS169" s="157"/>
      <c r="AT169" s="83"/>
      <c r="AU169" s="74"/>
      <c r="AV169" s="74"/>
      <c r="AW169" s="70"/>
      <c r="AX169" s="71"/>
      <c r="AY169" s="81"/>
      <c r="AZ169" s="71"/>
      <c r="BA169" s="71"/>
      <c r="BB169" s="82"/>
      <c r="BC169" s="73"/>
      <c r="BD169" s="82"/>
      <c r="BE169" s="73"/>
      <c r="BF169" s="79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</row>
    <row r="170" spans="1:69" x14ac:dyDescent="0.25">
      <c r="A170" s="70"/>
      <c r="B170" s="71"/>
      <c r="C170" s="71"/>
      <c r="D170" s="71"/>
      <c r="E170" s="71"/>
      <c r="F170" s="134"/>
      <c r="G170" s="71"/>
      <c r="H170" s="71"/>
      <c r="I170" s="71"/>
      <c r="J170" s="71"/>
      <c r="K170" s="83"/>
      <c r="L170" s="134"/>
      <c r="M170" s="71"/>
      <c r="N170" s="71"/>
      <c r="O170" s="151"/>
      <c r="P170" s="71"/>
      <c r="Q170" s="73"/>
      <c r="R170" s="73"/>
      <c r="S170" s="83"/>
      <c r="T170" s="71"/>
      <c r="U170" s="151"/>
      <c r="V170" s="151"/>
      <c r="W170" s="71"/>
      <c r="X170" s="79" t="s">
        <v>173</v>
      </c>
      <c r="Y170" s="75" t="s">
        <v>176</v>
      </c>
      <c r="Z170" s="76">
        <v>42003</v>
      </c>
      <c r="AA170" s="77">
        <v>11485</v>
      </c>
      <c r="AB170" s="75" t="s">
        <v>130</v>
      </c>
      <c r="AC170" s="76">
        <v>42005</v>
      </c>
      <c r="AD170" s="76">
        <v>42369</v>
      </c>
      <c r="AE170" s="78"/>
      <c r="AF170" s="79"/>
      <c r="AG170" s="2"/>
      <c r="AH170" s="2"/>
      <c r="AI170" s="76"/>
      <c r="AJ170" s="78"/>
      <c r="AK170" s="2"/>
      <c r="AL170" s="157">
        <f t="shared" si="17"/>
        <v>338000</v>
      </c>
      <c r="AM170" s="163"/>
      <c r="AN170" s="163"/>
      <c r="AO170" s="163"/>
      <c r="AP170" s="163"/>
      <c r="AQ170" s="163"/>
      <c r="AR170" s="7"/>
      <c r="AS170" s="157"/>
      <c r="AT170" s="83"/>
      <c r="AU170" s="74"/>
      <c r="AV170" s="74"/>
      <c r="AW170" s="70"/>
      <c r="AX170" s="71"/>
      <c r="AY170" s="81"/>
      <c r="AZ170" s="71"/>
      <c r="BA170" s="71"/>
      <c r="BB170" s="82"/>
      <c r="BC170" s="73"/>
      <c r="BD170" s="82"/>
      <c r="BE170" s="73"/>
      <c r="BF170" s="79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</row>
    <row r="171" spans="1:69" ht="25.5" x14ac:dyDescent="0.25">
      <c r="A171" s="70"/>
      <c r="B171" s="71"/>
      <c r="C171" s="71"/>
      <c r="D171" s="71"/>
      <c r="E171" s="71"/>
      <c r="F171" s="134"/>
      <c r="G171" s="71"/>
      <c r="H171" s="71"/>
      <c r="I171" s="71"/>
      <c r="J171" s="71"/>
      <c r="K171" s="83"/>
      <c r="L171" s="134"/>
      <c r="M171" s="71"/>
      <c r="N171" s="71"/>
      <c r="O171" s="151"/>
      <c r="P171" s="71"/>
      <c r="Q171" s="73"/>
      <c r="R171" s="73"/>
      <c r="S171" s="83"/>
      <c r="T171" s="71"/>
      <c r="U171" s="151"/>
      <c r="V171" s="151"/>
      <c r="W171" s="71"/>
      <c r="X171" s="75" t="s">
        <v>183</v>
      </c>
      <c r="Y171" s="75" t="s">
        <v>176</v>
      </c>
      <c r="Z171" s="76">
        <v>42040</v>
      </c>
      <c r="AA171" s="77">
        <v>11493</v>
      </c>
      <c r="AB171" s="75" t="s">
        <v>219</v>
      </c>
      <c r="AC171" s="76">
        <v>42005</v>
      </c>
      <c r="AD171" s="76">
        <v>42369</v>
      </c>
      <c r="AE171" s="78"/>
      <c r="AF171" s="79"/>
      <c r="AG171" s="2"/>
      <c r="AH171" s="2"/>
      <c r="AI171" s="76">
        <v>42028</v>
      </c>
      <c r="AJ171" s="78">
        <f>AK171/AL165</f>
        <v>4.1808994082840237E-2</v>
      </c>
      <c r="AK171" s="2">
        <v>14131.44</v>
      </c>
      <c r="AL171" s="157">
        <f t="shared" si="17"/>
        <v>352131.44</v>
      </c>
      <c r="AM171" s="163"/>
      <c r="AN171" s="163"/>
      <c r="AO171" s="163"/>
      <c r="AP171" s="163"/>
      <c r="AQ171" s="163"/>
      <c r="AR171" s="7"/>
      <c r="AS171" s="157"/>
      <c r="AT171" s="83"/>
      <c r="AU171" s="74"/>
      <c r="AV171" s="74"/>
      <c r="AW171" s="70"/>
      <c r="AX171" s="71"/>
      <c r="AY171" s="81"/>
      <c r="AZ171" s="71"/>
      <c r="BA171" s="71"/>
      <c r="BB171" s="82"/>
      <c r="BC171" s="73"/>
      <c r="BD171" s="82"/>
      <c r="BE171" s="73"/>
      <c r="BF171" s="79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</row>
    <row r="172" spans="1:69" x14ac:dyDescent="0.25">
      <c r="A172" s="70"/>
      <c r="B172" s="71"/>
      <c r="C172" s="71"/>
      <c r="D172" s="71"/>
      <c r="E172" s="71"/>
      <c r="F172" s="134"/>
      <c r="G172" s="71"/>
      <c r="H172" s="71"/>
      <c r="I172" s="71"/>
      <c r="J172" s="71"/>
      <c r="K172" s="83"/>
      <c r="L172" s="134"/>
      <c r="M172" s="71"/>
      <c r="N172" s="71"/>
      <c r="O172" s="151"/>
      <c r="P172" s="71"/>
      <c r="Q172" s="73"/>
      <c r="R172" s="73"/>
      <c r="S172" s="83"/>
      <c r="T172" s="71"/>
      <c r="U172" s="151"/>
      <c r="V172" s="151"/>
      <c r="W172" s="71"/>
      <c r="X172" s="79" t="s">
        <v>173</v>
      </c>
      <c r="Y172" s="75" t="s">
        <v>195</v>
      </c>
      <c r="Z172" s="76">
        <v>42360</v>
      </c>
      <c r="AA172" s="77">
        <v>11719</v>
      </c>
      <c r="AB172" s="75" t="s">
        <v>130</v>
      </c>
      <c r="AC172" s="76">
        <v>42370</v>
      </c>
      <c r="AD172" s="76">
        <v>42735</v>
      </c>
      <c r="AE172" s="78"/>
      <c r="AF172" s="79"/>
      <c r="AG172" s="2"/>
      <c r="AH172" s="2"/>
      <c r="AI172" s="78"/>
      <c r="AJ172" s="78"/>
      <c r="AK172" s="2">
        <v>35385.050000000003</v>
      </c>
      <c r="AL172" s="157">
        <f t="shared" si="17"/>
        <v>373385.05</v>
      </c>
      <c r="AM172" s="163"/>
      <c r="AN172" s="163"/>
      <c r="AO172" s="163"/>
      <c r="AP172" s="163"/>
      <c r="AQ172" s="163"/>
      <c r="AR172" s="7"/>
      <c r="AS172" s="157"/>
      <c r="AT172" s="83"/>
      <c r="AU172" s="74"/>
      <c r="AV172" s="74"/>
      <c r="AW172" s="70"/>
      <c r="AX172" s="71"/>
      <c r="AY172" s="81"/>
      <c r="AZ172" s="71"/>
      <c r="BA172" s="71"/>
      <c r="BB172" s="82"/>
      <c r="BC172" s="73"/>
      <c r="BD172" s="82"/>
      <c r="BE172" s="73"/>
      <c r="BF172" s="79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</row>
    <row r="173" spans="1:69" ht="25.5" x14ac:dyDescent="0.25">
      <c r="A173" s="70"/>
      <c r="B173" s="71"/>
      <c r="C173" s="71"/>
      <c r="D173" s="71"/>
      <c r="E173" s="71"/>
      <c r="F173" s="134"/>
      <c r="G173" s="71"/>
      <c r="H173" s="71"/>
      <c r="I173" s="71"/>
      <c r="J173" s="71"/>
      <c r="K173" s="83"/>
      <c r="L173" s="134"/>
      <c r="M173" s="71"/>
      <c r="N173" s="71"/>
      <c r="O173" s="151"/>
      <c r="P173" s="71"/>
      <c r="Q173" s="73"/>
      <c r="R173" s="73"/>
      <c r="S173" s="83"/>
      <c r="T173" s="71"/>
      <c r="U173" s="151"/>
      <c r="V173" s="151"/>
      <c r="W173" s="71"/>
      <c r="X173" s="75" t="s">
        <v>183</v>
      </c>
      <c r="Y173" s="75" t="s">
        <v>189</v>
      </c>
      <c r="Z173" s="76">
        <v>42393</v>
      </c>
      <c r="AA173" s="77">
        <v>11741</v>
      </c>
      <c r="AB173" s="75" t="s">
        <v>219</v>
      </c>
      <c r="AC173" s="76">
        <v>42393</v>
      </c>
      <c r="AD173" s="76">
        <v>42735</v>
      </c>
      <c r="AE173" s="78"/>
      <c r="AF173" s="79"/>
      <c r="AG173" s="2"/>
      <c r="AH173" s="2"/>
      <c r="AI173" s="76">
        <v>42028</v>
      </c>
      <c r="AJ173" s="78">
        <f>AK173/AL172</f>
        <v>0.11258396660498325</v>
      </c>
      <c r="AK173" s="2">
        <v>42037.17</v>
      </c>
      <c r="AL173" s="157">
        <f t="shared" si="17"/>
        <v>380037.17</v>
      </c>
      <c r="AM173" s="163"/>
      <c r="AN173" s="163"/>
      <c r="AO173" s="163"/>
      <c r="AP173" s="163"/>
      <c r="AQ173" s="163"/>
      <c r="AR173" s="7"/>
      <c r="AS173" s="157"/>
      <c r="AT173" s="83"/>
      <c r="AU173" s="74"/>
      <c r="AV173" s="74"/>
      <c r="AW173" s="70"/>
      <c r="AX173" s="71"/>
      <c r="AY173" s="81"/>
      <c r="AZ173" s="71"/>
      <c r="BA173" s="71"/>
      <c r="BB173" s="82"/>
      <c r="BC173" s="73"/>
      <c r="BD173" s="82"/>
      <c r="BE173" s="73"/>
      <c r="BF173" s="79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</row>
    <row r="174" spans="1:69" x14ac:dyDescent="0.25">
      <c r="A174" s="70"/>
      <c r="B174" s="71"/>
      <c r="C174" s="71"/>
      <c r="D174" s="71"/>
      <c r="E174" s="71"/>
      <c r="F174" s="134"/>
      <c r="G174" s="71"/>
      <c r="H174" s="71"/>
      <c r="I174" s="71"/>
      <c r="J174" s="71"/>
      <c r="K174" s="83"/>
      <c r="L174" s="134"/>
      <c r="M174" s="71"/>
      <c r="N174" s="71"/>
      <c r="O174" s="151"/>
      <c r="P174" s="71"/>
      <c r="Q174" s="73"/>
      <c r="R174" s="73"/>
      <c r="S174" s="83"/>
      <c r="T174" s="71"/>
      <c r="U174" s="151"/>
      <c r="V174" s="151"/>
      <c r="W174" s="71"/>
      <c r="X174" s="79" t="s">
        <v>173</v>
      </c>
      <c r="Y174" s="75" t="s">
        <v>194</v>
      </c>
      <c r="Z174" s="76">
        <v>42733</v>
      </c>
      <c r="AA174" s="77">
        <v>11984</v>
      </c>
      <c r="AB174" s="75" t="s">
        <v>220</v>
      </c>
      <c r="AC174" s="76">
        <v>42736</v>
      </c>
      <c r="AD174" s="76">
        <v>42916</v>
      </c>
      <c r="AE174" s="78"/>
      <c r="AF174" s="79"/>
      <c r="AG174" s="2"/>
      <c r="AH174" s="2"/>
      <c r="AI174" s="76"/>
      <c r="AJ174" s="78"/>
      <c r="AK174" s="2"/>
      <c r="AL174" s="157">
        <f t="shared" si="17"/>
        <v>338000</v>
      </c>
      <c r="AM174" s="163"/>
      <c r="AN174" s="163"/>
      <c r="AO174" s="163"/>
      <c r="AP174" s="163"/>
      <c r="AQ174" s="163"/>
      <c r="AR174" s="7"/>
      <c r="AS174" s="157"/>
      <c r="AT174" s="83"/>
      <c r="AU174" s="74"/>
      <c r="AV174" s="74"/>
      <c r="AW174" s="70"/>
      <c r="AX174" s="71"/>
      <c r="AY174" s="81"/>
      <c r="AZ174" s="71"/>
      <c r="BA174" s="71"/>
      <c r="BB174" s="82"/>
      <c r="BC174" s="73"/>
      <c r="BD174" s="82"/>
      <c r="BE174" s="73"/>
      <c r="BF174" s="79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</row>
    <row r="175" spans="1:69" x14ac:dyDescent="0.25">
      <c r="A175" s="70"/>
      <c r="B175" s="71"/>
      <c r="C175" s="71"/>
      <c r="D175" s="71"/>
      <c r="E175" s="71"/>
      <c r="F175" s="134"/>
      <c r="G175" s="71"/>
      <c r="H175" s="71"/>
      <c r="I175" s="71"/>
      <c r="J175" s="71"/>
      <c r="K175" s="83"/>
      <c r="L175" s="134"/>
      <c r="M175" s="71"/>
      <c r="N175" s="71"/>
      <c r="O175" s="151"/>
      <c r="P175" s="71"/>
      <c r="Q175" s="73"/>
      <c r="R175" s="73"/>
      <c r="S175" s="83"/>
      <c r="T175" s="71"/>
      <c r="U175" s="151"/>
      <c r="V175" s="151"/>
      <c r="W175" s="71"/>
      <c r="X175" s="79" t="s">
        <v>173</v>
      </c>
      <c r="Y175" s="75" t="s">
        <v>178</v>
      </c>
      <c r="Z175" s="76">
        <v>42905</v>
      </c>
      <c r="AA175" s="77">
        <v>12115</v>
      </c>
      <c r="AB175" s="75" t="s">
        <v>220</v>
      </c>
      <c r="AC175" s="76">
        <v>42917</v>
      </c>
      <c r="AD175" s="76">
        <v>43100</v>
      </c>
      <c r="AE175" s="78"/>
      <c r="AF175" s="79"/>
      <c r="AG175" s="2"/>
      <c r="AH175" s="2"/>
      <c r="AI175" s="76"/>
      <c r="AJ175" s="78"/>
      <c r="AK175" s="2"/>
      <c r="AL175" s="157">
        <f t="shared" si="17"/>
        <v>338000</v>
      </c>
      <c r="AM175" s="163"/>
      <c r="AN175" s="163"/>
      <c r="AO175" s="163"/>
      <c r="AP175" s="163"/>
      <c r="AQ175" s="163"/>
      <c r="AR175" s="7"/>
      <c r="AS175" s="157"/>
      <c r="AT175" s="83"/>
      <c r="AU175" s="74"/>
      <c r="AV175" s="74"/>
      <c r="AW175" s="70"/>
      <c r="AX175" s="71"/>
      <c r="AY175" s="81"/>
      <c r="AZ175" s="71"/>
      <c r="BA175" s="71"/>
      <c r="BB175" s="82"/>
      <c r="BC175" s="73"/>
      <c r="BD175" s="82"/>
      <c r="BE175" s="73"/>
      <c r="BF175" s="79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</row>
    <row r="176" spans="1:69" x14ac:dyDescent="0.25">
      <c r="A176" s="70"/>
      <c r="B176" s="71"/>
      <c r="C176" s="71"/>
      <c r="D176" s="71"/>
      <c r="E176" s="71"/>
      <c r="F176" s="134"/>
      <c r="G176" s="71"/>
      <c r="H176" s="71"/>
      <c r="I176" s="71"/>
      <c r="J176" s="71"/>
      <c r="K176" s="83"/>
      <c r="L176" s="134"/>
      <c r="M176" s="71"/>
      <c r="N176" s="71"/>
      <c r="O176" s="151"/>
      <c r="P176" s="71"/>
      <c r="Q176" s="73"/>
      <c r="R176" s="73"/>
      <c r="S176" s="83"/>
      <c r="T176" s="71"/>
      <c r="U176" s="151"/>
      <c r="V176" s="151"/>
      <c r="W176" s="71"/>
      <c r="X176" s="79" t="s">
        <v>173</v>
      </c>
      <c r="Y176" s="75" t="s">
        <v>193</v>
      </c>
      <c r="Z176" s="76">
        <v>43096</v>
      </c>
      <c r="AA176" s="77">
        <v>12214</v>
      </c>
      <c r="AB176" s="75" t="s">
        <v>130</v>
      </c>
      <c r="AC176" s="76">
        <v>43101</v>
      </c>
      <c r="AD176" s="76">
        <v>43465</v>
      </c>
      <c r="AE176" s="78"/>
      <c r="AF176" s="79"/>
      <c r="AG176" s="2"/>
      <c r="AH176" s="2"/>
      <c r="AI176" s="76"/>
      <c r="AJ176" s="78"/>
      <c r="AK176" s="2"/>
      <c r="AL176" s="157">
        <f t="shared" si="17"/>
        <v>338000</v>
      </c>
      <c r="AM176" s="163"/>
      <c r="AN176" s="163"/>
      <c r="AO176" s="163"/>
      <c r="AP176" s="163"/>
      <c r="AQ176" s="163"/>
      <c r="AR176" s="7"/>
      <c r="AS176" s="157"/>
      <c r="AT176" s="83"/>
      <c r="AU176" s="74"/>
      <c r="AV176" s="74"/>
      <c r="AW176" s="70"/>
      <c r="AX176" s="71"/>
      <c r="AY176" s="81"/>
      <c r="AZ176" s="71"/>
      <c r="BA176" s="71"/>
      <c r="BB176" s="82"/>
      <c r="BC176" s="73"/>
      <c r="BD176" s="82"/>
      <c r="BE176" s="73"/>
      <c r="BF176" s="79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</row>
    <row r="177" spans="1:69" x14ac:dyDescent="0.25">
      <c r="A177" s="70"/>
      <c r="B177" s="71"/>
      <c r="C177" s="71"/>
      <c r="D177" s="71"/>
      <c r="E177" s="71"/>
      <c r="F177" s="134"/>
      <c r="G177" s="71"/>
      <c r="H177" s="71"/>
      <c r="I177" s="71"/>
      <c r="J177" s="71"/>
      <c r="K177" s="83"/>
      <c r="L177" s="134"/>
      <c r="M177" s="71"/>
      <c r="N177" s="71"/>
      <c r="O177" s="151"/>
      <c r="P177" s="71"/>
      <c r="Q177" s="73"/>
      <c r="R177" s="73"/>
      <c r="S177" s="83"/>
      <c r="T177" s="71"/>
      <c r="U177" s="151"/>
      <c r="V177" s="151"/>
      <c r="W177" s="71"/>
      <c r="X177" s="79" t="s">
        <v>173</v>
      </c>
      <c r="Y177" s="75" t="s">
        <v>221</v>
      </c>
      <c r="Z177" s="76">
        <v>43460</v>
      </c>
      <c r="AA177" s="77">
        <v>12460</v>
      </c>
      <c r="AB177" s="75" t="s">
        <v>130</v>
      </c>
      <c r="AC177" s="76">
        <v>43466</v>
      </c>
      <c r="AD177" s="76">
        <v>43830</v>
      </c>
      <c r="AE177" s="78"/>
      <c r="AF177" s="79"/>
      <c r="AG177" s="2"/>
      <c r="AH177" s="2"/>
      <c r="AI177" s="76"/>
      <c r="AJ177" s="78"/>
      <c r="AK177" s="2"/>
      <c r="AL177" s="157">
        <f t="shared" si="17"/>
        <v>338000</v>
      </c>
      <c r="AM177" s="157"/>
      <c r="AN177" s="157"/>
      <c r="AO177" s="157"/>
      <c r="AP177" s="157"/>
      <c r="AQ177" s="157"/>
      <c r="AR177" s="7"/>
      <c r="AS177" s="157"/>
      <c r="AT177" s="83"/>
      <c r="AU177" s="74"/>
      <c r="AV177" s="74"/>
      <c r="AW177" s="70"/>
      <c r="AX177" s="71"/>
      <c r="AY177" s="81"/>
      <c r="AZ177" s="71"/>
      <c r="BA177" s="71"/>
      <c r="BB177" s="82"/>
      <c r="BC177" s="73"/>
      <c r="BD177" s="82"/>
      <c r="BE177" s="73"/>
      <c r="BF177" s="79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</row>
    <row r="178" spans="1:69" ht="25.5" x14ac:dyDescent="0.25">
      <c r="A178" s="70"/>
      <c r="B178" s="71"/>
      <c r="C178" s="71"/>
      <c r="D178" s="71"/>
      <c r="E178" s="71"/>
      <c r="F178" s="134"/>
      <c r="G178" s="71"/>
      <c r="H178" s="71"/>
      <c r="I178" s="71"/>
      <c r="J178" s="71"/>
      <c r="K178" s="83"/>
      <c r="L178" s="134"/>
      <c r="M178" s="71"/>
      <c r="N178" s="71"/>
      <c r="O178" s="151"/>
      <c r="P178" s="71"/>
      <c r="Q178" s="73"/>
      <c r="R178" s="73"/>
      <c r="S178" s="83"/>
      <c r="T178" s="71"/>
      <c r="U178" s="151"/>
      <c r="V178" s="151"/>
      <c r="W178" s="71"/>
      <c r="X178" s="79" t="s">
        <v>173</v>
      </c>
      <c r="Y178" s="75" t="s">
        <v>244</v>
      </c>
      <c r="Z178" s="76">
        <v>43788</v>
      </c>
      <c r="AA178" s="77">
        <v>12694</v>
      </c>
      <c r="AB178" s="75" t="s">
        <v>278</v>
      </c>
      <c r="AC178" s="76">
        <v>43466</v>
      </c>
      <c r="AD178" s="76">
        <v>43830</v>
      </c>
      <c r="AE178" s="78"/>
      <c r="AF178" s="79"/>
      <c r="AG178" s="2"/>
      <c r="AH178" s="2"/>
      <c r="AI178" s="76"/>
      <c r="AJ178" s="78"/>
      <c r="AK178" s="2"/>
      <c r="AL178" s="157">
        <f t="shared" si="17"/>
        <v>338000</v>
      </c>
      <c r="AM178" s="157"/>
      <c r="AN178" s="157"/>
      <c r="AO178" s="157"/>
      <c r="AP178" s="157"/>
      <c r="AQ178" s="157"/>
      <c r="AR178" s="7"/>
      <c r="AS178" s="157"/>
      <c r="AT178" s="83"/>
      <c r="AU178" s="74"/>
      <c r="AV178" s="74"/>
      <c r="AW178" s="70"/>
      <c r="AX178" s="71"/>
      <c r="AY178" s="81"/>
      <c r="AZ178" s="71"/>
      <c r="BA178" s="71"/>
      <c r="BB178" s="82"/>
      <c r="BC178" s="73"/>
      <c r="BD178" s="82"/>
      <c r="BE178" s="73"/>
      <c r="BF178" s="79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</row>
    <row r="179" spans="1:69" x14ac:dyDescent="0.25">
      <c r="A179" s="70"/>
      <c r="B179" s="71"/>
      <c r="C179" s="71"/>
      <c r="D179" s="71"/>
      <c r="E179" s="71"/>
      <c r="F179" s="134"/>
      <c r="G179" s="71"/>
      <c r="H179" s="71"/>
      <c r="I179" s="71"/>
      <c r="J179" s="71"/>
      <c r="K179" s="83"/>
      <c r="L179" s="134"/>
      <c r="M179" s="71"/>
      <c r="N179" s="71"/>
      <c r="O179" s="151"/>
      <c r="P179" s="71"/>
      <c r="Q179" s="73"/>
      <c r="R179" s="73"/>
      <c r="S179" s="83"/>
      <c r="T179" s="71"/>
      <c r="U179" s="151"/>
      <c r="V179" s="151"/>
      <c r="W179" s="71"/>
      <c r="X179" s="79" t="s">
        <v>173</v>
      </c>
      <c r="Y179" s="75" t="s">
        <v>276</v>
      </c>
      <c r="Z179" s="76">
        <v>43818</v>
      </c>
      <c r="AA179" s="77">
        <v>12720</v>
      </c>
      <c r="AB179" s="75" t="s">
        <v>130</v>
      </c>
      <c r="AC179" s="76">
        <v>43831</v>
      </c>
      <c r="AD179" s="76">
        <v>44196</v>
      </c>
      <c r="AE179" s="78"/>
      <c r="AF179" s="79"/>
      <c r="AG179" s="2"/>
      <c r="AH179" s="2"/>
      <c r="AI179" s="76"/>
      <c r="AJ179" s="78"/>
      <c r="AK179" s="2"/>
      <c r="AL179" s="157">
        <f t="shared" si="17"/>
        <v>338000</v>
      </c>
      <c r="AM179" s="157"/>
      <c r="AN179" s="157"/>
      <c r="AO179" s="157"/>
      <c r="AP179" s="157"/>
      <c r="AQ179" s="157"/>
      <c r="AR179" s="7"/>
      <c r="AS179" s="157"/>
      <c r="AT179" s="83"/>
      <c r="AU179" s="74"/>
      <c r="AV179" s="74"/>
      <c r="AW179" s="70"/>
      <c r="AX179" s="71"/>
      <c r="AY179" s="81"/>
      <c r="AZ179" s="71"/>
      <c r="BA179" s="71"/>
      <c r="BB179" s="82"/>
      <c r="BC179" s="73"/>
      <c r="BD179" s="82"/>
      <c r="BE179" s="73"/>
      <c r="BF179" s="79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</row>
    <row r="180" spans="1:69" x14ac:dyDescent="0.25">
      <c r="A180" s="70"/>
      <c r="B180" s="71"/>
      <c r="C180" s="71"/>
      <c r="D180" s="71"/>
      <c r="E180" s="71"/>
      <c r="F180" s="134"/>
      <c r="G180" s="71"/>
      <c r="H180" s="71"/>
      <c r="I180" s="71"/>
      <c r="J180" s="71"/>
      <c r="K180" s="83"/>
      <c r="L180" s="134"/>
      <c r="M180" s="71"/>
      <c r="N180" s="71"/>
      <c r="O180" s="151"/>
      <c r="P180" s="71"/>
      <c r="Q180" s="73"/>
      <c r="R180" s="73"/>
      <c r="S180" s="83"/>
      <c r="T180" s="71"/>
      <c r="U180" s="151"/>
      <c r="V180" s="151"/>
      <c r="W180" s="71"/>
      <c r="X180" s="79" t="s">
        <v>173</v>
      </c>
      <c r="Y180" s="75" t="s">
        <v>306</v>
      </c>
      <c r="Z180" s="76">
        <v>44182</v>
      </c>
      <c r="AA180" s="77">
        <v>12947</v>
      </c>
      <c r="AB180" s="75" t="s">
        <v>130</v>
      </c>
      <c r="AC180" s="76">
        <v>44197</v>
      </c>
      <c r="AD180" s="76">
        <v>44561</v>
      </c>
      <c r="AE180" s="78"/>
      <c r="AF180" s="79"/>
      <c r="AG180" s="2"/>
      <c r="AH180" s="2"/>
      <c r="AI180" s="76"/>
      <c r="AJ180" s="78"/>
      <c r="AK180" s="2"/>
      <c r="AL180" s="157">
        <f t="shared" si="17"/>
        <v>338000</v>
      </c>
      <c r="AM180" s="157"/>
      <c r="AN180" s="157"/>
      <c r="AO180" s="157"/>
      <c r="AP180" s="157"/>
      <c r="AQ180" s="157"/>
      <c r="AR180" s="7"/>
      <c r="AS180" s="157"/>
      <c r="AT180" s="83"/>
      <c r="AU180" s="74"/>
      <c r="AV180" s="74"/>
      <c r="AW180" s="70"/>
      <c r="AX180" s="71"/>
      <c r="AY180" s="81"/>
      <c r="AZ180" s="71"/>
      <c r="BA180" s="71"/>
      <c r="BB180" s="82"/>
      <c r="BC180" s="73"/>
      <c r="BD180" s="82"/>
      <c r="BE180" s="73"/>
      <c r="BF180" s="79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</row>
    <row r="181" spans="1:69" x14ac:dyDescent="0.25">
      <c r="A181" s="70"/>
      <c r="B181" s="71"/>
      <c r="C181" s="71"/>
      <c r="D181" s="71"/>
      <c r="E181" s="71"/>
      <c r="F181" s="134"/>
      <c r="G181" s="71"/>
      <c r="H181" s="71"/>
      <c r="I181" s="71"/>
      <c r="J181" s="71"/>
      <c r="K181" s="83"/>
      <c r="L181" s="134"/>
      <c r="M181" s="71"/>
      <c r="N181" s="71"/>
      <c r="O181" s="151"/>
      <c r="P181" s="71"/>
      <c r="Q181" s="73"/>
      <c r="R181" s="73"/>
      <c r="S181" s="83"/>
      <c r="T181" s="71"/>
      <c r="U181" s="151"/>
      <c r="V181" s="151"/>
      <c r="W181" s="71"/>
      <c r="X181" s="79" t="s">
        <v>173</v>
      </c>
      <c r="Y181" s="75" t="s">
        <v>345</v>
      </c>
      <c r="Z181" s="76">
        <v>44544</v>
      </c>
      <c r="AA181" s="77">
        <v>13238</v>
      </c>
      <c r="AB181" s="75" t="s">
        <v>322</v>
      </c>
      <c r="AC181" s="75" t="s">
        <v>370</v>
      </c>
      <c r="AD181" s="75" t="s">
        <v>371</v>
      </c>
      <c r="AE181" s="78"/>
      <c r="AF181" s="79"/>
      <c r="AG181" s="2"/>
      <c r="AH181" s="2"/>
      <c r="AI181" s="76"/>
      <c r="AJ181" s="78"/>
      <c r="AK181" s="2"/>
      <c r="AL181" s="157">
        <f t="shared" si="17"/>
        <v>338000</v>
      </c>
      <c r="AM181" s="157"/>
      <c r="AN181" s="157"/>
      <c r="AO181" s="157"/>
      <c r="AP181" s="157"/>
      <c r="AQ181" s="157"/>
      <c r="AR181" s="7"/>
      <c r="AS181" s="157"/>
      <c r="AT181" s="83"/>
      <c r="AU181" s="74"/>
      <c r="AV181" s="74"/>
      <c r="AW181" s="70"/>
      <c r="AX181" s="71"/>
      <c r="AY181" s="81"/>
      <c r="AZ181" s="71"/>
      <c r="BA181" s="71"/>
      <c r="BB181" s="82"/>
      <c r="BC181" s="73"/>
      <c r="BD181" s="82"/>
      <c r="BE181" s="73"/>
      <c r="BF181" s="79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</row>
    <row r="182" spans="1:69" ht="25.5" x14ac:dyDescent="0.25">
      <c r="A182" s="70"/>
      <c r="B182" s="71"/>
      <c r="C182" s="71"/>
      <c r="D182" s="71"/>
      <c r="E182" s="71"/>
      <c r="F182" s="134"/>
      <c r="G182" s="71"/>
      <c r="H182" s="71"/>
      <c r="I182" s="71"/>
      <c r="J182" s="71"/>
      <c r="K182" s="83"/>
      <c r="L182" s="134"/>
      <c r="M182" s="71"/>
      <c r="N182" s="71"/>
      <c r="O182" s="151"/>
      <c r="P182" s="71"/>
      <c r="Q182" s="73"/>
      <c r="R182" s="73"/>
      <c r="S182" s="83"/>
      <c r="T182" s="71"/>
      <c r="U182" s="151"/>
      <c r="V182" s="151"/>
      <c r="W182" s="71"/>
      <c r="X182" s="79" t="s">
        <v>173</v>
      </c>
      <c r="Y182" s="75" t="s">
        <v>425</v>
      </c>
      <c r="Z182" s="76">
        <v>44921</v>
      </c>
      <c r="AA182" s="77">
        <v>13445</v>
      </c>
      <c r="AB182" s="75" t="s">
        <v>462</v>
      </c>
      <c r="AC182" s="75" t="s">
        <v>418</v>
      </c>
      <c r="AD182" s="75" t="s">
        <v>419</v>
      </c>
      <c r="AE182" s="78">
        <f>AG182/AL181</f>
        <v>9.1045917159763318E-2</v>
      </c>
      <c r="AF182" s="79"/>
      <c r="AG182" s="2">
        <v>30773.52</v>
      </c>
      <c r="AH182" s="2"/>
      <c r="AI182" s="76"/>
      <c r="AJ182" s="78"/>
      <c r="AK182" s="2"/>
      <c r="AL182" s="157">
        <f t="shared" si="17"/>
        <v>368773.52</v>
      </c>
      <c r="AM182" s="157"/>
      <c r="AN182" s="157"/>
      <c r="AO182" s="157"/>
      <c r="AP182" s="157"/>
      <c r="AQ182" s="157"/>
      <c r="AR182" s="7"/>
      <c r="AS182" s="157"/>
      <c r="AT182" s="83"/>
      <c r="AU182" s="74"/>
      <c r="AV182" s="74"/>
      <c r="AW182" s="70"/>
      <c r="AX182" s="71"/>
      <c r="AY182" s="81"/>
      <c r="AZ182" s="71"/>
      <c r="BA182" s="71"/>
      <c r="BB182" s="82"/>
      <c r="BC182" s="73"/>
      <c r="BD182" s="82"/>
      <c r="BE182" s="73"/>
      <c r="BF182" s="79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</row>
    <row r="183" spans="1:69" x14ac:dyDescent="0.25">
      <c r="A183" s="70"/>
      <c r="B183" s="71"/>
      <c r="C183" s="71"/>
      <c r="D183" s="71"/>
      <c r="E183" s="71"/>
      <c r="F183" s="134"/>
      <c r="G183" s="71"/>
      <c r="H183" s="71"/>
      <c r="I183" s="71"/>
      <c r="J183" s="71"/>
      <c r="K183" s="83"/>
      <c r="L183" s="134"/>
      <c r="M183" s="71"/>
      <c r="N183" s="71"/>
      <c r="O183" s="151"/>
      <c r="P183" s="71"/>
      <c r="Q183" s="73"/>
      <c r="R183" s="73"/>
      <c r="S183" s="83"/>
      <c r="T183" s="71"/>
      <c r="U183" s="151"/>
      <c r="V183" s="151"/>
      <c r="W183" s="71"/>
      <c r="X183" s="79" t="s">
        <v>545</v>
      </c>
      <c r="Y183" s="75" t="s">
        <v>426</v>
      </c>
      <c r="Z183" s="76">
        <v>45281</v>
      </c>
      <c r="AA183" s="77">
        <v>13691</v>
      </c>
      <c r="AB183" s="75" t="s">
        <v>544</v>
      </c>
      <c r="AC183" s="76">
        <v>45292</v>
      </c>
      <c r="AD183" s="76">
        <v>45473</v>
      </c>
      <c r="AE183" s="78"/>
      <c r="AF183" s="79"/>
      <c r="AG183" s="2"/>
      <c r="AH183" s="2"/>
      <c r="AI183" s="78"/>
      <c r="AJ183" s="78"/>
      <c r="AK183" s="2"/>
      <c r="AL183" s="157">
        <f t="shared" si="17"/>
        <v>338000</v>
      </c>
      <c r="AM183" s="163"/>
      <c r="AN183" s="163"/>
      <c r="AO183" s="163"/>
      <c r="AP183" s="163"/>
      <c r="AQ183" s="163"/>
      <c r="AR183" s="7"/>
      <c r="AS183" s="157"/>
      <c r="AT183" s="83"/>
      <c r="AU183" s="74"/>
      <c r="AV183" s="74"/>
      <c r="AW183" s="70"/>
      <c r="AX183" s="71"/>
      <c r="AY183" s="81"/>
      <c r="AZ183" s="71"/>
      <c r="BA183" s="71"/>
      <c r="BB183" s="82"/>
      <c r="BC183" s="73"/>
      <c r="BD183" s="82"/>
      <c r="BE183" s="73"/>
      <c r="BF183" s="79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</row>
    <row r="184" spans="1:69" x14ac:dyDescent="0.25">
      <c r="A184" s="70">
        <v>54</v>
      </c>
      <c r="B184" s="71">
        <v>1474</v>
      </c>
      <c r="C184" s="71"/>
      <c r="D184" s="71" t="s">
        <v>115</v>
      </c>
      <c r="E184" s="71" t="s">
        <v>102</v>
      </c>
      <c r="F184" s="134" t="s">
        <v>232</v>
      </c>
      <c r="G184" s="82">
        <v>9186</v>
      </c>
      <c r="H184" s="100"/>
      <c r="I184" s="100"/>
      <c r="J184" s="100"/>
      <c r="K184" s="83" t="s">
        <v>233</v>
      </c>
      <c r="L184" s="134" t="s">
        <v>234</v>
      </c>
      <c r="M184" s="71" t="s">
        <v>367</v>
      </c>
      <c r="N184" s="73">
        <v>38688</v>
      </c>
      <c r="O184" s="151">
        <v>151200</v>
      </c>
      <c r="P184" s="71">
        <v>9186</v>
      </c>
      <c r="Q184" s="73">
        <v>38688</v>
      </c>
      <c r="R184" s="73">
        <v>39418</v>
      </c>
      <c r="S184" s="83" t="s">
        <v>565</v>
      </c>
      <c r="T184" s="71"/>
      <c r="U184" s="151"/>
      <c r="V184" s="151"/>
      <c r="W184" s="71" t="s">
        <v>105</v>
      </c>
      <c r="X184" s="75"/>
      <c r="Y184" s="79"/>
      <c r="Z184" s="79"/>
      <c r="AA184" s="77"/>
      <c r="AB184" s="75"/>
      <c r="AC184" s="79"/>
      <c r="AD184" s="79"/>
      <c r="AE184" s="78"/>
      <c r="AF184" s="79"/>
      <c r="AG184" s="2"/>
      <c r="AH184" s="2"/>
      <c r="AI184" s="80"/>
      <c r="AJ184" s="80"/>
      <c r="AK184" s="2"/>
      <c r="AL184" s="157">
        <f>$O$184-AH184+AG184+AK184</f>
        <v>151200</v>
      </c>
      <c r="AM184" s="163">
        <f>760047.9+81812.72+137430.19+68133.36+246396.99+12906509+152531.47+140798.28+11733.19+11733.19+23466.38+11733.19+11733.19+11733.19+11733.19+23466.38+11733.19+11733.19+140798.28+175997.76</f>
        <v>14951254.229999997</v>
      </c>
      <c r="AN184" s="163">
        <f>14666.48</f>
        <v>14666.48</v>
      </c>
      <c r="AO184" s="163">
        <f>14666.48</f>
        <v>14666.48</v>
      </c>
      <c r="AP184" s="163">
        <f>14666.48</f>
        <v>14666.48</v>
      </c>
      <c r="AQ184" s="163"/>
      <c r="AR184" s="7">
        <f>AQ184+AP184+AO184+AN184</f>
        <v>43999.44</v>
      </c>
      <c r="AS184" s="157">
        <f>AR184+AM184</f>
        <v>14995253.669999996</v>
      </c>
      <c r="AT184" s="83"/>
      <c r="AU184" s="74"/>
      <c r="AV184" s="74"/>
      <c r="AW184" s="70"/>
      <c r="AX184" s="71"/>
      <c r="AY184" s="81"/>
      <c r="AZ184" s="71" t="s">
        <v>128</v>
      </c>
      <c r="BA184" s="71" t="s">
        <v>114</v>
      </c>
      <c r="BB184" s="82">
        <v>9186</v>
      </c>
      <c r="BC184" s="73">
        <v>38688</v>
      </c>
      <c r="BD184" s="82">
        <v>9186</v>
      </c>
      <c r="BE184" s="73">
        <v>38688</v>
      </c>
      <c r="BF184" s="79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</row>
    <row r="185" spans="1:69" x14ac:dyDescent="0.25">
      <c r="A185" s="70"/>
      <c r="B185" s="71"/>
      <c r="C185" s="71"/>
      <c r="D185" s="71"/>
      <c r="E185" s="71"/>
      <c r="F185" s="134"/>
      <c r="G185" s="82"/>
      <c r="H185" s="101"/>
      <c r="I185" s="101"/>
      <c r="J185" s="101"/>
      <c r="K185" s="83"/>
      <c r="L185" s="134"/>
      <c r="M185" s="71"/>
      <c r="N185" s="73"/>
      <c r="O185" s="151"/>
      <c r="P185" s="71"/>
      <c r="Q185" s="73"/>
      <c r="R185" s="73"/>
      <c r="S185" s="83"/>
      <c r="T185" s="71"/>
      <c r="U185" s="151"/>
      <c r="V185" s="151"/>
      <c r="W185" s="71"/>
      <c r="X185" s="79" t="s">
        <v>173</v>
      </c>
      <c r="Y185" s="75" t="s">
        <v>187</v>
      </c>
      <c r="Z185" s="76">
        <v>39052</v>
      </c>
      <c r="AA185" s="77">
        <v>9579</v>
      </c>
      <c r="AB185" s="75" t="s">
        <v>131</v>
      </c>
      <c r="AC185" s="76">
        <v>39053</v>
      </c>
      <c r="AD185" s="76">
        <v>39418</v>
      </c>
      <c r="AE185" s="78">
        <f>220.5/6300</f>
        <v>3.5000000000000003E-2</v>
      </c>
      <c r="AF185" s="79"/>
      <c r="AG185" s="2">
        <v>2646</v>
      </c>
      <c r="AH185" s="2"/>
      <c r="AI185" s="80"/>
      <c r="AJ185" s="80"/>
      <c r="AK185" s="2">
        <v>6410.25</v>
      </c>
      <c r="AL185" s="157">
        <f>$O$184-AH185+AG185+AK185</f>
        <v>160256.25</v>
      </c>
      <c r="AM185" s="163"/>
      <c r="AN185" s="163"/>
      <c r="AO185" s="163"/>
      <c r="AP185" s="163"/>
      <c r="AQ185" s="163"/>
      <c r="AR185" s="7"/>
      <c r="AS185" s="157"/>
      <c r="AT185" s="83"/>
      <c r="AU185" s="74"/>
      <c r="AV185" s="74"/>
      <c r="AW185" s="70"/>
      <c r="AX185" s="71"/>
      <c r="AY185" s="81"/>
      <c r="AZ185" s="71"/>
      <c r="BA185" s="71"/>
      <c r="BB185" s="82"/>
      <c r="BC185" s="73"/>
      <c r="BD185" s="82"/>
      <c r="BE185" s="73"/>
      <c r="BF185" s="79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</row>
    <row r="186" spans="1:69" x14ac:dyDescent="0.25">
      <c r="A186" s="70"/>
      <c r="B186" s="71"/>
      <c r="C186" s="71"/>
      <c r="D186" s="71"/>
      <c r="E186" s="71"/>
      <c r="F186" s="134"/>
      <c r="G186" s="82"/>
      <c r="H186" s="101"/>
      <c r="I186" s="101"/>
      <c r="J186" s="101"/>
      <c r="K186" s="83"/>
      <c r="L186" s="134"/>
      <c r="M186" s="71"/>
      <c r="N186" s="73"/>
      <c r="O186" s="151"/>
      <c r="P186" s="71"/>
      <c r="Q186" s="73"/>
      <c r="R186" s="73"/>
      <c r="S186" s="83"/>
      <c r="T186" s="71"/>
      <c r="U186" s="151"/>
      <c r="V186" s="151"/>
      <c r="W186" s="71"/>
      <c r="X186" s="79" t="s">
        <v>173</v>
      </c>
      <c r="Y186" s="75" t="s">
        <v>175</v>
      </c>
      <c r="Z186" s="76">
        <v>39417</v>
      </c>
      <c r="AA186" s="77">
        <v>9702</v>
      </c>
      <c r="AB186" s="75" t="s">
        <v>235</v>
      </c>
      <c r="AC186" s="76">
        <v>39418</v>
      </c>
      <c r="AD186" s="76">
        <v>39813</v>
      </c>
      <c r="AE186" s="78">
        <f>405.68/6520.5</f>
        <v>6.2216087723334104E-2</v>
      </c>
      <c r="AF186" s="79"/>
      <c r="AG186" s="2">
        <v>5273.84</v>
      </c>
      <c r="AH186" s="2"/>
      <c r="AI186" s="80"/>
      <c r="AJ186" s="80"/>
      <c r="AK186" s="2">
        <v>6629.99</v>
      </c>
      <c r="AL186" s="157">
        <f t="shared" ref="AL186:AL211" si="18">$O$184-AH186+AG186+AK186</f>
        <v>163103.82999999999</v>
      </c>
      <c r="AM186" s="163"/>
      <c r="AN186" s="163"/>
      <c r="AO186" s="163"/>
      <c r="AP186" s="163"/>
      <c r="AQ186" s="163"/>
      <c r="AR186" s="7"/>
      <c r="AS186" s="157"/>
      <c r="AT186" s="83"/>
      <c r="AU186" s="74"/>
      <c r="AV186" s="74"/>
      <c r="AW186" s="70"/>
      <c r="AX186" s="71"/>
      <c r="AY186" s="81"/>
      <c r="AZ186" s="71"/>
      <c r="BA186" s="71"/>
      <c r="BB186" s="82"/>
      <c r="BC186" s="73"/>
      <c r="BD186" s="82"/>
      <c r="BE186" s="73"/>
      <c r="BF186" s="79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</row>
    <row r="187" spans="1:69" x14ac:dyDescent="0.25">
      <c r="A187" s="70"/>
      <c r="B187" s="71"/>
      <c r="C187" s="71"/>
      <c r="D187" s="71"/>
      <c r="E187" s="71"/>
      <c r="F187" s="134"/>
      <c r="G187" s="82"/>
      <c r="H187" s="101"/>
      <c r="I187" s="101"/>
      <c r="J187" s="101"/>
      <c r="K187" s="83"/>
      <c r="L187" s="134"/>
      <c r="M187" s="71"/>
      <c r="N187" s="73"/>
      <c r="O187" s="151"/>
      <c r="P187" s="71"/>
      <c r="Q187" s="73"/>
      <c r="R187" s="73"/>
      <c r="S187" s="83"/>
      <c r="T187" s="71"/>
      <c r="U187" s="151"/>
      <c r="V187" s="151"/>
      <c r="W187" s="71"/>
      <c r="X187" s="79" t="s">
        <v>173</v>
      </c>
      <c r="Y187" s="75" t="s">
        <v>176</v>
      </c>
      <c r="Z187" s="76">
        <v>39799</v>
      </c>
      <c r="AA187" s="77">
        <v>9960</v>
      </c>
      <c r="AB187" s="75" t="s">
        <v>236</v>
      </c>
      <c r="AC187" s="76">
        <v>39814</v>
      </c>
      <c r="AD187" s="76">
        <v>40178</v>
      </c>
      <c r="AE187" s="78">
        <f>823.07/6926.18</f>
        <v>0.11883462456938745</v>
      </c>
      <c r="AF187" s="79"/>
      <c r="AG187" s="2">
        <v>10699.91</v>
      </c>
      <c r="AH187" s="2"/>
      <c r="AI187" s="80"/>
      <c r="AJ187" s="80"/>
      <c r="AK187" s="2">
        <v>7075.82</v>
      </c>
      <c r="AL187" s="157">
        <f t="shared" si="18"/>
        <v>168975.73</v>
      </c>
      <c r="AM187" s="163"/>
      <c r="AN187" s="163"/>
      <c r="AO187" s="163"/>
      <c r="AP187" s="163"/>
      <c r="AQ187" s="163"/>
      <c r="AR187" s="7"/>
      <c r="AS187" s="157"/>
      <c r="AT187" s="83"/>
      <c r="AU187" s="74"/>
      <c r="AV187" s="74"/>
      <c r="AW187" s="70"/>
      <c r="AX187" s="71"/>
      <c r="AY187" s="81"/>
      <c r="AZ187" s="71"/>
      <c r="BA187" s="71"/>
      <c r="BB187" s="82"/>
      <c r="BC187" s="73"/>
      <c r="BD187" s="82"/>
      <c r="BE187" s="73"/>
      <c r="BF187" s="79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</row>
    <row r="188" spans="1:69" x14ac:dyDescent="0.25">
      <c r="A188" s="70"/>
      <c r="B188" s="71"/>
      <c r="C188" s="71"/>
      <c r="D188" s="71"/>
      <c r="E188" s="71"/>
      <c r="F188" s="134"/>
      <c r="G188" s="82"/>
      <c r="H188" s="101"/>
      <c r="I188" s="101"/>
      <c r="J188" s="101"/>
      <c r="K188" s="83"/>
      <c r="L188" s="134"/>
      <c r="M188" s="71"/>
      <c r="N188" s="73"/>
      <c r="O188" s="151"/>
      <c r="P188" s="71"/>
      <c r="Q188" s="73"/>
      <c r="R188" s="73"/>
      <c r="S188" s="83"/>
      <c r="T188" s="71"/>
      <c r="U188" s="151"/>
      <c r="V188" s="151"/>
      <c r="W188" s="71"/>
      <c r="X188" s="79" t="s">
        <v>173</v>
      </c>
      <c r="Y188" s="75" t="s">
        <v>189</v>
      </c>
      <c r="Z188" s="76">
        <v>40161</v>
      </c>
      <c r="AA188" s="77">
        <v>10209</v>
      </c>
      <c r="AB188" s="75" t="s">
        <v>237</v>
      </c>
      <c r="AC188" s="76">
        <v>40179</v>
      </c>
      <c r="AD188" s="76">
        <v>40512</v>
      </c>
      <c r="AE188" s="78"/>
      <c r="AF188" s="79"/>
      <c r="AG188" s="2"/>
      <c r="AH188" s="2"/>
      <c r="AI188" s="80"/>
      <c r="AJ188" s="80"/>
      <c r="AK188" s="2"/>
      <c r="AL188" s="157">
        <f t="shared" si="18"/>
        <v>151200</v>
      </c>
      <c r="AM188" s="163"/>
      <c r="AN188" s="163"/>
      <c r="AO188" s="163"/>
      <c r="AP188" s="163"/>
      <c r="AQ188" s="163"/>
      <c r="AR188" s="7"/>
      <c r="AS188" s="157"/>
      <c r="AT188" s="83"/>
      <c r="AU188" s="74"/>
      <c r="AV188" s="74"/>
      <c r="AW188" s="70"/>
      <c r="AX188" s="71"/>
      <c r="AY188" s="81"/>
      <c r="AZ188" s="71"/>
      <c r="BA188" s="71"/>
      <c r="BB188" s="82"/>
      <c r="BC188" s="73"/>
      <c r="BD188" s="82"/>
      <c r="BE188" s="73"/>
      <c r="BF188" s="79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</row>
    <row r="189" spans="1:69" x14ac:dyDescent="0.25">
      <c r="A189" s="70"/>
      <c r="B189" s="71"/>
      <c r="C189" s="71"/>
      <c r="D189" s="71"/>
      <c r="E189" s="71"/>
      <c r="F189" s="134"/>
      <c r="G189" s="82"/>
      <c r="H189" s="101"/>
      <c r="I189" s="101"/>
      <c r="J189" s="101"/>
      <c r="K189" s="83"/>
      <c r="L189" s="134"/>
      <c r="M189" s="71"/>
      <c r="N189" s="73"/>
      <c r="O189" s="151"/>
      <c r="P189" s="71"/>
      <c r="Q189" s="73"/>
      <c r="R189" s="73"/>
      <c r="S189" s="83"/>
      <c r="T189" s="71"/>
      <c r="U189" s="151"/>
      <c r="V189" s="151"/>
      <c r="W189" s="71"/>
      <c r="X189" s="79" t="s">
        <v>173</v>
      </c>
      <c r="Y189" s="75" t="s">
        <v>177</v>
      </c>
      <c r="Z189" s="76">
        <v>40500</v>
      </c>
      <c r="AA189" s="77">
        <v>10439</v>
      </c>
      <c r="AB189" s="75" t="s">
        <v>130</v>
      </c>
      <c r="AC189" s="76">
        <v>40513</v>
      </c>
      <c r="AD189" s="76">
        <v>40878</v>
      </c>
      <c r="AE189" s="78"/>
      <c r="AF189" s="79"/>
      <c r="AG189" s="2"/>
      <c r="AH189" s="2"/>
      <c r="AI189" s="80"/>
      <c r="AJ189" s="80"/>
      <c r="AK189" s="2"/>
      <c r="AL189" s="157">
        <f t="shared" si="18"/>
        <v>151200</v>
      </c>
      <c r="AM189" s="163"/>
      <c r="AN189" s="163"/>
      <c r="AO189" s="163"/>
      <c r="AP189" s="163"/>
      <c r="AQ189" s="163"/>
      <c r="AR189" s="7"/>
      <c r="AS189" s="157"/>
      <c r="AT189" s="83"/>
      <c r="AU189" s="74"/>
      <c r="AV189" s="74"/>
      <c r="AW189" s="70"/>
      <c r="AX189" s="71"/>
      <c r="AY189" s="81"/>
      <c r="AZ189" s="71"/>
      <c r="BA189" s="71"/>
      <c r="BB189" s="82"/>
      <c r="BC189" s="73"/>
      <c r="BD189" s="82"/>
      <c r="BE189" s="73"/>
      <c r="BF189" s="79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</row>
    <row r="190" spans="1:69" ht="25.5" x14ac:dyDescent="0.25">
      <c r="A190" s="70"/>
      <c r="B190" s="71"/>
      <c r="C190" s="71"/>
      <c r="D190" s="71"/>
      <c r="E190" s="71"/>
      <c r="F190" s="134"/>
      <c r="G190" s="82"/>
      <c r="H190" s="101"/>
      <c r="I190" s="101"/>
      <c r="J190" s="101"/>
      <c r="K190" s="83"/>
      <c r="L190" s="134"/>
      <c r="M190" s="71"/>
      <c r="N190" s="73"/>
      <c r="O190" s="151"/>
      <c r="P190" s="71"/>
      <c r="Q190" s="73"/>
      <c r="R190" s="73"/>
      <c r="S190" s="83"/>
      <c r="T190" s="71"/>
      <c r="U190" s="151"/>
      <c r="V190" s="151"/>
      <c r="W190" s="71"/>
      <c r="X190" s="75" t="s">
        <v>185</v>
      </c>
      <c r="Y190" s="75" t="s">
        <v>238</v>
      </c>
      <c r="Z190" s="76">
        <v>40521</v>
      </c>
      <c r="AA190" s="77"/>
      <c r="AB190" s="75" t="s">
        <v>131</v>
      </c>
      <c r="AC190" s="76">
        <v>40514</v>
      </c>
      <c r="AD190" s="76">
        <v>40878</v>
      </c>
      <c r="AE190" s="78">
        <f>795.98/7749.25</f>
        <v>0.10271703713262574</v>
      </c>
      <c r="AF190" s="79"/>
      <c r="AG190" s="2">
        <v>9551.76</v>
      </c>
      <c r="AH190" s="2"/>
      <c r="AI190" s="80"/>
      <c r="AJ190" s="80"/>
      <c r="AK190" s="2">
        <v>7473.81</v>
      </c>
      <c r="AL190" s="157">
        <f t="shared" si="18"/>
        <v>168225.57</v>
      </c>
      <c r="AM190" s="163"/>
      <c r="AN190" s="163"/>
      <c r="AO190" s="163"/>
      <c r="AP190" s="163"/>
      <c r="AQ190" s="163"/>
      <c r="AR190" s="7"/>
      <c r="AS190" s="157"/>
      <c r="AT190" s="83"/>
      <c r="AU190" s="74"/>
      <c r="AV190" s="74"/>
      <c r="AW190" s="70"/>
      <c r="AX190" s="71"/>
      <c r="AY190" s="81"/>
      <c r="AZ190" s="71"/>
      <c r="BA190" s="71"/>
      <c r="BB190" s="82"/>
      <c r="BC190" s="73"/>
      <c r="BD190" s="82"/>
      <c r="BE190" s="73"/>
      <c r="BF190" s="79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</row>
    <row r="191" spans="1:69" x14ac:dyDescent="0.25">
      <c r="A191" s="70"/>
      <c r="B191" s="71"/>
      <c r="C191" s="71"/>
      <c r="D191" s="71"/>
      <c r="E191" s="71"/>
      <c r="F191" s="134"/>
      <c r="G191" s="82"/>
      <c r="H191" s="101"/>
      <c r="I191" s="101"/>
      <c r="J191" s="101"/>
      <c r="K191" s="83"/>
      <c r="L191" s="134"/>
      <c r="M191" s="71"/>
      <c r="N191" s="73"/>
      <c r="O191" s="151"/>
      <c r="P191" s="71"/>
      <c r="Q191" s="73"/>
      <c r="R191" s="73"/>
      <c r="S191" s="83"/>
      <c r="T191" s="71"/>
      <c r="U191" s="151"/>
      <c r="V191" s="151"/>
      <c r="W191" s="71"/>
      <c r="X191" s="79" t="s">
        <v>173</v>
      </c>
      <c r="Y191" s="75" t="s">
        <v>191</v>
      </c>
      <c r="Z191" s="76">
        <v>40857</v>
      </c>
      <c r="AA191" s="77">
        <v>10694</v>
      </c>
      <c r="AB191" s="75" t="s">
        <v>130</v>
      </c>
      <c r="AC191" s="76">
        <v>40878</v>
      </c>
      <c r="AD191" s="76">
        <v>41244</v>
      </c>
      <c r="AE191" s="78"/>
      <c r="AF191" s="79"/>
      <c r="AG191" s="2"/>
      <c r="AH191" s="2"/>
      <c r="AI191" s="80"/>
      <c r="AJ191" s="80"/>
      <c r="AK191" s="2"/>
      <c r="AL191" s="157">
        <f t="shared" si="18"/>
        <v>151200</v>
      </c>
      <c r="AM191" s="163"/>
      <c r="AN191" s="163"/>
      <c r="AO191" s="163"/>
      <c r="AP191" s="163"/>
      <c r="AQ191" s="163"/>
      <c r="AR191" s="7"/>
      <c r="AS191" s="157"/>
      <c r="AT191" s="83"/>
      <c r="AU191" s="74"/>
      <c r="AV191" s="74"/>
      <c r="AW191" s="70"/>
      <c r="AX191" s="71"/>
      <c r="AY191" s="81"/>
      <c r="AZ191" s="71"/>
      <c r="BA191" s="71"/>
      <c r="BB191" s="82"/>
      <c r="BC191" s="73"/>
      <c r="BD191" s="82"/>
      <c r="BE191" s="73"/>
      <c r="BF191" s="79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</row>
    <row r="192" spans="1:69" ht="25.5" x14ac:dyDescent="0.25">
      <c r="A192" s="70"/>
      <c r="B192" s="71"/>
      <c r="C192" s="71"/>
      <c r="D192" s="71"/>
      <c r="E192" s="71"/>
      <c r="F192" s="134"/>
      <c r="G192" s="82"/>
      <c r="H192" s="101"/>
      <c r="I192" s="101"/>
      <c r="J192" s="101"/>
      <c r="K192" s="83"/>
      <c r="L192" s="134"/>
      <c r="M192" s="71"/>
      <c r="N192" s="73"/>
      <c r="O192" s="151"/>
      <c r="P192" s="71"/>
      <c r="Q192" s="73"/>
      <c r="R192" s="73"/>
      <c r="S192" s="83"/>
      <c r="T192" s="71"/>
      <c r="U192" s="151"/>
      <c r="V192" s="151"/>
      <c r="W192" s="71"/>
      <c r="X192" s="75" t="s">
        <v>185</v>
      </c>
      <c r="Y192" s="75" t="s">
        <v>239</v>
      </c>
      <c r="Z192" s="76">
        <v>40879</v>
      </c>
      <c r="AA192" s="77"/>
      <c r="AB192" s="75" t="s">
        <v>240</v>
      </c>
      <c r="AC192" s="76">
        <v>40879</v>
      </c>
      <c r="AD192" s="76">
        <v>41245</v>
      </c>
      <c r="AE192" s="78">
        <f>508.15/8545.53</f>
        <v>5.9463836649101924E-2</v>
      </c>
      <c r="AF192" s="79"/>
      <c r="AG192" s="2">
        <v>6097</v>
      </c>
      <c r="AH192" s="2"/>
      <c r="AI192" s="80"/>
      <c r="AJ192" s="80"/>
      <c r="AK192" s="2">
        <v>7727.89</v>
      </c>
      <c r="AL192" s="157">
        <f t="shared" si="18"/>
        <v>165024.89000000001</v>
      </c>
      <c r="AM192" s="163"/>
      <c r="AN192" s="163"/>
      <c r="AO192" s="163"/>
      <c r="AP192" s="163"/>
      <c r="AQ192" s="163"/>
      <c r="AR192" s="7"/>
      <c r="AS192" s="157"/>
      <c r="AT192" s="83"/>
      <c r="AU192" s="74"/>
      <c r="AV192" s="74"/>
      <c r="AW192" s="70"/>
      <c r="AX192" s="71"/>
      <c r="AY192" s="81"/>
      <c r="AZ192" s="71"/>
      <c r="BA192" s="71"/>
      <c r="BB192" s="82"/>
      <c r="BC192" s="73"/>
      <c r="BD192" s="82"/>
      <c r="BE192" s="73"/>
      <c r="BF192" s="79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</row>
    <row r="193" spans="1:69" x14ac:dyDescent="0.25">
      <c r="A193" s="70"/>
      <c r="B193" s="71"/>
      <c r="C193" s="71"/>
      <c r="D193" s="71"/>
      <c r="E193" s="71"/>
      <c r="F193" s="134"/>
      <c r="G193" s="82"/>
      <c r="H193" s="101"/>
      <c r="I193" s="101"/>
      <c r="J193" s="101"/>
      <c r="K193" s="83"/>
      <c r="L193" s="134"/>
      <c r="M193" s="71"/>
      <c r="N193" s="73"/>
      <c r="O193" s="151"/>
      <c r="P193" s="71"/>
      <c r="Q193" s="73"/>
      <c r="R193" s="73"/>
      <c r="S193" s="83"/>
      <c r="T193" s="71"/>
      <c r="U193" s="151"/>
      <c r="V193" s="151"/>
      <c r="W193" s="71"/>
      <c r="X193" s="75" t="s">
        <v>241</v>
      </c>
      <c r="Y193" s="75" t="s">
        <v>192</v>
      </c>
      <c r="Z193" s="76">
        <v>41239</v>
      </c>
      <c r="AA193" s="77">
        <v>10939</v>
      </c>
      <c r="AB193" s="75" t="s">
        <v>130</v>
      </c>
      <c r="AC193" s="76">
        <v>41244</v>
      </c>
      <c r="AD193" s="76">
        <v>41609</v>
      </c>
      <c r="AE193" s="78"/>
      <c r="AF193" s="79"/>
      <c r="AG193" s="2"/>
      <c r="AH193" s="2"/>
      <c r="AI193" s="80"/>
      <c r="AJ193" s="80"/>
      <c r="AK193" s="2"/>
      <c r="AL193" s="157">
        <f t="shared" si="18"/>
        <v>151200</v>
      </c>
      <c r="AM193" s="163"/>
      <c r="AN193" s="163"/>
      <c r="AO193" s="163"/>
      <c r="AP193" s="163"/>
      <c r="AQ193" s="163"/>
      <c r="AR193" s="7"/>
      <c r="AS193" s="157"/>
      <c r="AT193" s="83"/>
      <c r="AU193" s="74"/>
      <c r="AV193" s="74"/>
      <c r="AW193" s="70"/>
      <c r="AX193" s="71"/>
      <c r="AY193" s="81"/>
      <c r="AZ193" s="71"/>
      <c r="BA193" s="71"/>
      <c r="BB193" s="82"/>
      <c r="BC193" s="73"/>
      <c r="BD193" s="82"/>
      <c r="BE193" s="73"/>
      <c r="BF193" s="79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</row>
    <row r="194" spans="1:69" ht="25.5" x14ac:dyDescent="0.25">
      <c r="A194" s="70"/>
      <c r="B194" s="71"/>
      <c r="C194" s="71"/>
      <c r="D194" s="71"/>
      <c r="E194" s="71"/>
      <c r="F194" s="134"/>
      <c r="G194" s="82"/>
      <c r="H194" s="101"/>
      <c r="I194" s="101"/>
      <c r="J194" s="101"/>
      <c r="K194" s="83"/>
      <c r="L194" s="134"/>
      <c r="M194" s="71"/>
      <c r="N194" s="73"/>
      <c r="O194" s="151"/>
      <c r="P194" s="71"/>
      <c r="Q194" s="73"/>
      <c r="R194" s="73"/>
      <c r="S194" s="83"/>
      <c r="T194" s="71"/>
      <c r="U194" s="151"/>
      <c r="V194" s="151"/>
      <c r="W194" s="71"/>
      <c r="X194" s="75" t="s">
        <v>186</v>
      </c>
      <c r="Y194" s="75" t="s">
        <v>242</v>
      </c>
      <c r="Z194" s="76">
        <v>41249</v>
      </c>
      <c r="AA194" s="77"/>
      <c r="AB194" s="75" t="s">
        <v>240</v>
      </c>
      <c r="AC194" s="76">
        <v>41245</v>
      </c>
      <c r="AD194" s="76">
        <v>41609</v>
      </c>
      <c r="AE194" s="78">
        <f>629.71/9053.68</f>
        <v>6.9552933171925665E-2</v>
      </c>
      <c r="AF194" s="79"/>
      <c r="AG194" s="2">
        <v>7556.52</v>
      </c>
      <c r="AH194" s="2"/>
      <c r="AI194" s="80"/>
      <c r="AJ194" s="80"/>
      <c r="AK194" s="2"/>
      <c r="AL194" s="157">
        <f t="shared" si="18"/>
        <v>158756.51999999999</v>
      </c>
      <c r="AM194" s="163"/>
      <c r="AN194" s="163"/>
      <c r="AO194" s="163"/>
      <c r="AP194" s="163"/>
      <c r="AQ194" s="163"/>
      <c r="AR194" s="7"/>
      <c r="AS194" s="157"/>
      <c r="AT194" s="83"/>
      <c r="AU194" s="74"/>
      <c r="AV194" s="74"/>
      <c r="AW194" s="70"/>
      <c r="AX194" s="71"/>
      <c r="AY194" s="81"/>
      <c r="AZ194" s="71"/>
      <c r="BA194" s="71"/>
      <c r="BB194" s="82"/>
      <c r="BC194" s="73"/>
      <c r="BD194" s="82"/>
      <c r="BE194" s="73"/>
      <c r="BF194" s="79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</row>
    <row r="195" spans="1:69" x14ac:dyDescent="0.25">
      <c r="A195" s="70"/>
      <c r="B195" s="71"/>
      <c r="C195" s="71"/>
      <c r="D195" s="71"/>
      <c r="E195" s="71"/>
      <c r="F195" s="134"/>
      <c r="G195" s="82"/>
      <c r="H195" s="101"/>
      <c r="I195" s="101"/>
      <c r="J195" s="101"/>
      <c r="K195" s="83"/>
      <c r="L195" s="134"/>
      <c r="M195" s="71"/>
      <c r="N195" s="73"/>
      <c r="O195" s="151"/>
      <c r="P195" s="71"/>
      <c r="Q195" s="73"/>
      <c r="R195" s="73"/>
      <c r="S195" s="83"/>
      <c r="T195" s="71"/>
      <c r="U195" s="151"/>
      <c r="V195" s="151"/>
      <c r="W195" s="71"/>
      <c r="X195" s="79" t="s">
        <v>173</v>
      </c>
      <c r="Y195" s="75" t="s">
        <v>225</v>
      </c>
      <c r="Z195" s="76">
        <v>41604</v>
      </c>
      <c r="AA195" s="77">
        <v>11219</v>
      </c>
      <c r="AB195" s="75" t="s">
        <v>130</v>
      </c>
      <c r="AC195" s="76">
        <v>41609</v>
      </c>
      <c r="AD195" s="76">
        <v>41974</v>
      </c>
      <c r="AE195" s="78"/>
      <c r="AF195" s="79"/>
      <c r="AG195" s="2"/>
      <c r="AH195" s="2"/>
      <c r="AI195" s="80"/>
      <c r="AJ195" s="80"/>
      <c r="AK195" s="2"/>
      <c r="AL195" s="157">
        <f t="shared" si="18"/>
        <v>151200</v>
      </c>
      <c r="AM195" s="163"/>
      <c r="AN195" s="163"/>
      <c r="AO195" s="163"/>
      <c r="AP195" s="163"/>
      <c r="AQ195" s="163"/>
      <c r="AR195" s="7"/>
      <c r="AS195" s="157"/>
      <c r="AT195" s="83"/>
      <c r="AU195" s="74"/>
      <c r="AV195" s="74"/>
      <c r="AW195" s="70"/>
      <c r="AX195" s="71"/>
      <c r="AY195" s="81"/>
      <c r="AZ195" s="71"/>
      <c r="BA195" s="71"/>
      <c r="BB195" s="82"/>
      <c r="BC195" s="73"/>
      <c r="BD195" s="82"/>
      <c r="BE195" s="73"/>
      <c r="BF195" s="79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</row>
    <row r="196" spans="1:69" ht="25.5" x14ac:dyDescent="0.25">
      <c r="A196" s="70"/>
      <c r="B196" s="71"/>
      <c r="C196" s="71"/>
      <c r="D196" s="71"/>
      <c r="E196" s="71"/>
      <c r="F196" s="134"/>
      <c r="G196" s="82"/>
      <c r="H196" s="101"/>
      <c r="I196" s="101"/>
      <c r="J196" s="101"/>
      <c r="K196" s="83"/>
      <c r="L196" s="134"/>
      <c r="M196" s="71"/>
      <c r="N196" s="73"/>
      <c r="O196" s="151"/>
      <c r="P196" s="71"/>
      <c r="Q196" s="73"/>
      <c r="R196" s="73"/>
      <c r="S196" s="83"/>
      <c r="T196" s="71"/>
      <c r="U196" s="151"/>
      <c r="V196" s="151"/>
      <c r="W196" s="71"/>
      <c r="X196" s="75" t="s">
        <v>185</v>
      </c>
      <c r="Y196" s="75" t="s">
        <v>243</v>
      </c>
      <c r="Z196" s="76">
        <v>41634</v>
      </c>
      <c r="AA196" s="77"/>
      <c r="AB196" s="75" t="s">
        <v>240</v>
      </c>
      <c r="AC196" s="76">
        <v>41609</v>
      </c>
      <c r="AD196" s="76">
        <v>41974</v>
      </c>
      <c r="AE196" s="78">
        <f>543.2/9683.39</f>
        <v>5.6096057269200153E-2</v>
      </c>
      <c r="AF196" s="79"/>
      <c r="AG196" s="2">
        <v>6518.4</v>
      </c>
      <c r="AH196" s="2"/>
      <c r="AI196" s="80"/>
      <c r="AJ196" s="80"/>
      <c r="AK196" s="2">
        <v>8314.34</v>
      </c>
      <c r="AL196" s="157">
        <f t="shared" si="18"/>
        <v>166032.74</v>
      </c>
      <c r="AM196" s="163"/>
      <c r="AN196" s="163"/>
      <c r="AO196" s="163"/>
      <c r="AP196" s="163"/>
      <c r="AQ196" s="163"/>
      <c r="AR196" s="7"/>
      <c r="AS196" s="157"/>
      <c r="AT196" s="83"/>
      <c r="AU196" s="74"/>
      <c r="AV196" s="74"/>
      <c r="AW196" s="70"/>
      <c r="AX196" s="71"/>
      <c r="AY196" s="81"/>
      <c r="AZ196" s="71"/>
      <c r="BA196" s="71"/>
      <c r="BB196" s="82"/>
      <c r="BC196" s="73"/>
      <c r="BD196" s="82"/>
      <c r="BE196" s="73"/>
      <c r="BF196" s="79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</row>
    <row r="197" spans="1:69" x14ac:dyDescent="0.25">
      <c r="A197" s="70"/>
      <c r="B197" s="71"/>
      <c r="C197" s="71"/>
      <c r="D197" s="71"/>
      <c r="E197" s="71"/>
      <c r="F197" s="134"/>
      <c r="G197" s="82"/>
      <c r="H197" s="101"/>
      <c r="I197" s="101"/>
      <c r="J197" s="101"/>
      <c r="K197" s="83"/>
      <c r="L197" s="134"/>
      <c r="M197" s="71"/>
      <c r="N197" s="73"/>
      <c r="O197" s="151"/>
      <c r="P197" s="71"/>
      <c r="Q197" s="73"/>
      <c r="R197" s="73"/>
      <c r="S197" s="83"/>
      <c r="T197" s="71"/>
      <c r="U197" s="151"/>
      <c r="V197" s="151"/>
      <c r="W197" s="71"/>
      <c r="X197" s="79" t="s">
        <v>173</v>
      </c>
      <c r="Y197" s="75" t="s">
        <v>226</v>
      </c>
      <c r="Z197" s="76">
        <v>41969</v>
      </c>
      <c r="AA197" s="77">
        <v>11479</v>
      </c>
      <c r="AB197" s="75" t="s">
        <v>130</v>
      </c>
      <c r="AC197" s="76">
        <v>41974</v>
      </c>
      <c r="AD197" s="76">
        <v>42338</v>
      </c>
      <c r="AE197" s="78"/>
      <c r="AF197" s="79"/>
      <c r="AG197" s="2"/>
      <c r="AH197" s="2"/>
      <c r="AI197" s="80"/>
      <c r="AJ197" s="80"/>
      <c r="AK197" s="2"/>
      <c r="AL197" s="157">
        <f t="shared" si="18"/>
        <v>151200</v>
      </c>
      <c r="AM197" s="163"/>
      <c r="AN197" s="163"/>
      <c r="AO197" s="163"/>
      <c r="AP197" s="163"/>
      <c r="AQ197" s="163"/>
      <c r="AR197" s="7"/>
      <c r="AS197" s="157"/>
      <c r="AT197" s="83"/>
      <c r="AU197" s="74"/>
      <c r="AV197" s="74"/>
      <c r="AW197" s="70"/>
      <c r="AX197" s="71"/>
      <c r="AY197" s="81"/>
      <c r="AZ197" s="71"/>
      <c r="BA197" s="71"/>
      <c r="BB197" s="82"/>
      <c r="BC197" s="73"/>
      <c r="BD197" s="82"/>
      <c r="BE197" s="73"/>
      <c r="BF197" s="79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</row>
    <row r="198" spans="1:69" ht="25.5" x14ac:dyDescent="0.25">
      <c r="A198" s="70"/>
      <c r="B198" s="71"/>
      <c r="C198" s="71"/>
      <c r="D198" s="71"/>
      <c r="E198" s="71"/>
      <c r="F198" s="134"/>
      <c r="G198" s="82"/>
      <c r="H198" s="101"/>
      <c r="I198" s="101"/>
      <c r="J198" s="101"/>
      <c r="K198" s="83"/>
      <c r="L198" s="134"/>
      <c r="M198" s="71"/>
      <c r="N198" s="73"/>
      <c r="O198" s="151"/>
      <c r="P198" s="71"/>
      <c r="Q198" s="73"/>
      <c r="R198" s="73"/>
      <c r="S198" s="83"/>
      <c r="T198" s="71"/>
      <c r="U198" s="151"/>
      <c r="V198" s="151"/>
      <c r="W198" s="71"/>
      <c r="X198" s="75" t="s">
        <v>183</v>
      </c>
      <c r="Y198" s="75" t="s">
        <v>221</v>
      </c>
      <c r="Z198" s="76">
        <v>42039</v>
      </c>
      <c r="AA198" s="77"/>
      <c r="AB198" s="75" t="s">
        <v>240</v>
      </c>
      <c r="AC198" s="76">
        <v>42039</v>
      </c>
      <c r="AD198" s="76">
        <v>42338</v>
      </c>
      <c r="AE198" s="78">
        <f>373.71/10226.59</f>
        <v>3.6542972779782898E-2</v>
      </c>
      <c r="AF198" s="79"/>
      <c r="AG198" s="2">
        <v>4484.5200000000004</v>
      </c>
      <c r="AH198" s="2"/>
      <c r="AI198" s="80"/>
      <c r="AJ198" s="80"/>
      <c r="AK198" s="2">
        <v>8501.2000000000007</v>
      </c>
      <c r="AL198" s="157">
        <f t="shared" si="18"/>
        <v>164185.72</v>
      </c>
      <c r="AM198" s="163"/>
      <c r="AN198" s="163"/>
      <c r="AO198" s="163"/>
      <c r="AP198" s="163"/>
      <c r="AQ198" s="163"/>
      <c r="AR198" s="7"/>
      <c r="AS198" s="157"/>
      <c r="AT198" s="83"/>
      <c r="AU198" s="74"/>
      <c r="AV198" s="74"/>
      <c r="AW198" s="70"/>
      <c r="AX198" s="71"/>
      <c r="AY198" s="81"/>
      <c r="AZ198" s="71"/>
      <c r="BA198" s="71"/>
      <c r="BB198" s="82"/>
      <c r="BC198" s="73"/>
      <c r="BD198" s="82"/>
      <c r="BE198" s="73"/>
      <c r="BF198" s="79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</row>
    <row r="199" spans="1:69" x14ac:dyDescent="0.25">
      <c r="A199" s="70"/>
      <c r="B199" s="71"/>
      <c r="C199" s="71"/>
      <c r="D199" s="71"/>
      <c r="E199" s="71"/>
      <c r="F199" s="134"/>
      <c r="G199" s="82"/>
      <c r="H199" s="101"/>
      <c r="I199" s="101"/>
      <c r="J199" s="101"/>
      <c r="K199" s="83"/>
      <c r="L199" s="134"/>
      <c r="M199" s="71"/>
      <c r="N199" s="73"/>
      <c r="O199" s="151"/>
      <c r="P199" s="71"/>
      <c r="Q199" s="73"/>
      <c r="R199" s="73"/>
      <c r="S199" s="83"/>
      <c r="T199" s="71"/>
      <c r="U199" s="151"/>
      <c r="V199" s="151"/>
      <c r="W199" s="71"/>
      <c r="X199" s="79" t="s">
        <v>173</v>
      </c>
      <c r="Y199" s="75" t="s">
        <v>227</v>
      </c>
      <c r="Z199" s="76">
        <v>42334</v>
      </c>
      <c r="AA199" s="77">
        <v>11706</v>
      </c>
      <c r="AB199" s="75" t="s">
        <v>130</v>
      </c>
      <c r="AC199" s="76">
        <v>42339</v>
      </c>
      <c r="AD199" s="76">
        <v>42704</v>
      </c>
      <c r="AE199" s="78"/>
      <c r="AF199" s="79"/>
      <c r="AG199" s="2"/>
      <c r="AH199" s="2"/>
      <c r="AI199" s="80"/>
      <c r="AJ199" s="80"/>
      <c r="AK199" s="2"/>
      <c r="AL199" s="157">
        <f t="shared" si="18"/>
        <v>151200</v>
      </c>
      <c r="AM199" s="163"/>
      <c r="AN199" s="163"/>
      <c r="AO199" s="163"/>
      <c r="AP199" s="163"/>
      <c r="AQ199" s="163"/>
      <c r="AR199" s="7"/>
      <c r="AS199" s="157"/>
      <c r="AT199" s="83"/>
      <c r="AU199" s="74"/>
      <c r="AV199" s="74"/>
      <c r="AW199" s="70"/>
      <c r="AX199" s="71"/>
      <c r="AY199" s="81"/>
      <c r="AZ199" s="71"/>
      <c r="BA199" s="71"/>
      <c r="BB199" s="82"/>
      <c r="BC199" s="73"/>
      <c r="BD199" s="82"/>
      <c r="BE199" s="73"/>
      <c r="BF199" s="79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</row>
    <row r="200" spans="1:69" ht="25.5" x14ac:dyDescent="0.25">
      <c r="A200" s="70"/>
      <c r="B200" s="71"/>
      <c r="C200" s="71"/>
      <c r="D200" s="71"/>
      <c r="E200" s="71"/>
      <c r="F200" s="134"/>
      <c r="G200" s="82"/>
      <c r="H200" s="101"/>
      <c r="I200" s="101"/>
      <c r="J200" s="101"/>
      <c r="K200" s="83"/>
      <c r="L200" s="134"/>
      <c r="M200" s="71"/>
      <c r="N200" s="73"/>
      <c r="O200" s="151"/>
      <c r="P200" s="71"/>
      <c r="Q200" s="73"/>
      <c r="R200" s="73"/>
      <c r="S200" s="83"/>
      <c r="T200" s="71"/>
      <c r="U200" s="151"/>
      <c r="V200" s="151"/>
      <c r="W200" s="71"/>
      <c r="X200" s="75" t="s">
        <v>183</v>
      </c>
      <c r="Y200" s="75" t="s">
        <v>244</v>
      </c>
      <c r="Z200" s="76">
        <v>42340</v>
      </c>
      <c r="AA200" s="77">
        <v>11724</v>
      </c>
      <c r="AB200" s="75" t="s">
        <v>245</v>
      </c>
      <c r="AC200" s="76">
        <v>42340</v>
      </c>
      <c r="AD200" s="76">
        <v>42704</v>
      </c>
      <c r="AE200" s="78">
        <f>1132.89/10600.3</f>
        <v>0.1068733903757441</v>
      </c>
      <c r="AF200" s="79"/>
      <c r="AG200" s="2">
        <v>13594.68</v>
      </c>
      <c r="AH200" s="2"/>
      <c r="AI200" s="80"/>
      <c r="AJ200" s="80"/>
      <c r="AK200" s="2">
        <v>9067.64</v>
      </c>
      <c r="AL200" s="157">
        <f t="shared" si="18"/>
        <v>173862.32</v>
      </c>
      <c r="AM200" s="163"/>
      <c r="AN200" s="163"/>
      <c r="AO200" s="163"/>
      <c r="AP200" s="163"/>
      <c r="AQ200" s="163"/>
      <c r="AR200" s="7"/>
      <c r="AS200" s="157"/>
      <c r="AT200" s="83"/>
      <c r="AU200" s="74"/>
      <c r="AV200" s="74"/>
      <c r="AW200" s="70"/>
      <c r="AX200" s="71"/>
      <c r="AY200" s="81"/>
      <c r="AZ200" s="71"/>
      <c r="BA200" s="71"/>
      <c r="BB200" s="82"/>
      <c r="BC200" s="73"/>
      <c r="BD200" s="82"/>
      <c r="BE200" s="73"/>
      <c r="BF200" s="79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</row>
    <row r="201" spans="1:69" x14ac:dyDescent="0.25">
      <c r="A201" s="70"/>
      <c r="B201" s="71"/>
      <c r="C201" s="71"/>
      <c r="D201" s="71"/>
      <c r="E201" s="71"/>
      <c r="F201" s="134"/>
      <c r="G201" s="82"/>
      <c r="H201" s="101"/>
      <c r="I201" s="101"/>
      <c r="J201" s="101"/>
      <c r="K201" s="83"/>
      <c r="L201" s="134"/>
      <c r="M201" s="71"/>
      <c r="N201" s="73"/>
      <c r="O201" s="151"/>
      <c r="P201" s="71"/>
      <c r="Q201" s="73"/>
      <c r="R201" s="73"/>
      <c r="S201" s="83"/>
      <c r="T201" s="71"/>
      <c r="U201" s="151"/>
      <c r="V201" s="151"/>
      <c r="W201" s="71"/>
      <c r="X201" s="79" t="s">
        <v>173</v>
      </c>
      <c r="Y201" s="75" t="s">
        <v>228</v>
      </c>
      <c r="Z201" s="76">
        <v>42703</v>
      </c>
      <c r="AA201" s="77">
        <v>12094</v>
      </c>
      <c r="AB201" s="75" t="s">
        <v>130</v>
      </c>
      <c r="AC201" s="76">
        <v>42705</v>
      </c>
      <c r="AD201" s="76">
        <v>43069</v>
      </c>
      <c r="AE201" s="78"/>
      <c r="AF201" s="79"/>
      <c r="AG201" s="2"/>
      <c r="AH201" s="2"/>
      <c r="AI201" s="80"/>
      <c r="AJ201" s="80"/>
      <c r="AK201" s="2"/>
      <c r="AL201" s="157">
        <f t="shared" si="18"/>
        <v>151200</v>
      </c>
      <c r="AM201" s="163"/>
      <c r="AN201" s="163"/>
      <c r="AO201" s="163"/>
      <c r="AP201" s="163"/>
      <c r="AQ201" s="163"/>
      <c r="AR201" s="7"/>
      <c r="AS201" s="157"/>
      <c r="AT201" s="83"/>
      <c r="AU201" s="74"/>
      <c r="AV201" s="74"/>
      <c r="AW201" s="70"/>
      <c r="AX201" s="71"/>
      <c r="AY201" s="81"/>
      <c r="AZ201" s="71"/>
      <c r="BA201" s="71"/>
      <c r="BB201" s="82"/>
      <c r="BC201" s="73"/>
      <c r="BD201" s="82"/>
      <c r="BE201" s="73"/>
      <c r="BF201" s="79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</row>
    <row r="202" spans="1:69" x14ac:dyDescent="0.25">
      <c r="A202" s="70"/>
      <c r="B202" s="71"/>
      <c r="C202" s="71"/>
      <c r="D202" s="71"/>
      <c r="E202" s="71"/>
      <c r="F202" s="134"/>
      <c r="G202" s="82"/>
      <c r="H202" s="101"/>
      <c r="I202" s="59"/>
      <c r="J202" s="59"/>
      <c r="K202" s="83"/>
      <c r="L202" s="134"/>
      <c r="M202" s="71"/>
      <c r="N202" s="73"/>
      <c r="O202" s="151"/>
      <c r="P202" s="71"/>
      <c r="Q202" s="73"/>
      <c r="R202" s="73"/>
      <c r="S202" s="83"/>
      <c r="T202" s="71"/>
      <c r="U202" s="151"/>
      <c r="V202" s="151"/>
      <c r="W202" s="71"/>
      <c r="X202" s="79" t="s">
        <v>173</v>
      </c>
      <c r="Y202" s="75" t="s">
        <v>229</v>
      </c>
      <c r="Z202" s="76">
        <v>43428</v>
      </c>
      <c r="AA202" s="77">
        <v>12199</v>
      </c>
      <c r="AB202" s="75" t="s">
        <v>130</v>
      </c>
      <c r="AC202" s="76">
        <v>43070</v>
      </c>
      <c r="AD202" s="76">
        <v>43405</v>
      </c>
      <c r="AE202" s="78"/>
      <c r="AF202" s="79"/>
      <c r="AG202" s="2"/>
      <c r="AH202" s="2"/>
      <c r="AI202" s="80"/>
      <c r="AJ202" s="80"/>
      <c r="AK202" s="2"/>
      <c r="AL202" s="157">
        <f t="shared" si="18"/>
        <v>151200</v>
      </c>
      <c r="AM202" s="163"/>
      <c r="AN202" s="163"/>
      <c r="AO202" s="163"/>
      <c r="AP202" s="163"/>
      <c r="AQ202" s="163"/>
      <c r="AR202" s="7"/>
      <c r="AS202" s="157"/>
      <c r="AT202" s="83"/>
      <c r="AU202" s="74"/>
      <c r="AV202" s="74"/>
      <c r="AW202" s="70"/>
      <c r="AX202" s="71"/>
      <c r="AY202" s="81"/>
      <c r="AZ202" s="71"/>
      <c r="BA202" s="71"/>
      <c r="BB202" s="82"/>
      <c r="BC202" s="73"/>
      <c r="BD202" s="82"/>
      <c r="BE202" s="73"/>
      <c r="BF202" s="79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</row>
    <row r="203" spans="1:69" x14ac:dyDescent="0.25">
      <c r="A203" s="70"/>
      <c r="B203" s="71"/>
      <c r="C203" s="71"/>
      <c r="D203" s="71"/>
      <c r="E203" s="71"/>
      <c r="F203" s="134"/>
      <c r="G203" s="82"/>
      <c r="H203" s="101"/>
      <c r="I203" s="100"/>
      <c r="J203" s="100"/>
      <c r="K203" s="83"/>
      <c r="L203" s="134"/>
      <c r="M203" s="71"/>
      <c r="N203" s="73"/>
      <c r="O203" s="151"/>
      <c r="P203" s="71"/>
      <c r="Q203" s="73"/>
      <c r="R203" s="73"/>
      <c r="S203" s="83"/>
      <c r="T203" s="71"/>
      <c r="U203" s="151"/>
      <c r="V203" s="151"/>
      <c r="W203" s="71"/>
      <c r="X203" s="79" t="s">
        <v>173</v>
      </c>
      <c r="Y203" s="75" t="s">
        <v>229</v>
      </c>
      <c r="Z203" s="76">
        <v>43433</v>
      </c>
      <c r="AA203" s="77">
        <v>12454</v>
      </c>
      <c r="AB203" s="75" t="s">
        <v>130</v>
      </c>
      <c r="AC203" s="76">
        <v>43435</v>
      </c>
      <c r="AD203" s="76">
        <v>43434</v>
      </c>
      <c r="AE203" s="78"/>
      <c r="AF203" s="79"/>
      <c r="AG203" s="2"/>
      <c r="AH203" s="2"/>
      <c r="AI203" s="80"/>
      <c r="AJ203" s="80"/>
      <c r="AK203" s="2"/>
      <c r="AL203" s="157">
        <f t="shared" si="18"/>
        <v>151200</v>
      </c>
      <c r="AM203" s="163"/>
      <c r="AN203" s="163"/>
      <c r="AO203" s="163"/>
      <c r="AP203" s="163"/>
      <c r="AQ203" s="163"/>
      <c r="AR203" s="7"/>
      <c r="AS203" s="157"/>
      <c r="AT203" s="83"/>
      <c r="AU203" s="74"/>
      <c r="AV203" s="74"/>
      <c r="AW203" s="70"/>
      <c r="AX203" s="71"/>
      <c r="AY203" s="81"/>
      <c r="AZ203" s="71"/>
      <c r="BA203" s="71"/>
      <c r="BB203" s="82"/>
      <c r="BC203" s="73"/>
      <c r="BD203" s="82"/>
      <c r="BE203" s="73"/>
      <c r="BF203" s="79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</row>
    <row r="204" spans="1:69" x14ac:dyDescent="0.25">
      <c r="A204" s="70"/>
      <c r="B204" s="71"/>
      <c r="C204" s="71"/>
      <c r="D204" s="71"/>
      <c r="E204" s="71"/>
      <c r="F204" s="134"/>
      <c r="G204" s="82"/>
      <c r="H204" s="101"/>
      <c r="I204" s="101"/>
      <c r="J204" s="101"/>
      <c r="K204" s="83"/>
      <c r="L204" s="134"/>
      <c r="M204" s="71"/>
      <c r="N204" s="73"/>
      <c r="O204" s="151"/>
      <c r="P204" s="71"/>
      <c r="Q204" s="73"/>
      <c r="R204" s="73"/>
      <c r="S204" s="83"/>
      <c r="T204" s="71"/>
      <c r="U204" s="151"/>
      <c r="V204" s="151"/>
      <c r="W204" s="71"/>
      <c r="X204" s="79" t="s">
        <v>173</v>
      </c>
      <c r="Y204" s="75" t="s">
        <v>230</v>
      </c>
      <c r="Z204" s="76">
        <v>43767</v>
      </c>
      <c r="AA204" s="77">
        <v>12454</v>
      </c>
      <c r="AB204" s="75" t="s">
        <v>130</v>
      </c>
      <c r="AC204" s="76">
        <v>43800</v>
      </c>
      <c r="AD204" s="76">
        <v>43799</v>
      </c>
      <c r="AE204" s="78"/>
      <c r="AF204" s="79"/>
      <c r="AG204" s="2"/>
      <c r="AH204" s="2"/>
      <c r="AI204" s="80"/>
      <c r="AJ204" s="80"/>
      <c r="AK204" s="2"/>
      <c r="AL204" s="157">
        <f t="shared" si="18"/>
        <v>151200</v>
      </c>
      <c r="AM204" s="163"/>
      <c r="AN204" s="163"/>
      <c r="AO204" s="163"/>
      <c r="AP204" s="163"/>
      <c r="AQ204" s="163"/>
      <c r="AR204" s="7"/>
      <c r="AS204" s="157"/>
      <c r="AT204" s="83"/>
      <c r="AU204" s="74"/>
      <c r="AV204" s="74"/>
      <c r="AW204" s="70"/>
      <c r="AX204" s="71"/>
      <c r="AY204" s="81"/>
      <c r="AZ204" s="71"/>
      <c r="BA204" s="71"/>
      <c r="BB204" s="82"/>
      <c r="BC204" s="73"/>
      <c r="BD204" s="82"/>
      <c r="BE204" s="73"/>
      <c r="BF204" s="79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</row>
    <row r="205" spans="1:69" x14ac:dyDescent="0.25">
      <c r="A205" s="70"/>
      <c r="B205" s="71"/>
      <c r="C205" s="71"/>
      <c r="D205" s="71"/>
      <c r="E205" s="71"/>
      <c r="F205" s="134"/>
      <c r="G205" s="82"/>
      <c r="H205" s="101"/>
      <c r="I205" s="101"/>
      <c r="J205" s="101"/>
      <c r="K205" s="83"/>
      <c r="L205" s="134"/>
      <c r="M205" s="71"/>
      <c r="N205" s="73"/>
      <c r="O205" s="151"/>
      <c r="P205" s="71"/>
      <c r="Q205" s="73"/>
      <c r="R205" s="73"/>
      <c r="S205" s="83"/>
      <c r="T205" s="71"/>
      <c r="U205" s="151"/>
      <c r="V205" s="151"/>
      <c r="W205" s="71"/>
      <c r="X205" s="79" t="s">
        <v>173</v>
      </c>
      <c r="Y205" s="75" t="s">
        <v>231</v>
      </c>
      <c r="Z205" s="76">
        <v>43816</v>
      </c>
      <c r="AA205" s="77">
        <v>12715</v>
      </c>
      <c r="AB205" s="75" t="s">
        <v>130</v>
      </c>
      <c r="AC205" s="76">
        <v>43800</v>
      </c>
      <c r="AD205" s="76" t="s">
        <v>264</v>
      </c>
      <c r="AE205" s="78"/>
      <c r="AF205" s="79"/>
      <c r="AG205" s="2"/>
      <c r="AH205" s="2"/>
      <c r="AI205" s="80"/>
      <c r="AJ205" s="80"/>
      <c r="AK205" s="2"/>
      <c r="AL205" s="157">
        <f t="shared" si="18"/>
        <v>151200</v>
      </c>
      <c r="AM205" s="163"/>
      <c r="AN205" s="163"/>
      <c r="AO205" s="163"/>
      <c r="AP205" s="163"/>
      <c r="AQ205" s="163"/>
      <c r="AR205" s="7"/>
      <c r="AS205" s="157"/>
      <c r="AT205" s="83"/>
      <c r="AU205" s="74"/>
      <c r="AV205" s="74"/>
      <c r="AW205" s="70"/>
      <c r="AX205" s="71"/>
      <c r="AY205" s="81"/>
      <c r="AZ205" s="71"/>
      <c r="BA205" s="71"/>
      <c r="BB205" s="82"/>
      <c r="BC205" s="73"/>
      <c r="BD205" s="82"/>
      <c r="BE205" s="73"/>
      <c r="BF205" s="79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</row>
    <row r="206" spans="1:69" x14ac:dyDescent="0.25">
      <c r="A206" s="70"/>
      <c r="B206" s="71"/>
      <c r="C206" s="71"/>
      <c r="D206" s="71"/>
      <c r="E206" s="71"/>
      <c r="F206" s="134"/>
      <c r="G206" s="82"/>
      <c r="H206" s="101"/>
      <c r="I206" s="101"/>
      <c r="J206" s="101"/>
      <c r="K206" s="83"/>
      <c r="L206" s="134"/>
      <c r="M206" s="71"/>
      <c r="N206" s="73"/>
      <c r="O206" s="151"/>
      <c r="P206" s="71"/>
      <c r="Q206" s="73"/>
      <c r="R206" s="73"/>
      <c r="S206" s="83"/>
      <c r="T206" s="71"/>
      <c r="U206" s="151"/>
      <c r="V206" s="151"/>
      <c r="W206" s="71"/>
      <c r="X206" s="79" t="s">
        <v>173</v>
      </c>
      <c r="Y206" s="75" t="s">
        <v>301</v>
      </c>
      <c r="Z206" s="76">
        <v>44166</v>
      </c>
      <c r="AA206" s="77">
        <v>12934</v>
      </c>
      <c r="AB206" s="75" t="s">
        <v>309</v>
      </c>
      <c r="AC206" s="76">
        <v>44166</v>
      </c>
      <c r="AD206" s="76">
        <v>44255</v>
      </c>
      <c r="AE206" s="78"/>
      <c r="AF206" s="79"/>
      <c r="AG206" s="2"/>
      <c r="AH206" s="2"/>
      <c r="AI206" s="80"/>
      <c r="AJ206" s="80"/>
      <c r="AK206" s="2"/>
      <c r="AL206" s="157">
        <f t="shared" si="18"/>
        <v>151200</v>
      </c>
      <c r="AM206" s="163"/>
      <c r="AN206" s="163"/>
      <c r="AO206" s="163"/>
      <c r="AP206" s="163"/>
      <c r="AQ206" s="163"/>
      <c r="AR206" s="7"/>
      <c r="AS206" s="157"/>
      <c r="AT206" s="83"/>
      <c r="AU206" s="74"/>
      <c r="AV206" s="74"/>
      <c r="AW206" s="70"/>
      <c r="AX206" s="71"/>
      <c r="AY206" s="81"/>
      <c r="AZ206" s="71"/>
      <c r="BA206" s="71"/>
      <c r="BB206" s="82"/>
      <c r="BC206" s="73"/>
      <c r="BD206" s="82"/>
      <c r="BE206" s="73"/>
      <c r="BF206" s="79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</row>
    <row r="207" spans="1:69" x14ac:dyDescent="0.25">
      <c r="A207" s="70"/>
      <c r="B207" s="71"/>
      <c r="C207" s="71"/>
      <c r="D207" s="71"/>
      <c r="E207" s="71"/>
      <c r="F207" s="134"/>
      <c r="G207" s="82"/>
      <c r="H207" s="101"/>
      <c r="I207" s="101"/>
      <c r="J207" s="101"/>
      <c r="K207" s="83"/>
      <c r="L207" s="134"/>
      <c r="M207" s="71"/>
      <c r="N207" s="73"/>
      <c r="O207" s="151"/>
      <c r="P207" s="71"/>
      <c r="Q207" s="73"/>
      <c r="R207" s="73"/>
      <c r="S207" s="83"/>
      <c r="T207" s="71"/>
      <c r="U207" s="151"/>
      <c r="V207" s="151"/>
      <c r="W207" s="71"/>
      <c r="X207" s="79" t="s">
        <v>173</v>
      </c>
      <c r="Y207" s="75" t="s">
        <v>302</v>
      </c>
      <c r="Z207" s="76">
        <v>44256</v>
      </c>
      <c r="AA207" s="77">
        <v>12994</v>
      </c>
      <c r="AB207" s="75" t="s">
        <v>310</v>
      </c>
      <c r="AC207" s="76">
        <v>44256</v>
      </c>
      <c r="AD207" s="76">
        <v>44439</v>
      </c>
      <c r="AE207" s="78"/>
      <c r="AF207" s="79"/>
      <c r="AG207" s="2"/>
      <c r="AH207" s="2"/>
      <c r="AI207" s="80"/>
      <c r="AJ207" s="80"/>
      <c r="AK207" s="2"/>
      <c r="AL207" s="157">
        <f t="shared" si="18"/>
        <v>151200</v>
      </c>
      <c r="AM207" s="163"/>
      <c r="AN207" s="163"/>
      <c r="AO207" s="163"/>
      <c r="AP207" s="163"/>
      <c r="AQ207" s="163"/>
      <c r="AR207" s="7"/>
      <c r="AS207" s="157"/>
      <c r="AT207" s="83"/>
      <c r="AU207" s="74"/>
      <c r="AV207" s="74"/>
      <c r="AW207" s="70"/>
      <c r="AX207" s="71"/>
      <c r="AY207" s="81"/>
      <c r="AZ207" s="71"/>
      <c r="BA207" s="71"/>
      <c r="BB207" s="82"/>
      <c r="BC207" s="73"/>
      <c r="BD207" s="82"/>
      <c r="BE207" s="73"/>
      <c r="BF207" s="79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</row>
    <row r="208" spans="1:69" x14ac:dyDescent="0.25">
      <c r="A208" s="70"/>
      <c r="B208" s="71"/>
      <c r="C208" s="71"/>
      <c r="D208" s="71"/>
      <c r="E208" s="71"/>
      <c r="F208" s="134"/>
      <c r="G208" s="82"/>
      <c r="H208" s="101"/>
      <c r="I208" s="101"/>
      <c r="J208" s="101"/>
      <c r="K208" s="83"/>
      <c r="L208" s="134"/>
      <c r="M208" s="71"/>
      <c r="N208" s="73"/>
      <c r="O208" s="151"/>
      <c r="P208" s="71"/>
      <c r="Q208" s="73"/>
      <c r="R208" s="73"/>
      <c r="S208" s="83"/>
      <c r="T208" s="71"/>
      <c r="U208" s="151"/>
      <c r="V208" s="151"/>
      <c r="W208" s="71"/>
      <c r="X208" s="79" t="s">
        <v>173</v>
      </c>
      <c r="Y208" s="75" t="s">
        <v>303</v>
      </c>
      <c r="Z208" s="76">
        <v>44440</v>
      </c>
      <c r="AA208" s="77">
        <v>13119</v>
      </c>
      <c r="AB208" s="75" t="s">
        <v>311</v>
      </c>
      <c r="AC208" s="76">
        <v>44440</v>
      </c>
      <c r="AD208" s="76">
        <v>44561</v>
      </c>
      <c r="AE208" s="78"/>
      <c r="AF208" s="79"/>
      <c r="AG208" s="2"/>
      <c r="AH208" s="2"/>
      <c r="AI208" s="80"/>
      <c r="AJ208" s="80"/>
      <c r="AK208" s="2"/>
      <c r="AL208" s="157">
        <f t="shared" si="18"/>
        <v>151200</v>
      </c>
      <c r="AM208" s="163"/>
      <c r="AN208" s="163"/>
      <c r="AO208" s="163"/>
      <c r="AP208" s="163"/>
      <c r="AQ208" s="163"/>
      <c r="AR208" s="7"/>
      <c r="AS208" s="157"/>
      <c r="AT208" s="83"/>
      <c r="AU208" s="74"/>
      <c r="AV208" s="74"/>
      <c r="AW208" s="70"/>
      <c r="AX208" s="71"/>
      <c r="AY208" s="81"/>
      <c r="AZ208" s="71"/>
      <c r="BA208" s="71"/>
      <c r="BB208" s="82"/>
      <c r="BC208" s="73"/>
      <c r="BD208" s="82"/>
      <c r="BE208" s="73"/>
      <c r="BF208" s="79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</row>
    <row r="209" spans="1:69" x14ac:dyDescent="0.25">
      <c r="A209" s="70"/>
      <c r="B209" s="71"/>
      <c r="C209" s="71"/>
      <c r="D209" s="71"/>
      <c r="E209" s="71"/>
      <c r="F209" s="134"/>
      <c r="G209" s="82"/>
      <c r="H209" s="101"/>
      <c r="I209" s="101"/>
      <c r="J209" s="101"/>
      <c r="K209" s="83"/>
      <c r="L209" s="134"/>
      <c r="M209" s="71"/>
      <c r="N209" s="73"/>
      <c r="O209" s="151"/>
      <c r="P209" s="71"/>
      <c r="Q209" s="73"/>
      <c r="R209" s="73"/>
      <c r="S209" s="83"/>
      <c r="T209" s="71"/>
      <c r="U209" s="151"/>
      <c r="V209" s="151"/>
      <c r="W209" s="71"/>
      <c r="X209" s="79" t="s">
        <v>173</v>
      </c>
      <c r="Y209" s="75" t="s">
        <v>352</v>
      </c>
      <c r="Z209" s="76">
        <v>44553</v>
      </c>
      <c r="AA209" s="77">
        <v>13199</v>
      </c>
      <c r="AB209" s="75" t="s">
        <v>372</v>
      </c>
      <c r="AC209" s="75" t="s">
        <v>370</v>
      </c>
      <c r="AD209" s="75" t="s">
        <v>371</v>
      </c>
      <c r="AE209" s="78"/>
      <c r="AF209" s="79"/>
      <c r="AG209" s="2"/>
      <c r="AH209" s="2"/>
      <c r="AI209" s="80"/>
      <c r="AJ209" s="80"/>
      <c r="AK209" s="2"/>
      <c r="AL209" s="157">
        <f t="shared" si="18"/>
        <v>151200</v>
      </c>
      <c r="AM209" s="163"/>
      <c r="AN209" s="163"/>
      <c r="AO209" s="163"/>
      <c r="AP209" s="163"/>
      <c r="AQ209" s="163"/>
      <c r="AR209" s="7"/>
      <c r="AS209" s="157"/>
      <c r="AT209" s="83"/>
      <c r="AU209" s="74"/>
      <c r="AV209" s="74"/>
      <c r="AW209" s="70"/>
      <c r="AX209" s="71"/>
      <c r="AY209" s="81"/>
      <c r="AZ209" s="71"/>
      <c r="BA209" s="71"/>
      <c r="BB209" s="82"/>
      <c r="BC209" s="73"/>
      <c r="BD209" s="82"/>
      <c r="BE209" s="73"/>
      <c r="BF209" s="79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</row>
    <row r="210" spans="1:69" ht="25.5" x14ac:dyDescent="0.25">
      <c r="A210" s="70"/>
      <c r="B210" s="71"/>
      <c r="C210" s="71"/>
      <c r="D210" s="71"/>
      <c r="E210" s="71"/>
      <c r="F210" s="134"/>
      <c r="G210" s="82"/>
      <c r="H210" s="101"/>
      <c r="I210" s="101"/>
      <c r="J210" s="101"/>
      <c r="K210" s="83"/>
      <c r="L210" s="134"/>
      <c r="M210" s="71"/>
      <c r="N210" s="73"/>
      <c r="O210" s="151"/>
      <c r="P210" s="71"/>
      <c r="Q210" s="73"/>
      <c r="R210" s="73"/>
      <c r="S210" s="83"/>
      <c r="T210" s="71"/>
      <c r="U210" s="151"/>
      <c r="V210" s="151"/>
      <c r="W210" s="71"/>
      <c r="X210" s="79" t="s">
        <v>173</v>
      </c>
      <c r="Y210" s="75" t="s">
        <v>420</v>
      </c>
      <c r="Z210" s="76">
        <v>44922</v>
      </c>
      <c r="AA210" s="77">
        <v>13445</v>
      </c>
      <c r="AB210" s="75" t="s">
        <v>463</v>
      </c>
      <c r="AC210" s="75" t="s">
        <v>418</v>
      </c>
      <c r="AD210" s="75" t="s">
        <v>419</v>
      </c>
      <c r="AE210" s="78">
        <f>AG210/AL209</f>
        <v>0.23280072751322753</v>
      </c>
      <c r="AF210" s="79"/>
      <c r="AG210" s="2">
        <v>35199.47</v>
      </c>
      <c r="AH210" s="2"/>
      <c r="AI210" s="80"/>
      <c r="AJ210" s="80"/>
      <c r="AK210" s="2"/>
      <c r="AL210" s="157">
        <f t="shared" si="18"/>
        <v>186399.47</v>
      </c>
      <c r="AM210" s="163"/>
      <c r="AN210" s="163"/>
      <c r="AO210" s="163"/>
      <c r="AP210" s="163"/>
      <c r="AQ210" s="163"/>
      <c r="AR210" s="7"/>
      <c r="AS210" s="157"/>
      <c r="AT210" s="83"/>
      <c r="AU210" s="74"/>
      <c r="AV210" s="74"/>
      <c r="AW210" s="70"/>
      <c r="AX210" s="71"/>
      <c r="AY210" s="81"/>
      <c r="AZ210" s="71"/>
      <c r="BA210" s="71"/>
      <c r="BB210" s="82"/>
      <c r="BC210" s="73"/>
      <c r="BD210" s="82"/>
      <c r="BE210" s="73"/>
      <c r="BF210" s="79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</row>
    <row r="211" spans="1:69" x14ac:dyDescent="0.25">
      <c r="A211" s="70"/>
      <c r="B211" s="71"/>
      <c r="C211" s="71"/>
      <c r="D211" s="71"/>
      <c r="E211" s="71"/>
      <c r="F211" s="134"/>
      <c r="G211" s="82"/>
      <c r="H211" s="59"/>
      <c r="I211" s="59"/>
      <c r="J211" s="59"/>
      <c r="K211" s="83"/>
      <c r="L211" s="134"/>
      <c r="M211" s="71"/>
      <c r="N211" s="73"/>
      <c r="O211" s="151"/>
      <c r="P211" s="71"/>
      <c r="Q211" s="73"/>
      <c r="R211" s="73"/>
      <c r="S211" s="83"/>
      <c r="T211" s="71"/>
      <c r="U211" s="151"/>
      <c r="V211" s="151"/>
      <c r="W211" s="71"/>
      <c r="X211" s="79" t="s">
        <v>545</v>
      </c>
      <c r="Y211" s="75" t="s">
        <v>550</v>
      </c>
      <c r="Z211" s="76">
        <v>45278</v>
      </c>
      <c r="AA211" s="77">
        <v>13686</v>
      </c>
      <c r="AB211" s="75" t="s">
        <v>322</v>
      </c>
      <c r="AC211" s="76">
        <v>45292</v>
      </c>
      <c r="AD211" s="76">
        <v>45657</v>
      </c>
      <c r="AE211" s="78"/>
      <c r="AF211" s="79"/>
      <c r="AG211" s="2"/>
      <c r="AH211" s="2"/>
      <c r="AI211" s="80"/>
      <c r="AJ211" s="80"/>
      <c r="AK211" s="2"/>
      <c r="AL211" s="157">
        <f t="shared" si="18"/>
        <v>151200</v>
      </c>
      <c r="AM211" s="163"/>
      <c r="AN211" s="163"/>
      <c r="AO211" s="163"/>
      <c r="AP211" s="163"/>
      <c r="AQ211" s="163"/>
      <c r="AR211" s="7"/>
      <c r="AS211" s="157"/>
      <c r="AT211" s="83"/>
      <c r="AU211" s="74"/>
      <c r="AV211" s="74"/>
      <c r="AW211" s="70"/>
      <c r="AX211" s="71"/>
      <c r="AY211" s="81"/>
      <c r="AZ211" s="71"/>
      <c r="BA211" s="71"/>
      <c r="BB211" s="82"/>
      <c r="BC211" s="73"/>
      <c r="BD211" s="82"/>
      <c r="BE211" s="73"/>
      <c r="BF211" s="79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</row>
    <row r="212" spans="1:69" x14ac:dyDescent="0.25">
      <c r="A212" s="70">
        <v>55</v>
      </c>
      <c r="B212" s="71" t="s">
        <v>100</v>
      </c>
      <c r="C212" s="71"/>
      <c r="D212" s="71" t="s">
        <v>115</v>
      </c>
      <c r="E212" s="71" t="s">
        <v>102</v>
      </c>
      <c r="F212" s="134" t="s">
        <v>111</v>
      </c>
      <c r="G212" s="82"/>
      <c r="H212" s="71"/>
      <c r="I212" s="71"/>
      <c r="J212" s="71"/>
      <c r="K212" s="83" t="s">
        <v>113</v>
      </c>
      <c r="L212" s="134" t="s">
        <v>109</v>
      </c>
      <c r="M212" s="71" t="s">
        <v>117</v>
      </c>
      <c r="N212" s="73">
        <v>40990</v>
      </c>
      <c r="O212" s="151">
        <v>102903.13</v>
      </c>
      <c r="P212" s="71">
        <v>10769</v>
      </c>
      <c r="Q212" s="73">
        <v>40988</v>
      </c>
      <c r="R212" s="73">
        <v>41639</v>
      </c>
      <c r="S212" s="83" t="s">
        <v>104</v>
      </c>
      <c r="T212" s="71"/>
      <c r="U212" s="151"/>
      <c r="V212" s="151"/>
      <c r="W212" s="71" t="s">
        <v>106</v>
      </c>
      <c r="X212" s="75"/>
      <c r="Y212" s="75"/>
      <c r="Z212" s="79"/>
      <c r="AA212" s="77"/>
      <c r="AB212" s="75"/>
      <c r="AC212" s="79"/>
      <c r="AD212" s="79"/>
      <c r="AE212" s="78"/>
      <c r="AF212" s="81"/>
      <c r="AG212" s="2"/>
      <c r="AH212" s="2"/>
      <c r="AI212" s="78"/>
      <c r="AJ212" s="78"/>
      <c r="AK212" s="2"/>
      <c r="AL212" s="157">
        <f>$O$212-AH212+AG212+AK212</f>
        <v>102903.13</v>
      </c>
      <c r="AM212" s="163">
        <f>786015.29+13083.58+13083.58+13083.58+13083.58+13083.58+13083.58+26167.16+13083.58+13083.58+13083.58+13083.58+13083.58+13083.58+13083.58+13083.58+13083.58+13083.58+13083.58+13083.58+13083.58+157002.96+13083.58+26167.16+13083.58+13083.58+13083.58+13083.58+13083.58+13083.58+39250.74+183293.04+195413.64</f>
        <v>1753483.0699999998</v>
      </c>
      <c r="AN212" s="163">
        <f>16284.47</f>
        <v>16284.47</v>
      </c>
      <c r="AO212" s="163"/>
      <c r="AP212" s="163"/>
      <c r="AQ212" s="163"/>
      <c r="AR212" s="7">
        <f>AQ212+AP212+AO212+AN212</f>
        <v>16284.47</v>
      </c>
      <c r="AS212" s="157">
        <f>AR212+AM212</f>
        <v>1769767.5399999998</v>
      </c>
      <c r="AT212" s="71"/>
      <c r="AU212" s="71"/>
      <c r="AV212" s="71"/>
      <c r="AW212" s="82"/>
      <c r="AX212" s="71"/>
      <c r="AY212" s="70"/>
      <c r="AZ212" s="71" t="s">
        <v>128</v>
      </c>
      <c r="BA212" s="71" t="s">
        <v>114</v>
      </c>
      <c r="BB212" s="82">
        <v>10759</v>
      </c>
      <c r="BC212" s="73">
        <v>40975</v>
      </c>
      <c r="BD212" s="82">
        <v>10759</v>
      </c>
      <c r="BE212" s="73">
        <v>40977</v>
      </c>
      <c r="BF212" s="79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</row>
    <row r="213" spans="1:69" x14ac:dyDescent="0.25">
      <c r="A213" s="70"/>
      <c r="B213" s="71"/>
      <c r="C213" s="71"/>
      <c r="D213" s="71"/>
      <c r="E213" s="71"/>
      <c r="F213" s="134"/>
      <c r="G213" s="82"/>
      <c r="H213" s="71"/>
      <c r="I213" s="71"/>
      <c r="J213" s="71"/>
      <c r="K213" s="83"/>
      <c r="L213" s="134"/>
      <c r="M213" s="71"/>
      <c r="N213" s="73"/>
      <c r="O213" s="151"/>
      <c r="P213" s="71"/>
      <c r="Q213" s="73"/>
      <c r="R213" s="73"/>
      <c r="S213" s="83"/>
      <c r="T213" s="71"/>
      <c r="U213" s="151"/>
      <c r="V213" s="151"/>
      <c r="W213" s="71"/>
      <c r="X213" s="79" t="s">
        <v>173</v>
      </c>
      <c r="Y213" s="75" t="s">
        <v>187</v>
      </c>
      <c r="Z213" s="76">
        <v>41275</v>
      </c>
      <c r="AA213" s="77">
        <v>10951</v>
      </c>
      <c r="AB213" s="75" t="s">
        <v>130</v>
      </c>
      <c r="AC213" s="76">
        <v>41275</v>
      </c>
      <c r="AD213" s="76">
        <v>41639</v>
      </c>
      <c r="AE213" s="78"/>
      <c r="AF213" s="79"/>
      <c r="AG213" s="2"/>
      <c r="AH213" s="2"/>
      <c r="AI213" s="78"/>
      <c r="AJ213" s="78"/>
      <c r="AK213" s="2"/>
      <c r="AL213" s="157">
        <f t="shared" ref="AL213:AL228" si="19">$O$212-AH213+AG213+AK213</f>
        <v>102903.13</v>
      </c>
      <c r="AM213" s="163"/>
      <c r="AN213" s="163"/>
      <c r="AO213" s="163"/>
      <c r="AP213" s="163"/>
      <c r="AQ213" s="163"/>
      <c r="AR213" s="7"/>
      <c r="AS213" s="157"/>
      <c r="AT213" s="71"/>
      <c r="AU213" s="71"/>
      <c r="AV213" s="71"/>
      <c r="AW213" s="82"/>
      <c r="AX213" s="71"/>
      <c r="AY213" s="70"/>
      <c r="AZ213" s="71"/>
      <c r="BA213" s="71"/>
      <c r="BB213" s="82"/>
      <c r="BC213" s="73"/>
      <c r="BD213" s="82"/>
      <c r="BE213" s="73"/>
      <c r="BF213" s="79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</row>
    <row r="214" spans="1:69" ht="25.5" x14ac:dyDescent="0.25">
      <c r="A214" s="70"/>
      <c r="B214" s="71"/>
      <c r="C214" s="71"/>
      <c r="D214" s="71"/>
      <c r="E214" s="71"/>
      <c r="F214" s="134"/>
      <c r="G214" s="82"/>
      <c r="H214" s="71"/>
      <c r="I214" s="71"/>
      <c r="J214" s="71"/>
      <c r="K214" s="83"/>
      <c r="L214" s="134"/>
      <c r="M214" s="71"/>
      <c r="N214" s="73"/>
      <c r="O214" s="151"/>
      <c r="P214" s="71"/>
      <c r="Q214" s="73"/>
      <c r="R214" s="73"/>
      <c r="S214" s="83"/>
      <c r="T214" s="71"/>
      <c r="U214" s="151"/>
      <c r="V214" s="151"/>
      <c r="W214" s="71"/>
      <c r="X214" s="75" t="s">
        <v>185</v>
      </c>
      <c r="Y214" s="75" t="s">
        <v>196</v>
      </c>
      <c r="Z214" s="76">
        <v>41366</v>
      </c>
      <c r="AA214" s="77"/>
      <c r="AB214" s="75" t="s">
        <v>131</v>
      </c>
      <c r="AC214" s="76">
        <v>41275</v>
      </c>
      <c r="AD214" s="76">
        <v>41639</v>
      </c>
      <c r="AE214" s="78"/>
      <c r="AF214" s="79"/>
      <c r="AG214" s="2"/>
      <c r="AH214" s="2"/>
      <c r="AI214" s="78"/>
      <c r="AJ214" s="78">
        <f>AK214/AL212</f>
        <v>8.3266466238684875E-2</v>
      </c>
      <c r="AK214" s="2">
        <f>(911.53*9)+364.61</f>
        <v>8568.380000000001</v>
      </c>
      <c r="AL214" s="157">
        <f t="shared" si="19"/>
        <v>111471.51000000001</v>
      </c>
      <c r="AM214" s="163"/>
      <c r="AN214" s="163"/>
      <c r="AO214" s="163"/>
      <c r="AP214" s="163"/>
      <c r="AQ214" s="163"/>
      <c r="AR214" s="7"/>
      <c r="AS214" s="157"/>
      <c r="AT214" s="71"/>
      <c r="AU214" s="71"/>
      <c r="AV214" s="71"/>
      <c r="AW214" s="82"/>
      <c r="AX214" s="71"/>
      <c r="AY214" s="70"/>
      <c r="AZ214" s="71"/>
      <c r="BA214" s="71"/>
      <c r="BB214" s="82"/>
      <c r="BC214" s="73"/>
      <c r="BD214" s="82"/>
      <c r="BE214" s="73"/>
      <c r="BF214" s="79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</row>
    <row r="215" spans="1:69" x14ac:dyDescent="0.25">
      <c r="A215" s="70"/>
      <c r="B215" s="71"/>
      <c r="C215" s="71"/>
      <c r="D215" s="71"/>
      <c r="E215" s="71"/>
      <c r="F215" s="134"/>
      <c r="G215" s="82"/>
      <c r="H215" s="71"/>
      <c r="I215" s="71"/>
      <c r="J215" s="71"/>
      <c r="K215" s="83"/>
      <c r="L215" s="134"/>
      <c r="M215" s="71"/>
      <c r="N215" s="73"/>
      <c r="O215" s="151"/>
      <c r="P215" s="71"/>
      <c r="Q215" s="73"/>
      <c r="R215" s="73"/>
      <c r="S215" s="83"/>
      <c r="T215" s="71"/>
      <c r="U215" s="151"/>
      <c r="V215" s="151"/>
      <c r="W215" s="71"/>
      <c r="X215" s="79" t="s">
        <v>173</v>
      </c>
      <c r="Y215" s="75" t="s">
        <v>175</v>
      </c>
      <c r="Z215" s="76">
        <v>41631</v>
      </c>
      <c r="AA215" s="77">
        <v>11221</v>
      </c>
      <c r="AB215" s="75" t="s">
        <v>130</v>
      </c>
      <c r="AC215" s="76">
        <v>41640</v>
      </c>
      <c r="AD215" s="76">
        <v>42004</v>
      </c>
      <c r="AE215" s="78"/>
      <c r="AF215" s="79"/>
      <c r="AG215" s="2"/>
      <c r="AH215" s="2"/>
      <c r="AI215" s="78"/>
      <c r="AJ215" s="78"/>
      <c r="AK215" s="2"/>
      <c r="AL215" s="157">
        <f t="shared" si="19"/>
        <v>102903.13</v>
      </c>
      <c r="AM215" s="163"/>
      <c r="AN215" s="163"/>
      <c r="AO215" s="163"/>
      <c r="AP215" s="163"/>
      <c r="AQ215" s="163"/>
      <c r="AR215" s="7"/>
      <c r="AS215" s="157"/>
      <c r="AT215" s="71"/>
      <c r="AU215" s="71"/>
      <c r="AV215" s="71"/>
      <c r="AW215" s="82"/>
      <c r="AX215" s="71"/>
      <c r="AY215" s="70"/>
      <c r="AZ215" s="71"/>
      <c r="BA215" s="71"/>
      <c r="BB215" s="82"/>
      <c r="BC215" s="73"/>
      <c r="BD215" s="82"/>
      <c r="BE215" s="73"/>
      <c r="BF215" s="79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</row>
    <row r="216" spans="1:69" ht="25.5" x14ac:dyDescent="0.25">
      <c r="A216" s="70"/>
      <c r="B216" s="71"/>
      <c r="C216" s="71"/>
      <c r="D216" s="71"/>
      <c r="E216" s="71"/>
      <c r="F216" s="134"/>
      <c r="G216" s="82"/>
      <c r="H216" s="71"/>
      <c r="I216" s="71"/>
      <c r="J216" s="71"/>
      <c r="K216" s="83"/>
      <c r="L216" s="134"/>
      <c r="M216" s="71"/>
      <c r="N216" s="73"/>
      <c r="O216" s="151"/>
      <c r="P216" s="71"/>
      <c r="Q216" s="73"/>
      <c r="R216" s="73"/>
      <c r="S216" s="83"/>
      <c r="T216" s="71"/>
      <c r="U216" s="151"/>
      <c r="V216" s="151"/>
      <c r="W216" s="71"/>
      <c r="X216" s="75" t="s">
        <v>183</v>
      </c>
      <c r="Y216" s="75" t="s">
        <v>187</v>
      </c>
      <c r="Z216" s="76">
        <v>41738</v>
      </c>
      <c r="AA216" s="77">
        <v>11288</v>
      </c>
      <c r="AB216" s="75" t="s">
        <v>131</v>
      </c>
      <c r="AC216" s="76">
        <v>41640</v>
      </c>
      <c r="AD216" s="76">
        <v>42004</v>
      </c>
      <c r="AE216" s="78"/>
      <c r="AF216" s="79"/>
      <c r="AG216" s="2"/>
      <c r="AH216" s="2"/>
      <c r="AI216" s="78"/>
      <c r="AJ216" s="78">
        <f>AK216/AL214</f>
        <v>5.7728562212891882E-2</v>
      </c>
      <c r="AK216" s="2">
        <f>(687.02*9)+251.91</f>
        <v>6435.09</v>
      </c>
      <c r="AL216" s="157">
        <f t="shared" si="19"/>
        <v>109338.22</v>
      </c>
      <c r="AM216" s="163"/>
      <c r="AN216" s="163"/>
      <c r="AO216" s="163"/>
      <c r="AP216" s="163"/>
      <c r="AQ216" s="163"/>
      <c r="AR216" s="7"/>
      <c r="AS216" s="157"/>
      <c r="AT216" s="71"/>
      <c r="AU216" s="71"/>
      <c r="AV216" s="71"/>
      <c r="AW216" s="82"/>
      <c r="AX216" s="71"/>
      <c r="AY216" s="70"/>
      <c r="AZ216" s="71"/>
      <c r="BA216" s="71"/>
      <c r="BB216" s="82"/>
      <c r="BC216" s="73"/>
      <c r="BD216" s="82"/>
      <c r="BE216" s="73"/>
      <c r="BF216" s="79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</row>
    <row r="217" spans="1:69" x14ac:dyDescent="0.25">
      <c r="A217" s="70"/>
      <c r="B217" s="71"/>
      <c r="C217" s="71"/>
      <c r="D217" s="71"/>
      <c r="E217" s="71"/>
      <c r="F217" s="134"/>
      <c r="G217" s="82"/>
      <c r="H217" s="71"/>
      <c r="I217" s="71"/>
      <c r="J217" s="71"/>
      <c r="K217" s="83"/>
      <c r="L217" s="134"/>
      <c r="M217" s="71"/>
      <c r="N217" s="73"/>
      <c r="O217" s="151"/>
      <c r="P217" s="71"/>
      <c r="Q217" s="73"/>
      <c r="R217" s="73"/>
      <c r="S217" s="83"/>
      <c r="T217" s="71"/>
      <c r="U217" s="151"/>
      <c r="V217" s="151"/>
      <c r="W217" s="71"/>
      <c r="X217" s="79" t="s">
        <v>173</v>
      </c>
      <c r="Y217" s="75" t="s">
        <v>176</v>
      </c>
      <c r="Z217" s="76">
        <v>42003</v>
      </c>
      <c r="AA217" s="77">
        <v>11646</v>
      </c>
      <c r="AB217" s="75" t="s">
        <v>130</v>
      </c>
      <c r="AC217" s="76">
        <v>42005</v>
      </c>
      <c r="AD217" s="76">
        <v>42369</v>
      </c>
      <c r="AE217" s="78"/>
      <c r="AF217" s="79"/>
      <c r="AG217" s="2"/>
      <c r="AH217" s="2"/>
      <c r="AI217" s="78"/>
      <c r="AJ217" s="78"/>
      <c r="AK217" s="2"/>
      <c r="AL217" s="157">
        <f t="shared" si="19"/>
        <v>102903.13</v>
      </c>
      <c r="AM217" s="163"/>
      <c r="AN217" s="163"/>
      <c r="AO217" s="163"/>
      <c r="AP217" s="163"/>
      <c r="AQ217" s="163"/>
      <c r="AR217" s="7"/>
      <c r="AS217" s="157"/>
      <c r="AT217" s="71"/>
      <c r="AU217" s="71"/>
      <c r="AV217" s="71"/>
      <c r="AW217" s="82"/>
      <c r="AX217" s="71"/>
      <c r="AY217" s="70"/>
      <c r="AZ217" s="71"/>
      <c r="BA217" s="71"/>
      <c r="BB217" s="82"/>
      <c r="BC217" s="73"/>
      <c r="BD217" s="82"/>
      <c r="BE217" s="73"/>
      <c r="BF217" s="79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</row>
    <row r="218" spans="1:69" ht="25.5" x14ac:dyDescent="0.25">
      <c r="A218" s="70"/>
      <c r="B218" s="71"/>
      <c r="C218" s="71"/>
      <c r="D218" s="71"/>
      <c r="E218" s="71"/>
      <c r="F218" s="134"/>
      <c r="G218" s="82"/>
      <c r="H218" s="71"/>
      <c r="I218" s="71"/>
      <c r="J218" s="71"/>
      <c r="K218" s="83"/>
      <c r="L218" s="134"/>
      <c r="M218" s="71"/>
      <c r="N218" s="73"/>
      <c r="O218" s="151"/>
      <c r="P218" s="71"/>
      <c r="Q218" s="73"/>
      <c r="R218" s="73"/>
      <c r="S218" s="83"/>
      <c r="T218" s="71"/>
      <c r="U218" s="151"/>
      <c r="V218" s="151"/>
      <c r="W218" s="71"/>
      <c r="X218" s="75" t="s">
        <v>183</v>
      </c>
      <c r="Y218" s="75" t="s">
        <v>175</v>
      </c>
      <c r="Z218" s="76">
        <v>42285</v>
      </c>
      <c r="AA218" s="77">
        <v>11663</v>
      </c>
      <c r="AB218" s="75" t="s">
        <v>131</v>
      </c>
      <c r="AC218" s="76">
        <v>42095</v>
      </c>
      <c r="AD218" s="76">
        <v>42369</v>
      </c>
      <c r="AE218" s="78"/>
      <c r="AF218" s="79"/>
      <c r="AG218" s="2"/>
      <c r="AH218" s="2"/>
      <c r="AI218" s="78"/>
      <c r="AJ218" s="78">
        <f>AK218/AL216</f>
        <v>4.1550978239814032E-2</v>
      </c>
      <c r="AK218" s="2">
        <v>4543.1099999999997</v>
      </c>
      <c r="AL218" s="157">
        <f t="shared" si="19"/>
        <v>107446.24</v>
      </c>
      <c r="AM218" s="163"/>
      <c r="AN218" s="163"/>
      <c r="AO218" s="163"/>
      <c r="AP218" s="163"/>
      <c r="AQ218" s="163"/>
      <c r="AR218" s="7"/>
      <c r="AS218" s="157"/>
      <c r="AT218" s="71"/>
      <c r="AU218" s="71"/>
      <c r="AV218" s="71"/>
      <c r="AW218" s="82"/>
      <c r="AX218" s="71"/>
      <c r="AY218" s="70"/>
      <c r="AZ218" s="71"/>
      <c r="BA218" s="71"/>
      <c r="BB218" s="82"/>
      <c r="BC218" s="73"/>
      <c r="BD218" s="82"/>
      <c r="BE218" s="73"/>
      <c r="BF218" s="79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</row>
    <row r="219" spans="1:69" x14ac:dyDescent="0.25">
      <c r="A219" s="70"/>
      <c r="B219" s="71"/>
      <c r="C219" s="71"/>
      <c r="D219" s="71"/>
      <c r="E219" s="71"/>
      <c r="F219" s="134"/>
      <c r="G219" s="82"/>
      <c r="H219" s="71"/>
      <c r="I219" s="71"/>
      <c r="J219" s="71"/>
      <c r="K219" s="83"/>
      <c r="L219" s="134"/>
      <c r="M219" s="71"/>
      <c r="N219" s="73"/>
      <c r="O219" s="151"/>
      <c r="P219" s="71"/>
      <c r="Q219" s="73"/>
      <c r="R219" s="73"/>
      <c r="S219" s="83"/>
      <c r="T219" s="71"/>
      <c r="U219" s="151"/>
      <c r="V219" s="151"/>
      <c r="W219" s="71"/>
      <c r="X219" s="79" t="s">
        <v>173</v>
      </c>
      <c r="Y219" s="75" t="s">
        <v>189</v>
      </c>
      <c r="Z219" s="76">
        <v>42360</v>
      </c>
      <c r="AA219" s="77">
        <v>12115</v>
      </c>
      <c r="AB219" s="75" t="s">
        <v>130</v>
      </c>
      <c r="AC219" s="76">
        <v>42370</v>
      </c>
      <c r="AD219" s="76">
        <v>42735</v>
      </c>
      <c r="AE219" s="78"/>
      <c r="AF219" s="79"/>
      <c r="AG219" s="2"/>
      <c r="AH219" s="2"/>
      <c r="AI219" s="78"/>
      <c r="AJ219" s="78"/>
      <c r="AK219" s="2"/>
      <c r="AL219" s="157">
        <f t="shared" si="19"/>
        <v>102903.13</v>
      </c>
      <c r="AM219" s="163"/>
      <c r="AN219" s="163"/>
      <c r="AO219" s="163"/>
      <c r="AP219" s="163"/>
      <c r="AQ219" s="163"/>
      <c r="AR219" s="7"/>
      <c r="AS219" s="157"/>
      <c r="AT219" s="71"/>
      <c r="AU219" s="71"/>
      <c r="AV219" s="71"/>
      <c r="AW219" s="82"/>
      <c r="AX219" s="71"/>
      <c r="AY219" s="70"/>
      <c r="AZ219" s="71"/>
      <c r="BA219" s="71"/>
      <c r="BB219" s="82"/>
      <c r="BC219" s="73"/>
      <c r="BD219" s="82"/>
      <c r="BE219" s="73"/>
      <c r="BF219" s="79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</row>
    <row r="220" spans="1:69" x14ac:dyDescent="0.25">
      <c r="A220" s="70"/>
      <c r="B220" s="71"/>
      <c r="C220" s="71"/>
      <c r="D220" s="71"/>
      <c r="E220" s="71"/>
      <c r="F220" s="134"/>
      <c r="G220" s="82"/>
      <c r="H220" s="71"/>
      <c r="I220" s="71"/>
      <c r="J220" s="71"/>
      <c r="K220" s="83"/>
      <c r="L220" s="134"/>
      <c r="M220" s="71"/>
      <c r="N220" s="73"/>
      <c r="O220" s="151"/>
      <c r="P220" s="71"/>
      <c r="Q220" s="73"/>
      <c r="R220" s="73"/>
      <c r="S220" s="83"/>
      <c r="T220" s="71"/>
      <c r="U220" s="151"/>
      <c r="V220" s="151"/>
      <c r="W220" s="71"/>
      <c r="X220" s="75" t="s">
        <v>182</v>
      </c>
      <c r="Y220" s="75" t="s">
        <v>194</v>
      </c>
      <c r="Z220" s="76">
        <v>42733</v>
      </c>
      <c r="AA220" s="77">
        <v>12075</v>
      </c>
      <c r="AB220" s="75" t="s">
        <v>130</v>
      </c>
      <c r="AC220" s="76">
        <v>42736</v>
      </c>
      <c r="AD220" s="76">
        <v>43100</v>
      </c>
      <c r="AE220" s="78"/>
      <c r="AF220" s="79"/>
      <c r="AG220" s="2"/>
      <c r="AH220" s="2"/>
      <c r="AI220" s="78"/>
      <c r="AJ220" s="78"/>
      <c r="AK220" s="2"/>
      <c r="AL220" s="157">
        <f t="shared" si="19"/>
        <v>102903.13</v>
      </c>
      <c r="AM220" s="163"/>
      <c r="AN220" s="163"/>
      <c r="AO220" s="163"/>
      <c r="AP220" s="163"/>
      <c r="AQ220" s="163"/>
      <c r="AR220" s="7"/>
      <c r="AS220" s="157"/>
      <c r="AT220" s="71"/>
      <c r="AU220" s="71"/>
      <c r="AV220" s="71"/>
      <c r="AW220" s="82"/>
      <c r="AX220" s="71"/>
      <c r="AY220" s="70"/>
      <c r="AZ220" s="71"/>
      <c r="BA220" s="71"/>
      <c r="BB220" s="82"/>
      <c r="BC220" s="73"/>
      <c r="BD220" s="82"/>
      <c r="BE220" s="73"/>
      <c r="BF220" s="79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</row>
    <row r="221" spans="1:69" x14ac:dyDescent="0.25">
      <c r="A221" s="70"/>
      <c r="B221" s="71"/>
      <c r="C221" s="71"/>
      <c r="D221" s="71"/>
      <c r="E221" s="71"/>
      <c r="F221" s="134"/>
      <c r="G221" s="82"/>
      <c r="H221" s="71"/>
      <c r="I221" s="71"/>
      <c r="J221" s="71"/>
      <c r="K221" s="83"/>
      <c r="L221" s="134"/>
      <c r="M221" s="71"/>
      <c r="N221" s="73"/>
      <c r="O221" s="151"/>
      <c r="P221" s="71"/>
      <c r="Q221" s="73"/>
      <c r="R221" s="73"/>
      <c r="S221" s="83"/>
      <c r="T221" s="71"/>
      <c r="U221" s="151"/>
      <c r="V221" s="151"/>
      <c r="W221" s="71"/>
      <c r="X221" s="75" t="s">
        <v>182</v>
      </c>
      <c r="Y221" s="75" t="s">
        <v>178</v>
      </c>
      <c r="Z221" s="76">
        <v>43096</v>
      </c>
      <c r="AA221" s="77">
        <v>12214</v>
      </c>
      <c r="AB221" s="75" t="s">
        <v>130</v>
      </c>
      <c r="AC221" s="76">
        <v>43101</v>
      </c>
      <c r="AD221" s="76">
        <v>43465</v>
      </c>
      <c r="AE221" s="78"/>
      <c r="AF221" s="79"/>
      <c r="AG221" s="2"/>
      <c r="AH221" s="2"/>
      <c r="AI221" s="78"/>
      <c r="AJ221" s="78"/>
      <c r="AK221" s="2"/>
      <c r="AL221" s="157">
        <f t="shared" si="19"/>
        <v>102903.13</v>
      </c>
      <c r="AM221" s="163"/>
      <c r="AN221" s="163"/>
      <c r="AO221" s="163"/>
      <c r="AP221" s="163"/>
      <c r="AQ221" s="163"/>
      <c r="AR221" s="7"/>
      <c r="AS221" s="157"/>
      <c r="AT221" s="71"/>
      <c r="AU221" s="71"/>
      <c r="AV221" s="71"/>
      <c r="AW221" s="82"/>
      <c r="AX221" s="71"/>
      <c r="AY221" s="70"/>
      <c r="AZ221" s="71"/>
      <c r="BA221" s="71"/>
      <c r="BB221" s="82"/>
      <c r="BC221" s="73"/>
      <c r="BD221" s="82"/>
      <c r="BE221" s="73"/>
      <c r="BF221" s="79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</row>
    <row r="222" spans="1:69" x14ac:dyDescent="0.25">
      <c r="A222" s="70"/>
      <c r="B222" s="71"/>
      <c r="C222" s="71"/>
      <c r="D222" s="71"/>
      <c r="E222" s="71"/>
      <c r="F222" s="134"/>
      <c r="G222" s="82"/>
      <c r="H222" s="71"/>
      <c r="I222" s="71"/>
      <c r="J222" s="71"/>
      <c r="K222" s="83"/>
      <c r="L222" s="134"/>
      <c r="M222" s="71"/>
      <c r="N222" s="73"/>
      <c r="O222" s="151"/>
      <c r="P222" s="71"/>
      <c r="Q222" s="73"/>
      <c r="R222" s="73"/>
      <c r="S222" s="83"/>
      <c r="T222" s="71"/>
      <c r="U222" s="151"/>
      <c r="V222" s="151"/>
      <c r="W222" s="71"/>
      <c r="X222" s="75" t="s">
        <v>182</v>
      </c>
      <c r="Y222" s="75" t="s">
        <v>193</v>
      </c>
      <c r="Z222" s="76">
        <v>43460</v>
      </c>
      <c r="AA222" s="77">
        <v>12460</v>
      </c>
      <c r="AB222" s="75" t="s">
        <v>130</v>
      </c>
      <c r="AC222" s="76">
        <v>43466</v>
      </c>
      <c r="AD222" s="76">
        <v>43830</v>
      </c>
      <c r="AE222" s="78"/>
      <c r="AF222" s="79"/>
      <c r="AG222" s="2"/>
      <c r="AH222" s="2"/>
      <c r="AI222" s="78"/>
      <c r="AJ222" s="78"/>
      <c r="AK222" s="2"/>
      <c r="AL222" s="157">
        <f t="shared" si="19"/>
        <v>102903.13</v>
      </c>
      <c r="AM222" s="163"/>
      <c r="AN222" s="163"/>
      <c r="AO222" s="163"/>
      <c r="AP222" s="163"/>
      <c r="AQ222" s="163"/>
      <c r="AR222" s="7"/>
      <c r="AS222" s="157"/>
      <c r="AT222" s="71"/>
      <c r="AU222" s="71"/>
      <c r="AV222" s="71"/>
      <c r="AW222" s="82"/>
      <c r="AX222" s="71"/>
      <c r="AY222" s="70"/>
      <c r="AZ222" s="71"/>
      <c r="BA222" s="71"/>
      <c r="BB222" s="82"/>
      <c r="BC222" s="73"/>
      <c r="BD222" s="82"/>
      <c r="BE222" s="73"/>
      <c r="BF222" s="79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</row>
    <row r="223" spans="1:69" x14ac:dyDescent="0.25">
      <c r="A223" s="70"/>
      <c r="B223" s="71"/>
      <c r="C223" s="71"/>
      <c r="D223" s="71"/>
      <c r="E223" s="71"/>
      <c r="F223" s="134"/>
      <c r="G223" s="82"/>
      <c r="H223" s="71"/>
      <c r="I223" s="71"/>
      <c r="J223" s="71"/>
      <c r="K223" s="83"/>
      <c r="L223" s="134"/>
      <c r="M223" s="71"/>
      <c r="N223" s="73"/>
      <c r="O223" s="151"/>
      <c r="P223" s="71"/>
      <c r="Q223" s="73"/>
      <c r="R223" s="73"/>
      <c r="S223" s="83"/>
      <c r="T223" s="71"/>
      <c r="U223" s="151"/>
      <c r="V223" s="151"/>
      <c r="W223" s="71"/>
      <c r="X223" s="75" t="s">
        <v>182</v>
      </c>
      <c r="Y223" s="75" t="s">
        <v>221</v>
      </c>
      <c r="Z223" s="76">
        <v>43817</v>
      </c>
      <c r="AA223" s="77">
        <v>12717</v>
      </c>
      <c r="AB223" s="75" t="s">
        <v>310</v>
      </c>
      <c r="AC223" s="76">
        <v>43831</v>
      </c>
      <c r="AD223" s="76">
        <v>44012</v>
      </c>
      <c r="AE223" s="78"/>
      <c r="AF223" s="79"/>
      <c r="AG223" s="2"/>
      <c r="AH223" s="2"/>
      <c r="AI223" s="78"/>
      <c r="AJ223" s="78"/>
      <c r="AK223" s="2"/>
      <c r="AL223" s="157">
        <f t="shared" si="19"/>
        <v>102903.13</v>
      </c>
      <c r="AM223" s="163"/>
      <c r="AN223" s="163"/>
      <c r="AO223" s="163"/>
      <c r="AP223" s="163"/>
      <c r="AQ223" s="163"/>
      <c r="AR223" s="7"/>
      <c r="AS223" s="157"/>
      <c r="AT223" s="71"/>
      <c r="AU223" s="71"/>
      <c r="AV223" s="71"/>
      <c r="AW223" s="82"/>
      <c r="AX223" s="71"/>
      <c r="AY223" s="70"/>
      <c r="AZ223" s="71"/>
      <c r="BA223" s="71"/>
      <c r="BB223" s="82"/>
      <c r="BC223" s="73"/>
      <c r="BD223" s="82"/>
      <c r="BE223" s="73"/>
      <c r="BF223" s="79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</row>
    <row r="224" spans="1:69" x14ac:dyDescent="0.25">
      <c r="A224" s="70"/>
      <c r="B224" s="71"/>
      <c r="C224" s="71"/>
      <c r="D224" s="71"/>
      <c r="E224" s="71"/>
      <c r="F224" s="134"/>
      <c r="G224" s="82"/>
      <c r="H224" s="71"/>
      <c r="I224" s="71"/>
      <c r="J224" s="71"/>
      <c r="K224" s="83"/>
      <c r="L224" s="134"/>
      <c r="M224" s="71"/>
      <c r="N224" s="73"/>
      <c r="O224" s="151"/>
      <c r="P224" s="71"/>
      <c r="Q224" s="73"/>
      <c r="R224" s="73"/>
      <c r="S224" s="83"/>
      <c r="T224" s="71"/>
      <c r="U224" s="151"/>
      <c r="V224" s="151"/>
      <c r="W224" s="71"/>
      <c r="X224" s="75" t="s">
        <v>182</v>
      </c>
      <c r="Y224" s="75" t="s">
        <v>244</v>
      </c>
      <c r="Z224" s="76">
        <v>44012</v>
      </c>
      <c r="AA224" s="77">
        <v>12828</v>
      </c>
      <c r="AB224" s="75" t="s">
        <v>310</v>
      </c>
      <c r="AC224" s="76">
        <v>44012</v>
      </c>
      <c r="AD224" s="76">
        <v>44196</v>
      </c>
      <c r="AE224" s="78"/>
      <c r="AF224" s="79"/>
      <c r="AG224" s="2"/>
      <c r="AH224" s="2"/>
      <c r="AI224" s="78"/>
      <c r="AJ224" s="78"/>
      <c r="AK224" s="2"/>
      <c r="AL224" s="157">
        <f t="shared" si="19"/>
        <v>102903.13</v>
      </c>
      <c r="AM224" s="163"/>
      <c r="AN224" s="163"/>
      <c r="AO224" s="163"/>
      <c r="AP224" s="163"/>
      <c r="AQ224" s="163"/>
      <c r="AR224" s="7"/>
      <c r="AS224" s="157"/>
      <c r="AT224" s="71"/>
      <c r="AU224" s="71"/>
      <c r="AV224" s="71"/>
      <c r="AW224" s="82"/>
      <c r="AX224" s="71"/>
      <c r="AY224" s="70"/>
      <c r="AZ224" s="71"/>
      <c r="BA224" s="71"/>
      <c r="BB224" s="82"/>
      <c r="BC224" s="73"/>
      <c r="BD224" s="82"/>
      <c r="BE224" s="73"/>
      <c r="BF224" s="79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</row>
    <row r="225" spans="1:69" x14ac:dyDescent="0.25">
      <c r="A225" s="70"/>
      <c r="B225" s="71"/>
      <c r="C225" s="71"/>
      <c r="D225" s="71"/>
      <c r="E225" s="71"/>
      <c r="F225" s="134"/>
      <c r="G225" s="82"/>
      <c r="H225" s="71"/>
      <c r="I225" s="71"/>
      <c r="J225" s="71"/>
      <c r="K225" s="83"/>
      <c r="L225" s="134"/>
      <c r="M225" s="71"/>
      <c r="N225" s="73"/>
      <c r="O225" s="151"/>
      <c r="P225" s="71"/>
      <c r="Q225" s="73"/>
      <c r="R225" s="73"/>
      <c r="S225" s="83"/>
      <c r="T225" s="71"/>
      <c r="U225" s="151"/>
      <c r="V225" s="151"/>
      <c r="W225" s="71"/>
      <c r="X225" s="75" t="s">
        <v>182</v>
      </c>
      <c r="Y225" s="75" t="s">
        <v>276</v>
      </c>
      <c r="Z225" s="76">
        <v>44012</v>
      </c>
      <c r="AA225" s="77">
        <v>12953</v>
      </c>
      <c r="AB225" s="75" t="s">
        <v>130</v>
      </c>
      <c r="AC225" s="76">
        <v>44197</v>
      </c>
      <c r="AD225" s="76">
        <v>44561</v>
      </c>
      <c r="AE225" s="78"/>
      <c r="AF225" s="79"/>
      <c r="AG225" s="2"/>
      <c r="AH225" s="2"/>
      <c r="AI225" s="78"/>
      <c r="AJ225" s="78"/>
      <c r="AK225" s="2"/>
      <c r="AL225" s="157">
        <f t="shared" si="19"/>
        <v>102903.13</v>
      </c>
      <c r="AM225" s="163"/>
      <c r="AN225" s="163"/>
      <c r="AO225" s="163"/>
      <c r="AP225" s="163"/>
      <c r="AQ225" s="163"/>
      <c r="AR225" s="7"/>
      <c r="AS225" s="157"/>
      <c r="AT225" s="71"/>
      <c r="AU225" s="71"/>
      <c r="AV225" s="71"/>
      <c r="AW225" s="82"/>
      <c r="AX225" s="71"/>
      <c r="AY225" s="70"/>
      <c r="AZ225" s="71"/>
      <c r="BA225" s="71"/>
      <c r="BB225" s="82"/>
      <c r="BC225" s="73"/>
      <c r="BD225" s="82"/>
      <c r="BE225" s="73"/>
      <c r="BF225" s="79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</row>
    <row r="226" spans="1:69" x14ac:dyDescent="0.25">
      <c r="A226" s="70"/>
      <c r="B226" s="71"/>
      <c r="C226" s="71"/>
      <c r="D226" s="71"/>
      <c r="E226" s="71"/>
      <c r="F226" s="134"/>
      <c r="G226" s="82"/>
      <c r="H226" s="71"/>
      <c r="I226" s="71"/>
      <c r="J226" s="71"/>
      <c r="K226" s="83"/>
      <c r="L226" s="134"/>
      <c r="M226" s="71"/>
      <c r="N226" s="73"/>
      <c r="O226" s="151"/>
      <c r="P226" s="71"/>
      <c r="Q226" s="73"/>
      <c r="R226" s="73"/>
      <c r="S226" s="83"/>
      <c r="T226" s="71"/>
      <c r="U226" s="151"/>
      <c r="V226" s="151"/>
      <c r="W226" s="71"/>
      <c r="X226" s="75" t="s">
        <v>182</v>
      </c>
      <c r="Y226" s="75" t="s">
        <v>379</v>
      </c>
      <c r="Z226" s="76">
        <v>44559</v>
      </c>
      <c r="AA226" s="77">
        <v>13206</v>
      </c>
      <c r="AB226" s="75" t="s">
        <v>374</v>
      </c>
      <c r="AC226" s="75" t="s">
        <v>370</v>
      </c>
      <c r="AD226" s="75" t="s">
        <v>371</v>
      </c>
      <c r="AE226" s="78"/>
      <c r="AF226" s="78">
        <f>AG226/AL219</f>
        <v>0.25548377391436006</v>
      </c>
      <c r="AG226" s="2">
        <v>26290.080000000002</v>
      </c>
      <c r="AH226" s="2"/>
      <c r="AI226" s="78"/>
      <c r="AJ226" s="78"/>
      <c r="AK226" s="2"/>
      <c r="AL226" s="157">
        <f t="shared" si="19"/>
        <v>129193.21</v>
      </c>
      <c r="AM226" s="163"/>
      <c r="AN226" s="163"/>
      <c r="AO226" s="163"/>
      <c r="AP226" s="163"/>
      <c r="AQ226" s="163"/>
      <c r="AR226" s="7"/>
      <c r="AS226" s="157"/>
      <c r="AT226" s="71"/>
      <c r="AU226" s="71"/>
      <c r="AV226" s="71"/>
      <c r="AW226" s="82"/>
      <c r="AX226" s="71"/>
      <c r="AY226" s="70"/>
      <c r="AZ226" s="71"/>
      <c r="BA226" s="71"/>
      <c r="BB226" s="82"/>
      <c r="BC226" s="73"/>
      <c r="BD226" s="82"/>
      <c r="BE226" s="73"/>
      <c r="BF226" s="79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</row>
    <row r="227" spans="1:69" x14ac:dyDescent="0.25">
      <c r="A227" s="70"/>
      <c r="B227" s="71"/>
      <c r="C227" s="71"/>
      <c r="D227" s="71"/>
      <c r="E227" s="71"/>
      <c r="F227" s="134"/>
      <c r="G227" s="82"/>
      <c r="H227" s="71"/>
      <c r="I227" s="71"/>
      <c r="J227" s="71"/>
      <c r="K227" s="83"/>
      <c r="L227" s="134"/>
      <c r="M227" s="71"/>
      <c r="N227" s="73"/>
      <c r="O227" s="151"/>
      <c r="P227" s="71"/>
      <c r="Q227" s="73"/>
      <c r="R227" s="73"/>
      <c r="S227" s="83"/>
      <c r="T227" s="71"/>
      <c r="U227" s="151"/>
      <c r="V227" s="151"/>
      <c r="W227" s="71"/>
      <c r="X227" s="75" t="s">
        <v>182</v>
      </c>
      <c r="Y227" s="75" t="s">
        <v>421</v>
      </c>
      <c r="Z227" s="76">
        <v>44921</v>
      </c>
      <c r="AA227" s="77">
        <v>13455</v>
      </c>
      <c r="AB227" s="75" t="s">
        <v>374</v>
      </c>
      <c r="AC227" s="75" t="s">
        <v>418</v>
      </c>
      <c r="AD227" s="75" t="s">
        <v>419</v>
      </c>
      <c r="AE227" s="78"/>
      <c r="AF227" s="78">
        <f>AG227/AL226</f>
        <v>9.3817624006710565E-2</v>
      </c>
      <c r="AG227" s="2">
        <v>12120.6</v>
      </c>
      <c r="AH227" s="2"/>
      <c r="AI227" s="78"/>
      <c r="AJ227" s="78"/>
      <c r="AK227" s="2"/>
      <c r="AL227" s="157">
        <f t="shared" si="19"/>
        <v>115023.73000000001</v>
      </c>
      <c r="AM227" s="163"/>
      <c r="AN227" s="163"/>
      <c r="AO227" s="163"/>
      <c r="AP227" s="163"/>
      <c r="AQ227" s="163"/>
      <c r="AR227" s="7"/>
      <c r="AS227" s="157"/>
      <c r="AT227" s="71"/>
      <c r="AU227" s="71"/>
      <c r="AV227" s="71"/>
      <c r="AW227" s="82"/>
      <c r="AX227" s="71"/>
      <c r="AY227" s="70"/>
      <c r="AZ227" s="71"/>
      <c r="BA227" s="71"/>
      <c r="BB227" s="82"/>
      <c r="BC227" s="73"/>
      <c r="BD227" s="82"/>
      <c r="BE227" s="73"/>
      <c r="BF227" s="79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</row>
    <row r="228" spans="1:69" x14ac:dyDescent="0.25">
      <c r="A228" s="70"/>
      <c r="B228" s="71"/>
      <c r="C228" s="71"/>
      <c r="D228" s="71"/>
      <c r="E228" s="71"/>
      <c r="F228" s="134"/>
      <c r="G228" s="82"/>
      <c r="H228" s="71"/>
      <c r="I228" s="71"/>
      <c r="J228" s="71"/>
      <c r="K228" s="83"/>
      <c r="L228" s="134"/>
      <c r="M228" s="71"/>
      <c r="N228" s="73"/>
      <c r="O228" s="151"/>
      <c r="P228" s="71"/>
      <c r="Q228" s="73"/>
      <c r="R228" s="73"/>
      <c r="S228" s="83"/>
      <c r="T228" s="71"/>
      <c r="U228" s="151"/>
      <c r="V228" s="151"/>
      <c r="W228" s="71"/>
      <c r="X228" s="75" t="s">
        <v>545</v>
      </c>
      <c r="Y228" s="75" t="s">
        <v>230</v>
      </c>
      <c r="Z228" s="76">
        <v>45281</v>
      </c>
      <c r="AA228" s="77">
        <v>13691</v>
      </c>
      <c r="AB228" s="75" t="s">
        <v>322</v>
      </c>
      <c r="AC228" s="75" t="s">
        <v>549</v>
      </c>
      <c r="AD228" s="75" t="s">
        <v>548</v>
      </c>
      <c r="AE228" s="78"/>
      <c r="AF228" s="78"/>
      <c r="AG228" s="2"/>
      <c r="AH228" s="2"/>
      <c r="AI228" s="78"/>
      <c r="AJ228" s="78"/>
      <c r="AK228" s="2"/>
      <c r="AL228" s="157">
        <f t="shared" si="19"/>
        <v>102903.13</v>
      </c>
      <c r="AM228" s="163"/>
      <c r="AN228" s="163"/>
      <c r="AO228" s="163"/>
      <c r="AP228" s="163"/>
      <c r="AQ228" s="163"/>
      <c r="AR228" s="7"/>
      <c r="AS228" s="157"/>
      <c r="AT228" s="71"/>
      <c r="AU228" s="71"/>
      <c r="AV228" s="71"/>
      <c r="AW228" s="82"/>
      <c r="AX228" s="71"/>
      <c r="AY228" s="70"/>
      <c r="AZ228" s="71"/>
      <c r="BA228" s="71"/>
      <c r="BB228" s="82"/>
      <c r="BC228" s="73"/>
      <c r="BD228" s="82"/>
      <c r="BE228" s="73"/>
      <c r="BF228" s="79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</row>
    <row r="229" spans="1:69" x14ac:dyDescent="0.25">
      <c r="A229" s="70">
        <v>56</v>
      </c>
      <c r="B229" s="71" t="s">
        <v>101</v>
      </c>
      <c r="C229" s="70"/>
      <c r="D229" s="71" t="s">
        <v>115</v>
      </c>
      <c r="E229" s="71" t="s">
        <v>102</v>
      </c>
      <c r="F229" s="134" t="s">
        <v>112</v>
      </c>
      <c r="G229" s="82"/>
      <c r="H229" s="83"/>
      <c r="I229" s="71"/>
      <c r="J229" s="71"/>
      <c r="K229" s="83" t="s">
        <v>119</v>
      </c>
      <c r="L229" s="134" t="s">
        <v>110</v>
      </c>
      <c r="M229" s="71" t="s">
        <v>368</v>
      </c>
      <c r="N229" s="73">
        <v>41530</v>
      </c>
      <c r="O229" s="151">
        <v>19800</v>
      </c>
      <c r="P229" s="83" t="s">
        <v>120</v>
      </c>
      <c r="Q229" s="73">
        <v>41530</v>
      </c>
      <c r="R229" s="73">
        <v>41639</v>
      </c>
      <c r="S229" s="83" t="s">
        <v>565</v>
      </c>
      <c r="T229" s="84"/>
      <c r="U229" s="151"/>
      <c r="V229" s="151"/>
      <c r="W229" s="71" t="s">
        <v>105</v>
      </c>
      <c r="X229" s="75"/>
      <c r="Y229" s="75"/>
      <c r="Z229" s="77"/>
      <c r="AA229" s="75"/>
      <c r="AB229" s="79"/>
      <c r="AC229" s="79"/>
      <c r="AD229" s="76"/>
      <c r="AE229" s="78"/>
      <c r="AF229" s="79"/>
      <c r="AG229" s="2"/>
      <c r="AH229" s="2"/>
      <c r="AI229" s="76"/>
      <c r="AJ229" s="80"/>
      <c r="AK229" s="2"/>
      <c r="AL229" s="157">
        <f>$O$229-AH229+AG229+AK229</f>
        <v>19800</v>
      </c>
      <c r="AM229" s="163">
        <f>200088.8+15821.25+15821.25+5273.75+5273.75+21095+5273.75+5273.75+10547.52+5273.76+10547.52+5273.76+5273.69+63285+5273.75+5273.75+5273.75+5273.75+5273.75+5273.75+5273.75+5273.75+5273.75+5273.75+5273.75+5273.75+63285+63285</f>
        <v>563977.55000000005</v>
      </c>
      <c r="AN229" s="163">
        <f>5273.75</f>
        <v>5273.75</v>
      </c>
      <c r="AO229" s="163">
        <f>5273.75+5273.75</f>
        <v>10547.5</v>
      </c>
      <c r="AP229" s="163"/>
      <c r="AQ229" s="163"/>
      <c r="AR229" s="7">
        <f>AQ229+AP229+AO229+AN229</f>
        <v>15821.25</v>
      </c>
      <c r="AS229" s="157">
        <f>AR229+AM229</f>
        <v>579798.80000000005</v>
      </c>
      <c r="AT229" s="71"/>
      <c r="AU229" s="71"/>
      <c r="AV229" s="71"/>
      <c r="AW229" s="84"/>
      <c r="AX229" s="71"/>
      <c r="AY229" s="71"/>
      <c r="AZ229" s="71" t="s">
        <v>128</v>
      </c>
      <c r="BA229" s="71" t="s">
        <v>114</v>
      </c>
      <c r="BB229" s="82">
        <v>11137</v>
      </c>
      <c r="BC229" s="73">
        <v>41530</v>
      </c>
      <c r="BD229" s="82">
        <v>11137</v>
      </c>
      <c r="BE229" s="73">
        <v>41530</v>
      </c>
      <c r="BF229" s="79"/>
      <c r="BG229" s="77"/>
      <c r="BH229" s="76"/>
      <c r="BI229" s="77"/>
      <c r="BJ229" s="76"/>
      <c r="BK229" s="79"/>
      <c r="BL229" s="81"/>
      <c r="BM229" s="81"/>
      <c r="BN229" s="81"/>
      <c r="BO229" s="81"/>
      <c r="BP229" s="81"/>
      <c r="BQ229" s="81"/>
    </row>
    <row r="230" spans="1:69" x14ac:dyDescent="0.25">
      <c r="A230" s="70"/>
      <c r="B230" s="71"/>
      <c r="C230" s="70"/>
      <c r="D230" s="71"/>
      <c r="E230" s="71"/>
      <c r="F230" s="134"/>
      <c r="G230" s="82"/>
      <c r="H230" s="83"/>
      <c r="I230" s="71"/>
      <c r="J230" s="71"/>
      <c r="K230" s="83"/>
      <c r="L230" s="134"/>
      <c r="M230" s="71"/>
      <c r="N230" s="73"/>
      <c r="O230" s="151"/>
      <c r="P230" s="83"/>
      <c r="Q230" s="73"/>
      <c r="R230" s="73"/>
      <c r="S230" s="83"/>
      <c r="T230" s="84"/>
      <c r="U230" s="151"/>
      <c r="V230" s="151"/>
      <c r="W230" s="71"/>
      <c r="X230" s="79" t="s">
        <v>173</v>
      </c>
      <c r="Y230" s="75" t="s">
        <v>187</v>
      </c>
      <c r="Z230" s="76">
        <v>41631</v>
      </c>
      <c r="AA230" s="77">
        <v>11221</v>
      </c>
      <c r="AB230" s="75" t="s">
        <v>130</v>
      </c>
      <c r="AC230" s="76">
        <v>41640</v>
      </c>
      <c r="AD230" s="76">
        <v>42004</v>
      </c>
      <c r="AE230" s="78"/>
      <c r="AF230" s="79"/>
      <c r="AG230" s="2"/>
      <c r="AH230" s="2"/>
      <c r="AI230" s="102"/>
      <c r="AJ230" s="80"/>
      <c r="AK230" s="2"/>
      <c r="AL230" s="157">
        <f t="shared" ref="AL230:AL243" si="20">$O$229-AH230+AG230+AK230</f>
        <v>19800</v>
      </c>
      <c r="AM230" s="2"/>
      <c r="AN230" s="2"/>
      <c r="AO230" s="2"/>
      <c r="AP230" s="2"/>
      <c r="AQ230" s="2"/>
      <c r="AR230" s="7"/>
      <c r="AS230" s="157"/>
      <c r="AT230" s="71"/>
      <c r="AU230" s="71"/>
      <c r="AV230" s="71"/>
      <c r="AW230" s="84"/>
      <c r="AX230" s="71"/>
      <c r="AY230" s="71"/>
      <c r="AZ230" s="71"/>
      <c r="BA230" s="71"/>
      <c r="BB230" s="82"/>
      <c r="BC230" s="73"/>
      <c r="BD230" s="82"/>
      <c r="BE230" s="73"/>
      <c r="BF230" s="79"/>
      <c r="BG230" s="77"/>
      <c r="BH230" s="76"/>
      <c r="BI230" s="77"/>
      <c r="BJ230" s="76"/>
      <c r="BK230" s="79"/>
      <c r="BL230" s="81"/>
      <c r="BM230" s="81"/>
      <c r="BN230" s="81"/>
      <c r="BO230" s="81"/>
      <c r="BP230" s="81"/>
      <c r="BQ230" s="81"/>
    </row>
    <row r="231" spans="1:69" ht="25.5" x14ac:dyDescent="0.25">
      <c r="A231" s="70"/>
      <c r="B231" s="71"/>
      <c r="C231" s="70"/>
      <c r="D231" s="71"/>
      <c r="E231" s="71"/>
      <c r="F231" s="134"/>
      <c r="G231" s="82"/>
      <c r="H231" s="83"/>
      <c r="I231" s="71"/>
      <c r="J231" s="71"/>
      <c r="K231" s="83"/>
      <c r="L231" s="134"/>
      <c r="M231" s="71"/>
      <c r="N231" s="73"/>
      <c r="O231" s="151"/>
      <c r="P231" s="83"/>
      <c r="Q231" s="73"/>
      <c r="R231" s="73"/>
      <c r="S231" s="83"/>
      <c r="T231" s="84"/>
      <c r="U231" s="151"/>
      <c r="V231" s="151"/>
      <c r="W231" s="71"/>
      <c r="X231" s="75" t="s">
        <v>183</v>
      </c>
      <c r="Y231" s="75" t="s">
        <v>187</v>
      </c>
      <c r="Z231" s="76">
        <v>41981</v>
      </c>
      <c r="AA231" s="77">
        <v>11454</v>
      </c>
      <c r="AB231" s="75" t="s">
        <v>124</v>
      </c>
      <c r="AC231" s="76">
        <v>41895</v>
      </c>
      <c r="AD231" s="76">
        <v>42004</v>
      </c>
      <c r="AE231" s="78"/>
      <c r="AF231" s="79"/>
      <c r="AG231" s="2"/>
      <c r="AH231" s="2"/>
      <c r="AI231" s="102"/>
      <c r="AJ231" s="78">
        <f>AK231/AL229</f>
        <v>4.8847474747474751E-2</v>
      </c>
      <c r="AK231" s="2">
        <f>(268.66*3)+161.2</f>
        <v>967.18000000000006</v>
      </c>
      <c r="AL231" s="157">
        <f t="shared" si="20"/>
        <v>20767.18</v>
      </c>
      <c r="AM231" s="2"/>
      <c r="AN231" s="2"/>
      <c r="AO231" s="2"/>
      <c r="AP231" s="2"/>
      <c r="AQ231" s="2"/>
      <c r="AR231" s="7"/>
      <c r="AS231" s="157"/>
      <c r="AT231" s="71"/>
      <c r="AU231" s="71"/>
      <c r="AV231" s="71"/>
      <c r="AW231" s="84"/>
      <c r="AX231" s="71"/>
      <c r="AY231" s="71"/>
      <c r="AZ231" s="71"/>
      <c r="BA231" s="71"/>
      <c r="BB231" s="82"/>
      <c r="BC231" s="73"/>
      <c r="BD231" s="82"/>
      <c r="BE231" s="73"/>
      <c r="BF231" s="79"/>
      <c r="BG231" s="77"/>
      <c r="BH231" s="76"/>
      <c r="BI231" s="77"/>
      <c r="BJ231" s="76"/>
      <c r="BK231" s="79"/>
      <c r="BL231" s="81"/>
      <c r="BM231" s="81"/>
      <c r="BN231" s="81"/>
      <c r="BO231" s="81"/>
      <c r="BP231" s="81"/>
      <c r="BQ231" s="81"/>
    </row>
    <row r="232" spans="1:69" x14ac:dyDescent="0.25">
      <c r="A232" s="70"/>
      <c r="B232" s="71"/>
      <c r="C232" s="70"/>
      <c r="D232" s="71"/>
      <c r="E232" s="71"/>
      <c r="F232" s="134"/>
      <c r="G232" s="82"/>
      <c r="H232" s="83"/>
      <c r="I232" s="71"/>
      <c r="J232" s="71"/>
      <c r="K232" s="83"/>
      <c r="L232" s="134"/>
      <c r="M232" s="71"/>
      <c r="N232" s="73"/>
      <c r="O232" s="151"/>
      <c r="P232" s="83"/>
      <c r="Q232" s="73"/>
      <c r="R232" s="73"/>
      <c r="S232" s="83"/>
      <c r="T232" s="84"/>
      <c r="U232" s="151"/>
      <c r="V232" s="151"/>
      <c r="W232" s="71"/>
      <c r="X232" s="79" t="s">
        <v>173</v>
      </c>
      <c r="Y232" s="75" t="s">
        <v>175</v>
      </c>
      <c r="Z232" s="76">
        <v>41999</v>
      </c>
      <c r="AA232" s="77">
        <v>11479</v>
      </c>
      <c r="AB232" s="75" t="s">
        <v>130</v>
      </c>
      <c r="AC232" s="76">
        <v>42005</v>
      </c>
      <c r="AD232" s="76">
        <v>42369</v>
      </c>
      <c r="AE232" s="78"/>
      <c r="AF232" s="79"/>
      <c r="AG232" s="2"/>
      <c r="AH232" s="2"/>
      <c r="AI232" s="102"/>
      <c r="AJ232" s="78"/>
      <c r="AK232" s="2"/>
      <c r="AL232" s="157">
        <f t="shared" si="20"/>
        <v>19800</v>
      </c>
      <c r="AM232" s="2"/>
      <c r="AN232" s="2"/>
      <c r="AO232" s="2"/>
      <c r="AP232" s="2"/>
      <c r="AQ232" s="2"/>
      <c r="AR232" s="7"/>
      <c r="AS232" s="157"/>
      <c r="AT232" s="71"/>
      <c r="AU232" s="71"/>
      <c r="AV232" s="71"/>
      <c r="AW232" s="84"/>
      <c r="AX232" s="71"/>
      <c r="AY232" s="71"/>
      <c r="AZ232" s="71"/>
      <c r="BA232" s="71"/>
      <c r="BB232" s="82"/>
      <c r="BC232" s="73"/>
      <c r="BD232" s="82"/>
      <c r="BE232" s="73"/>
      <c r="BF232" s="79"/>
      <c r="BG232" s="77"/>
      <c r="BH232" s="76"/>
      <c r="BI232" s="77"/>
      <c r="BJ232" s="76"/>
      <c r="BK232" s="79"/>
      <c r="BL232" s="81"/>
      <c r="BM232" s="81"/>
      <c r="BN232" s="81"/>
      <c r="BO232" s="81"/>
      <c r="BP232" s="81"/>
      <c r="BQ232" s="81"/>
    </row>
    <row r="233" spans="1:69" ht="25.5" x14ac:dyDescent="0.25">
      <c r="A233" s="70"/>
      <c r="B233" s="71"/>
      <c r="C233" s="70"/>
      <c r="D233" s="71"/>
      <c r="E233" s="71"/>
      <c r="F233" s="134"/>
      <c r="G233" s="82"/>
      <c r="H233" s="83"/>
      <c r="I233" s="71"/>
      <c r="J233" s="71"/>
      <c r="K233" s="83"/>
      <c r="L233" s="134"/>
      <c r="M233" s="71"/>
      <c r="N233" s="73"/>
      <c r="O233" s="151"/>
      <c r="P233" s="83"/>
      <c r="Q233" s="73"/>
      <c r="R233" s="73"/>
      <c r="S233" s="83"/>
      <c r="T233" s="84"/>
      <c r="U233" s="151"/>
      <c r="V233" s="151"/>
      <c r="W233" s="71"/>
      <c r="X233" s="75" t="s">
        <v>183</v>
      </c>
      <c r="Y233" s="75" t="s">
        <v>188</v>
      </c>
      <c r="Z233" s="76">
        <v>42300</v>
      </c>
      <c r="AA233" s="77">
        <v>11479</v>
      </c>
      <c r="AB233" s="75" t="s">
        <v>124</v>
      </c>
      <c r="AC233" s="76">
        <v>42260</v>
      </c>
      <c r="AD233" s="76">
        <v>42369</v>
      </c>
      <c r="AE233" s="78"/>
      <c r="AF233" s="79"/>
      <c r="AG233" s="2"/>
      <c r="AH233" s="2"/>
      <c r="AI233" s="102"/>
      <c r="AJ233" s="78">
        <f>AK233/AL232</f>
        <v>7.922727272727273E-2</v>
      </c>
      <c r="AK233" s="2">
        <f>(435.75*3)+261.45</f>
        <v>1568.7</v>
      </c>
      <c r="AL233" s="157">
        <f t="shared" si="20"/>
        <v>21368.7</v>
      </c>
      <c r="AM233" s="2"/>
      <c r="AN233" s="2"/>
      <c r="AO233" s="2"/>
      <c r="AP233" s="2"/>
      <c r="AQ233" s="2"/>
      <c r="AR233" s="7"/>
      <c r="AS233" s="157"/>
      <c r="AT233" s="71"/>
      <c r="AU233" s="71"/>
      <c r="AV233" s="71"/>
      <c r="AW233" s="84"/>
      <c r="AX233" s="71"/>
      <c r="AY233" s="71"/>
      <c r="AZ233" s="71"/>
      <c r="BA233" s="71"/>
      <c r="BB233" s="82"/>
      <c r="BC233" s="73"/>
      <c r="BD233" s="82"/>
      <c r="BE233" s="73"/>
      <c r="BF233" s="79"/>
      <c r="BG233" s="77"/>
      <c r="BH233" s="76"/>
      <c r="BI233" s="77"/>
      <c r="BJ233" s="76"/>
      <c r="BK233" s="79"/>
      <c r="BL233" s="81"/>
      <c r="BM233" s="81"/>
      <c r="BN233" s="81"/>
      <c r="BO233" s="81"/>
      <c r="BP233" s="81"/>
      <c r="BQ233" s="81"/>
    </row>
    <row r="234" spans="1:69" x14ac:dyDescent="0.25">
      <c r="A234" s="70"/>
      <c r="B234" s="71"/>
      <c r="C234" s="70"/>
      <c r="D234" s="71"/>
      <c r="E234" s="71"/>
      <c r="F234" s="134"/>
      <c r="G234" s="82"/>
      <c r="H234" s="83"/>
      <c r="I234" s="71"/>
      <c r="J234" s="71"/>
      <c r="K234" s="83"/>
      <c r="L234" s="134"/>
      <c r="M234" s="71"/>
      <c r="N234" s="73"/>
      <c r="O234" s="151"/>
      <c r="P234" s="83"/>
      <c r="Q234" s="73"/>
      <c r="R234" s="73"/>
      <c r="S234" s="83"/>
      <c r="T234" s="84"/>
      <c r="U234" s="151"/>
      <c r="V234" s="151"/>
      <c r="W234" s="71"/>
      <c r="X234" s="79" t="s">
        <v>173</v>
      </c>
      <c r="Y234" s="75" t="s">
        <v>176</v>
      </c>
      <c r="Z234" s="76">
        <v>42300</v>
      </c>
      <c r="AA234" s="77">
        <v>11723</v>
      </c>
      <c r="AB234" s="75" t="s">
        <v>130</v>
      </c>
      <c r="AC234" s="76">
        <v>42370</v>
      </c>
      <c r="AD234" s="76">
        <v>42735</v>
      </c>
      <c r="AE234" s="78"/>
      <c r="AF234" s="79"/>
      <c r="AG234" s="2"/>
      <c r="AH234" s="2"/>
      <c r="AI234" s="102"/>
      <c r="AJ234" s="80"/>
      <c r="AK234" s="2"/>
      <c r="AL234" s="157">
        <f t="shared" si="20"/>
        <v>19800</v>
      </c>
      <c r="AM234" s="2"/>
      <c r="AN234" s="2"/>
      <c r="AO234" s="2"/>
      <c r="AP234" s="2"/>
      <c r="AQ234" s="2"/>
      <c r="AR234" s="7"/>
      <c r="AS234" s="157"/>
      <c r="AT234" s="71"/>
      <c r="AU234" s="71"/>
      <c r="AV234" s="71"/>
      <c r="AW234" s="84"/>
      <c r="AX234" s="71"/>
      <c r="AY234" s="71"/>
      <c r="AZ234" s="71"/>
      <c r="BA234" s="71"/>
      <c r="BB234" s="82"/>
      <c r="BC234" s="73"/>
      <c r="BD234" s="82"/>
      <c r="BE234" s="73"/>
      <c r="BF234" s="79"/>
      <c r="BG234" s="77"/>
      <c r="BH234" s="76"/>
      <c r="BI234" s="77"/>
      <c r="BJ234" s="76"/>
      <c r="BK234" s="79"/>
      <c r="BL234" s="81"/>
      <c r="BM234" s="81"/>
      <c r="BN234" s="81"/>
      <c r="BO234" s="81"/>
      <c r="BP234" s="81"/>
      <c r="BQ234" s="81"/>
    </row>
    <row r="235" spans="1:69" x14ac:dyDescent="0.25">
      <c r="A235" s="70"/>
      <c r="B235" s="71"/>
      <c r="C235" s="70"/>
      <c r="D235" s="71"/>
      <c r="E235" s="71"/>
      <c r="F235" s="134"/>
      <c r="G235" s="82"/>
      <c r="H235" s="83"/>
      <c r="I235" s="71"/>
      <c r="J235" s="71"/>
      <c r="K235" s="83"/>
      <c r="L235" s="134"/>
      <c r="M235" s="71"/>
      <c r="N235" s="73"/>
      <c r="O235" s="151"/>
      <c r="P235" s="83"/>
      <c r="Q235" s="73"/>
      <c r="R235" s="73"/>
      <c r="S235" s="83"/>
      <c r="T235" s="84"/>
      <c r="U235" s="151"/>
      <c r="V235" s="151"/>
      <c r="W235" s="71"/>
      <c r="X235" s="79" t="s">
        <v>173</v>
      </c>
      <c r="Y235" s="75" t="s">
        <v>189</v>
      </c>
      <c r="Z235" s="76">
        <v>42732</v>
      </c>
      <c r="AA235" s="77">
        <v>12038</v>
      </c>
      <c r="AB235" s="75" t="s">
        <v>130</v>
      </c>
      <c r="AC235" s="76">
        <v>42736</v>
      </c>
      <c r="AD235" s="76">
        <v>43100</v>
      </c>
      <c r="AE235" s="78"/>
      <c r="AF235" s="79"/>
      <c r="AG235" s="2"/>
      <c r="AH235" s="2"/>
      <c r="AI235" s="102"/>
      <c r="AJ235" s="80"/>
      <c r="AK235" s="2"/>
      <c r="AL235" s="157">
        <f t="shared" si="20"/>
        <v>19800</v>
      </c>
      <c r="AM235" s="2"/>
      <c r="AN235" s="2"/>
      <c r="AO235" s="2"/>
      <c r="AP235" s="2"/>
      <c r="AQ235" s="2"/>
      <c r="AR235" s="7"/>
      <c r="AS235" s="157"/>
      <c r="AT235" s="71"/>
      <c r="AU235" s="71"/>
      <c r="AV235" s="71"/>
      <c r="AW235" s="84"/>
      <c r="AX235" s="71"/>
      <c r="AY235" s="71"/>
      <c r="AZ235" s="71"/>
      <c r="BA235" s="71"/>
      <c r="BB235" s="82"/>
      <c r="BC235" s="73"/>
      <c r="BD235" s="82"/>
      <c r="BE235" s="73"/>
      <c r="BF235" s="79"/>
      <c r="BG235" s="77"/>
      <c r="BH235" s="76"/>
      <c r="BI235" s="77"/>
      <c r="BJ235" s="76"/>
      <c r="BK235" s="79"/>
      <c r="BL235" s="81"/>
      <c r="BM235" s="81"/>
      <c r="BN235" s="81"/>
      <c r="BO235" s="81"/>
      <c r="BP235" s="81"/>
      <c r="BQ235" s="81"/>
    </row>
    <row r="236" spans="1:69" ht="25.5" x14ac:dyDescent="0.25">
      <c r="A236" s="70"/>
      <c r="B236" s="71"/>
      <c r="C236" s="70"/>
      <c r="D236" s="71"/>
      <c r="E236" s="71"/>
      <c r="F236" s="134"/>
      <c r="G236" s="82"/>
      <c r="H236" s="83"/>
      <c r="I236" s="71"/>
      <c r="J236" s="71"/>
      <c r="K236" s="83"/>
      <c r="L236" s="134"/>
      <c r="M236" s="71"/>
      <c r="N236" s="73"/>
      <c r="O236" s="151"/>
      <c r="P236" s="83"/>
      <c r="Q236" s="73"/>
      <c r="R236" s="73"/>
      <c r="S236" s="83"/>
      <c r="T236" s="84"/>
      <c r="U236" s="151"/>
      <c r="V236" s="151"/>
      <c r="W236" s="71"/>
      <c r="X236" s="75" t="s">
        <v>183</v>
      </c>
      <c r="Y236" s="75" t="s">
        <v>190</v>
      </c>
      <c r="Z236" s="76">
        <v>42955</v>
      </c>
      <c r="AA236" s="77">
        <v>12145</v>
      </c>
      <c r="AB236" s="75" t="s">
        <v>199</v>
      </c>
      <c r="AC236" s="76">
        <v>42917</v>
      </c>
      <c r="AD236" s="76">
        <v>43100</v>
      </c>
      <c r="AE236" s="78"/>
      <c r="AF236" s="78">
        <f>AH236/AL235</f>
        <v>0.28201818181818183</v>
      </c>
      <c r="AG236" s="2"/>
      <c r="AH236" s="2">
        <v>5583.96</v>
      </c>
      <c r="AI236" s="102"/>
      <c r="AJ236" s="80"/>
      <c r="AK236" s="2"/>
      <c r="AL236" s="157">
        <f t="shared" si="20"/>
        <v>14216.04</v>
      </c>
      <c r="AM236" s="2"/>
      <c r="AN236" s="2"/>
      <c r="AO236" s="2"/>
      <c r="AP236" s="2"/>
      <c r="AQ236" s="2"/>
      <c r="AR236" s="7"/>
      <c r="AS236" s="157"/>
      <c r="AT236" s="71"/>
      <c r="AU236" s="71"/>
      <c r="AV236" s="71"/>
      <c r="AW236" s="84"/>
      <c r="AX236" s="71"/>
      <c r="AY236" s="71"/>
      <c r="AZ236" s="71"/>
      <c r="BA236" s="71"/>
      <c r="BB236" s="82"/>
      <c r="BC236" s="73"/>
      <c r="BD236" s="82"/>
      <c r="BE236" s="73"/>
      <c r="BF236" s="79"/>
      <c r="BG236" s="77"/>
      <c r="BH236" s="76"/>
      <c r="BI236" s="77"/>
      <c r="BJ236" s="76"/>
      <c r="BK236" s="79"/>
      <c r="BL236" s="81"/>
      <c r="BM236" s="81"/>
      <c r="BN236" s="81"/>
      <c r="BO236" s="81"/>
      <c r="BP236" s="81"/>
      <c r="BQ236" s="81"/>
    </row>
    <row r="237" spans="1:69" x14ac:dyDescent="0.25">
      <c r="A237" s="70"/>
      <c r="B237" s="71"/>
      <c r="C237" s="70"/>
      <c r="D237" s="71"/>
      <c r="E237" s="71"/>
      <c r="F237" s="134"/>
      <c r="G237" s="82"/>
      <c r="H237" s="83"/>
      <c r="I237" s="71"/>
      <c r="J237" s="71"/>
      <c r="K237" s="83"/>
      <c r="L237" s="134"/>
      <c r="M237" s="71"/>
      <c r="N237" s="73"/>
      <c r="O237" s="151"/>
      <c r="P237" s="83"/>
      <c r="Q237" s="73"/>
      <c r="R237" s="73"/>
      <c r="S237" s="83"/>
      <c r="T237" s="84"/>
      <c r="U237" s="151"/>
      <c r="V237" s="151"/>
      <c r="W237" s="71"/>
      <c r="X237" s="79" t="s">
        <v>173</v>
      </c>
      <c r="Y237" s="75" t="s">
        <v>177</v>
      </c>
      <c r="Z237" s="76">
        <v>43092</v>
      </c>
      <c r="AA237" s="77">
        <v>11137</v>
      </c>
      <c r="AB237" s="75" t="s">
        <v>130</v>
      </c>
      <c r="AC237" s="76">
        <v>43101</v>
      </c>
      <c r="AD237" s="76">
        <v>43465</v>
      </c>
      <c r="AE237" s="78"/>
      <c r="AF237" s="78"/>
      <c r="AG237" s="2"/>
      <c r="AH237" s="2"/>
      <c r="AI237" s="102"/>
      <c r="AJ237" s="80"/>
      <c r="AK237" s="2"/>
      <c r="AL237" s="157">
        <f t="shared" si="20"/>
        <v>19800</v>
      </c>
      <c r="AM237" s="2"/>
      <c r="AN237" s="2"/>
      <c r="AO237" s="2"/>
      <c r="AP237" s="2"/>
      <c r="AQ237" s="2"/>
      <c r="AR237" s="7"/>
      <c r="AS237" s="157"/>
      <c r="AT237" s="71"/>
      <c r="AU237" s="71"/>
      <c r="AV237" s="71"/>
      <c r="AW237" s="84"/>
      <c r="AX237" s="71"/>
      <c r="AY237" s="71"/>
      <c r="AZ237" s="71"/>
      <c r="BA237" s="71"/>
      <c r="BB237" s="82"/>
      <c r="BC237" s="73"/>
      <c r="BD237" s="82"/>
      <c r="BE237" s="73"/>
      <c r="BF237" s="79"/>
      <c r="BG237" s="77"/>
      <c r="BH237" s="76"/>
      <c r="BI237" s="77"/>
      <c r="BJ237" s="76"/>
      <c r="BK237" s="79"/>
      <c r="BL237" s="81"/>
      <c r="BM237" s="81"/>
      <c r="BN237" s="81"/>
      <c r="BO237" s="81"/>
      <c r="BP237" s="81"/>
      <c r="BQ237" s="81"/>
    </row>
    <row r="238" spans="1:69" x14ac:dyDescent="0.25">
      <c r="A238" s="70"/>
      <c r="B238" s="71"/>
      <c r="C238" s="70"/>
      <c r="D238" s="71"/>
      <c r="E238" s="71"/>
      <c r="F238" s="134"/>
      <c r="G238" s="82"/>
      <c r="H238" s="83"/>
      <c r="I238" s="71"/>
      <c r="J238" s="71"/>
      <c r="K238" s="83"/>
      <c r="L238" s="134"/>
      <c r="M238" s="71"/>
      <c r="N238" s="73"/>
      <c r="O238" s="151"/>
      <c r="P238" s="83"/>
      <c r="Q238" s="73"/>
      <c r="R238" s="73"/>
      <c r="S238" s="83"/>
      <c r="T238" s="84"/>
      <c r="U238" s="151"/>
      <c r="V238" s="151"/>
      <c r="W238" s="71"/>
      <c r="X238" s="79" t="s">
        <v>173</v>
      </c>
      <c r="Y238" s="75" t="s">
        <v>191</v>
      </c>
      <c r="Z238" s="76">
        <v>43461</v>
      </c>
      <c r="AA238" s="77">
        <v>12457</v>
      </c>
      <c r="AB238" s="75" t="s">
        <v>130</v>
      </c>
      <c r="AC238" s="76">
        <v>43466</v>
      </c>
      <c r="AD238" s="76">
        <v>43830</v>
      </c>
      <c r="AE238" s="78"/>
      <c r="AF238" s="78"/>
      <c r="AG238" s="2"/>
      <c r="AH238" s="2"/>
      <c r="AI238" s="102"/>
      <c r="AJ238" s="80"/>
      <c r="AK238" s="2"/>
      <c r="AL238" s="157">
        <f t="shared" si="20"/>
        <v>19800</v>
      </c>
      <c r="AM238" s="2"/>
      <c r="AN238" s="2"/>
      <c r="AO238" s="2"/>
      <c r="AP238" s="2"/>
      <c r="AQ238" s="2"/>
      <c r="AR238" s="7"/>
      <c r="AS238" s="157"/>
      <c r="AT238" s="71"/>
      <c r="AU238" s="71"/>
      <c r="AV238" s="71"/>
      <c r="AW238" s="84"/>
      <c r="AX238" s="71"/>
      <c r="AY238" s="71"/>
      <c r="AZ238" s="71"/>
      <c r="BA238" s="71"/>
      <c r="BB238" s="82"/>
      <c r="BC238" s="73"/>
      <c r="BD238" s="82"/>
      <c r="BE238" s="73"/>
      <c r="BF238" s="79"/>
      <c r="BG238" s="77"/>
      <c r="BH238" s="76"/>
      <c r="BI238" s="77"/>
      <c r="BJ238" s="76"/>
      <c r="BK238" s="79"/>
      <c r="BL238" s="81"/>
      <c r="BM238" s="81"/>
      <c r="BN238" s="81"/>
      <c r="BO238" s="81"/>
      <c r="BP238" s="81"/>
      <c r="BQ238" s="81"/>
    </row>
    <row r="239" spans="1:69" x14ac:dyDescent="0.25">
      <c r="A239" s="70"/>
      <c r="B239" s="71"/>
      <c r="C239" s="70"/>
      <c r="D239" s="71"/>
      <c r="E239" s="71"/>
      <c r="F239" s="134"/>
      <c r="G239" s="82"/>
      <c r="H239" s="83"/>
      <c r="I239" s="71"/>
      <c r="J239" s="71"/>
      <c r="K239" s="83"/>
      <c r="L239" s="134"/>
      <c r="M239" s="71"/>
      <c r="N239" s="73"/>
      <c r="O239" s="151"/>
      <c r="P239" s="83"/>
      <c r="Q239" s="73"/>
      <c r="R239" s="73"/>
      <c r="S239" s="83"/>
      <c r="T239" s="84"/>
      <c r="U239" s="151"/>
      <c r="V239" s="151"/>
      <c r="W239" s="71"/>
      <c r="X239" s="79" t="s">
        <v>173</v>
      </c>
      <c r="Y239" s="75" t="s">
        <v>192</v>
      </c>
      <c r="Z239" s="103">
        <v>43831</v>
      </c>
      <c r="AA239" s="94">
        <v>12723</v>
      </c>
      <c r="AB239" s="75" t="s">
        <v>130</v>
      </c>
      <c r="AC239" s="76">
        <v>43831</v>
      </c>
      <c r="AD239" s="76">
        <v>44196</v>
      </c>
      <c r="AE239" s="78"/>
      <c r="AF239" s="78"/>
      <c r="AG239" s="2"/>
      <c r="AH239" s="2"/>
      <c r="AI239" s="102"/>
      <c r="AJ239" s="80"/>
      <c r="AK239" s="2"/>
      <c r="AL239" s="157">
        <f t="shared" si="20"/>
        <v>19800</v>
      </c>
      <c r="AM239" s="2"/>
      <c r="AN239" s="2"/>
      <c r="AO239" s="2"/>
      <c r="AP239" s="2"/>
      <c r="AQ239" s="2"/>
      <c r="AR239" s="7"/>
      <c r="AS239" s="157"/>
      <c r="AT239" s="71"/>
      <c r="AU239" s="71"/>
      <c r="AV239" s="71"/>
      <c r="AW239" s="84"/>
      <c r="AX239" s="71"/>
      <c r="AY239" s="71"/>
      <c r="AZ239" s="71"/>
      <c r="BA239" s="71"/>
      <c r="BB239" s="82"/>
      <c r="BC239" s="73"/>
      <c r="BD239" s="82"/>
      <c r="BE239" s="73"/>
      <c r="BF239" s="79"/>
      <c r="BG239" s="77"/>
      <c r="BH239" s="76"/>
      <c r="BI239" s="77"/>
      <c r="BJ239" s="76"/>
      <c r="BK239" s="79"/>
      <c r="BL239" s="81"/>
      <c r="BM239" s="81"/>
      <c r="BN239" s="81"/>
      <c r="BO239" s="81"/>
      <c r="BP239" s="81"/>
      <c r="BQ239" s="81"/>
    </row>
    <row r="240" spans="1:69" x14ac:dyDescent="0.25">
      <c r="A240" s="70"/>
      <c r="B240" s="71"/>
      <c r="C240" s="70"/>
      <c r="D240" s="71"/>
      <c r="E240" s="71"/>
      <c r="F240" s="134"/>
      <c r="G240" s="82"/>
      <c r="H240" s="83"/>
      <c r="I240" s="71"/>
      <c r="J240" s="71"/>
      <c r="K240" s="83"/>
      <c r="L240" s="134"/>
      <c r="M240" s="71"/>
      <c r="N240" s="73"/>
      <c r="O240" s="151"/>
      <c r="P240" s="83"/>
      <c r="Q240" s="73"/>
      <c r="R240" s="73"/>
      <c r="S240" s="83"/>
      <c r="T240" s="84"/>
      <c r="U240" s="151"/>
      <c r="V240" s="151"/>
      <c r="W240" s="71"/>
      <c r="X240" s="79" t="s">
        <v>173</v>
      </c>
      <c r="Y240" s="75" t="s">
        <v>225</v>
      </c>
      <c r="Z240" s="103">
        <v>44197</v>
      </c>
      <c r="AA240" s="94">
        <v>12946</v>
      </c>
      <c r="AB240" s="75" t="s">
        <v>130</v>
      </c>
      <c r="AC240" s="76">
        <v>44197</v>
      </c>
      <c r="AD240" s="76">
        <v>44561</v>
      </c>
      <c r="AE240" s="78"/>
      <c r="AF240" s="78"/>
      <c r="AG240" s="2"/>
      <c r="AH240" s="2"/>
      <c r="AI240" s="102"/>
      <c r="AJ240" s="80"/>
      <c r="AK240" s="2"/>
      <c r="AL240" s="157">
        <f t="shared" si="20"/>
        <v>19800</v>
      </c>
      <c r="AM240" s="2"/>
      <c r="AN240" s="2"/>
      <c r="AO240" s="2"/>
      <c r="AP240" s="2"/>
      <c r="AQ240" s="2"/>
      <c r="AR240" s="7"/>
      <c r="AS240" s="157"/>
      <c r="AT240" s="71"/>
      <c r="AU240" s="71"/>
      <c r="AV240" s="71"/>
      <c r="AW240" s="84"/>
      <c r="AX240" s="71"/>
      <c r="AY240" s="71"/>
      <c r="AZ240" s="71"/>
      <c r="BA240" s="71"/>
      <c r="BB240" s="82"/>
      <c r="BC240" s="73"/>
      <c r="BD240" s="82"/>
      <c r="BE240" s="73"/>
      <c r="BF240" s="79"/>
      <c r="BG240" s="77"/>
      <c r="BH240" s="76"/>
      <c r="BI240" s="77"/>
      <c r="BJ240" s="76"/>
      <c r="BK240" s="79"/>
      <c r="BL240" s="81"/>
      <c r="BM240" s="81"/>
      <c r="BN240" s="81"/>
      <c r="BO240" s="81"/>
      <c r="BP240" s="81"/>
      <c r="BQ240" s="81"/>
    </row>
    <row r="241" spans="1:69" x14ac:dyDescent="0.25">
      <c r="A241" s="70"/>
      <c r="B241" s="71"/>
      <c r="C241" s="70"/>
      <c r="D241" s="71"/>
      <c r="E241" s="71"/>
      <c r="F241" s="134"/>
      <c r="G241" s="82"/>
      <c r="H241" s="83"/>
      <c r="I241" s="71"/>
      <c r="J241" s="71"/>
      <c r="K241" s="83"/>
      <c r="L241" s="134"/>
      <c r="M241" s="71"/>
      <c r="N241" s="73"/>
      <c r="O241" s="151"/>
      <c r="P241" s="83"/>
      <c r="Q241" s="73"/>
      <c r="R241" s="73"/>
      <c r="S241" s="83"/>
      <c r="T241" s="84"/>
      <c r="U241" s="151"/>
      <c r="V241" s="151"/>
      <c r="W241" s="71"/>
      <c r="X241" s="79" t="s">
        <v>173</v>
      </c>
      <c r="Y241" s="75" t="s">
        <v>226</v>
      </c>
      <c r="Z241" s="103">
        <v>44547</v>
      </c>
      <c r="AA241" s="94">
        <v>13191</v>
      </c>
      <c r="AB241" s="75" t="s">
        <v>372</v>
      </c>
      <c r="AC241" s="75" t="s">
        <v>370</v>
      </c>
      <c r="AD241" s="75" t="s">
        <v>371</v>
      </c>
      <c r="AE241" s="78"/>
      <c r="AF241" s="78"/>
      <c r="AG241" s="2"/>
      <c r="AH241" s="2"/>
      <c r="AI241" s="102"/>
      <c r="AJ241" s="80"/>
      <c r="AK241" s="2"/>
      <c r="AL241" s="157">
        <f t="shared" si="20"/>
        <v>19800</v>
      </c>
      <c r="AM241" s="2"/>
      <c r="AN241" s="2"/>
      <c r="AO241" s="2"/>
      <c r="AP241" s="2"/>
      <c r="AQ241" s="2"/>
      <c r="AR241" s="7"/>
      <c r="AS241" s="157"/>
      <c r="AT241" s="71"/>
      <c r="AU241" s="71"/>
      <c r="AV241" s="71"/>
      <c r="AW241" s="84"/>
      <c r="AX241" s="71"/>
      <c r="AY241" s="71"/>
      <c r="AZ241" s="71"/>
      <c r="BA241" s="71"/>
      <c r="BB241" s="82"/>
      <c r="BC241" s="73"/>
      <c r="BD241" s="82"/>
      <c r="BE241" s="73"/>
      <c r="BF241" s="79"/>
      <c r="BG241" s="77"/>
      <c r="BH241" s="76"/>
      <c r="BI241" s="77"/>
      <c r="BJ241" s="76"/>
      <c r="BK241" s="79"/>
      <c r="BL241" s="81"/>
      <c r="BM241" s="81"/>
      <c r="BN241" s="81"/>
      <c r="BO241" s="81"/>
      <c r="BP241" s="81"/>
      <c r="BQ241" s="81"/>
    </row>
    <row r="242" spans="1:69" x14ac:dyDescent="0.25">
      <c r="A242" s="70"/>
      <c r="B242" s="71"/>
      <c r="C242" s="70"/>
      <c r="D242" s="71"/>
      <c r="E242" s="71"/>
      <c r="F242" s="134"/>
      <c r="G242" s="82"/>
      <c r="H242" s="83"/>
      <c r="I242" s="71"/>
      <c r="J242" s="71"/>
      <c r="K242" s="83"/>
      <c r="L242" s="134"/>
      <c r="M242" s="71"/>
      <c r="N242" s="73"/>
      <c r="O242" s="151"/>
      <c r="P242" s="83"/>
      <c r="Q242" s="73"/>
      <c r="R242" s="73"/>
      <c r="S242" s="83"/>
      <c r="T242" s="84"/>
      <c r="U242" s="151"/>
      <c r="V242" s="151"/>
      <c r="W242" s="71"/>
      <c r="X242" s="79" t="s">
        <v>173</v>
      </c>
      <c r="Y242" s="75" t="s">
        <v>227</v>
      </c>
      <c r="Z242" s="103">
        <v>44908</v>
      </c>
      <c r="AA242" s="94">
        <v>13432</v>
      </c>
      <c r="AB242" s="75" t="s">
        <v>372</v>
      </c>
      <c r="AC242" s="75" t="s">
        <v>418</v>
      </c>
      <c r="AD242" s="75" t="s">
        <v>419</v>
      </c>
      <c r="AE242" s="78"/>
      <c r="AF242" s="78"/>
      <c r="AG242" s="2"/>
      <c r="AH242" s="2"/>
      <c r="AI242" s="102"/>
      <c r="AJ242" s="80"/>
      <c r="AK242" s="2"/>
      <c r="AL242" s="157">
        <f t="shared" si="20"/>
        <v>19800</v>
      </c>
      <c r="AM242" s="2"/>
      <c r="AN242" s="2"/>
      <c r="AO242" s="2"/>
      <c r="AP242" s="2"/>
      <c r="AQ242" s="2"/>
      <c r="AR242" s="7"/>
      <c r="AS242" s="157"/>
      <c r="AT242" s="71"/>
      <c r="AU242" s="71"/>
      <c r="AV242" s="71"/>
      <c r="AW242" s="84"/>
      <c r="AX242" s="71"/>
      <c r="AY242" s="71"/>
      <c r="AZ242" s="71"/>
      <c r="BA242" s="71"/>
      <c r="BB242" s="82"/>
      <c r="BC242" s="73"/>
      <c r="BD242" s="82"/>
      <c r="BE242" s="73"/>
      <c r="BF242" s="79"/>
      <c r="BG242" s="77"/>
      <c r="BH242" s="76"/>
      <c r="BI242" s="77"/>
      <c r="BJ242" s="76"/>
      <c r="BK242" s="79"/>
      <c r="BL242" s="81"/>
      <c r="BM242" s="81"/>
      <c r="BN242" s="81"/>
      <c r="BO242" s="81"/>
      <c r="BP242" s="81"/>
      <c r="BQ242" s="81"/>
    </row>
    <row r="243" spans="1:69" x14ac:dyDescent="0.25">
      <c r="A243" s="70"/>
      <c r="B243" s="71"/>
      <c r="C243" s="70"/>
      <c r="D243" s="71"/>
      <c r="E243" s="71"/>
      <c r="F243" s="134"/>
      <c r="G243" s="71"/>
      <c r="H243" s="83"/>
      <c r="I243" s="71"/>
      <c r="J243" s="71"/>
      <c r="K243" s="83"/>
      <c r="L243" s="134"/>
      <c r="M243" s="71"/>
      <c r="N243" s="73"/>
      <c r="O243" s="151"/>
      <c r="P243" s="83"/>
      <c r="Q243" s="73"/>
      <c r="R243" s="73"/>
      <c r="S243" s="83"/>
      <c r="T243" s="84"/>
      <c r="U243" s="151"/>
      <c r="V243" s="151"/>
      <c r="W243" s="71"/>
      <c r="X243" s="79" t="s">
        <v>173</v>
      </c>
      <c r="Y243" s="75" t="s">
        <v>228</v>
      </c>
      <c r="Z243" s="103">
        <v>45279</v>
      </c>
      <c r="AA243" s="94">
        <v>13686</v>
      </c>
      <c r="AB243" s="75" t="s">
        <v>372</v>
      </c>
      <c r="AC243" s="75" t="s">
        <v>547</v>
      </c>
      <c r="AD243" s="75" t="s">
        <v>548</v>
      </c>
      <c r="AE243" s="78"/>
      <c r="AF243" s="79"/>
      <c r="AG243" s="2"/>
      <c r="AH243" s="2"/>
      <c r="AI243" s="102"/>
      <c r="AJ243" s="80"/>
      <c r="AK243" s="2"/>
      <c r="AL243" s="157">
        <f t="shared" si="20"/>
        <v>19800</v>
      </c>
      <c r="AM243" s="2"/>
      <c r="AN243" s="2"/>
      <c r="AO243" s="2"/>
      <c r="AP243" s="2"/>
      <c r="AQ243" s="2"/>
      <c r="AR243" s="7"/>
      <c r="AS243" s="157"/>
      <c r="AT243" s="71"/>
      <c r="AU243" s="71"/>
      <c r="AV243" s="71"/>
      <c r="AW243" s="84"/>
      <c r="AX243" s="71"/>
      <c r="AY243" s="71"/>
      <c r="AZ243" s="71"/>
      <c r="BA243" s="71"/>
      <c r="BB243" s="82"/>
      <c r="BC243" s="73"/>
      <c r="BD243" s="82"/>
      <c r="BE243" s="73"/>
      <c r="BF243" s="79"/>
      <c r="BG243" s="77"/>
      <c r="BH243" s="76"/>
      <c r="BI243" s="77"/>
      <c r="BJ243" s="76"/>
      <c r="BK243" s="79"/>
      <c r="BL243" s="81"/>
      <c r="BM243" s="81"/>
      <c r="BN243" s="81"/>
      <c r="BO243" s="81"/>
      <c r="BP243" s="81"/>
      <c r="BQ243" s="81"/>
    </row>
    <row r="244" spans="1:69" x14ac:dyDescent="0.25">
      <c r="A244" s="70">
        <v>57</v>
      </c>
      <c r="B244" s="71" t="s">
        <v>126</v>
      </c>
      <c r="C244" s="71"/>
      <c r="D244" s="71" t="s">
        <v>115</v>
      </c>
      <c r="E244" s="71" t="s">
        <v>102</v>
      </c>
      <c r="F244" s="134" t="s">
        <v>127</v>
      </c>
      <c r="G244" s="82"/>
      <c r="H244" s="83"/>
      <c r="I244" s="83"/>
      <c r="J244" s="83"/>
      <c r="K244" s="83" t="s">
        <v>285</v>
      </c>
      <c r="L244" s="134" t="s">
        <v>316</v>
      </c>
      <c r="M244" s="71" t="s">
        <v>369</v>
      </c>
      <c r="N244" s="73">
        <v>41890</v>
      </c>
      <c r="O244" s="151">
        <v>56500</v>
      </c>
      <c r="P244" s="71">
        <v>11396</v>
      </c>
      <c r="Q244" s="73">
        <v>41890</v>
      </c>
      <c r="R244" s="73">
        <v>42004</v>
      </c>
      <c r="S244" s="83" t="s">
        <v>565</v>
      </c>
      <c r="T244" s="71"/>
      <c r="U244" s="151"/>
      <c r="V244" s="151"/>
      <c r="W244" s="71" t="s">
        <v>106</v>
      </c>
      <c r="X244" s="75"/>
      <c r="Y244" s="75"/>
      <c r="Z244" s="76"/>
      <c r="AA244" s="77"/>
      <c r="AB244" s="75"/>
      <c r="AC244" s="76"/>
      <c r="AD244" s="76"/>
      <c r="AE244" s="78"/>
      <c r="AF244" s="79"/>
      <c r="AG244" s="2"/>
      <c r="AH244" s="2"/>
      <c r="AI244" s="80"/>
      <c r="AJ244" s="80"/>
      <c r="AK244" s="2"/>
      <c r="AL244" s="157">
        <f>$O$244-AH244+AG244+AK244</f>
        <v>56500</v>
      </c>
      <c r="AM244" s="163">
        <f>470028.09+16133.07+48399.21+16133.07+32266.14+16133.07+16133.07+32266.14+48399.21+16133.07+16133.07+32266.14+16133.07+16133.07+16133.07+16133.07+16133.07+193596.84+16133.07+16133.07+16133.07+48399.21+16133.07+16133.07+16133.07+16133.07+16133.07+16133.07+193596.84+193596.84</f>
        <v>1615476.06</v>
      </c>
      <c r="AN244" s="163">
        <f>16133.07</f>
        <v>16133.07</v>
      </c>
      <c r="AO244" s="163">
        <f>16133.07+16133.07</f>
        <v>32266.14</v>
      </c>
      <c r="AP244" s="163"/>
      <c r="AQ244" s="163"/>
      <c r="AR244" s="7">
        <f>AQ244+AP244+AO244+AN244</f>
        <v>48399.21</v>
      </c>
      <c r="AS244" s="157">
        <f>AR244+AM244</f>
        <v>1663875.27</v>
      </c>
      <c r="AT244" s="71"/>
      <c r="AU244" s="71"/>
      <c r="AV244" s="71"/>
      <c r="AW244" s="82"/>
      <c r="AX244" s="71"/>
      <c r="AY244" s="70"/>
      <c r="AZ244" s="71" t="s">
        <v>128</v>
      </c>
      <c r="BA244" s="71" t="s">
        <v>133</v>
      </c>
      <c r="BB244" s="82">
        <v>11387</v>
      </c>
      <c r="BC244" s="73">
        <v>41890</v>
      </c>
      <c r="BD244" s="82">
        <v>11387</v>
      </c>
      <c r="BE244" s="73">
        <v>41890</v>
      </c>
      <c r="BF244" s="79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</row>
    <row r="245" spans="1:69" x14ac:dyDescent="0.25">
      <c r="A245" s="70"/>
      <c r="B245" s="71"/>
      <c r="C245" s="71"/>
      <c r="D245" s="71"/>
      <c r="E245" s="71"/>
      <c r="F245" s="134"/>
      <c r="G245" s="82"/>
      <c r="H245" s="83"/>
      <c r="I245" s="83"/>
      <c r="J245" s="83"/>
      <c r="K245" s="83"/>
      <c r="L245" s="134"/>
      <c r="M245" s="71"/>
      <c r="N245" s="73"/>
      <c r="O245" s="151"/>
      <c r="P245" s="71"/>
      <c r="Q245" s="73"/>
      <c r="R245" s="73"/>
      <c r="S245" s="83"/>
      <c r="T245" s="71"/>
      <c r="U245" s="151"/>
      <c r="V245" s="151"/>
      <c r="W245" s="71"/>
      <c r="X245" s="79" t="s">
        <v>173</v>
      </c>
      <c r="Y245" s="75" t="s">
        <v>187</v>
      </c>
      <c r="Z245" s="76">
        <v>41989</v>
      </c>
      <c r="AA245" s="77">
        <v>11478</v>
      </c>
      <c r="AB245" s="75" t="s">
        <v>137</v>
      </c>
      <c r="AC245" s="76">
        <v>42005</v>
      </c>
      <c r="AD245" s="76">
        <v>42369</v>
      </c>
      <c r="AE245" s="78"/>
      <c r="AF245" s="79"/>
      <c r="AG245" s="2"/>
      <c r="AH245" s="2"/>
      <c r="AI245" s="80"/>
      <c r="AJ245" s="80"/>
      <c r="AK245" s="2"/>
      <c r="AL245" s="157">
        <f t="shared" ref="AL245:AL258" si="21">$O$244-AH245+AG245+AK245</f>
        <v>56500</v>
      </c>
      <c r="AM245" s="163"/>
      <c r="AN245" s="163"/>
      <c r="AO245" s="163"/>
      <c r="AP245" s="163"/>
      <c r="AQ245" s="163"/>
      <c r="AR245" s="7"/>
      <c r="AS245" s="157"/>
      <c r="AT245" s="71"/>
      <c r="AU245" s="71"/>
      <c r="AV245" s="71"/>
      <c r="AW245" s="82"/>
      <c r="AX245" s="71"/>
      <c r="AY245" s="70"/>
      <c r="AZ245" s="71"/>
      <c r="BA245" s="71"/>
      <c r="BB245" s="82"/>
      <c r="BC245" s="73"/>
      <c r="BD245" s="82"/>
      <c r="BE245" s="73"/>
      <c r="BF245" s="79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</row>
    <row r="246" spans="1:69" ht="25.5" x14ac:dyDescent="0.25">
      <c r="A246" s="70"/>
      <c r="B246" s="71"/>
      <c r="C246" s="71"/>
      <c r="D246" s="71"/>
      <c r="E246" s="71"/>
      <c r="F246" s="134"/>
      <c r="G246" s="82"/>
      <c r="H246" s="83"/>
      <c r="I246" s="83"/>
      <c r="J246" s="83"/>
      <c r="K246" s="83"/>
      <c r="L246" s="134"/>
      <c r="M246" s="71"/>
      <c r="N246" s="73"/>
      <c r="O246" s="151"/>
      <c r="P246" s="71"/>
      <c r="Q246" s="73"/>
      <c r="R246" s="73"/>
      <c r="S246" s="83"/>
      <c r="T246" s="71"/>
      <c r="U246" s="151"/>
      <c r="V246" s="151"/>
      <c r="W246" s="71"/>
      <c r="X246" s="75" t="s">
        <v>181</v>
      </c>
      <c r="Y246" s="75" t="s">
        <v>187</v>
      </c>
      <c r="Z246" s="76">
        <v>42346</v>
      </c>
      <c r="AA246" s="77">
        <v>11663</v>
      </c>
      <c r="AB246" s="75" t="s">
        <v>140</v>
      </c>
      <c r="AC246" s="76">
        <v>42005</v>
      </c>
      <c r="AD246" s="76">
        <v>42369</v>
      </c>
      <c r="AE246" s="78">
        <f>AG246/AL244</f>
        <v>7.5538053097345126E-2</v>
      </c>
      <c r="AF246" s="79"/>
      <c r="AG246" s="2">
        <v>4267.8999999999996</v>
      </c>
      <c r="AH246" s="2"/>
      <c r="AI246" s="80"/>
      <c r="AJ246" s="80"/>
      <c r="AK246" s="2"/>
      <c r="AL246" s="157">
        <f t="shared" si="21"/>
        <v>60767.9</v>
      </c>
      <c r="AM246" s="163"/>
      <c r="AN246" s="163"/>
      <c r="AO246" s="163"/>
      <c r="AP246" s="163"/>
      <c r="AQ246" s="163"/>
      <c r="AR246" s="7"/>
      <c r="AS246" s="157"/>
      <c r="AT246" s="71"/>
      <c r="AU246" s="71"/>
      <c r="AV246" s="71"/>
      <c r="AW246" s="82"/>
      <c r="AX246" s="71"/>
      <c r="AY246" s="70"/>
      <c r="AZ246" s="71"/>
      <c r="BA246" s="71"/>
      <c r="BB246" s="82"/>
      <c r="BC246" s="73"/>
      <c r="BD246" s="82"/>
      <c r="BE246" s="73"/>
      <c r="BF246" s="79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</row>
    <row r="247" spans="1:69" x14ac:dyDescent="0.25">
      <c r="A247" s="70"/>
      <c r="B247" s="71"/>
      <c r="C247" s="71"/>
      <c r="D247" s="71"/>
      <c r="E247" s="71"/>
      <c r="F247" s="134"/>
      <c r="G247" s="82"/>
      <c r="H247" s="83"/>
      <c r="I247" s="83"/>
      <c r="J247" s="83"/>
      <c r="K247" s="83"/>
      <c r="L247" s="134"/>
      <c r="M247" s="71"/>
      <c r="N247" s="73"/>
      <c r="O247" s="151"/>
      <c r="P247" s="71"/>
      <c r="Q247" s="73"/>
      <c r="R247" s="73"/>
      <c r="S247" s="83"/>
      <c r="T247" s="71"/>
      <c r="U247" s="151"/>
      <c r="V247" s="151"/>
      <c r="W247" s="71"/>
      <c r="X247" s="79" t="s">
        <v>173</v>
      </c>
      <c r="Y247" s="75" t="s">
        <v>175</v>
      </c>
      <c r="Z247" s="76">
        <v>42367</v>
      </c>
      <c r="AA247" s="77">
        <v>11719</v>
      </c>
      <c r="AB247" s="75" t="s">
        <v>137</v>
      </c>
      <c r="AC247" s="76">
        <v>42370</v>
      </c>
      <c r="AD247" s="76">
        <v>42735</v>
      </c>
      <c r="AE247" s="78"/>
      <c r="AF247" s="79"/>
      <c r="AG247" s="2"/>
      <c r="AH247" s="2"/>
      <c r="AI247" s="80"/>
      <c r="AJ247" s="80"/>
      <c r="AK247" s="2"/>
      <c r="AL247" s="157">
        <f t="shared" si="21"/>
        <v>56500</v>
      </c>
      <c r="AM247" s="163"/>
      <c r="AN247" s="163"/>
      <c r="AO247" s="163"/>
      <c r="AP247" s="163"/>
      <c r="AQ247" s="163"/>
      <c r="AR247" s="7"/>
      <c r="AS247" s="157"/>
      <c r="AT247" s="71"/>
      <c r="AU247" s="71"/>
      <c r="AV247" s="71"/>
      <c r="AW247" s="82"/>
      <c r="AX247" s="71"/>
      <c r="AY247" s="70"/>
      <c r="AZ247" s="71"/>
      <c r="BA247" s="71"/>
      <c r="BB247" s="82"/>
      <c r="BC247" s="73"/>
      <c r="BD247" s="82"/>
      <c r="BE247" s="73"/>
      <c r="BF247" s="79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</row>
    <row r="248" spans="1:69" x14ac:dyDescent="0.25">
      <c r="A248" s="70"/>
      <c r="B248" s="71"/>
      <c r="C248" s="71"/>
      <c r="D248" s="71"/>
      <c r="E248" s="71"/>
      <c r="F248" s="134"/>
      <c r="G248" s="82"/>
      <c r="H248" s="83"/>
      <c r="I248" s="83"/>
      <c r="J248" s="83"/>
      <c r="K248" s="83"/>
      <c r="L248" s="134"/>
      <c r="M248" s="71"/>
      <c r="N248" s="73"/>
      <c r="O248" s="151"/>
      <c r="P248" s="71"/>
      <c r="Q248" s="73"/>
      <c r="R248" s="73"/>
      <c r="S248" s="83"/>
      <c r="T248" s="71"/>
      <c r="U248" s="151"/>
      <c r="V248" s="151"/>
      <c r="W248" s="71"/>
      <c r="X248" s="79" t="s">
        <v>173</v>
      </c>
      <c r="Y248" s="75" t="s">
        <v>176</v>
      </c>
      <c r="Z248" s="76">
        <v>42733</v>
      </c>
      <c r="AA248" s="77">
        <v>11984</v>
      </c>
      <c r="AB248" s="75" t="s">
        <v>137</v>
      </c>
      <c r="AC248" s="76">
        <v>42736</v>
      </c>
      <c r="AD248" s="76">
        <v>43100</v>
      </c>
      <c r="AE248" s="78"/>
      <c r="AF248" s="79"/>
      <c r="AG248" s="2"/>
      <c r="AH248" s="2"/>
      <c r="AI248" s="80"/>
      <c r="AJ248" s="80"/>
      <c r="AK248" s="2"/>
      <c r="AL248" s="157">
        <f t="shared" si="21"/>
        <v>56500</v>
      </c>
      <c r="AM248" s="163"/>
      <c r="AN248" s="163"/>
      <c r="AO248" s="163"/>
      <c r="AP248" s="163"/>
      <c r="AQ248" s="163"/>
      <c r="AR248" s="7"/>
      <c r="AS248" s="157"/>
      <c r="AT248" s="71"/>
      <c r="AU248" s="71"/>
      <c r="AV248" s="71"/>
      <c r="AW248" s="82"/>
      <c r="AX248" s="71"/>
      <c r="AY248" s="70"/>
      <c r="AZ248" s="71"/>
      <c r="BA248" s="71"/>
      <c r="BB248" s="82"/>
      <c r="BC248" s="73"/>
      <c r="BD248" s="82"/>
      <c r="BE248" s="73"/>
      <c r="BF248" s="79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</row>
    <row r="249" spans="1:69" x14ac:dyDescent="0.25">
      <c r="A249" s="70"/>
      <c r="B249" s="71"/>
      <c r="C249" s="71"/>
      <c r="D249" s="71"/>
      <c r="E249" s="71"/>
      <c r="F249" s="134"/>
      <c r="G249" s="82"/>
      <c r="H249" s="83"/>
      <c r="I249" s="83"/>
      <c r="J249" s="83"/>
      <c r="K249" s="83"/>
      <c r="L249" s="134"/>
      <c r="M249" s="71"/>
      <c r="N249" s="73"/>
      <c r="O249" s="151"/>
      <c r="P249" s="71"/>
      <c r="Q249" s="73"/>
      <c r="R249" s="73"/>
      <c r="S249" s="83"/>
      <c r="T249" s="71"/>
      <c r="U249" s="151"/>
      <c r="V249" s="151"/>
      <c r="W249" s="71"/>
      <c r="X249" s="79" t="s">
        <v>182</v>
      </c>
      <c r="Y249" s="75" t="s">
        <v>202</v>
      </c>
      <c r="Z249" s="76">
        <v>43096</v>
      </c>
      <c r="AA249" s="77">
        <v>12214</v>
      </c>
      <c r="AB249" s="75" t="s">
        <v>137</v>
      </c>
      <c r="AC249" s="76">
        <v>43101</v>
      </c>
      <c r="AD249" s="76">
        <v>43465</v>
      </c>
      <c r="AE249" s="78"/>
      <c r="AF249" s="79"/>
      <c r="AG249" s="2"/>
      <c r="AH249" s="2"/>
      <c r="AI249" s="80"/>
      <c r="AJ249" s="80"/>
      <c r="AK249" s="2"/>
      <c r="AL249" s="157">
        <f t="shared" si="21"/>
        <v>56500</v>
      </c>
      <c r="AM249" s="163"/>
      <c r="AN249" s="163"/>
      <c r="AO249" s="163"/>
      <c r="AP249" s="163"/>
      <c r="AQ249" s="163"/>
      <c r="AR249" s="7"/>
      <c r="AS249" s="157"/>
      <c r="AT249" s="71"/>
      <c r="AU249" s="71"/>
      <c r="AV249" s="71"/>
      <c r="AW249" s="82"/>
      <c r="AX249" s="71"/>
      <c r="AY249" s="70"/>
      <c r="AZ249" s="71"/>
      <c r="BA249" s="71"/>
      <c r="BB249" s="82"/>
      <c r="BC249" s="73"/>
      <c r="BD249" s="82"/>
      <c r="BE249" s="73"/>
      <c r="BF249" s="79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</row>
    <row r="250" spans="1:69" x14ac:dyDescent="0.25">
      <c r="A250" s="70"/>
      <c r="B250" s="71"/>
      <c r="C250" s="71"/>
      <c r="D250" s="71"/>
      <c r="E250" s="71"/>
      <c r="F250" s="134"/>
      <c r="G250" s="82"/>
      <c r="H250" s="83"/>
      <c r="I250" s="83"/>
      <c r="J250" s="83"/>
      <c r="K250" s="83"/>
      <c r="L250" s="134"/>
      <c r="M250" s="71"/>
      <c r="N250" s="73"/>
      <c r="O250" s="151"/>
      <c r="P250" s="71"/>
      <c r="Q250" s="73"/>
      <c r="R250" s="73"/>
      <c r="S250" s="83"/>
      <c r="T250" s="71"/>
      <c r="U250" s="151"/>
      <c r="V250" s="151"/>
      <c r="W250" s="71"/>
      <c r="X250" s="79" t="s">
        <v>182</v>
      </c>
      <c r="Y250" s="75" t="s">
        <v>204</v>
      </c>
      <c r="Z250" s="76">
        <v>43452</v>
      </c>
      <c r="AA250" s="77">
        <v>12457</v>
      </c>
      <c r="AB250" s="75" t="s">
        <v>137</v>
      </c>
      <c r="AC250" s="76">
        <v>43466</v>
      </c>
      <c r="AD250" s="76">
        <v>43830</v>
      </c>
      <c r="AE250" s="78"/>
      <c r="AF250" s="79"/>
      <c r="AG250" s="2"/>
      <c r="AH250" s="2"/>
      <c r="AI250" s="80"/>
      <c r="AJ250" s="80"/>
      <c r="AK250" s="2"/>
      <c r="AL250" s="157">
        <f t="shared" si="21"/>
        <v>56500</v>
      </c>
      <c r="AM250" s="163"/>
      <c r="AN250" s="163"/>
      <c r="AO250" s="163"/>
      <c r="AP250" s="163"/>
      <c r="AQ250" s="163"/>
      <c r="AR250" s="7"/>
      <c r="AS250" s="157"/>
      <c r="AT250" s="71"/>
      <c r="AU250" s="71"/>
      <c r="AV250" s="71"/>
      <c r="AW250" s="82"/>
      <c r="AX250" s="71"/>
      <c r="AY250" s="70"/>
      <c r="AZ250" s="71"/>
      <c r="BA250" s="71"/>
      <c r="BB250" s="82"/>
      <c r="BC250" s="73"/>
      <c r="BD250" s="82"/>
      <c r="BE250" s="73"/>
      <c r="BF250" s="79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</row>
    <row r="251" spans="1:69" x14ac:dyDescent="0.25">
      <c r="A251" s="70"/>
      <c r="B251" s="71"/>
      <c r="C251" s="71"/>
      <c r="D251" s="71"/>
      <c r="E251" s="71"/>
      <c r="F251" s="134"/>
      <c r="G251" s="82"/>
      <c r="H251" s="83"/>
      <c r="I251" s="83"/>
      <c r="J251" s="83"/>
      <c r="K251" s="83"/>
      <c r="L251" s="134"/>
      <c r="M251" s="71"/>
      <c r="N251" s="73"/>
      <c r="O251" s="151"/>
      <c r="P251" s="71"/>
      <c r="Q251" s="73"/>
      <c r="R251" s="73"/>
      <c r="S251" s="83"/>
      <c r="T251" s="71"/>
      <c r="U251" s="151"/>
      <c r="V251" s="151"/>
      <c r="W251" s="71"/>
      <c r="X251" s="79" t="s">
        <v>182</v>
      </c>
      <c r="Y251" s="75" t="s">
        <v>205</v>
      </c>
      <c r="Z251" s="76">
        <v>43829</v>
      </c>
      <c r="AA251" s="77">
        <v>12715</v>
      </c>
      <c r="AB251" s="75" t="s">
        <v>197</v>
      </c>
      <c r="AC251" s="76">
        <v>43831</v>
      </c>
      <c r="AD251" s="76">
        <v>44013</v>
      </c>
      <c r="AE251" s="78"/>
      <c r="AF251" s="79"/>
      <c r="AG251" s="2"/>
      <c r="AH251" s="2"/>
      <c r="AI251" s="80"/>
      <c r="AJ251" s="80"/>
      <c r="AK251" s="2"/>
      <c r="AL251" s="157">
        <f t="shared" si="21"/>
        <v>56500</v>
      </c>
      <c r="AM251" s="163"/>
      <c r="AN251" s="163"/>
      <c r="AO251" s="163"/>
      <c r="AP251" s="163"/>
      <c r="AQ251" s="163"/>
      <c r="AR251" s="7"/>
      <c r="AS251" s="157"/>
      <c r="AT251" s="71"/>
      <c r="AU251" s="71"/>
      <c r="AV251" s="71"/>
      <c r="AW251" s="82"/>
      <c r="AX251" s="71"/>
      <c r="AY251" s="70"/>
      <c r="AZ251" s="71"/>
      <c r="BA251" s="71"/>
      <c r="BB251" s="82"/>
      <c r="BC251" s="73"/>
      <c r="BD251" s="82"/>
      <c r="BE251" s="73"/>
      <c r="BF251" s="79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</row>
    <row r="252" spans="1:69" x14ac:dyDescent="0.25">
      <c r="A252" s="70"/>
      <c r="B252" s="71"/>
      <c r="C252" s="71"/>
      <c r="D252" s="71"/>
      <c r="E252" s="71"/>
      <c r="F252" s="134"/>
      <c r="G252" s="82"/>
      <c r="H252" s="83"/>
      <c r="I252" s="83"/>
      <c r="J252" s="83"/>
      <c r="K252" s="83"/>
      <c r="L252" s="134"/>
      <c r="M252" s="71"/>
      <c r="N252" s="73"/>
      <c r="O252" s="151"/>
      <c r="P252" s="71"/>
      <c r="Q252" s="73"/>
      <c r="R252" s="73"/>
      <c r="S252" s="83"/>
      <c r="T252" s="71"/>
      <c r="U252" s="151"/>
      <c r="V252" s="151"/>
      <c r="W252" s="71"/>
      <c r="X252" s="79" t="s">
        <v>182</v>
      </c>
      <c r="Y252" s="75" t="s">
        <v>224</v>
      </c>
      <c r="Z252" s="76">
        <v>44012</v>
      </c>
      <c r="AA252" s="77">
        <v>12832</v>
      </c>
      <c r="AB252" s="75" t="s">
        <v>197</v>
      </c>
      <c r="AC252" s="76">
        <v>44014</v>
      </c>
      <c r="AD252" s="76">
        <v>44196</v>
      </c>
      <c r="AE252" s="78"/>
      <c r="AF252" s="79"/>
      <c r="AG252" s="2"/>
      <c r="AH252" s="2"/>
      <c r="AI252" s="80"/>
      <c r="AJ252" s="80"/>
      <c r="AK252" s="2"/>
      <c r="AL252" s="157">
        <f t="shared" si="21"/>
        <v>56500</v>
      </c>
      <c r="AM252" s="163"/>
      <c r="AN252" s="163"/>
      <c r="AO252" s="163"/>
      <c r="AP252" s="163"/>
      <c r="AQ252" s="163"/>
      <c r="AR252" s="7"/>
      <c r="AS252" s="157"/>
      <c r="AT252" s="71"/>
      <c r="AU252" s="71"/>
      <c r="AV252" s="71"/>
      <c r="AW252" s="82"/>
      <c r="AX252" s="71"/>
      <c r="AY252" s="70"/>
      <c r="AZ252" s="71"/>
      <c r="BA252" s="71"/>
      <c r="BB252" s="82"/>
      <c r="BC252" s="73"/>
      <c r="BD252" s="82"/>
      <c r="BE252" s="73"/>
      <c r="BF252" s="79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</row>
    <row r="253" spans="1:69" x14ac:dyDescent="0.25">
      <c r="A253" s="70"/>
      <c r="B253" s="71"/>
      <c r="C253" s="71"/>
      <c r="D253" s="71"/>
      <c r="E253" s="71"/>
      <c r="F253" s="134"/>
      <c r="G253" s="82"/>
      <c r="H253" s="83"/>
      <c r="I253" s="83"/>
      <c r="J253" s="83"/>
      <c r="K253" s="83"/>
      <c r="L253" s="134"/>
      <c r="M253" s="71"/>
      <c r="N253" s="73"/>
      <c r="O253" s="151"/>
      <c r="P253" s="71"/>
      <c r="Q253" s="73"/>
      <c r="R253" s="73"/>
      <c r="S253" s="83"/>
      <c r="T253" s="71"/>
      <c r="U253" s="151"/>
      <c r="V253" s="151"/>
      <c r="W253" s="71"/>
      <c r="X253" s="79" t="s">
        <v>182</v>
      </c>
      <c r="Y253" s="75" t="s">
        <v>266</v>
      </c>
      <c r="Z253" s="76">
        <v>44197</v>
      </c>
      <c r="AA253" s="77">
        <v>12947</v>
      </c>
      <c r="AB253" s="75" t="s">
        <v>137</v>
      </c>
      <c r="AC253" s="76">
        <v>44197</v>
      </c>
      <c r="AD253" s="76">
        <v>44561</v>
      </c>
      <c r="AE253" s="78"/>
      <c r="AF253" s="79"/>
      <c r="AG253" s="2"/>
      <c r="AH253" s="2"/>
      <c r="AI253" s="80"/>
      <c r="AJ253" s="80"/>
      <c r="AK253" s="2"/>
      <c r="AL253" s="157">
        <f t="shared" si="21"/>
        <v>56500</v>
      </c>
      <c r="AM253" s="163"/>
      <c r="AN253" s="163"/>
      <c r="AO253" s="163"/>
      <c r="AP253" s="163"/>
      <c r="AQ253" s="163"/>
      <c r="AR253" s="7"/>
      <c r="AS253" s="157"/>
      <c r="AT253" s="71"/>
      <c r="AU253" s="71"/>
      <c r="AV253" s="71"/>
      <c r="AW253" s="82"/>
      <c r="AX253" s="71"/>
      <c r="AY253" s="70"/>
      <c r="AZ253" s="71"/>
      <c r="BA253" s="71"/>
      <c r="BB253" s="82"/>
      <c r="BC253" s="73"/>
      <c r="BD253" s="82"/>
      <c r="BE253" s="73"/>
      <c r="BF253" s="79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</row>
    <row r="254" spans="1:69" x14ac:dyDescent="0.25">
      <c r="A254" s="70"/>
      <c r="B254" s="71"/>
      <c r="C254" s="71"/>
      <c r="D254" s="71"/>
      <c r="E254" s="71"/>
      <c r="F254" s="134"/>
      <c r="G254" s="82"/>
      <c r="H254" s="83"/>
      <c r="I254" s="83"/>
      <c r="J254" s="83"/>
      <c r="K254" s="83"/>
      <c r="L254" s="134"/>
      <c r="M254" s="71"/>
      <c r="N254" s="73"/>
      <c r="O254" s="151"/>
      <c r="P254" s="71"/>
      <c r="Q254" s="73"/>
      <c r="R254" s="73"/>
      <c r="S254" s="83"/>
      <c r="T254" s="71"/>
      <c r="U254" s="151"/>
      <c r="V254" s="151"/>
      <c r="W254" s="71"/>
      <c r="X254" s="79" t="s">
        <v>182</v>
      </c>
      <c r="Y254" s="75" t="s">
        <v>280</v>
      </c>
      <c r="Z254" s="76">
        <v>44257</v>
      </c>
      <c r="AA254" s="77">
        <v>12992</v>
      </c>
      <c r="AB254" s="75" t="s">
        <v>317</v>
      </c>
      <c r="AC254" s="76">
        <v>44197</v>
      </c>
      <c r="AD254" s="76">
        <v>44561</v>
      </c>
      <c r="AE254" s="78"/>
      <c r="AF254" s="79"/>
      <c r="AG254" s="2"/>
      <c r="AH254" s="2"/>
      <c r="AI254" s="80"/>
      <c r="AJ254" s="80"/>
      <c r="AK254" s="2"/>
      <c r="AL254" s="157">
        <f t="shared" si="21"/>
        <v>56500</v>
      </c>
      <c r="AM254" s="163"/>
      <c r="AN254" s="163"/>
      <c r="AO254" s="163"/>
      <c r="AP254" s="163"/>
      <c r="AQ254" s="163"/>
      <c r="AR254" s="7"/>
      <c r="AS254" s="157"/>
      <c r="AT254" s="71"/>
      <c r="AU254" s="71"/>
      <c r="AV254" s="71"/>
      <c r="AW254" s="82"/>
      <c r="AX254" s="71"/>
      <c r="AY254" s="70"/>
      <c r="AZ254" s="71"/>
      <c r="BA254" s="71"/>
      <c r="BB254" s="82"/>
      <c r="BC254" s="73"/>
      <c r="BD254" s="82"/>
      <c r="BE254" s="73"/>
      <c r="BF254" s="79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</row>
    <row r="255" spans="1:69" x14ac:dyDescent="0.25">
      <c r="A255" s="70"/>
      <c r="B255" s="71"/>
      <c r="C255" s="71"/>
      <c r="D255" s="71"/>
      <c r="E255" s="71"/>
      <c r="F255" s="134"/>
      <c r="G255" s="82"/>
      <c r="H255" s="83"/>
      <c r="I255" s="83"/>
      <c r="J255" s="83"/>
      <c r="K255" s="83"/>
      <c r="L255" s="134"/>
      <c r="M255" s="71"/>
      <c r="N255" s="73"/>
      <c r="O255" s="151"/>
      <c r="P255" s="71"/>
      <c r="Q255" s="73"/>
      <c r="R255" s="73"/>
      <c r="S255" s="83"/>
      <c r="T255" s="71"/>
      <c r="U255" s="151"/>
      <c r="V255" s="151"/>
      <c r="W255" s="71"/>
      <c r="X255" s="79" t="s">
        <v>182</v>
      </c>
      <c r="Y255" s="75" t="s">
        <v>286</v>
      </c>
      <c r="Z255" s="76">
        <v>44287</v>
      </c>
      <c r="AA255" s="77">
        <v>13024</v>
      </c>
      <c r="AB255" s="75" t="s">
        <v>137</v>
      </c>
      <c r="AC255" s="76">
        <v>44287</v>
      </c>
      <c r="AD255" s="76">
        <v>44651</v>
      </c>
      <c r="AE255" s="78"/>
      <c r="AF255" s="79"/>
      <c r="AG255" s="2"/>
      <c r="AH255" s="2"/>
      <c r="AI255" s="80"/>
      <c r="AJ255" s="80"/>
      <c r="AK255" s="2"/>
      <c r="AL255" s="157">
        <f t="shared" si="21"/>
        <v>56500</v>
      </c>
      <c r="AM255" s="163"/>
      <c r="AN255" s="163"/>
      <c r="AO255" s="163"/>
      <c r="AP255" s="163"/>
      <c r="AQ255" s="163"/>
      <c r="AR255" s="7"/>
      <c r="AS255" s="157"/>
      <c r="AT255" s="71"/>
      <c r="AU255" s="71"/>
      <c r="AV255" s="71"/>
      <c r="AW255" s="82"/>
      <c r="AX255" s="71"/>
      <c r="AY255" s="70"/>
      <c r="AZ255" s="71"/>
      <c r="BA255" s="71"/>
      <c r="BB255" s="82"/>
      <c r="BC255" s="73"/>
      <c r="BD255" s="82"/>
      <c r="BE255" s="73"/>
      <c r="BF255" s="79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</row>
    <row r="256" spans="1:69" x14ac:dyDescent="0.25">
      <c r="A256" s="70"/>
      <c r="B256" s="71"/>
      <c r="C256" s="71"/>
      <c r="D256" s="71"/>
      <c r="E256" s="71"/>
      <c r="F256" s="134"/>
      <c r="G256" s="82"/>
      <c r="H256" s="83"/>
      <c r="I256" s="83"/>
      <c r="J256" s="83"/>
      <c r="K256" s="83"/>
      <c r="L256" s="134"/>
      <c r="M256" s="71"/>
      <c r="N256" s="73"/>
      <c r="O256" s="151"/>
      <c r="P256" s="71"/>
      <c r="Q256" s="73"/>
      <c r="R256" s="73"/>
      <c r="S256" s="83"/>
      <c r="T256" s="71"/>
      <c r="U256" s="151"/>
      <c r="V256" s="151"/>
      <c r="W256" s="71"/>
      <c r="X256" s="79" t="s">
        <v>182</v>
      </c>
      <c r="Y256" s="75" t="s">
        <v>307</v>
      </c>
      <c r="Z256" s="76">
        <v>44643</v>
      </c>
      <c r="AA256" s="77">
        <v>13255</v>
      </c>
      <c r="AB256" s="75" t="s">
        <v>137</v>
      </c>
      <c r="AC256" s="76">
        <v>44652</v>
      </c>
      <c r="AD256" s="76">
        <v>45016</v>
      </c>
      <c r="AE256" s="78"/>
      <c r="AF256" s="79"/>
      <c r="AG256" s="2"/>
      <c r="AH256" s="2"/>
      <c r="AI256" s="80"/>
      <c r="AJ256" s="80"/>
      <c r="AK256" s="2"/>
      <c r="AL256" s="157">
        <f t="shared" si="21"/>
        <v>56500</v>
      </c>
      <c r="AM256" s="163"/>
      <c r="AN256" s="163"/>
      <c r="AO256" s="163"/>
      <c r="AP256" s="163"/>
      <c r="AQ256" s="163"/>
      <c r="AR256" s="7"/>
      <c r="AS256" s="157"/>
      <c r="AT256" s="71"/>
      <c r="AU256" s="71"/>
      <c r="AV256" s="71"/>
      <c r="AW256" s="82"/>
      <c r="AX256" s="71"/>
      <c r="AY256" s="70"/>
      <c r="AZ256" s="71"/>
      <c r="BA256" s="71"/>
      <c r="BB256" s="82"/>
      <c r="BC256" s="73"/>
      <c r="BD256" s="82"/>
      <c r="BE256" s="73"/>
      <c r="BF256" s="79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</row>
    <row r="257" spans="1:74" x14ac:dyDescent="0.25">
      <c r="A257" s="70"/>
      <c r="B257" s="71"/>
      <c r="C257" s="71"/>
      <c r="D257" s="71"/>
      <c r="E257" s="71"/>
      <c r="F257" s="134"/>
      <c r="G257" s="82"/>
      <c r="H257" s="83"/>
      <c r="I257" s="83"/>
      <c r="J257" s="83"/>
      <c r="K257" s="83"/>
      <c r="L257" s="134"/>
      <c r="M257" s="71"/>
      <c r="N257" s="73"/>
      <c r="O257" s="151"/>
      <c r="P257" s="71"/>
      <c r="Q257" s="73"/>
      <c r="R257" s="73"/>
      <c r="S257" s="83"/>
      <c r="T257" s="71"/>
      <c r="U257" s="151"/>
      <c r="V257" s="151"/>
      <c r="W257" s="71"/>
      <c r="X257" s="79" t="s">
        <v>182</v>
      </c>
      <c r="Y257" s="75" t="s">
        <v>469</v>
      </c>
      <c r="Z257" s="76">
        <v>45016</v>
      </c>
      <c r="AA257" s="77">
        <v>13506</v>
      </c>
      <c r="AB257" s="75" t="s">
        <v>535</v>
      </c>
      <c r="AC257" s="76">
        <v>45017</v>
      </c>
      <c r="AD257" s="76">
        <v>45382</v>
      </c>
      <c r="AE257" s="78"/>
      <c r="AF257" s="79"/>
      <c r="AG257" s="2"/>
      <c r="AH257" s="2"/>
      <c r="AI257" s="80"/>
      <c r="AJ257" s="80"/>
      <c r="AK257" s="2"/>
      <c r="AL257" s="157">
        <f t="shared" si="21"/>
        <v>56500</v>
      </c>
      <c r="AM257" s="163"/>
      <c r="AN257" s="163"/>
      <c r="AO257" s="163"/>
      <c r="AP257" s="163"/>
      <c r="AQ257" s="163"/>
      <c r="AR257" s="7"/>
      <c r="AS257" s="157"/>
      <c r="AT257" s="71"/>
      <c r="AU257" s="71"/>
      <c r="AV257" s="71"/>
      <c r="AW257" s="82"/>
      <c r="AX257" s="71"/>
      <c r="AY257" s="70"/>
      <c r="AZ257" s="71"/>
      <c r="BA257" s="71"/>
      <c r="BB257" s="82"/>
      <c r="BC257" s="73"/>
      <c r="BD257" s="82"/>
      <c r="BE257" s="73"/>
      <c r="BF257" s="79"/>
      <c r="BG257" s="81"/>
      <c r="BH257" s="81"/>
      <c r="BI257" s="81"/>
      <c r="BJ257" s="81"/>
      <c r="BK257" s="81"/>
      <c r="BL257" s="81"/>
      <c r="BM257" s="81"/>
      <c r="BN257" s="81"/>
      <c r="BO257" s="81"/>
      <c r="BP257" s="81"/>
      <c r="BQ257" s="81"/>
    </row>
    <row r="258" spans="1:74" x14ac:dyDescent="0.25">
      <c r="A258" s="70"/>
      <c r="B258" s="71"/>
      <c r="C258" s="71"/>
      <c r="D258" s="71"/>
      <c r="E258" s="71"/>
      <c r="F258" s="134"/>
      <c r="G258" s="82"/>
      <c r="H258" s="83"/>
      <c r="I258" s="83"/>
      <c r="J258" s="83"/>
      <c r="K258" s="83"/>
      <c r="L258" s="134"/>
      <c r="M258" s="71"/>
      <c r="N258" s="73"/>
      <c r="O258" s="151"/>
      <c r="P258" s="71"/>
      <c r="Q258" s="73"/>
      <c r="R258" s="73"/>
      <c r="S258" s="83"/>
      <c r="T258" s="71"/>
      <c r="U258" s="151"/>
      <c r="V258" s="151"/>
      <c r="W258" s="71"/>
      <c r="X258" s="79"/>
      <c r="Y258" s="75"/>
      <c r="Z258" s="76"/>
      <c r="AA258" s="77"/>
      <c r="AB258" s="75"/>
      <c r="AC258" s="76"/>
      <c r="AD258" s="76"/>
      <c r="AE258" s="78"/>
      <c r="AF258" s="79"/>
      <c r="AG258" s="2"/>
      <c r="AH258" s="2"/>
      <c r="AI258" s="80"/>
      <c r="AJ258" s="80"/>
      <c r="AK258" s="2"/>
      <c r="AL258" s="157">
        <f t="shared" si="21"/>
        <v>56500</v>
      </c>
      <c r="AM258" s="163"/>
      <c r="AN258" s="163"/>
      <c r="AO258" s="163"/>
      <c r="AP258" s="163"/>
      <c r="AQ258" s="163"/>
      <c r="AR258" s="7"/>
      <c r="AS258" s="157"/>
      <c r="AT258" s="71"/>
      <c r="AU258" s="71"/>
      <c r="AV258" s="71"/>
      <c r="AW258" s="82"/>
      <c r="AX258" s="71"/>
      <c r="AY258" s="70"/>
      <c r="AZ258" s="71"/>
      <c r="BA258" s="71"/>
      <c r="BB258" s="82"/>
      <c r="BC258" s="73"/>
      <c r="BD258" s="82"/>
      <c r="BE258" s="73"/>
      <c r="BF258" s="79"/>
      <c r="BG258" s="81"/>
      <c r="BH258" s="81"/>
      <c r="BI258" s="81"/>
      <c r="BJ258" s="81"/>
      <c r="BK258" s="81"/>
      <c r="BL258" s="81"/>
      <c r="BM258" s="81"/>
      <c r="BN258" s="81"/>
      <c r="BO258" s="81"/>
      <c r="BP258" s="81"/>
      <c r="BQ258" s="81"/>
    </row>
    <row r="259" spans="1:74" x14ac:dyDescent="0.25">
      <c r="A259" s="70">
        <v>58</v>
      </c>
      <c r="B259" s="71" t="s">
        <v>328</v>
      </c>
      <c r="C259" s="71"/>
      <c r="D259" s="71" t="s">
        <v>115</v>
      </c>
      <c r="E259" s="71" t="s">
        <v>102</v>
      </c>
      <c r="F259" s="134" t="s">
        <v>329</v>
      </c>
      <c r="G259" s="82"/>
      <c r="H259" s="83"/>
      <c r="I259" s="83"/>
      <c r="J259" s="83"/>
      <c r="K259" s="83" t="s">
        <v>346</v>
      </c>
      <c r="L259" s="134" t="s">
        <v>254</v>
      </c>
      <c r="M259" s="71" t="s">
        <v>330</v>
      </c>
      <c r="N259" s="73">
        <v>41981</v>
      </c>
      <c r="O259" s="151">
        <v>120000</v>
      </c>
      <c r="P259" s="71"/>
      <c r="Q259" s="73">
        <v>41981</v>
      </c>
      <c r="R259" s="73">
        <v>42345</v>
      </c>
      <c r="S259" s="83" t="s">
        <v>104</v>
      </c>
      <c r="T259" s="71"/>
      <c r="U259" s="151"/>
      <c r="V259" s="151"/>
      <c r="W259" s="71" t="s">
        <v>106</v>
      </c>
      <c r="X259" s="79"/>
      <c r="Y259" s="75"/>
      <c r="Z259" s="76"/>
      <c r="AA259" s="77"/>
      <c r="AB259" s="75"/>
      <c r="AC259" s="76"/>
      <c r="AD259" s="76"/>
      <c r="AE259" s="78"/>
      <c r="AF259" s="79"/>
      <c r="AG259" s="2"/>
      <c r="AH259" s="2"/>
      <c r="AI259" s="80"/>
      <c r="AJ259" s="80"/>
      <c r="AK259" s="2"/>
      <c r="AL259" s="157">
        <f>$O$259-AH259+AG259+AK259</f>
        <v>120000</v>
      </c>
      <c r="AM259" s="163">
        <f>377088.62+22137.46+33206.19+33206.19+11068.73+11068.73*3+11068.73+11068.73+11068.73+22137.46+44274.92+132824.76+157443.53+166934.88</f>
        <v>1066735.1200000001</v>
      </c>
      <c r="AN259" s="163">
        <f>13911.24</f>
        <v>13911.24</v>
      </c>
      <c r="AO259" s="163">
        <f>13911.24</f>
        <v>13911.24</v>
      </c>
      <c r="AP259" s="163">
        <f>13911.24</f>
        <v>13911.24</v>
      </c>
      <c r="AQ259" s="163"/>
      <c r="AR259" s="7">
        <f>AQ259+AP259+AO259+AN259</f>
        <v>41733.72</v>
      </c>
      <c r="AS259" s="157">
        <f>AR259+AM259</f>
        <v>1108468.8400000001</v>
      </c>
      <c r="AT259" s="79"/>
      <c r="AU259" s="79"/>
      <c r="AV259" s="79"/>
      <c r="AW259" s="77"/>
      <c r="AX259" s="79"/>
      <c r="AY259" s="70"/>
      <c r="AZ259" s="71" t="s">
        <v>128</v>
      </c>
      <c r="BA259" s="71" t="s">
        <v>414</v>
      </c>
      <c r="BB259" s="82">
        <v>11444</v>
      </c>
      <c r="BC259" s="73">
        <v>41969</v>
      </c>
      <c r="BD259" s="71">
        <v>11444</v>
      </c>
      <c r="BE259" s="73">
        <v>41969</v>
      </c>
      <c r="BF259" s="79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</row>
    <row r="260" spans="1:74" x14ac:dyDescent="0.25">
      <c r="A260" s="70"/>
      <c r="B260" s="71"/>
      <c r="C260" s="71"/>
      <c r="D260" s="71"/>
      <c r="E260" s="71"/>
      <c r="F260" s="134"/>
      <c r="G260" s="82"/>
      <c r="H260" s="83"/>
      <c r="I260" s="83"/>
      <c r="J260" s="83"/>
      <c r="K260" s="83"/>
      <c r="L260" s="134"/>
      <c r="M260" s="71"/>
      <c r="N260" s="73"/>
      <c r="O260" s="151"/>
      <c r="P260" s="71"/>
      <c r="Q260" s="73"/>
      <c r="R260" s="73"/>
      <c r="S260" s="83"/>
      <c r="T260" s="71"/>
      <c r="U260" s="151"/>
      <c r="V260" s="151"/>
      <c r="W260" s="71"/>
      <c r="X260" s="79" t="s">
        <v>173</v>
      </c>
      <c r="Y260" s="75" t="s">
        <v>174</v>
      </c>
      <c r="Z260" s="76">
        <v>42345</v>
      </c>
      <c r="AA260" s="77">
        <v>11706</v>
      </c>
      <c r="AB260" s="75" t="s">
        <v>331</v>
      </c>
      <c r="AC260" s="76">
        <v>42346</v>
      </c>
      <c r="AD260" s="76">
        <v>42711</v>
      </c>
      <c r="AE260" s="78">
        <f>AG260/AL259</f>
        <v>0.106873</v>
      </c>
      <c r="AF260" s="79"/>
      <c r="AG260" s="2">
        <v>12824.76</v>
      </c>
      <c r="AH260" s="2"/>
      <c r="AI260" s="80"/>
      <c r="AJ260" s="80"/>
      <c r="AK260" s="2"/>
      <c r="AL260" s="157">
        <f t="shared" ref="AL260:AL270" si="22">$O$259-AH260+AG260+AK260</f>
        <v>132824.76</v>
      </c>
      <c r="AM260" s="163"/>
      <c r="AN260" s="163"/>
      <c r="AO260" s="163"/>
      <c r="AP260" s="163"/>
      <c r="AQ260" s="163"/>
      <c r="AR260" s="7"/>
      <c r="AS260" s="157"/>
      <c r="AT260" s="79"/>
      <c r="AU260" s="79"/>
      <c r="AV260" s="79"/>
      <c r="AW260" s="77"/>
      <c r="AX260" s="79"/>
      <c r="AY260" s="70"/>
      <c r="AZ260" s="71"/>
      <c r="BA260" s="71"/>
      <c r="BB260" s="82"/>
      <c r="BC260" s="71"/>
      <c r="BD260" s="71"/>
      <c r="BE260" s="71"/>
      <c r="BF260" s="79"/>
      <c r="BG260" s="81"/>
      <c r="BH260" s="81"/>
      <c r="BI260" s="81"/>
      <c r="BJ260" s="81"/>
      <c r="BK260" s="81"/>
      <c r="BL260" s="81"/>
      <c r="BM260" s="81"/>
      <c r="BN260" s="81"/>
      <c r="BO260" s="81"/>
      <c r="BP260" s="81"/>
      <c r="BQ260" s="81"/>
    </row>
    <row r="261" spans="1:74" x14ac:dyDescent="0.25">
      <c r="A261" s="70"/>
      <c r="B261" s="71"/>
      <c r="C261" s="71"/>
      <c r="D261" s="71"/>
      <c r="E261" s="71"/>
      <c r="F261" s="134"/>
      <c r="G261" s="82"/>
      <c r="H261" s="83"/>
      <c r="I261" s="83"/>
      <c r="J261" s="83"/>
      <c r="K261" s="83"/>
      <c r="L261" s="134"/>
      <c r="M261" s="71"/>
      <c r="N261" s="73"/>
      <c r="O261" s="151"/>
      <c r="P261" s="71"/>
      <c r="Q261" s="73"/>
      <c r="R261" s="73"/>
      <c r="S261" s="83"/>
      <c r="T261" s="71"/>
      <c r="U261" s="151"/>
      <c r="V261" s="151"/>
      <c r="W261" s="71"/>
      <c r="X261" s="79" t="s">
        <v>173</v>
      </c>
      <c r="Y261" s="75" t="s">
        <v>188</v>
      </c>
      <c r="Z261" s="76">
        <v>42709</v>
      </c>
      <c r="AA261" s="77">
        <v>11984</v>
      </c>
      <c r="AB261" s="75" t="s">
        <v>197</v>
      </c>
      <c r="AC261" s="76">
        <v>42712</v>
      </c>
      <c r="AD261" s="76">
        <v>42893</v>
      </c>
      <c r="AE261" s="78"/>
      <c r="AF261" s="79"/>
      <c r="AG261" s="2"/>
      <c r="AH261" s="2"/>
      <c r="AI261" s="80"/>
      <c r="AJ261" s="80"/>
      <c r="AK261" s="2"/>
      <c r="AL261" s="157">
        <f t="shared" si="22"/>
        <v>120000</v>
      </c>
      <c r="AM261" s="163"/>
      <c r="AN261" s="163"/>
      <c r="AO261" s="163"/>
      <c r="AP261" s="163"/>
      <c r="AQ261" s="163"/>
      <c r="AR261" s="7"/>
      <c r="AS261" s="157"/>
      <c r="AT261" s="79"/>
      <c r="AU261" s="79"/>
      <c r="AV261" s="79"/>
      <c r="AW261" s="77"/>
      <c r="AX261" s="79"/>
      <c r="AY261" s="70"/>
      <c r="AZ261" s="71"/>
      <c r="BA261" s="71"/>
      <c r="BB261" s="82"/>
      <c r="BC261" s="71"/>
      <c r="BD261" s="71"/>
      <c r="BE261" s="71"/>
      <c r="BF261" s="79"/>
      <c r="BG261" s="81"/>
      <c r="BH261" s="81"/>
      <c r="BI261" s="81"/>
      <c r="BJ261" s="81"/>
      <c r="BK261" s="81"/>
      <c r="BL261" s="81"/>
      <c r="BM261" s="81"/>
      <c r="BN261" s="81"/>
      <c r="BO261" s="81"/>
      <c r="BP261" s="81"/>
      <c r="BQ261" s="81"/>
    </row>
    <row r="262" spans="1:74" x14ac:dyDescent="0.25">
      <c r="A262" s="70"/>
      <c r="B262" s="71"/>
      <c r="C262" s="71"/>
      <c r="D262" s="71"/>
      <c r="E262" s="71"/>
      <c r="F262" s="134"/>
      <c r="G262" s="82"/>
      <c r="H262" s="83"/>
      <c r="I262" s="83"/>
      <c r="J262" s="83"/>
      <c r="K262" s="83"/>
      <c r="L262" s="134"/>
      <c r="M262" s="71"/>
      <c r="N262" s="73"/>
      <c r="O262" s="151"/>
      <c r="P262" s="71"/>
      <c r="Q262" s="73"/>
      <c r="R262" s="73"/>
      <c r="S262" s="83"/>
      <c r="T262" s="71"/>
      <c r="U262" s="151"/>
      <c r="V262" s="151"/>
      <c r="W262" s="71"/>
      <c r="X262" s="79" t="s">
        <v>173</v>
      </c>
      <c r="Y262" s="75" t="s">
        <v>190</v>
      </c>
      <c r="Z262" s="76">
        <v>42880</v>
      </c>
      <c r="AA262" s="77">
        <v>12113</v>
      </c>
      <c r="AB262" s="75" t="s">
        <v>197</v>
      </c>
      <c r="AC262" s="76">
        <v>42894</v>
      </c>
      <c r="AD262" s="76">
        <v>43076</v>
      </c>
      <c r="AE262" s="78"/>
      <c r="AF262" s="79"/>
      <c r="AG262" s="2"/>
      <c r="AH262" s="2"/>
      <c r="AI262" s="80"/>
      <c r="AJ262" s="80"/>
      <c r="AK262" s="2"/>
      <c r="AL262" s="157">
        <f t="shared" si="22"/>
        <v>120000</v>
      </c>
      <c r="AM262" s="163"/>
      <c r="AN262" s="163"/>
      <c r="AO262" s="163"/>
      <c r="AP262" s="163"/>
      <c r="AQ262" s="163"/>
      <c r="AR262" s="7"/>
      <c r="AS262" s="157"/>
      <c r="AT262" s="79"/>
      <c r="AU262" s="79"/>
      <c r="AV262" s="79"/>
      <c r="AW262" s="77"/>
      <c r="AX262" s="79"/>
      <c r="AY262" s="70"/>
      <c r="AZ262" s="71"/>
      <c r="BA262" s="71"/>
      <c r="BB262" s="82"/>
      <c r="BC262" s="71"/>
      <c r="BD262" s="71"/>
      <c r="BE262" s="71"/>
      <c r="BF262" s="79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1"/>
    </row>
    <row r="263" spans="1:74" x14ac:dyDescent="0.25">
      <c r="A263" s="70"/>
      <c r="B263" s="71"/>
      <c r="C263" s="71"/>
      <c r="D263" s="71"/>
      <c r="E263" s="71"/>
      <c r="F263" s="134"/>
      <c r="G263" s="82"/>
      <c r="H263" s="83"/>
      <c r="I263" s="83"/>
      <c r="J263" s="83"/>
      <c r="K263" s="83"/>
      <c r="L263" s="134"/>
      <c r="M263" s="71"/>
      <c r="N263" s="73"/>
      <c r="O263" s="151"/>
      <c r="P263" s="71"/>
      <c r="Q263" s="73"/>
      <c r="R263" s="73"/>
      <c r="S263" s="83"/>
      <c r="T263" s="71"/>
      <c r="U263" s="151"/>
      <c r="V263" s="151"/>
      <c r="W263" s="71"/>
      <c r="X263" s="79" t="s">
        <v>182</v>
      </c>
      <c r="Y263" s="75" t="s">
        <v>202</v>
      </c>
      <c r="Z263" s="76">
        <v>43068</v>
      </c>
      <c r="AA263" s="77">
        <v>12230</v>
      </c>
      <c r="AB263" s="75" t="s">
        <v>332</v>
      </c>
      <c r="AC263" s="76">
        <v>43077</v>
      </c>
      <c r="AD263" s="76">
        <v>43442</v>
      </c>
      <c r="AE263" s="78"/>
      <c r="AF263" s="79"/>
      <c r="AG263" s="2"/>
      <c r="AH263" s="2"/>
      <c r="AI263" s="80"/>
      <c r="AJ263" s="80"/>
      <c r="AK263" s="2"/>
      <c r="AL263" s="157">
        <f t="shared" si="22"/>
        <v>120000</v>
      </c>
      <c r="AM263" s="163"/>
      <c r="AN263" s="163"/>
      <c r="AO263" s="163"/>
      <c r="AP263" s="163"/>
      <c r="AQ263" s="163"/>
      <c r="AR263" s="7"/>
      <c r="AS263" s="157"/>
      <c r="AT263" s="79"/>
      <c r="AU263" s="79"/>
      <c r="AV263" s="79"/>
      <c r="AW263" s="77"/>
      <c r="AX263" s="79"/>
      <c r="AY263" s="70"/>
      <c r="AZ263" s="71"/>
      <c r="BA263" s="71"/>
      <c r="BB263" s="82"/>
      <c r="BC263" s="71"/>
      <c r="BD263" s="71"/>
      <c r="BE263" s="71"/>
      <c r="BF263" s="79"/>
      <c r="BG263" s="81"/>
      <c r="BH263" s="81"/>
      <c r="BI263" s="81"/>
      <c r="BJ263" s="81"/>
      <c r="BK263" s="81"/>
      <c r="BL263" s="81"/>
      <c r="BM263" s="81"/>
      <c r="BN263" s="81"/>
      <c r="BO263" s="81"/>
      <c r="BP263" s="81"/>
      <c r="BQ263" s="81"/>
    </row>
    <row r="264" spans="1:74" x14ac:dyDescent="0.25">
      <c r="A264" s="70"/>
      <c r="B264" s="71"/>
      <c r="C264" s="71"/>
      <c r="D264" s="71"/>
      <c r="E264" s="71"/>
      <c r="F264" s="134"/>
      <c r="G264" s="82"/>
      <c r="H264" s="83"/>
      <c r="I264" s="83"/>
      <c r="J264" s="83"/>
      <c r="K264" s="83"/>
      <c r="L264" s="134"/>
      <c r="M264" s="71"/>
      <c r="N264" s="73"/>
      <c r="O264" s="151"/>
      <c r="P264" s="71"/>
      <c r="Q264" s="73"/>
      <c r="R264" s="73"/>
      <c r="S264" s="83"/>
      <c r="T264" s="71"/>
      <c r="U264" s="151"/>
      <c r="V264" s="151"/>
      <c r="W264" s="71"/>
      <c r="X264" s="79" t="s">
        <v>182</v>
      </c>
      <c r="Y264" s="75" t="s">
        <v>204</v>
      </c>
      <c r="Z264" s="76">
        <v>43461</v>
      </c>
      <c r="AA264" s="77">
        <v>12460</v>
      </c>
      <c r="AB264" s="75" t="s">
        <v>332</v>
      </c>
      <c r="AC264" s="76">
        <v>43443</v>
      </c>
      <c r="AD264" s="76">
        <v>43808</v>
      </c>
      <c r="AE264" s="78"/>
      <c r="AF264" s="79"/>
      <c r="AG264" s="2"/>
      <c r="AH264" s="2"/>
      <c r="AI264" s="80"/>
      <c r="AJ264" s="80"/>
      <c r="AK264" s="2"/>
      <c r="AL264" s="157">
        <f t="shared" si="22"/>
        <v>120000</v>
      </c>
      <c r="AM264" s="163"/>
      <c r="AN264" s="163"/>
      <c r="AO264" s="163"/>
      <c r="AP264" s="163"/>
      <c r="AQ264" s="163"/>
      <c r="AR264" s="7"/>
      <c r="AS264" s="157"/>
      <c r="AT264" s="79"/>
      <c r="AU264" s="79"/>
      <c r="AV264" s="79"/>
      <c r="AW264" s="77"/>
      <c r="AX264" s="79"/>
      <c r="AY264" s="70"/>
      <c r="AZ264" s="71"/>
      <c r="BA264" s="71"/>
      <c r="BB264" s="82"/>
      <c r="BC264" s="71"/>
      <c r="BD264" s="71"/>
      <c r="BE264" s="71"/>
      <c r="BF264" s="79"/>
      <c r="BG264" s="81"/>
      <c r="BH264" s="81"/>
      <c r="BI264" s="81"/>
      <c r="BJ264" s="81"/>
      <c r="BK264" s="81"/>
      <c r="BL264" s="81"/>
      <c r="BM264" s="81"/>
      <c r="BN264" s="81"/>
      <c r="BO264" s="81"/>
      <c r="BP264" s="81"/>
      <c r="BQ264" s="81"/>
    </row>
    <row r="265" spans="1:74" ht="25.5" x14ac:dyDescent="0.25">
      <c r="A265" s="70"/>
      <c r="B265" s="71"/>
      <c r="C265" s="71"/>
      <c r="D265" s="71"/>
      <c r="E265" s="71"/>
      <c r="F265" s="134"/>
      <c r="G265" s="82"/>
      <c r="H265" s="83"/>
      <c r="I265" s="83"/>
      <c r="J265" s="83"/>
      <c r="K265" s="83"/>
      <c r="L265" s="134"/>
      <c r="M265" s="71"/>
      <c r="N265" s="73"/>
      <c r="O265" s="151"/>
      <c r="P265" s="71"/>
      <c r="Q265" s="73"/>
      <c r="R265" s="73"/>
      <c r="S265" s="83"/>
      <c r="T265" s="71"/>
      <c r="U265" s="151"/>
      <c r="V265" s="151"/>
      <c r="W265" s="71"/>
      <c r="X265" s="79" t="s">
        <v>182</v>
      </c>
      <c r="Y265" s="75" t="s">
        <v>205</v>
      </c>
      <c r="Z265" s="76">
        <v>43757</v>
      </c>
      <c r="AA265" s="77">
        <v>12694</v>
      </c>
      <c r="AB265" s="75" t="s">
        <v>277</v>
      </c>
      <c r="AC265" s="76">
        <v>43443</v>
      </c>
      <c r="AD265" s="76">
        <v>43808</v>
      </c>
      <c r="AE265" s="78"/>
      <c r="AF265" s="79"/>
      <c r="AG265" s="2"/>
      <c r="AH265" s="2"/>
      <c r="AI265" s="80"/>
      <c r="AJ265" s="80"/>
      <c r="AK265" s="2"/>
      <c r="AL265" s="157">
        <f t="shared" si="22"/>
        <v>120000</v>
      </c>
      <c r="AM265" s="163"/>
      <c r="AN265" s="163"/>
      <c r="AO265" s="163"/>
      <c r="AP265" s="163"/>
      <c r="AQ265" s="163"/>
      <c r="AR265" s="7"/>
      <c r="AS265" s="157"/>
      <c r="AT265" s="79"/>
      <c r="AU265" s="79"/>
      <c r="AV265" s="79"/>
      <c r="AW265" s="77"/>
      <c r="AX265" s="79"/>
      <c r="AY265" s="70"/>
      <c r="AZ265" s="71"/>
      <c r="BA265" s="71"/>
      <c r="BB265" s="82"/>
      <c r="BC265" s="71"/>
      <c r="BD265" s="71"/>
      <c r="BE265" s="71"/>
      <c r="BF265" s="79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</row>
    <row r="266" spans="1:74" x14ac:dyDescent="0.25">
      <c r="A266" s="70"/>
      <c r="B266" s="71"/>
      <c r="C266" s="71"/>
      <c r="D266" s="71"/>
      <c r="E266" s="71"/>
      <c r="F266" s="134"/>
      <c r="G266" s="82"/>
      <c r="H266" s="83"/>
      <c r="I266" s="83"/>
      <c r="J266" s="83"/>
      <c r="K266" s="83"/>
      <c r="L266" s="134"/>
      <c r="M266" s="71"/>
      <c r="N266" s="73"/>
      <c r="O266" s="151"/>
      <c r="P266" s="71"/>
      <c r="Q266" s="73"/>
      <c r="R266" s="73"/>
      <c r="S266" s="83"/>
      <c r="T266" s="71"/>
      <c r="U266" s="151"/>
      <c r="V266" s="151"/>
      <c r="W266" s="71"/>
      <c r="X266" s="79" t="s">
        <v>182</v>
      </c>
      <c r="Y266" s="75" t="s">
        <v>224</v>
      </c>
      <c r="Z266" s="76">
        <v>43805</v>
      </c>
      <c r="AA266" s="77">
        <v>12736</v>
      </c>
      <c r="AB266" s="75" t="s">
        <v>332</v>
      </c>
      <c r="AC266" s="76">
        <v>43806</v>
      </c>
      <c r="AD266" s="76">
        <v>44171</v>
      </c>
      <c r="AE266" s="78"/>
      <c r="AF266" s="79"/>
      <c r="AG266" s="2"/>
      <c r="AH266" s="2"/>
      <c r="AI266" s="80"/>
      <c r="AJ266" s="80"/>
      <c r="AK266" s="2"/>
      <c r="AL266" s="157">
        <f t="shared" si="22"/>
        <v>120000</v>
      </c>
      <c r="AM266" s="163"/>
      <c r="AN266" s="163"/>
      <c r="AO266" s="163"/>
      <c r="AP266" s="163"/>
      <c r="AQ266" s="163"/>
      <c r="AR266" s="7"/>
      <c r="AS266" s="157"/>
      <c r="AT266" s="79"/>
      <c r="AU266" s="79"/>
      <c r="AV266" s="79"/>
      <c r="AW266" s="77"/>
      <c r="AX266" s="79"/>
      <c r="AY266" s="70"/>
      <c r="AZ266" s="71"/>
      <c r="BA266" s="71"/>
      <c r="BB266" s="82"/>
      <c r="BC266" s="71"/>
      <c r="BD266" s="71"/>
      <c r="BE266" s="71"/>
      <c r="BF266" s="79"/>
      <c r="BG266" s="81"/>
      <c r="BH266" s="81"/>
      <c r="BI266" s="81"/>
      <c r="BJ266" s="81"/>
      <c r="BK266" s="81"/>
      <c r="BL266" s="81"/>
      <c r="BM266" s="81"/>
      <c r="BN266" s="81"/>
      <c r="BO266" s="81"/>
      <c r="BP266" s="81"/>
      <c r="BQ266" s="81"/>
    </row>
    <row r="267" spans="1:74" x14ac:dyDescent="0.25">
      <c r="A267" s="70"/>
      <c r="B267" s="71"/>
      <c r="C267" s="71"/>
      <c r="D267" s="71"/>
      <c r="E267" s="71"/>
      <c r="F267" s="134"/>
      <c r="G267" s="82"/>
      <c r="H267" s="83"/>
      <c r="I267" s="83"/>
      <c r="J267" s="83"/>
      <c r="K267" s="83"/>
      <c r="L267" s="134"/>
      <c r="M267" s="71"/>
      <c r="N267" s="73"/>
      <c r="O267" s="151"/>
      <c r="P267" s="71"/>
      <c r="Q267" s="73"/>
      <c r="R267" s="73"/>
      <c r="S267" s="83"/>
      <c r="T267" s="71"/>
      <c r="U267" s="151"/>
      <c r="V267" s="151"/>
      <c r="W267" s="71"/>
      <c r="X267" s="79" t="s">
        <v>182</v>
      </c>
      <c r="Y267" s="75" t="s">
        <v>266</v>
      </c>
      <c r="Z267" s="76">
        <v>44182</v>
      </c>
      <c r="AA267" s="77">
        <v>12947</v>
      </c>
      <c r="AB267" s="75" t="s">
        <v>372</v>
      </c>
      <c r="AC267" s="75" t="s">
        <v>375</v>
      </c>
      <c r="AD267" s="75" t="s">
        <v>376</v>
      </c>
      <c r="AE267" s="78"/>
      <c r="AF267" s="79"/>
      <c r="AG267" s="2"/>
      <c r="AH267" s="2"/>
      <c r="AI267" s="80"/>
      <c r="AJ267" s="80"/>
      <c r="AK267" s="2"/>
      <c r="AL267" s="157">
        <f t="shared" si="22"/>
        <v>120000</v>
      </c>
      <c r="AM267" s="163"/>
      <c r="AN267" s="163"/>
      <c r="AO267" s="163"/>
      <c r="AP267" s="163"/>
      <c r="AQ267" s="163"/>
      <c r="AR267" s="7"/>
      <c r="AS267" s="157"/>
      <c r="AT267" s="79"/>
      <c r="AU267" s="79"/>
      <c r="AV267" s="79"/>
      <c r="AW267" s="77"/>
      <c r="AX267" s="79"/>
      <c r="AY267" s="70"/>
      <c r="AZ267" s="71"/>
      <c r="BA267" s="71"/>
      <c r="BB267" s="82"/>
      <c r="BC267" s="71"/>
      <c r="BD267" s="71"/>
      <c r="BE267" s="71"/>
      <c r="BF267" s="79"/>
      <c r="BG267" s="81"/>
      <c r="BH267" s="81"/>
      <c r="BI267" s="81"/>
      <c r="BJ267" s="81"/>
      <c r="BK267" s="81"/>
      <c r="BL267" s="81"/>
      <c r="BM267" s="81"/>
      <c r="BN267" s="81"/>
      <c r="BO267" s="81"/>
      <c r="BP267" s="81"/>
      <c r="BQ267" s="81"/>
    </row>
    <row r="268" spans="1:74" x14ac:dyDescent="0.25">
      <c r="A268" s="70"/>
      <c r="B268" s="71"/>
      <c r="C268" s="71"/>
      <c r="D268" s="71"/>
      <c r="E268" s="71"/>
      <c r="F268" s="134"/>
      <c r="G268" s="82"/>
      <c r="H268" s="83"/>
      <c r="I268" s="83"/>
      <c r="J268" s="83"/>
      <c r="K268" s="83"/>
      <c r="L268" s="134"/>
      <c r="M268" s="71"/>
      <c r="N268" s="73"/>
      <c r="O268" s="151"/>
      <c r="P268" s="71"/>
      <c r="Q268" s="73"/>
      <c r="R268" s="73"/>
      <c r="S268" s="83"/>
      <c r="T268" s="71"/>
      <c r="U268" s="151"/>
      <c r="V268" s="151"/>
      <c r="W268" s="71"/>
      <c r="X268" s="79" t="s">
        <v>182</v>
      </c>
      <c r="Y268" s="75" t="s">
        <v>280</v>
      </c>
      <c r="Z268" s="76">
        <v>44536</v>
      </c>
      <c r="AA268" s="77">
        <v>13181</v>
      </c>
      <c r="AB268" s="75" t="s">
        <v>374</v>
      </c>
      <c r="AC268" s="75" t="s">
        <v>377</v>
      </c>
      <c r="AD268" s="75" t="s">
        <v>378</v>
      </c>
      <c r="AE268" s="78">
        <f>AG268/AL260</f>
        <v>0.1788515936335966</v>
      </c>
      <c r="AF268" s="79"/>
      <c r="AG268" s="2">
        <v>23755.919999999998</v>
      </c>
      <c r="AH268" s="2"/>
      <c r="AI268" s="80"/>
      <c r="AJ268" s="80"/>
      <c r="AK268" s="2"/>
      <c r="AL268" s="157">
        <f t="shared" si="22"/>
        <v>143755.91999999998</v>
      </c>
      <c r="AM268" s="163"/>
      <c r="AN268" s="163"/>
      <c r="AO268" s="163"/>
      <c r="AP268" s="163"/>
      <c r="AQ268" s="163"/>
      <c r="AR268" s="7"/>
      <c r="AS268" s="157"/>
      <c r="AT268" s="79"/>
      <c r="AU268" s="79"/>
      <c r="AV268" s="79"/>
      <c r="AW268" s="77"/>
      <c r="AX268" s="79"/>
      <c r="AY268" s="70"/>
      <c r="AZ268" s="71"/>
      <c r="BA268" s="71"/>
      <c r="BB268" s="82"/>
      <c r="BC268" s="71"/>
      <c r="BD268" s="71"/>
      <c r="BE268" s="71"/>
      <c r="BF268" s="79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</row>
    <row r="269" spans="1:74" ht="25.5" x14ac:dyDescent="0.25">
      <c r="A269" s="70"/>
      <c r="B269" s="71"/>
      <c r="C269" s="71"/>
      <c r="D269" s="71"/>
      <c r="E269" s="71"/>
      <c r="F269" s="134"/>
      <c r="G269" s="82"/>
      <c r="H269" s="83"/>
      <c r="I269" s="83"/>
      <c r="J269" s="83"/>
      <c r="K269" s="83"/>
      <c r="L269" s="134"/>
      <c r="M269" s="71"/>
      <c r="N269" s="73"/>
      <c r="O269" s="151"/>
      <c r="P269" s="71"/>
      <c r="Q269" s="73"/>
      <c r="R269" s="73"/>
      <c r="S269" s="83"/>
      <c r="T269" s="71"/>
      <c r="U269" s="151"/>
      <c r="V269" s="151"/>
      <c r="W269" s="71"/>
      <c r="X269" s="79" t="s">
        <v>182</v>
      </c>
      <c r="Y269" s="75" t="s">
        <v>286</v>
      </c>
      <c r="Z269" s="76">
        <v>44901</v>
      </c>
      <c r="AA269" s="77">
        <v>13431</v>
      </c>
      <c r="AB269" s="75" t="s">
        <v>464</v>
      </c>
      <c r="AC269" s="75" t="s">
        <v>422</v>
      </c>
      <c r="AD269" s="75" t="s">
        <v>423</v>
      </c>
      <c r="AE269" s="78">
        <f>AG269/AL268</f>
        <v>7.2026251162386923E-2</v>
      </c>
      <c r="AF269" s="79"/>
      <c r="AG269" s="2">
        <v>10354.200000000001</v>
      </c>
      <c r="AH269" s="2"/>
      <c r="AI269" s="80"/>
      <c r="AJ269" s="80"/>
      <c r="AK269" s="2"/>
      <c r="AL269" s="157">
        <f t="shared" si="22"/>
        <v>130354.2</v>
      </c>
      <c r="AM269" s="163"/>
      <c r="AN269" s="163"/>
      <c r="AO269" s="163"/>
      <c r="AP269" s="163"/>
      <c r="AQ269" s="163"/>
      <c r="AR269" s="7"/>
      <c r="AS269" s="157"/>
      <c r="AT269" s="79"/>
      <c r="AU269" s="79"/>
      <c r="AV269" s="79"/>
      <c r="AW269" s="77"/>
      <c r="AX269" s="79"/>
      <c r="AY269" s="70"/>
      <c r="AZ269" s="71"/>
      <c r="BA269" s="71"/>
      <c r="BB269" s="82"/>
      <c r="BC269" s="71"/>
      <c r="BD269" s="71"/>
      <c r="BE269" s="71"/>
      <c r="BF269" s="79"/>
      <c r="BG269" s="81"/>
      <c r="BH269" s="81"/>
      <c r="BI269" s="81"/>
      <c r="BJ269" s="81"/>
      <c r="BK269" s="81"/>
      <c r="BL269" s="81"/>
      <c r="BM269" s="81"/>
      <c r="BN269" s="81"/>
      <c r="BO269" s="81"/>
      <c r="BP269" s="81"/>
      <c r="BQ269" s="81"/>
    </row>
    <row r="270" spans="1:74" x14ac:dyDescent="0.25">
      <c r="A270" s="70"/>
      <c r="B270" s="71"/>
      <c r="C270" s="71"/>
      <c r="D270" s="71"/>
      <c r="E270" s="71"/>
      <c r="F270" s="134"/>
      <c r="G270" s="82"/>
      <c r="H270" s="83"/>
      <c r="I270" s="83"/>
      <c r="J270" s="83"/>
      <c r="K270" s="83"/>
      <c r="L270" s="134"/>
      <c r="M270" s="71"/>
      <c r="N270" s="73"/>
      <c r="O270" s="151"/>
      <c r="P270" s="71"/>
      <c r="Q270" s="73"/>
      <c r="R270" s="73"/>
      <c r="S270" s="83"/>
      <c r="T270" s="71"/>
      <c r="U270" s="151"/>
      <c r="V270" s="151"/>
      <c r="W270" s="71"/>
      <c r="X270" s="79" t="s">
        <v>182</v>
      </c>
      <c r="Y270" s="75" t="s">
        <v>379</v>
      </c>
      <c r="Z270" s="76">
        <v>45252</v>
      </c>
      <c r="AA270" s="77">
        <v>13660</v>
      </c>
      <c r="AB270" s="75" t="s">
        <v>322</v>
      </c>
      <c r="AC270" s="76">
        <v>45267</v>
      </c>
      <c r="AD270" s="76">
        <v>45633</v>
      </c>
      <c r="AE270" s="78"/>
      <c r="AF270" s="79"/>
      <c r="AG270" s="2"/>
      <c r="AH270" s="2"/>
      <c r="AI270" s="80"/>
      <c r="AJ270" s="80"/>
      <c r="AK270" s="2"/>
      <c r="AL270" s="157">
        <f t="shared" si="22"/>
        <v>120000</v>
      </c>
      <c r="AM270" s="163"/>
      <c r="AN270" s="163"/>
      <c r="AO270" s="163"/>
      <c r="AP270" s="163"/>
      <c r="AQ270" s="163"/>
      <c r="AR270" s="7"/>
      <c r="AS270" s="157"/>
      <c r="AT270" s="79"/>
      <c r="AU270" s="79"/>
      <c r="AV270" s="79"/>
      <c r="AW270" s="77"/>
      <c r="AX270" s="79"/>
      <c r="AY270" s="70"/>
      <c r="AZ270" s="71"/>
      <c r="BA270" s="71"/>
      <c r="BB270" s="82"/>
      <c r="BC270" s="71"/>
      <c r="BD270" s="71"/>
      <c r="BE270" s="71"/>
      <c r="BF270" s="79"/>
      <c r="BG270" s="81"/>
      <c r="BH270" s="81"/>
      <c r="BI270" s="81"/>
      <c r="BJ270" s="81"/>
      <c r="BK270" s="81"/>
      <c r="BL270" s="81"/>
      <c r="BM270" s="81"/>
      <c r="BN270" s="81"/>
      <c r="BO270" s="81"/>
      <c r="BP270" s="81"/>
      <c r="BQ270" s="81"/>
    </row>
    <row r="271" spans="1:74" x14ac:dyDescent="0.25">
      <c r="A271" s="70">
        <v>59</v>
      </c>
      <c r="B271" s="71" t="s">
        <v>138</v>
      </c>
      <c r="C271" s="71"/>
      <c r="D271" s="71" t="s">
        <v>115</v>
      </c>
      <c r="E271" s="71" t="s">
        <v>102</v>
      </c>
      <c r="F271" s="134" t="s">
        <v>203</v>
      </c>
      <c r="G271" s="82"/>
      <c r="H271" s="83"/>
      <c r="I271" s="83"/>
      <c r="J271" s="83"/>
      <c r="K271" s="83" t="s">
        <v>141</v>
      </c>
      <c r="L271" s="134" t="s">
        <v>274</v>
      </c>
      <c r="M271" s="71" t="s">
        <v>275</v>
      </c>
      <c r="N271" s="73">
        <v>42072</v>
      </c>
      <c r="O271" s="151">
        <v>29300</v>
      </c>
      <c r="P271" s="71">
        <v>11551</v>
      </c>
      <c r="Q271" s="73">
        <v>42072</v>
      </c>
      <c r="R271" s="73">
        <v>42369</v>
      </c>
      <c r="S271" s="83" t="s">
        <v>104</v>
      </c>
      <c r="T271" s="71"/>
      <c r="U271" s="151"/>
      <c r="V271" s="151"/>
      <c r="W271" s="71" t="s">
        <v>106</v>
      </c>
      <c r="X271" s="75"/>
      <c r="Y271" s="75"/>
      <c r="Z271" s="76"/>
      <c r="AA271" s="77"/>
      <c r="AB271" s="75"/>
      <c r="AC271" s="76"/>
      <c r="AD271" s="76"/>
      <c r="AE271" s="78"/>
      <c r="AF271" s="79"/>
      <c r="AG271" s="2"/>
      <c r="AH271" s="2"/>
      <c r="AI271" s="80"/>
      <c r="AJ271" s="80"/>
      <c r="AK271" s="2"/>
      <c r="AL271" s="157">
        <f>$O$271-AH271+AG271+AK271</f>
        <v>29300</v>
      </c>
      <c r="AM271" s="163">
        <f>75452.4+10088.1+3362.7+3362.7+3362.7+3362.7+3362.7+3362.7+6725.4+3362.7+10088.1+3362.7+3362.7+6725.4+40352.4+40352.4+42255.55+42602.88</f>
        <v>304906.93</v>
      </c>
      <c r="AN271" s="163">
        <f>3550.24</f>
        <v>3550.24</v>
      </c>
      <c r="AO271" s="163">
        <f>3550.24</f>
        <v>3550.24</v>
      </c>
      <c r="AP271" s="163">
        <f>3550.24</f>
        <v>3550.24</v>
      </c>
      <c r="AQ271" s="163"/>
      <c r="AR271" s="7">
        <f>AQ271+AP271+AO271+AN271</f>
        <v>10650.72</v>
      </c>
      <c r="AS271" s="157">
        <f>AR271+AM271</f>
        <v>315557.64999999997</v>
      </c>
      <c r="AT271" s="71"/>
      <c r="AU271" s="71"/>
      <c r="AV271" s="71"/>
      <c r="AW271" s="84"/>
      <c r="AX271" s="71"/>
      <c r="AY271" s="71"/>
      <c r="AZ271" s="71" t="s">
        <v>128</v>
      </c>
      <c r="BA271" s="71" t="s">
        <v>114</v>
      </c>
      <c r="BB271" s="82">
        <v>11551</v>
      </c>
      <c r="BC271" s="73">
        <v>42438</v>
      </c>
      <c r="BD271" s="82">
        <v>11551</v>
      </c>
      <c r="BE271" s="73">
        <v>42439</v>
      </c>
      <c r="BF271" s="79"/>
      <c r="BG271" s="77"/>
      <c r="BH271" s="76"/>
      <c r="BI271" s="77"/>
      <c r="BJ271" s="76"/>
      <c r="BK271" s="79"/>
      <c r="BL271" s="81"/>
      <c r="BM271" s="81"/>
      <c r="BN271" s="81"/>
      <c r="BO271" s="81"/>
      <c r="BP271" s="81"/>
      <c r="BQ271" s="81"/>
      <c r="BR271" s="17"/>
      <c r="BS271" s="17"/>
      <c r="BT271" s="17"/>
      <c r="BU271" s="17"/>
      <c r="BV271" s="17"/>
    </row>
    <row r="272" spans="1:74" x14ac:dyDescent="0.25">
      <c r="A272" s="70"/>
      <c r="B272" s="71"/>
      <c r="C272" s="71"/>
      <c r="D272" s="71"/>
      <c r="E272" s="71"/>
      <c r="F272" s="134"/>
      <c r="G272" s="82"/>
      <c r="H272" s="83"/>
      <c r="I272" s="83"/>
      <c r="J272" s="83"/>
      <c r="K272" s="83"/>
      <c r="L272" s="134"/>
      <c r="M272" s="71"/>
      <c r="N272" s="73"/>
      <c r="O272" s="151"/>
      <c r="P272" s="71"/>
      <c r="Q272" s="73"/>
      <c r="R272" s="73"/>
      <c r="S272" s="83"/>
      <c r="T272" s="71"/>
      <c r="U272" s="151"/>
      <c r="V272" s="151"/>
      <c r="W272" s="71"/>
      <c r="X272" s="79" t="s">
        <v>173</v>
      </c>
      <c r="Y272" s="75" t="s">
        <v>187</v>
      </c>
      <c r="Z272" s="76">
        <v>42368</v>
      </c>
      <c r="AA272" s="77">
        <v>11741</v>
      </c>
      <c r="AB272" s="75" t="s">
        <v>142</v>
      </c>
      <c r="AC272" s="76">
        <v>42370</v>
      </c>
      <c r="AD272" s="76">
        <v>42735</v>
      </c>
      <c r="AE272" s="78"/>
      <c r="AF272" s="79"/>
      <c r="AG272" s="2"/>
      <c r="AH272" s="2"/>
      <c r="AI272" s="80"/>
      <c r="AJ272" s="80"/>
      <c r="AK272" s="2"/>
      <c r="AL272" s="157">
        <f t="shared" ref="AL272:AL282" si="23">$O$271-AH272+AG272+AK272</f>
        <v>29300</v>
      </c>
      <c r="AM272" s="163"/>
      <c r="AN272" s="163"/>
      <c r="AO272" s="163"/>
      <c r="AP272" s="163"/>
      <c r="AQ272" s="163"/>
      <c r="AR272" s="7"/>
      <c r="AS272" s="157"/>
      <c r="AT272" s="71"/>
      <c r="AU272" s="71"/>
      <c r="AV272" s="71"/>
      <c r="AW272" s="84"/>
      <c r="AX272" s="71"/>
      <c r="AY272" s="71"/>
      <c r="AZ272" s="71"/>
      <c r="BA272" s="71"/>
      <c r="BB272" s="82"/>
      <c r="BC272" s="73"/>
      <c r="BD272" s="82"/>
      <c r="BE272" s="73"/>
      <c r="BF272" s="79"/>
      <c r="BG272" s="77"/>
      <c r="BH272" s="76"/>
      <c r="BI272" s="77"/>
      <c r="BJ272" s="76"/>
      <c r="BK272" s="79"/>
      <c r="BL272" s="81"/>
      <c r="BM272" s="81"/>
      <c r="BN272" s="81"/>
      <c r="BO272" s="81"/>
      <c r="BP272" s="81"/>
      <c r="BQ272" s="81"/>
      <c r="BR272" s="17"/>
      <c r="BS272" s="17"/>
      <c r="BT272" s="17"/>
      <c r="BU272" s="17"/>
      <c r="BV272" s="17"/>
    </row>
    <row r="273" spans="1:74" ht="25.5" x14ac:dyDescent="0.25">
      <c r="A273" s="70"/>
      <c r="B273" s="71"/>
      <c r="C273" s="71"/>
      <c r="D273" s="71"/>
      <c r="E273" s="71"/>
      <c r="F273" s="134"/>
      <c r="G273" s="82"/>
      <c r="H273" s="83"/>
      <c r="I273" s="83"/>
      <c r="J273" s="83"/>
      <c r="K273" s="83"/>
      <c r="L273" s="134"/>
      <c r="M273" s="71"/>
      <c r="N273" s="73"/>
      <c r="O273" s="151"/>
      <c r="P273" s="71"/>
      <c r="Q273" s="73"/>
      <c r="R273" s="73"/>
      <c r="S273" s="83"/>
      <c r="T273" s="71"/>
      <c r="U273" s="151"/>
      <c r="V273" s="151"/>
      <c r="W273" s="71"/>
      <c r="X273" s="75" t="s">
        <v>180</v>
      </c>
      <c r="Y273" s="75" t="s">
        <v>187</v>
      </c>
      <c r="Z273" s="76">
        <v>42436</v>
      </c>
      <c r="AA273" s="77">
        <v>11763</v>
      </c>
      <c r="AB273" s="75" t="s">
        <v>124</v>
      </c>
      <c r="AC273" s="76">
        <v>42370</v>
      </c>
      <c r="AD273" s="76">
        <v>42735</v>
      </c>
      <c r="AE273" s="78"/>
      <c r="AF273" s="79"/>
      <c r="AG273" s="2"/>
      <c r="AH273" s="2"/>
      <c r="AI273" s="76">
        <v>42438</v>
      </c>
      <c r="AJ273" s="80">
        <f>362.7*9+265.98</f>
        <v>3530.2799999999997</v>
      </c>
      <c r="AK273" s="2"/>
      <c r="AL273" s="157">
        <f t="shared" si="23"/>
        <v>29300</v>
      </c>
      <c r="AM273" s="163"/>
      <c r="AN273" s="163"/>
      <c r="AO273" s="163"/>
      <c r="AP273" s="163"/>
      <c r="AQ273" s="163"/>
      <c r="AR273" s="7"/>
      <c r="AS273" s="157"/>
      <c r="AT273" s="71"/>
      <c r="AU273" s="71"/>
      <c r="AV273" s="71"/>
      <c r="AW273" s="84"/>
      <c r="AX273" s="71"/>
      <c r="AY273" s="71"/>
      <c r="AZ273" s="71"/>
      <c r="BA273" s="71"/>
      <c r="BB273" s="82"/>
      <c r="BC273" s="73"/>
      <c r="BD273" s="82"/>
      <c r="BE273" s="73"/>
      <c r="BF273" s="79"/>
      <c r="BG273" s="77"/>
      <c r="BH273" s="76"/>
      <c r="BI273" s="77"/>
      <c r="BJ273" s="76"/>
      <c r="BK273" s="79"/>
      <c r="BL273" s="81"/>
      <c r="BM273" s="81"/>
      <c r="BN273" s="81"/>
      <c r="BO273" s="81"/>
      <c r="BP273" s="81"/>
      <c r="BQ273" s="81"/>
      <c r="BR273" s="17"/>
      <c r="BS273" s="17"/>
      <c r="BT273" s="17"/>
      <c r="BU273" s="17"/>
      <c r="BV273" s="17"/>
    </row>
    <row r="274" spans="1:74" x14ac:dyDescent="0.25">
      <c r="A274" s="70"/>
      <c r="B274" s="71"/>
      <c r="C274" s="71"/>
      <c r="D274" s="71"/>
      <c r="E274" s="71"/>
      <c r="F274" s="134"/>
      <c r="G274" s="82"/>
      <c r="H274" s="83"/>
      <c r="I274" s="83"/>
      <c r="J274" s="83"/>
      <c r="K274" s="83"/>
      <c r="L274" s="134"/>
      <c r="M274" s="71"/>
      <c r="N274" s="73"/>
      <c r="O274" s="151"/>
      <c r="P274" s="71"/>
      <c r="Q274" s="73"/>
      <c r="R274" s="73"/>
      <c r="S274" s="83"/>
      <c r="T274" s="71"/>
      <c r="U274" s="151"/>
      <c r="V274" s="151"/>
      <c r="W274" s="71"/>
      <c r="X274" s="79" t="s">
        <v>173</v>
      </c>
      <c r="Y274" s="75" t="s">
        <v>175</v>
      </c>
      <c r="Z274" s="76">
        <v>42733</v>
      </c>
      <c r="AA274" s="77">
        <v>11984</v>
      </c>
      <c r="AB274" s="75" t="s">
        <v>142</v>
      </c>
      <c r="AC274" s="76">
        <v>42736</v>
      </c>
      <c r="AD274" s="76">
        <v>43100</v>
      </c>
      <c r="AE274" s="78"/>
      <c r="AF274" s="79"/>
      <c r="AG274" s="2"/>
      <c r="AH274" s="2"/>
      <c r="AI274" s="80"/>
      <c r="AJ274" s="80"/>
      <c r="AK274" s="2"/>
      <c r="AL274" s="157">
        <f t="shared" si="23"/>
        <v>29300</v>
      </c>
      <c r="AM274" s="163"/>
      <c r="AN274" s="163"/>
      <c r="AO274" s="163"/>
      <c r="AP274" s="163"/>
      <c r="AQ274" s="163"/>
      <c r="AR274" s="7"/>
      <c r="AS274" s="157"/>
      <c r="AT274" s="71"/>
      <c r="AU274" s="71"/>
      <c r="AV274" s="71"/>
      <c r="AW274" s="84"/>
      <c r="AX274" s="71"/>
      <c r="AY274" s="71"/>
      <c r="AZ274" s="71"/>
      <c r="BA274" s="71"/>
      <c r="BB274" s="82"/>
      <c r="BC274" s="73"/>
      <c r="BD274" s="82"/>
      <c r="BE274" s="73"/>
      <c r="BF274" s="79"/>
      <c r="BG274" s="77"/>
      <c r="BH274" s="76"/>
      <c r="BI274" s="77"/>
      <c r="BJ274" s="76"/>
      <c r="BK274" s="79"/>
      <c r="BL274" s="81"/>
      <c r="BM274" s="81"/>
      <c r="BN274" s="81"/>
      <c r="BO274" s="81"/>
      <c r="BP274" s="81"/>
      <c r="BQ274" s="81"/>
      <c r="BR274" s="17"/>
      <c r="BS274" s="17"/>
      <c r="BT274" s="17"/>
      <c r="BU274" s="17"/>
      <c r="BV274" s="17"/>
    </row>
    <row r="275" spans="1:74" x14ac:dyDescent="0.25">
      <c r="A275" s="70"/>
      <c r="B275" s="71"/>
      <c r="C275" s="71"/>
      <c r="D275" s="71"/>
      <c r="E275" s="71"/>
      <c r="F275" s="134"/>
      <c r="G275" s="82"/>
      <c r="H275" s="83"/>
      <c r="I275" s="83"/>
      <c r="J275" s="83"/>
      <c r="K275" s="83"/>
      <c r="L275" s="134"/>
      <c r="M275" s="71"/>
      <c r="N275" s="73"/>
      <c r="O275" s="151"/>
      <c r="P275" s="71"/>
      <c r="Q275" s="73"/>
      <c r="R275" s="73"/>
      <c r="S275" s="83"/>
      <c r="T275" s="71"/>
      <c r="U275" s="151"/>
      <c r="V275" s="151"/>
      <c r="W275" s="71"/>
      <c r="X275" s="79" t="s">
        <v>173</v>
      </c>
      <c r="Y275" s="75" t="s">
        <v>176</v>
      </c>
      <c r="Z275" s="76">
        <v>43096</v>
      </c>
      <c r="AA275" s="77">
        <v>12214</v>
      </c>
      <c r="AB275" s="75" t="s">
        <v>142</v>
      </c>
      <c r="AC275" s="76">
        <v>43101</v>
      </c>
      <c r="AD275" s="76">
        <v>43465</v>
      </c>
      <c r="AE275" s="78"/>
      <c r="AF275" s="79"/>
      <c r="AG275" s="2"/>
      <c r="AH275" s="2"/>
      <c r="AI275" s="80"/>
      <c r="AJ275" s="80"/>
      <c r="AK275" s="2"/>
      <c r="AL275" s="157">
        <f t="shared" si="23"/>
        <v>29300</v>
      </c>
      <c r="AM275" s="163"/>
      <c r="AN275" s="163"/>
      <c r="AO275" s="163"/>
      <c r="AP275" s="163"/>
      <c r="AQ275" s="163"/>
      <c r="AR275" s="7"/>
      <c r="AS275" s="157"/>
      <c r="AT275" s="71"/>
      <c r="AU275" s="71"/>
      <c r="AV275" s="71"/>
      <c r="AW275" s="84"/>
      <c r="AX275" s="71"/>
      <c r="AY275" s="71"/>
      <c r="AZ275" s="71"/>
      <c r="BA275" s="71"/>
      <c r="BB275" s="82"/>
      <c r="BC275" s="73"/>
      <c r="BD275" s="82"/>
      <c r="BE275" s="73"/>
      <c r="BF275" s="79"/>
      <c r="BG275" s="77"/>
      <c r="BH275" s="76"/>
      <c r="BI275" s="77"/>
      <c r="BJ275" s="76"/>
      <c r="BK275" s="79"/>
      <c r="BL275" s="81"/>
      <c r="BM275" s="81"/>
      <c r="BN275" s="81"/>
      <c r="BO275" s="81"/>
      <c r="BP275" s="81"/>
      <c r="BQ275" s="81"/>
      <c r="BR275" s="17"/>
      <c r="BS275" s="17"/>
      <c r="BT275" s="17"/>
      <c r="BU275" s="17"/>
      <c r="BV275" s="17"/>
    </row>
    <row r="276" spans="1:74" x14ac:dyDescent="0.25">
      <c r="A276" s="70"/>
      <c r="B276" s="71"/>
      <c r="C276" s="71"/>
      <c r="D276" s="71"/>
      <c r="E276" s="71"/>
      <c r="F276" s="134"/>
      <c r="G276" s="82"/>
      <c r="H276" s="83"/>
      <c r="I276" s="83"/>
      <c r="J276" s="83"/>
      <c r="K276" s="83"/>
      <c r="L276" s="134"/>
      <c r="M276" s="71"/>
      <c r="N276" s="73"/>
      <c r="O276" s="151"/>
      <c r="P276" s="71"/>
      <c r="Q276" s="73"/>
      <c r="R276" s="73"/>
      <c r="S276" s="83"/>
      <c r="T276" s="71"/>
      <c r="U276" s="151"/>
      <c r="V276" s="151"/>
      <c r="W276" s="71"/>
      <c r="X276" s="79" t="s">
        <v>173</v>
      </c>
      <c r="Y276" s="75" t="s">
        <v>189</v>
      </c>
      <c r="Z276" s="76">
        <v>43463</v>
      </c>
      <c r="AA276" s="77">
        <v>12457</v>
      </c>
      <c r="AB276" s="75" t="s">
        <v>142</v>
      </c>
      <c r="AC276" s="76">
        <v>43466</v>
      </c>
      <c r="AD276" s="76">
        <v>43830</v>
      </c>
      <c r="AE276" s="78"/>
      <c r="AF276" s="79"/>
      <c r="AG276" s="2"/>
      <c r="AH276" s="2"/>
      <c r="AI276" s="80"/>
      <c r="AJ276" s="80"/>
      <c r="AK276" s="2"/>
      <c r="AL276" s="157">
        <f t="shared" si="23"/>
        <v>29300</v>
      </c>
      <c r="AM276" s="163"/>
      <c r="AN276" s="163"/>
      <c r="AO276" s="163"/>
      <c r="AP276" s="163"/>
      <c r="AQ276" s="163"/>
      <c r="AR276" s="7"/>
      <c r="AS276" s="157"/>
      <c r="AT276" s="71"/>
      <c r="AU276" s="71"/>
      <c r="AV276" s="71"/>
      <c r="AW276" s="84"/>
      <c r="AX276" s="71"/>
      <c r="AY276" s="71"/>
      <c r="AZ276" s="71"/>
      <c r="BA276" s="71"/>
      <c r="BB276" s="82"/>
      <c r="BC276" s="73"/>
      <c r="BD276" s="82"/>
      <c r="BE276" s="73"/>
      <c r="BF276" s="79"/>
      <c r="BG276" s="77"/>
      <c r="BH276" s="76"/>
      <c r="BI276" s="77"/>
      <c r="BJ276" s="76"/>
      <c r="BK276" s="79"/>
      <c r="BL276" s="81"/>
      <c r="BM276" s="81"/>
      <c r="BN276" s="81"/>
      <c r="BO276" s="81"/>
      <c r="BP276" s="81"/>
      <c r="BQ276" s="81"/>
      <c r="BR276" s="17"/>
      <c r="BS276" s="17"/>
      <c r="BT276" s="17"/>
      <c r="BU276" s="17"/>
      <c r="BV276" s="17"/>
    </row>
    <row r="277" spans="1:74" x14ac:dyDescent="0.25">
      <c r="A277" s="70"/>
      <c r="B277" s="71"/>
      <c r="C277" s="71"/>
      <c r="D277" s="71"/>
      <c r="E277" s="71"/>
      <c r="F277" s="134"/>
      <c r="G277" s="82"/>
      <c r="H277" s="83"/>
      <c r="I277" s="83"/>
      <c r="J277" s="83"/>
      <c r="K277" s="83"/>
      <c r="L277" s="134"/>
      <c r="M277" s="71"/>
      <c r="N277" s="73"/>
      <c r="O277" s="151"/>
      <c r="P277" s="71"/>
      <c r="Q277" s="73"/>
      <c r="R277" s="73"/>
      <c r="S277" s="83"/>
      <c r="T277" s="71"/>
      <c r="U277" s="151"/>
      <c r="V277" s="151"/>
      <c r="W277" s="71"/>
      <c r="X277" s="79" t="s">
        <v>173</v>
      </c>
      <c r="Y277" s="75" t="s">
        <v>177</v>
      </c>
      <c r="Z277" s="76">
        <v>43804</v>
      </c>
      <c r="AA277" s="77">
        <v>12694</v>
      </c>
      <c r="AB277" s="75" t="s">
        <v>320</v>
      </c>
      <c r="AC277" s="76">
        <v>43466</v>
      </c>
      <c r="AD277" s="76">
        <v>43830</v>
      </c>
      <c r="AE277" s="78"/>
      <c r="AF277" s="79"/>
      <c r="AG277" s="2"/>
      <c r="AH277" s="2"/>
      <c r="AI277" s="80"/>
      <c r="AJ277" s="80"/>
      <c r="AK277" s="2"/>
      <c r="AL277" s="157">
        <f t="shared" si="23"/>
        <v>29300</v>
      </c>
      <c r="AM277" s="163"/>
      <c r="AN277" s="163"/>
      <c r="AO277" s="163"/>
      <c r="AP277" s="163"/>
      <c r="AQ277" s="163"/>
      <c r="AR277" s="7"/>
      <c r="AS277" s="157"/>
      <c r="AT277" s="71"/>
      <c r="AU277" s="71"/>
      <c r="AV277" s="71"/>
      <c r="AW277" s="84"/>
      <c r="AX277" s="71"/>
      <c r="AY277" s="71"/>
      <c r="AZ277" s="71"/>
      <c r="BA277" s="71"/>
      <c r="BB277" s="82"/>
      <c r="BC277" s="73"/>
      <c r="BD277" s="82"/>
      <c r="BE277" s="73"/>
      <c r="BF277" s="79"/>
      <c r="BG277" s="77"/>
      <c r="BH277" s="76"/>
      <c r="BI277" s="77"/>
      <c r="BJ277" s="76"/>
      <c r="BK277" s="79"/>
      <c r="BL277" s="81"/>
      <c r="BM277" s="81"/>
      <c r="BN277" s="81"/>
      <c r="BO277" s="81"/>
      <c r="BP277" s="81"/>
      <c r="BQ277" s="81"/>
      <c r="BR277" s="17"/>
      <c r="BS277" s="17"/>
      <c r="BT277" s="17"/>
      <c r="BU277" s="17"/>
      <c r="BV277" s="17"/>
    </row>
    <row r="278" spans="1:74" x14ac:dyDescent="0.25">
      <c r="A278" s="70"/>
      <c r="B278" s="71"/>
      <c r="C278" s="71"/>
      <c r="D278" s="71"/>
      <c r="E278" s="71"/>
      <c r="F278" s="134"/>
      <c r="G278" s="82"/>
      <c r="H278" s="83"/>
      <c r="I278" s="83"/>
      <c r="J278" s="83"/>
      <c r="K278" s="83"/>
      <c r="L278" s="134"/>
      <c r="M278" s="71"/>
      <c r="N278" s="73"/>
      <c r="O278" s="151"/>
      <c r="P278" s="71"/>
      <c r="Q278" s="73"/>
      <c r="R278" s="73"/>
      <c r="S278" s="83"/>
      <c r="T278" s="71"/>
      <c r="U278" s="151"/>
      <c r="V278" s="151"/>
      <c r="W278" s="71"/>
      <c r="X278" s="79" t="s">
        <v>173</v>
      </c>
      <c r="Y278" s="75" t="s">
        <v>191</v>
      </c>
      <c r="Z278" s="76">
        <v>43831</v>
      </c>
      <c r="AA278" s="77">
        <v>12723</v>
      </c>
      <c r="AB278" s="75" t="s">
        <v>319</v>
      </c>
      <c r="AC278" s="76">
        <v>43831</v>
      </c>
      <c r="AD278" s="76">
        <v>44013</v>
      </c>
      <c r="AE278" s="78"/>
      <c r="AF278" s="79"/>
      <c r="AG278" s="2"/>
      <c r="AH278" s="2"/>
      <c r="AI278" s="80"/>
      <c r="AJ278" s="80"/>
      <c r="AK278" s="2"/>
      <c r="AL278" s="157">
        <f t="shared" si="23"/>
        <v>29300</v>
      </c>
      <c r="AM278" s="163"/>
      <c r="AN278" s="163"/>
      <c r="AO278" s="163"/>
      <c r="AP278" s="163"/>
      <c r="AQ278" s="163"/>
      <c r="AR278" s="7"/>
      <c r="AS278" s="157"/>
      <c r="AT278" s="71"/>
      <c r="AU278" s="71"/>
      <c r="AV278" s="71"/>
      <c r="AW278" s="84"/>
      <c r="AX278" s="71"/>
      <c r="AY278" s="71"/>
      <c r="AZ278" s="71"/>
      <c r="BA278" s="71"/>
      <c r="BB278" s="82"/>
      <c r="BC278" s="73"/>
      <c r="BD278" s="82"/>
      <c r="BE278" s="73"/>
      <c r="BF278" s="79"/>
      <c r="BG278" s="77"/>
      <c r="BH278" s="76"/>
      <c r="BI278" s="77"/>
      <c r="BJ278" s="76"/>
      <c r="BK278" s="79"/>
      <c r="BL278" s="81"/>
      <c r="BM278" s="81"/>
      <c r="BN278" s="81"/>
      <c r="BO278" s="81"/>
      <c r="BP278" s="81"/>
      <c r="BQ278" s="81"/>
      <c r="BR278" s="17"/>
      <c r="BS278" s="17"/>
      <c r="BT278" s="17"/>
      <c r="BU278" s="17"/>
      <c r="BV278" s="17"/>
    </row>
    <row r="279" spans="1:74" x14ac:dyDescent="0.25">
      <c r="A279" s="70"/>
      <c r="B279" s="71"/>
      <c r="C279" s="71"/>
      <c r="D279" s="71"/>
      <c r="E279" s="71"/>
      <c r="F279" s="134"/>
      <c r="G279" s="82"/>
      <c r="H279" s="83"/>
      <c r="I279" s="83"/>
      <c r="J279" s="83"/>
      <c r="K279" s="83"/>
      <c r="L279" s="134"/>
      <c r="M279" s="71"/>
      <c r="N279" s="73"/>
      <c r="O279" s="151"/>
      <c r="P279" s="71"/>
      <c r="Q279" s="73"/>
      <c r="R279" s="73"/>
      <c r="S279" s="83"/>
      <c r="T279" s="71"/>
      <c r="U279" s="151"/>
      <c r="V279" s="151"/>
      <c r="W279" s="71"/>
      <c r="X279" s="79" t="s">
        <v>173</v>
      </c>
      <c r="Y279" s="75" t="s">
        <v>192</v>
      </c>
      <c r="Z279" s="76" t="s">
        <v>318</v>
      </c>
      <c r="AA279" s="77">
        <v>12953</v>
      </c>
      <c r="AB279" s="75" t="s">
        <v>142</v>
      </c>
      <c r="AC279" s="76">
        <v>44197</v>
      </c>
      <c r="AD279" s="76">
        <v>44561</v>
      </c>
      <c r="AE279" s="78"/>
      <c r="AF279" s="79"/>
      <c r="AG279" s="2"/>
      <c r="AH279" s="2"/>
      <c r="AI279" s="80"/>
      <c r="AJ279" s="80"/>
      <c r="AK279" s="2"/>
      <c r="AL279" s="157">
        <f t="shared" si="23"/>
        <v>29300</v>
      </c>
      <c r="AM279" s="163"/>
      <c r="AN279" s="163"/>
      <c r="AO279" s="163"/>
      <c r="AP279" s="163"/>
      <c r="AQ279" s="163"/>
      <c r="AR279" s="7"/>
      <c r="AS279" s="157"/>
      <c r="AT279" s="71"/>
      <c r="AU279" s="71"/>
      <c r="AV279" s="71"/>
      <c r="AW279" s="84"/>
      <c r="AX279" s="71"/>
      <c r="AY279" s="71"/>
      <c r="AZ279" s="71"/>
      <c r="BA279" s="71"/>
      <c r="BB279" s="82"/>
      <c r="BC279" s="73"/>
      <c r="BD279" s="82"/>
      <c r="BE279" s="73"/>
      <c r="BF279" s="79"/>
      <c r="BG279" s="77"/>
      <c r="BH279" s="76"/>
      <c r="BI279" s="77"/>
      <c r="BJ279" s="76"/>
      <c r="BK279" s="79"/>
      <c r="BL279" s="81"/>
      <c r="BM279" s="81"/>
      <c r="BN279" s="81"/>
      <c r="BO279" s="81"/>
      <c r="BP279" s="81"/>
      <c r="BQ279" s="81"/>
      <c r="BR279" s="17"/>
      <c r="BS279" s="17"/>
      <c r="BT279" s="17"/>
      <c r="BU279" s="17"/>
      <c r="BV279" s="17"/>
    </row>
    <row r="280" spans="1:74" x14ac:dyDescent="0.25">
      <c r="A280" s="70"/>
      <c r="B280" s="71"/>
      <c r="C280" s="71"/>
      <c r="D280" s="71"/>
      <c r="E280" s="71"/>
      <c r="F280" s="134"/>
      <c r="G280" s="82"/>
      <c r="H280" s="83"/>
      <c r="I280" s="83"/>
      <c r="J280" s="83"/>
      <c r="K280" s="83"/>
      <c r="L280" s="134"/>
      <c r="M280" s="71"/>
      <c r="N280" s="73"/>
      <c r="O280" s="151"/>
      <c r="P280" s="71"/>
      <c r="Q280" s="73"/>
      <c r="R280" s="73"/>
      <c r="S280" s="83"/>
      <c r="T280" s="71"/>
      <c r="U280" s="151"/>
      <c r="V280" s="151"/>
      <c r="W280" s="71"/>
      <c r="X280" s="79" t="s">
        <v>173</v>
      </c>
      <c r="Y280" s="75" t="s">
        <v>225</v>
      </c>
      <c r="Z280" s="76">
        <v>44541</v>
      </c>
      <c r="AA280" s="77">
        <v>13224</v>
      </c>
      <c r="AB280" s="75" t="s">
        <v>372</v>
      </c>
      <c r="AC280" s="75" t="s">
        <v>370</v>
      </c>
      <c r="AD280" s="75" t="s">
        <v>371</v>
      </c>
      <c r="AE280" s="78"/>
      <c r="AF280" s="79"/>
      <c r="AG280" s="2"/>
      <c r="AH280" s="2"/>
      <c r="AI280" s="80"/>
      <c r="AJ280" s="80"/>
      <c r="AK280" s="2"/>
      <c r="AL280" s="157">
        <f t="shared" si="23"/>
        <v>29300</v>
      </c>
      <c r="AM280" s="163"/>
      <c r="AN280" s="163"/>
      <c r="AO280" s="163"/>
      <c r="AP280" s="163"/>
      <c r="AQ280" s="163"/>
      <c r="AR280" s="7"/>
      <c r="AS280" s="157"/>
      <c r="AT280" s="71"/>
      <c r="AU280" s="71"/>
      <c r="AV280" s="71"/>
      <c r="AW280" s="84"/>
      <c r="AX280" s="71"/>
      <c r="AY280" s="71"/>
      <c r="AZ280" s="71"/>
      <c r="BA280" s="71"/>
      <c r="BB280" s="82"/>
      <c r="BC280" s="73"/>
      <c r="BD280" s="82"/>
      <c r="BE280" s="73"/>
      <c r="BF280" s="79"/>
      <c r="BG280" s="77"/>
      <c r="BH280" s="76"/>
      <c r="BI280" s="77"/>
      <c r="BJ280" s="76"/>
      <c r="BK280" s="79"/>
      <c r="BL280" s="81"/>
      <c r="BM280" s="81"/>
      <c r="BN280" s="81"/>
      <c r="BO280" s="81"/>
      <c r="BP280" s="81"/>
      <c r="BQ280" s="81"/>
      <c r="BR280" s="17"/>
      <c r="BS280" s="17"/>
      <c r="BT280" s="17"/>
      <c r="BU280" s="17"/>
      <c r="BV280" s="17"/>
    </row>
    <row r="281" spans="1:74" x14ac:dyDescent="0.25">
      <c r="A281" s="70"/>
      <c r="B281" s="71"/>
      <c r="C281" s="71"/>
      <c r="D281" s="71"/>
      <c r="E281" s="71"/>
      <c r="F281" s="134"/>
      <c r="G281" s="82"/>
      <c r="H281" s="83"/>
      <c r="I281" s="83"/>
      <c r="J281" s="83"/>
      <c r="K281" s="83"/>
      <c r="L281" s="134"/>
      <c r="M281" s="71"/>
      <c r="N281" s="73"/>
      <c r="O281" s="151"/>
      <c r="P281" s="71"/>
      <c r="Q281" s="73"/>
      <c r="R281" s="73"/>
      <c r="S281" s="83"/>
      <c r="T281" s="71"/>
      <c r="U281" s="151"/>
      <c r="V281" s="151"/>
      <c r="W281" s="71"/>
      <c r="X281" s="79" t="s">
        <v>173</v>
      </c>
      <c r="Y281" s="75" t="s">
        <v>226</v>
      </c>
      <c r="Z281" s="76">
        <v>44910</v>
      </c>
      <c r="AA281" s="77">
        <v>13466</v>
      </c>
      <c r="AB281" s="75" t="s">
        <v>372</v>
      </c>
      <c r="AC281" s="75" t="s">
        <v>418</v>
      </c>
      <c r="AD281" s="75" t="s">
        <v>419</v>
      </c>
      <c r="AE281" s="78"/>
      <c r="AF281" s="79"/>
      <c r="AG281" s="2"/>
      <c r="AH281" s="2"/>
      <c r="AI281" s="80"/>
      <c r="AJ281" s="80"/>
      <c r="AK281" s="2"/>
      <c r="AL281" s="157">
        <f t="shared" si="23"/>
        <v>29300</v>
      </c>
      <c r="AM281" s="163"/>
      <c r="AN281" s="163"/>
      <c r="AO281" s="163"/>
      <c r="AP281" s="163"/>
      <c r="AQ281" s="163"/>
      <c r="AR281" s="7"/>
      <c r="AS281" s="157"/>
      <c r="AT281" s="71"/>
      <c r="AU281" s="71"/>
      <c r="AV281" s="71"/>
      <c r="AW281" s="84"/>
      <c r="AX281" s="71"/>
      <c r="AY281" s="71"/>
      <c r="AZ281" s="71"/>
      <c r="BA281" s="71"/>
      <c r="BB281" s="82"/>
      <c r="BC281" s="73"/>
      <c r="BD281" s="82"/>
      <c r="BE281" s="73"/>
      <c r="BF281" s="79"/>
      <c r="BG281" s="77"/>
      <c r="BH281" s="76"/>
      <c r="BI281" s="77"/>
      <c r="BJ281" s="76"/>
      <c r="BK281" s="79"/>
      <c r="BL281" s="81"/>
      <c r="BM281" s="81"/>
      <c r="BN281" s="81"/>
      <c r="BO281" s="81"/>
      <c r="BP281" s="81"/>
      <c r="BQ281" s="81"/>
      <c r="BR281" s="17"/>
      <c r="BS281" s="17"/>
      <c r="BT281" s="17"/>
      <c r="BU281" s="17"/>
      <c r="BV281" s="17"/>
    </row>
    <row r="282" spans="1:74" x14ac:dyDescent="0.25">
      <c r="A282" s="70"/>
      <c r="B282" s="71"/>
      <c r="C282" s="71"/>
      <c r="D282" s="71"/>
      <c r="E282" s="71"/>
      <c r="F282" s="134"/>
      <c r="G282" s="82"/>
      <c r="H282" s="83"/>
      <c r="I282" s="83"/>
      <c r="J282" s="83"/>
      <c r="K282" s="83"/>
      <c r="L282" s="134"/>
      <c r="M282" s="71"/>
      <c r="N282" s="73"/>
      <c r="O282" s="151"/>
      <c r="P282" s="71"/>
      <c r="Q282" s="73"/>
      <c r="R282" s="73"/>
      <c r="S282" s="83"/>
      <c r="T282" s="71"/>
      <c r="U282" s="151"/>
      <c r="V282" s="151"/>
      <c r="W282" s="71"/>
      <c r="X282" s="79" t="s">
        <v>545</v>
      </c>
      <c r="Y282" s="75" t="s">
        <v>546</v>
      </c>
      <c r="Z282" s="76">
        <v>45250</v>
      </c>
      <c r="AA282" s="77">
        <v>13660</v>
      </c>
      <c r="AB282" s="75" t="s">
        <v>322</v>
      </c>
      <c r="AC282" s="76">
        <v>45292</v>
      </c>
      <c r="AD282" s="76">
        <v>45657</v>
      </c>
      <c r="AE282" s="78"/>
      <c r="AF282" s="79"/>
      <c r="AG282" s="2"/>
      <c r="AH282" s="2"/>
      <c r="AI282" s="80"/>
      <c r="AJ282" s="80"/>
      <c r="AK282" s="2"/>
      <c r="AL282" s="157">
        <f t="shared" si="23"/>
        <v>29300</v>
      </c>
      <c r="AM282" s="163"/>
      <c r="AN282" s="163"/>
      <c r="AO282" s="163"/>
      <c r="AP282" s="163"/>
      <c r="AQ282" s="163"/>
      <c r="AR282" s="7"/>
      <c r="AS282" s="157"/>
      <c r="AT282" s="71"/>
      <c r="AU282" s="71"/>
      <c r="AV282" s="71"/>
      <c r="AW282" s="84"/>
      <c r="AX282" s="71"/>
      <c r="AY282" s="71"/>
      <c r="AZ282" s="71"/>
      <c r="BA282" s="71"/>
      <c r="BB282" s="82"/>
      <c r="BC282" s="73"/>
      <c r="BD282" s="82"/>
      <c r="BE282" s="73"/>
      <c r="BF282" s="79"/>
      <c r="BG282" s="77"/>
      <c r="BH282" s="76"/>
      <c r="BI282" s="77"/>
      <c r="BJ282" s="76"/>
      <c r="BK282" s="79"/>
      <c r="BL282" s="81"/>
      <c r="BM282" s="81"/>
      <c r="BN282" s="81"/>
      <c r="BO282" s="81"/>
      <c r="BP282" s="81"/>
      <c r="BQ282" s="81"/>
      <c r="BR282" s="17"/>
      <c r="BS282" s="17"/>
      <c r="BT282" s="17"/>
      <c r="BU282" s="17"/>
      <c r="BV282" s="17"/>
    </row>
    <row r="283" spans="1:74" x14ac:dyDescent="0.25">
      <c r="A283" s="70">
        <v>60</v>
      </c>
      <c r="B283" s="71" t="s">
        <v>335</v>
      </c>
      <c r="C283" s="90" t="s">
        <v>336</v>
      </c>
      <c r="D283" s="71" t="s">
        <v>115</v>
      </c>
      <c r="E283" s="71" t="s">
        <v>509</v>
      </c>
      <c r="F283" s="134" t="s">
        <v>333</v>
      </c>
      <c r="G283" s="82"/>
      <c r="H283" s="70"/>
      <c r="I283" s="70"/>
      <c r="J283" s="70"/>
      <c r="K283" s="83" t="s">
        <v>334</v>
      </c>
      <c r="L283" s="134" t="s">
        <v>274</v>
      </c>
      <c r="M283" s="71" t="s">
        <v>275</v>
      </c>
      <c r="N283" s="73">
        <v>44417</v>
      </c>
      <c r="O283" s="151">
        <v>240000</v>
      </c>
      <c r="P283" s="82">
        <v>13123</v>
      </c>
      <c r="Q283" s="73">
        <v>44417</v>
      </c>
      <c r="R283" s="73">
        <v>45147</v>
      </c>
      <c r="S283" s="83" t="s">
        <v>565</v>
      </c>
      <c r="T283" s="71"/>
      <c r="U283" s="151"/>
      <c r="V283" s="151"/>
      <c r="W283" s="79"/>
      <c r="X283" s="79"/>
      <c r="Y283" s="75"/>
      <c r="Z283" s="76"/>
      <c r="AA283" s="77"/>
      <c r="AB283" s="75"/>
      <c r="AC283" s="76"/>
      <c r="AD283" s="76"/>
      <c r="AE283" s="78"/>
      <c r="AF283" s="79"/>
      <c r="AG283" s="2"/>
      <c r="AH283" s="2"/>
      <c r="AI283" s="80"/>
      <c r="AJ283" s="80"/>
      <c r="AK283" s="2"/>
      <c r="AL283" s="151">
        <f>O283-AH283+AG283+AK283</f>
        <v>240000</v>
      </c>
      <c r="AM283" s="151">
        <f>240000+251888.63</f>
        <v>491888.63</v>
      </c>
      <c r="AN283" s="2">
        <v>20000</v>
      </c>
      <c r="AO283" s="2">
        <f>20000</f>
        <v>20000</v>
      </c>
      <c r="AP283" s="163">
        <f>20000</f>
        <v>20000</v>
      </c>
      <c r="AQ283" s="163"/>
      <c r="AR283" s="7">
        <f>AQ283+AP283+AO283+AN283</f>
        <v>60000</v>
      </c>
      <c r="AS283" s="157">
        <f>AR283+AM283</f>
        <v>551888.63</v>
      </c>
      <c r="AT283" s="79"/>
      <c r="AU283" s="79"/>
      <c r="AV283" s="79"/>
      <c r="AW283" s="104"/>
      <c r="AX283" s="79"/>
      <c r="AY283" s="79"/>
      <c r="AZ283" s="71" t="s">
        <v>128</v>
      </c>
      <c r="BA283" s="71" t="s">
        <v>415</v>
      </c>
      <c r="BB283" s="82">
        <v>13123</v>
      </c>
      <c r="BC283" s="73">
        <v>44448</v>
      </c>
      <c r="BD283" s="82">
        <v>13123</v>
      </c>
      <c r="BE283" s="73">
        <v>44448</v>
      </c>
      <c r="BF283" s="79"/>
      <c r="BG283" s="77"/>
      <c r="BH283" s="76"/>
      <c r="BI283" s="77"/>
      <c r="BJ283" s="76"/>
      <c r="BK283" s="79"/>
      <c r="BL283" s="81"/>
      <c r="BM283" s="81"/>
      <c r="BN283" s="81"/>
      <c r="BO283" s="81"/>
      <c r="BP283" s="81"/>
      <c r="BQ283" s="81"/>
      <c r="BR283" s="17"/>
      <c r="BS283" s="17"/>
      <c r="BT283" s="17"/>
      <c r="BU283" s="17"/>
      <c r="BV283" s="17"/>
    </row>
    <row r="284" spans="1:74" x14ac:dyDescent="0.25">
      <c r="A284" s="70"/>
      <c r="B284" s="71"/>
      <c r="C284" s="90"/>
      <c r="D284" s="71"/>
      <c r="E284" s="71"/>
      <c r="F284" s="134"/>
      <c r="G284" s="82"/>
      <c r="H284" s="70"/>
      <c r="I284" s="70"/>
      <c r="J284" s="70"/>
      <c r="K284" s="83"/>
      <c r="L284" s="134"/>
      <c r="M284" s="71"/>
      <c r="N284" s="73"/>
      <c r="O284" s="151"/>
      <c r="P284" s="82"/>
      <c r="Q284" s="73"/>
      <c r="R284" s="73"/>
      <c r="S284" s="83"/>
      <c r="T284" s="71"/>
      <c r="U284" s="151"/>
      <c r="V284" s="151"/>
      <c r="W284" s="79" t="s">
        <v>106</v>
      </c>
      <c r="X284" s="79" t="s">
        <v>533</v>
      </c>
      <c r="Y284" s="75" t="s">
        <v>187</v>
      </c>
      <c r="Z284" s="76">
        <v>45145</v>
      </c>
      <c r="AA284" s="77">
        <v>13593</v>
      </c>
      <c r="AB284" s="75" t="s">
        <v>539</v>
      </c>
      <c r="AC284" s="75" t="s">
        <v>540</v>
      </c>
      <c r="AD284" s="75" t="s">
        <v>541</v>
      </c>
      <c r="AE284" s="78"/>
      <c r="AF284" s="79"/>
      <c r="AG284" s="2"/>
      <c r="AH284" s="2"/>
      <c r="AI284" s="80"/>
      <c r="AJ284" s="80"/>
      <c r="AK284" s="2"/>
      <c r="AL284" s="151"/>
      <c r="AM284" s="151"/>
      <c r="AN284" s="2"/>
      <c r="AO284" s="2"/>
      <c r="AP284" s="163"/>
      <c r="AQ284" s="163"/>
      <c r="AR284" s="7"/>
      <c r="AS284" s="157"/>
      <c r="AT284" s="79"/>
      <c r="AU284" s="79"/>
      <c r="AV284" s="79"/>
      <c r="AW284" s="104"/>
      <c r="AX284" s="79"/>
      <c r="AY284" s="79"/>
      <c r="AZ284" s="71"/>
      <c r="BA284" s="71"/>
      <c r="BB284" s="82"/>
      <c r="BC284" s="73"/>
      <c r="BD284" s="82"/>
      <c r="BE284" s="73"/>
      <c r="BF284" s="79"/>
      <c r="BG284" s="77"/>
      <c r="BH284" s="76"/>
      <c r="BI284" s="77"/>
      <c r="BJ284" s="76"/>
      <c r="BK284" s="79"/>
      <c r="BL284" s="81"/>
      <c r="BM284" s="81"/>
      <c r="BN284" s="81"/>
      <c r="BO284" s="81"/>
      <c r="BP284" s="81"/>
      <c r="BQ284" s="81"/>
      <c r="BR284" s="17"/>
      <c r="BS284" s="17"/>
      <c r="BT284" s="17"/>
      <c r="BU284" s="17"/>
      <c r="BV284" s="17"/>
    </row>
    <row r="285" spans="1:74" x14ac:dyDescent="0.25">
      <c r="A285" s="70">
        <v>61</v>
      </c>
      <c r="B285" s="70" t="s">
        <v>409</v>
      </c>
      <c r="C285" s="71" t="s">
        <v>409</v>
      </c>
      <c r="D285" s="71" t="s">
        <v>488</v>
      </c>
      <c r="E285" s="71" t="s">
        <v>102</v>
      </c>
      <c r="F285" s="134" t="s">
        <v>410</v>
      </c>
      <c r="G285" s="82"/>
      <c r="H285" s="70"/>
      <c r="I285" s="70"/>
      <c r="J285" s="70"/>
      <c r="K285" s="83" t="s">
        <v>411</v>
      </c>
      <c r="L285" s="134" t="s">
        <v>412</v>
      </c>
      <c r="M285" s="71" t="s">
        <v>413</v>
      </c>
      <c r="N285" s="73">
        <v>44889</v>
      </c>
      <c r="O285" s="151">
        <v>231000</v>
      </c>
      <c r="P285" s="82">
        <v>13416</v>
      </c>
      <c r="Q285" s="73">
        <v>44889</v>
      </c>
      <c r="R285" s="73">
        <v>44926</v>
      </c>
      <c r="S285" s="83" t="s">
        <v>565</v>
      </c>
      <c r="T285" s="71"/>
      <c r="U285" s="151"/>
      <c r="V285" s="151"/>
      <c r="W285" s="71" t="s">
        <v>106</v>
      </c>
      <c r="X285" s="79"/>
      <c r="Y285" s="75"/>
      <c r="Z285" s="76"/>
      <c r="AA285" s="77"/>
      <c r="AB285" s="75"/>
      <c r="AC285" s="76"/>
      <c r="AD285" s="76"/>
      <c r="AE285" s="78"/>
      <c r="AF285" s="79"/>
      <c r="AG285" s="2"/>
      <c r="AH285" s="2"/>
      <c r="AI285" s="80"/>
      <c r="AJ285" s="80"/>
      <c r="AK285" s="2"/>
      <c r="AL285" s="163">
        <f>O285-AH285+AG285+AK285</f>
        <v>231000</v>
      </c>
      <c r="AM285" s="163">
        <f>19810.65+92714.68</f>
        <v>112525.32999999999</v>
      </c>
      <c r="AN285" s="163">
        <f>7887.49+8089.86</f>
        <v>15977.349999999999</v>
      </c>
      <c r="AO285" s="163">
        <f>8245.45</f>
        <v>8245.4500000000007</v>
      </c>
      <c r="AP285" s="163">
        <f>8168.72</f>
        <v>8168.72</v>
      </c>
      <c r="AQ285" s="163"/>
      <c r="AR285" s="7">
        <f>AQ285+AP285+AO285+AN285</f>
        <v>32391.52</v>
      </c>
      <c r="AS285" s="157">
        <f>AR285+AM285</f>
        <v>144916.84999999998</v>
      </c>
      <c r="AT285" s="79"/>
      <c r="AU285" s="79"/>
      <c r="AV285" s="79"/>
      <c r="AW285" s="104"/>
      <c r="AX285" s="79"/>
      <c r="AY285" s="79"/>
      <c r="AZ285" s="71" t="s">
        <v>247</v>
      </c>
      <c r="BA285" s="71" t="s">
        <v>417</v>
      </c>
      <c r="BB285" s="82">
        <v>13406</v>
      </c>
      <c r="BC285" s="73">
        <v>44873</v>
      </c>
      <c r="BD285" s="82">
        <v>13408</v>
      </c>
      <c r="BE285" s="73">
        <v>44875</v>
      </c>
      <c r="BF285" s="79"/>
      <c r="BG285" s="77"/>
      <c r="BH285" s="76"/>
      <c r="BI285" s="77"/>
      <c r="BJ285" s="76"/>
      <c r="BK285" s="79"/>
      <c r="BL285" s="81"/>
      <c r="BM285" s="81"/>
      <c r="BN285" s="81"/>
      <c r="BO285" s="81"/>
      <c r="BP285" s="81"/>
      <c r="BQ285" s="81"/>
      <c r="BR285" s="17"/>
      <c r="BS285" s="17"/>
      <c r="BT285" s="17"/>
      <c r="BU285" s="17"/>
      <c r="BV285" s="17"/>
    </row>
    <row r="286" spans="1:74" x14ac:dyDescent="0.25">
      <c r="A286" s="70"/>
      <c r="B286" s="70"/>
      <c r="C286" s="71"/>
      <c r="D286" s="71"/>
      <c r="E286" s="71"/>
      <c r="F286" s="134"/>
      <c r="G286" s="82"/>
      <c r="H286" s="70"/>
      <c r="I286" s="70"/>
      <c r="J286" s="70"/>
      <c r="K286" s="83"/>
      <c r="L286" s="134"/>
      <c r="M286" s="71"/>
      <c r="N286" s="73"/>
      <c r="O286" s="151"/>
      <c r="P286" s="82"/>
      <c r="Q286" s="73"/>
      <c r="R286" s="73"/>
      <c r="S286" s="83"/>
      <c r="T286" s="71"/>
      <c r="U286" s="151"/>
      <c r="V286" s="151"/>
      <c r="W286" s="71"/>
      <c r="X286" s="79" t="s">
        <v>173</v>
      </c>
      <c r="Y286" s="75" t="s">
        <v>187</v>
      </c>
      <c r="Z286" s="76">
        <v>44958</v>
      </c>
      <c r="AA286" s="77">
        <v>13485</v>
      </c>
      <c r="AB286" s="75" t="s">
        <v>432</v>
      </c>
      <c r="AC286" s="76">
        <v>44958</v>
      </c>
      <c r="AD286" s="76">
        <v>45046</v>
      </c>
      <c r="AE286" s="78"/>
      <c r="AF286" s="79"/>
      <c r="AG286" s="2"/>
      <c r="AH286" s="2"/>
      <c r="AI286" s="80"/>
      <c r="AJ286" s="80"/>
      <c r="AK286" s="2"/>
      <c r="AL286" s="163">
        <f t="shared" ref="AL286:AL290" si="24">O286-AH286+AG286+AK286</f>
        <v>0</v>
      </c>
      <c r="AM286" s="163"/>
      <c r="AN286" s="163"/>
      <c r="AO286" s="163"/>
      <c r="AP286" s="163"/>
      <c r="AQ286" s="163"/>
      <c r="AR286" s="7"/>
      <c r="AS286" s="157"/>
      <c r="AT286" s="79"/>
      <c r="AU286" s="79"/>
      <c r="AV286" s="79"/>
      <c r="AW286" s="104"/>
      <c r="AX286" s="79"/>
      <c r="AY286" s="79"/>
      <c r="AZ286" s="71"/>
      <c r="BA286" s="71"/>
      <c r="BB286" s="82"/>
      <c r="BC286" s="73"/>
      <c r="BD286" s="82"/>
      <c r="BE286" s="73"/>
      <c r="BF286" s="79"/>
      <c r="BG286" s="77"/>
      <c r="BH286" s="76"/>
      <c r="BI286" s="77"/>
      <c r="BJ286" s="76"/>
      <c r="BK286" s="79"/>
      <c r="BL286" s="81"/>
      <c r="BM286" s="81"/>
      <c r="BN286" s="81"/>
      <c r="BO286" s="81"/>
      <c r="BP286" s="81"/>
      <c r="BQ286" s="81"/>
      <c r="BR286" s="17"/>
      <c r="BS286" s="17"/>
      <c r="BT286" s="17"/>
      <c r="BU286" s="17"/>
      <c r="BV286" s="17"/>
    </row>
    <row r="287" spans="1:74" ht="25.5" x14ac:dyDescent="0.25">
      <c r="A287" s="70"/>
      <c r="B287" s="70"/>
      <c r="C287" s="71"/>
      <c r="D287" s="71"/>
      <c r="E287" s="71"/>
      <c r="F287" s="134"/>
      <c r="G287" s="82"/>
      <c r="H287" s="70"/>
      <c r="I287" s="70"/>
      <c r="J287" s="70"/>
      <c r="K287" s="83"/>
      <c r="L287" s="134"/>
      <c r="M287" s="71"/>
      <c r="N287" s="73"/>
      <c r="O287" s="151"/>
      <c r="P287" s="82"/>
      <c r="Q287" s="73"/>
      <c r="R287" s="73"/>
      <c r="S287" s="83"/>
      <c r="T287" s="71"/>
      <c r="U287" s="151"/>
      <c r="V287" s="151"/>
      <c r="W287" s="71"/>
      <c r="X287" s="79" t="s">
        <v>185</v>
      </c>
      <c r="Y287" s="75" t="s">
        <v>187</v>
      </c>
      <c r="Z287" s="76">
        <v>45089</v>
      </c>
      <c r="AA287" s="77">
        <v>13555</v>
      </c>
      <c r="AB287" s="75" t="s">
        <v>543</v>
      </c>
      <c r="AC287" s="76">
        <v>45047</v>
      </c>
      <c r="AD287" s="76">
        <v>45138</v>
      </c>
      <c r="AE287" s="78"/>
      <c r="AF287" s="79"/>
      <c r="AG287" s="2"/>
      <c r="AH287" s="2"/>
      <c r="AI287" s="80"/>
      <c r="AJ287" s="80"/>
      <c r="AK287" s="2"/>
      <c r="AL287" s="163">
        <f t="shared" si="24"/>
        <v>0</v>
      </c>
      <c r="AM287" s="163"/>
      <c r="AN287" s="163"/>
      <c r="AO287" s="163"/>
      <c r="AP287" s="163"/>
      <c r="AQ287" s="163"/>
      <c r="AR287" s="7"/>
      <c r="AS287" s="157"/>
      <c r="AT287" s="79"/>
      <c r="AU287" s="79"/>
      <c r="AV287" s="79"/>
      <c r="AW287" s="104"/>
      <c r="AX287" s="79"/>
      <c r="AY287" s="79"/>
      <c r="AZ287" s="71"/>
      <c r="BA287" s="71"/>
      <c r="BB287" s="82"/>
      <c r="BC287" s="73"/>
      <c r="BD287" s="82"/>
      <c r="BE287" s="73"/>
      <c r="BF287" s="79"/>
      <c r="BG287" s="77"/>
      <c r="BH287" s="76"/>
      <c r="BI287" s="77"/>
      <c r="BJ287" s="76"/>
      <c r="BK287" s="79"/>
      <c r="BL287" s="81"/>
      <c r="BM287" s="81"/>
      <c r="BN287" s="81"/>
      <c r="BO287" s="81"/>
      <c r="BP287" s="81"/>
      <c r="BQ287" s="81"/>
      <c r="BR287" s="17"/>
      <c r="BS287" s="17"/>
      <c r="BT287" s="17"/>
      <c r="BU287" s="17"/>
      <c r="BV287" s="17"/>
    </row>
    <row r="288" spans="1:74" x14ac:dyDescent="0.25">
      <c r="A288" s="70"/>
      <c r="B288" s="70"/>
      <c r="C288" s="71"/>
      <c r="D288" s="71"/>
      <c r="E288" s="71"/>
      <c r="F288" s="134"/>
      <c r="G288" s="82"/>
      <c r="H288" s="70"/>
      <c r="I288" s="70"/>
      <c r="J288" s="70"/>
      <c r="K288" s="83"/>
      <c r="L288" s="134"/>
      <c r="M288" s="71"/>
      <c r="N288" s="73"/>
      <c r="O288" s="151"/>
      <c r="P288" s="82"/>
      <c r="Q288" s="73"/>
      <c r="R288" s="73"/>
      <c r="S288" s="83"/>
      <c r="T288" s="71"/>
      <c r="U288" s="151"/>
      <c r="V288" s="151"/>
      <c r="W288" s="71"/>
      <c r="X288" s="79" t="s">
        <v>533</v>
      </c>
      <c r="Y288" s="75" t="s">
        <v>175</v>
      </c>
      <c r="Z288" s="76">
        <v>45042</v>
      </c>
      <c r="AA288" s="77">
        <v>13547</v>
      </c>
      <c r="AB288" s="75" t="s">
        <v>542</v>
      </c>
      <c r="AC288" s="76">
        <v>45047</v>
      </c>
      <c r="AD288" s="76">
        <v>45137</v>
      </c>
      <c r="AE288" s="78"/>
      <c r="AF288" s="79"/>
      <c r="AG288" s="2"/>
      <c r="AH288" s="2"/>
      <c r="AI288" s="80"/>
      <c r="AJ288" s="80"/>
      <c r="AK288" s="2"/>
      <c r="AL288" s="163">
        <f t="shared" si="24"/>
        <v>0</v>
      </c>
      <c r="AM288" s="163"/>
      <c r="AN288" s="163"/>
      <c r="AO288" s="163"/>
      <c r="AP288" s="163"/>
      <c r="AQ288" s="163"/>
      <c r="AR288" s="7"/>
      <c r="AS288" s="157"/>
      <c r="AT288" s="79"/>
      <c r="AU288" s="79"/>
      <c r="AV288" s="79"/>
      <c r="AW288" s="104"/>
      <c r="AX288" s="79"/>
      <c r="AY288" s="79"/>
      <c r="AZ288" s="71"/>
      <c r="BA288" s="71"/>
      <c r="BB288" s="82"/>
      <c r="BC288" s="73"/>
      <c r="BD288" s="82"/>
      <c r="BE288" s="73"/>
      <c r="BF288" s="79"/>
      <c r="BG288" s="77"/>
      <c r="BH288" s="76"/>
      <c r="BI288" s="77"/>
      <c r="BJ288" s="76"/>
      <c r="BK288" s="79"/>
      <c r="BL288" s="81"/>
      <c r="BM288" s="81"/>
      <c r="BN288" s="81"/>
      <c r="BO288" s="81"/>
      <c r="BP288" s="81"/>
      <c r="BQ288" s="81"/>
      <c r="BR288" s="17"/>
      <c r="BS288" s="17"/>
      <c r="BT288" s="17"/>
      <c r="BU288" s="17"/>
      <c r="BV288" s="17"/>
    </row>
    <row r="289" spans="1:74" x14ac:dyDescent="0.25">
      <c r="A289" s="70"/>
      <c r="B289" s="70"/>
      <c r="C289" s="71"/>
      <c r="D289" s="71"/>
      <c r="E289" s="71"/>
      <c r="F289" s="134"/>
      <c r="G289" s="82"/>
      <c r="H289" s="70"/>
      <c r="I289" s="70"/>
      <c r="J289" s="70"/>
      <c r="K289" s="83"/>
      <c r="L289" s="134"/>
      <c r="M289" s="71"/>
      <c r="N289" s="73"/>
      <c r="O289" s="151"/>
      <c r="P289" s="82"/>
      <c r="Q289" s="73"/>
      <c r="R289" s="73"/>
      <c r="S289" s="83"/>
      <c r="T289" s="71"/>
      <c r="U289" s="151"/>
      <c r="V289" s="151"/>
      <c r="W289" s="71"/>
      <c r="X289" s="79" t="s">
        <v>533</v>
      </c>
      <c r="Y289" s="75" t="s">
        <v>190</v>
      </c>
      <c r="Z289" s="76">
        <v>45138</v>
      </c>
      <c r="AA289" s="77">
        <v>13588</v>
      </c>
      <c r="AB289" s="75" t="s">
        <v>542</v>
      </c>
      <c r="AC289" s="76">
        <v>45139</v>
      </c>
      <c r="AD289" s="76">
        <v>45230</v>
      </c>
      <c r="AE289" s="78"/>
      <c r="AF289" s="79"/>
      <c r="AG289" s="2"/>
      <c r="AH289" s="2"/>
      <c r="AI289" s="80"/>
      <c r="AJ289" s="80"/>
      <c r="AK289" s="2"/>
      <c r="AL289" s="163">
        <f t="shared" si="24"/>
        <v>0</v>
      </c>
      <c r="AM289" s="163"/>
      <c r="AN289" s="163"/>
      <c r="AO289" s="163"/>
      <c r="AP289" s="163"/>
      <c r="AQ289" s="163"/>
      <c r="AR289" s="7"/>
      <c r="AS289" s="157"/>
      <c r="AT289" s="79"/>
      <c r="AU289" s="79"/>
      <c r="AV289" s="79"/>
      <c r="AW289" s="104"/>
      <c r="AX289" s="79"/>
      <c r="AY289" s="79"/>
      <c r="AZ289" s="71"/>
      <c r="BA289" s="71"/>
      <c r="BB289" s="82"/>
      <c r="BC289" s="73"/>
      <c r="BD289" s="82"/>
      <c r="BE289" s="73"/>
      <c r="BF289" s="79"/>
      <c r="BG289" s="77"/>
      <c r="BH289" s="76"/>
      <c r="BI289" s="77"/>
      <c r="BJ289" s="76"/>
      <c r="BK289" s="79"/>
      <c r="BL289" s="81"/>
      <c r="BM289" s="81"/>
      <c r="BN289" s="81"/>
      <c r="BO289" s="81"/>
      <c r="BP289" s="81"/>
      <c r="BQ289" s="81"/>
      <c r="BR289" s="17"/>
      <c r="BS289" s="17"/>
      <c r="BT289" s="17"/>
      <c r="BU289" s="17"/>
      <c r="BV289" s="17"/>
    </row>
    <row r="290" spans="1:74" ht="13.5" thickBot="1" x14ac:dyDescent="0.3">
      <c r="A290" s="105"/>
      <c r="B290" s="105"/>
      <c r="C290" s="100"/>
      <c r="D290" s="100"/>
      <c r="E290" s="100"/>
      <c r="F290" s="135"/>
      <c r="G290" s="106"/>
      <c r="H290" s="105"/>
      <c r="I290" s="105"/>
      <c r="J290" s="105"/>
      <c r="K290" s="107"/>
      <c r="L290" s="135"/>
      <c r="M290" s="100"/>
      <c r="N290" s="108"/>
      <c r="O290" s="153"/>
      <c r="P290" s="106"/>
      <c r="Q290" s="108"/>
      <c r="R290" s="108"/>
      <c r="S290" s="107"/>
      <c r="T290" s="100"/>
      <c r="U290" s="153"/>
      <c r="V290" s="153"/>
      <c r="W290" s="100"/>
      <c r="X290" s="109" t="s">
        <v>533</v>
      </c>
      <c r="Y290" s="110" t="s">
        <v>195</v>
      </c>
      <c r="Z290" s="111">
        <v>45230</v>
      </c>
      <c r="AA290" s="112">
        <v>13655</v>
      </c>
      <c r="AB290" s="110" t="s">
        <v>544</v>
      </c>
      <c r="AC290" s="111">
        <v>45231</v>
      </c>
      <c r="AD290" s="111">
        <v>45412</v>
      </c>
      <c r="AE290" s="113"/>
      <c r="AF290" s="109"/>
      <c r="AG290" s="3"/>
      <c r="AH290" s="3"/>
      <c r="AI290" s="114"/>
      <c r="AJ290" s="114"/>
      <c r="AK290" s="3"/>
      <c r="AL290" s="164">
        <f t="shared" si="24"/>
        <v>0</v>
      </c>
      <c r="AM290" s="164"/>
      <c r="AN290" s="164"/>
      <c r="AO290" s="164"/>
      <c r="AP290" s="164"/>
      <c r="AQ290" s="164"/>
      <c r="AR290" s="165"/>
      <c r="AS290" s="166"/>
      <c r="AT290" s="109"/>
      <c r="AU290" s="109"/>
      <c r="AV290" s="109"/>
      <c r="AW290" s="115"/>
      <c r="AX290" s="109"/>
      <c r="AY290" s="109"/>
      <c r="AZ290" s="100"/>
      <c r="BA290" s="100"/>
      <c r="BB290" s="106"/>
      <c r="BC290" s="108"/>
      <c r="BD290" s="106"/>
      <c r="BE290" s="108"/>
      <c r="BF290" s="109"/>
      <c r="BG290" s="112"/>
      <c r="BH290" s="111"/>
      <c r="BI290" s="112"/>
      <c r="BJ290" s="111"/>
      <c r="BK290" s="109"/>
      <c r="BL290" s="116"/>
      <c r="BM290" s="116"/>
      <c r="BN290" s="116"/>
      <c r="BO290" s="116"/>
      <c r="BP290" s="116"/>
      <c r="BQ290" s="116"/>
      <c r="BR290" s="17"/>
      <c r="BS290" s="17"/>
      <c r="BT290" s="17"/>
      <c r="BU290" s="17"/>
      <c r="BV290" s="17"/>
    </row>
    <row r="291" spans="1:74" s="125" customFormat="1" ht="13.5" thickBot="1" x14ac:dyDescent="0.3">
      <c r="A291" s="117" t="s">
        <v>656</v>
      </c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9"/>
      <c r="O291" s="4">
        <f>SUM(O21:O290)</f>
        <v>47014343.879999995</v>
      </c>
      <c r="P291" s="120"/>
      <c r="Q291" s="120"/>
      <c r="R291" s="120"/>
      <c r="S291" s="120"/>
      <c r="T291" s="120"/>
      <c r="U291" s="4">
        <f>SUM(U21:U290)</f>
        <v>0</v>
      </c>
      <c r="V291" s="4">
        <f>SUM(V21:V290)</f>
        <v>0</v>
      </c>
      <c r="W291" s="121"/>
      <c r="X291" s="120"/>
      <c r="Y291" s="120"/>
      <c r="Z291" s="122"/>
      <c r="AA291" s="120"/>
      <c r="AB291" s="120"/>
      <c r="AC291" s="120"/>
      <c r="AD291" s="120"/>
      <c r="AE291" s="120"/>
      <c r="AF291" s="120"/>
      <c r="AG291" s="4">
        <f>SUM(AG21:AG290)</f>
        <v>3399843.75</v>
      </c>
      <c r="AH291" s="4">
        <f>SUM(AH21:AH290)</f>
        <v>2869741.56</v>
      </c>
      <c r="AI291" s="120"/>
      <c r="AJ291" s="4">
        <f>SUM(AJ21:AJ290)</f>
        <v>3532.2525642267296</v>
      </c>
      <c r="AK291" s="4">
        <f>SUM(AK21:AK290)</f>
        <v>4140848.96</v>
      </c>
      <c r="AL291" s="4">
        <f>SUM(AL21:AL290)</f>
        <v>179152505.30999994</v>
      </c>
      <c r="AM291" s="4">
        <f>SUM(AM21:AM290)</f>
        <v>108954238.43000001</v>
      </c>
      <c r="AN291" s="167"/>
      <c r="AO291" s="167"/>
      <c r="AP291" s="167"/>
      <c r="AQ291" s="167"/>
      <c r="AR291" s="4">
        <f>SUM(AR21:AR290)</f>
        <v>19648799.879999999</v>
      </c>
      <c r="AS291" s="4">
        <f>SUM(AS21:AS290)</f>
        <v>128603038.30999997</v>
      </c>
      <c r="AT291" s="120"/>
      <c r="AU291" s="120"/>
      <c r="AV291" s="120"/>
      <c r="AW291" s="120"/>
      <c r="AX291" s="120"/>
      <c r="AY291" s="120"/>
      <c r="AZ291" s="120"/>
      <c r="BA291" s="120"/>
      <c r="BB291" s="120"/>
      <c r="BC291" s="120"/>
      <c r="BD291" s="120"/>
      <c r="BE291" s="120"/>
      <c r="BF291" s="120"/>
      <c r="BG291" s="123"/>
      <c r="BH291" s="123"/>
      <c r="BI291" s="123"/>
      <c r="BJ291" s="123"/>
      <c r="BK291" s="123"/>
      <c r="BL291" s="123"/>
      <c r="BM291" s="123"/>
      <c r="BN291" s="123"/>
      <c r="BO291" s="123"/>
      <c r="BP291" s="123"/>
      <c r="BQ291" s="124"/>
    </row>
    <row r="292" spans="1:74" x14ac:dyDescent="0.25">
      <c r="B292" s="17"/>
      <c r="C292" s="126"/>
      <c r="D292" s="126"/>
      <c r="E292" s="126"/>
      <c r="F292" s="126"/>
      <c r="G292" s="126"/>
      <c r="H292" s="21"/>
      <c r="I292" s="21"/>
      <c r="J292" s="21"/>
      <c r="X292" s="127"/>
    </row>
    <row r="293" spans="1:74" s="22" customFormat="1" x14ac:dyDescent="0.25">
      <c r="A293" s="28" t="s">
        <v>129</v>
      </c>
      <c r="B293" s="28"/>
      <c r="C293" s="28"/>
      <c r="D293" s="28"/>
      <c r="E293" s="28"/>
      <c r="F293" s="28"/>
      <c r="L293" s="23"/>
      <c r="O293" s="155"/>
      <c r="S293" s="27"/>
      <c r="U293" s="155"/>
      <c r="V293" s="155"/>
      <c r="Y293" s="27"/>
      <c r="AA293" s="128"/>
      <c r="AE293" s="24"/>
      <c r="AG293" s="155"/>
      <c r="AH293" s="155"/>
      <c r="AI293" s="25"/>
      <c r="AJ293" s="25"/>
      <c r="AK293" s="155"/>
      <c r="AL293" s="155"/>
      <c r="AM293" s="155"/>
      <c r="AN293" s="155"/>
      <c r="AO293" s="155"/>
      <c r="AP293" s="155"/>
      <c r="AQ293" s="155"/>
      <c r="AR293" s="155"/>
      <c r="AS293" s="155"/>
    </row>
    <row r="294" spans="1:74" s="22" customFormat="1" x14ac:dyDescent="0.25">
      <c r="A294" s="28" t="s">
        <v>284</v>
      </c>
      <c r="B294" s="28"/>
      <c r="C294" s="28"/>
      <c r="D294" s="28"/>
      <c r="L294" s="23"/>
      <c r="O294" s="155"/>
      <c r="S294" s="27"/>
      <c r="U294" s="155"/>
      <c r="V294" s="155"/>
      <c r="Y294" s="27"/>
      <c r="AA294" s="128"/>
      <c r="AE294" s="24"/>
      <c r="AG294" s="155"/>
      <c r="AH294" s="155"/>
      <c r="AI294" s="25"/>
      <c r="AJ294" s="25"/>
      <c r="AK294" s="155"/>
      <c r="AL294" s="155"/>
      <c r="AM294" s="155"/>
      <c r="AN294" s="155"/>
      <c r="AO294" s="155"/>
      <c r="AP294" s="155"/>
      <c r="AQ294" s="155"/>
      <c r="AR294" s="155"/>
      <c r="AS294" s="155"/>
    </row>
    <row r="296" spans="1:74" x14ac:dyDescent="0.25">
      <c r="A296" s="22"/>
    </row>
    <row r="297" spans="1:74" x14ac:dyDescent="0.25">
      <c r="B297" s="17"/>
      <c r="C297" s="129"/>
      <c r="D297" s="129"/>
      <c r="E297" s="129"/>
      <c r="F297" s="129"/>
      <c r="G297" s="129"/>
      <c r="H297" s="130"/>
      <c r="I297" s="130"/>
      <c r="J297" s="130"/>
    </row>
    <row r="298" spans="1:74" x14ac:dyDescent="0.25">
      <c r="B298" s="16"/>
      <c r="C298" s="131"/>
      <c r="D298" s="131"/>
      <c r="E298" s="131"/>
      <c r="F298" s="131"/>
      <c r="G298" s="131"/>
      <c r="H298" s="130"/>
      <c r="I298" s="130"/>
      <c r="J298" s="130"/>
    </row>
    <row r="299" spans="1:74" x14ac:dyDescent="0.25">
      <c r="B299" s="16"/>
      <c r="C299" s="131"/>
      <c r="D299" s="131"/>
      <c r="E299" s="131"/>
      <c r="F299" s="131"/>
      <c r="G299" s="131"/>
      <c r="H299" s="130"/>
      <c r="I299" s="130"/>
      <c r="J299" s="130"/>
    </row>
    <row r="300" spans="1:74" x14ac:dyDescent="0.25">
      <c r="B300" s="17"/>
      <c r="C300" s="131"/>
      <c r="D300" s="131"/>
      <c r="E300" s="131"/>
      <c r="F300" s="131"/>
      <c r="G300" s="131"/>
      <c r="H300" s="130"/>
      <c r="I300" s="130"/>
      <c r="J300" s="130"/>
    </row>
    <row r="301" spans="1:74" x14ac:dyDescent="0.25">
      <c r="B301" s="17"/>
      <c r="C301" s="126"/>
      <c r="D301" s="126"/>
      <c r="E301" s="126"/>
      <c r="F301" s="126"/>
      <c r="G301" s="126"/>
      <c r="H301" s="21"/>
      <c r="I301" s="21"/>
      <c r="J301" s="21"/>
    </row>
    <row r="302" spans="1:74" x14ac:dyDescent="0.25">
      <c r="B302" s="17"/>
      <c r="C302" s="131"/>
      <c r="D302" s="131"/>
      <c r="E302" s="131"/>
      <c r="F302" s="131"/>
      <c r="G302" s="131"/>
      <c r="H302" s="130"/>
      <c r="I302" s="130"/>
      <c r="J302" s="130"/>
    </row>
    <row r="303" spans="1:74" x14ac:dyDescent="0.25">
      <c r="B303" s="17"/>
      <c r="C303" s="126"/>
      <c r="D303" s="126"/>
      <c r="E303" s="126"/>
      <c r="F303" s="126"/>
      <c r="G303" s="126"/>
      <c r="H303" s="21"/>
      <c r="I303" s="21"/>
      <c r="J303" s="21"/>
    </row>
    <row r="304" spans="1:74" x14ac:dyDescent="0.25">
      <c r="B304" s="17"/>
      <c r="C304" s="126"/>
      <c r="D304" s="126"/>
      <c r="E304" s="126"/>
      <c r="F304" s="126"/>
      <c r="G304" s="126"/>
      <c r="H304" s="21"/>
      <c r="I304" s="21"/>
      <c r="J304" s="21"/>
    </row>
    <row r="305" spans="2:10" x14ac:dyDescent="0.25">
      <c r="B305" s="17"/>
      <c r="C305" s="131"/>
      <c r="D305" s="131"/>
      <c r="E305" s="131"/>
      <c r="F305" s="131"/>
      <c r="G305" s="131"/>
      <c r="H305" s="130"/>
      <c r="I305" s="130"/>
      <c r="J305" s="130"/>
    </row>
    <row r="306" spans="2:10" x14ac:dyDescent="0.25">
      <c r="B306" s="17"/>
      <c r="C306" s="126"/>
      <c r="D306" s="126"/>
      <c r="E306" s="126"/>
      <c r="F306" s="126"/>
      <c r="G306" s="126"/>
      <c r="H306" s="21"/>
      <c r="I306" s="21"/>
      <c r="J306" s="21"/>
    </row>
    <row r="307" spans="2:10" x14ac:dyDescent="0.25">
      <c r="B307" s="17"/>
      <c r="C307" s="126"/>
      <c r="D307" s="126"/>
      <c r="E307" s="126"/>
      <c r="F307" s="126"/>
      <c r="G307" s="126"/>
      <c r="H307" s="21"/>
      <c r="I307" s="21"/>
      <c r="J307" s="21"/>
    </row>
    <row r="308" spans="2:10" x14ac:dyDescent="0.25">
      <c r="B308" s="17"/>
      <c r="C308" s="126"/>
      <c r="D308" s="126"/>
      <c r="E308" s="126"/>
      <c r="F308" s="126"/>
      <c r="G308" s="126"/>
      <c r="H308" s="21"/>
      <c r="I308" s="21"/>
      <c r="J308" s="21"/>
    </row>
    <row r="309" spans="2:10" x14ac:dyDescent="0.25">
      <c r="B309" s="16"/>
      <c r="C309" s="131"/>
      <c r="D309" s="131"/>
      <c r="E309" s="131"/>
      <c r="F309" s="131"/>
      <c r="G309" s="131"/>
      <c r="H309" s="130"/>
      <c r="I309" s="130"/>
      <c r="J309" s="130"/>
    </row>
    <row r="310" spans="2:10" x14ac:dyDescent="0.25">
      <c r="B310" s="16"/>
      <c r="C310" s="131"/>
      <c r="D310" s="131"/>
      <c r="E310" s="131"/>
      <c r="F310" s="131"/>
      <c r="G310" s="131"/>
      <c r="H310" s="130"/>
      <c r="I310" s="130"/>
      <c r="J310" s="130"/>
    </row>
    <row r="311" spans="2:10" x14ac:dyDescent="0.25">
      <c r="B311" s="17"/>
      <c r="C311" s="131"/>
      <c r="D311" s="131"/>
      <c r="E311" s="131"/>
      <c r="F311" s="131"/>
      <c r="G311" s="131"/>
      <c r="H311" s="130"/>
      <c r="I311" s="130"/>
      <c r="J311" s="130"/>
    </row>
    <row r="312" spans="2:10" x14ac:dyDescent="0.25">
      <c r="B312" s="17"/>
      <c r="C312" s="131"/>
      <c r="D312" s="131"/>
      <c r="E312" s="131"/>
      <c r="F312" s="131"/>
      <c r="G312" s="131"/>
      <c r="H312" s="130"/>
      <c r="I312" s="130"/>
      <c r="J312" s="130"/>
    </row>
    <row r="313" spans="2:10" x14ac:dyDescent="0.25">
      <c r="B313" s="17"/>
    </row>
    <row r="314" spans="2:10" x14ac:dyDescent="0.25">
      <c r="B314" s="17"/>
      <c r="C314" s="126"/>
      <c r="D314" s="126"/>
      <c r="E314" s="126"/>
      <c r="F314" s="126"/>
      <c r="G314" s="126"/>
      <c r="H314" s="21"/>
      <c r="I314" s="21"/>
      <c r="J314" s="21"/>
    </row>
    <row r="315" spans="2:10" x14ac:dyDescent="0.25">
      <c r="B315" s="17"/>
      <c r="C315" s="126"/>
      <c r="D315" s="126"/>
      <c r="E315" s="126"/>
      <c r="F315" s="126"/>
      <c r="G315" s="126"/>
      <c r="H315" s="21"/>
      <c r="I315" s="21"/>
      <c r="J315" s="21"/>
    </row>
    <row r="316" spans="2:10" x14ac:dyDescent="0.25">
      <c r="B316" s="17"/>
      <c r="C316" s="126"/>
      <c r="D316" s="126"/>
      <c r="E316" s="126"/>
      <c r="F316" s="126"/>
      <c r="G316" s="126"/>
      <c r="H316" s="21"/>
      <c r="I316" s="21"/>
      <c r="J316" s="21"/>
    </row>
    <row r="317" spans="2:10" x14ac:dyDescent="0.25">
      <c r="B317" s="17"/>
      <c r="C317" s="126"/>
      <c r="D317" s="126"/>
      <c r="E317" s="126"/>
      <c r="F317" s="126"/>
      <c r="G317" s="126"/>
      <c r="H317" s="21"/>
      <c r="I317" s="21"/>
      <c r="J317" s="21"/>
    </row>
    <row r="318" spans="2:10" x14ac:dyDescent="0.25">
      <c r="B318" s="17"/>
      <c r="C318" s="126"/>
      <c r="D318" s="126"/>
      <c r="E318" s="126"/>
      <c r="F318" s="126"/>
      <c r="G318" s="126"/>
      <c r="H318" s="21"/>
      <c r="I318" s="21"/>
      <c r="J318" s="21"/>
    </row>
    <row r="319" spans="2:10" x14ac:dyDescent="0.25">
      <c r="B319" s="17"/>
      <c r="C319" s="126"/>
      <c r="D319" s="126"/>
      <c r="E319" s="126"/>
      <c r="F319" s="126"/>
      <c r="G319" s="126"/>
      <c r="H319" s="21"/>
      <c r="I319" s="21"/>
      <c r="J319" s="21"/>
    </row>
    <row r="320" spans="2:10" x14ac:dyDescent="0.25">
      <c r="B320" s="17"/>
      <c r="C320" s="126"/>
      <c r="D320" s="126"/>
      <c r="E320" s="126"/>
      <c r="F320" s="126"/>
      <c r="G320" s="126"/>
      <c r="H320" s="21"/>
      <c r="I320" s="21"/>
      <c r="J320" s="21"/>
    </row>
    <row r="321" spans="2:10" x14ac:dyDescent="0.25">
      <c r="B321" s="17"/>
      <c r="C321" s="126"/>
      <c r="D321" s="126"/>
      <c r="E321" s="126"/>
      <c r="F321" s="126"/>
      <c r="G321" s="126"/>
      <c r="H321" s="21"/>
      <c r="I321" s="21"/>
      <c r="J321" s="21"/>
    </row>
    <row r="322" spans="2:10" x14ac:dyDescent="0.25">
      <c r="B322" s="17"/>
      <c r="C322" s="126"/>
      <c r="D322" s="126"/>
      <c r="E322" s="126"/>
      <c r="F322" s="126"/>
      <c r="G322" s="126"/>
      <c r="H322" s="21"/>
      <c r="I322" s="21"/>
      <c r="J322" s="21"/>
    </row>
    <row r="323" spans="2:10" x14ac:dyDescent="0.25">
      <c r="B323" s="16"/>
      <c r="C323" s="131"/>
      <c r="D323" s="131"/>
      <c r="E323" s="131"/>
      <c r="F323" s="131"/>
      <c r="G323" s="131"/>
      <c r="H323" s="130"/>
      <c r="I323" s="130"/>
      <c r="J323" s="130"/>
    </row>
    <row r="324" spans="2:10" x14ac:dyDescent="0.25">
      <c r="B324" s="16"/>
      <c r="C324" s="131"/>
      <c r="D324" s="131"/>
      <c r="E324" s="131"/>
      <c r="F324" s="131"/>
      <c r="G324" s="131"/>
      <c r="H324" s="130"/>
      <c r="I324" s="130"/>
      <c r="J324" s="130"/>
    </row>
    <row r="325" spans="2:10" x14ac:dyDescent="0.25">
      <c r="B325" s="17"/>
      <c r="C325" s="126"/>
      <c r="D325" s="126"/>
      <c r="E325" s="126"/>
      <c r="F325" s="126"/>
      <c r="G325" s="126"/>
      <c r="H325" s="21"/>
      <c r="I325" s="21"/>
      <c r="J325" s="21"/>
    </row>
    <row r="326" spans="2:10" x14ac:dyDescent="0.25">
      <c r="B326" s="17"/>
      <c r="C326" s="126"/>
      <c r="D326" s="126"/>
      <c r="E326" s="126"/>
      <c r="F326" s="126"/>
      <c r="G326" s="126"/>
      <c r="H326" s="21"/>
      <c r="I326" s="21"/>
      <c r="J326" s="21"/>
    </row>
    <row r="327" spans="2:10" x14ac:dyDescent="0.25">
      <c r="B327" s="27"/>
      <c r="C327" s="28"/>
      <c r="D327" s="28"/>
      <c r="E327" s="28"/>
      <c r="F327" s="28"/>
      <c r="G327" s="28"/>
      <c r="H327" s="30"/>
      <c r="I327" s="30"/>
      <c r="J327" s="30"/>
    </row>
    <row r="328" spans="2:10" x14ac:dyDescent="0.25">
      <c r="B328" s="17"/>
      <c r="C328" s="126"/>
      <c r="D328" s="126"/>
      <c r="E328" s="126"/>
      <c r="F328" s="126"/>
      <c r="G328" s="126"/>
      <c r="H328" s="21"/>
      <c r="I328" s="21"/>
      <c r="J328" s="21"/>
    </row>
    <row r="329" spans="2:10" x14ac:dyDescent="0.25">
      <c r="B329" s="17"/>
      <c r="C329" s="126"/>
      <c r="D329" s="126"/>
      <c r="E329" s="126"/>
      <c r="F329" s="126"/>
      <c r="G329" s="126"/>
      <c r="H329" s="21"/>
      <c r="I329" s="21"/>
      <c r="J329" s="21"/>
    </row>
    <row r="330" spans="2:10" x14ac:dyDescent="0.25">
      <c r="B330" s="17"/>
      <c r="C330" s="126"/>
      <c r="D330" s="126"/>
      <c r="E330" s="126"/>
      <c r="F330" s="126"/>
      <c r="G330" s="126"/>
      <c r="H330" s="21"/>
      <c r="I330" s="21"/>
      <c r="J330" s="21"/>
    </row>
    <row r="331" spans="2:10" x14ac:dyDescent="0.25">
      <c r="B331" s="17"/>
      <c r="C331" s="126"/>
      <c r="D331" s="126"/>
      <c r="E331" s="126"/>
      <c r="F331" s="126"/>
      <c r="G331" s="126"/>
      <c r="H331" s="21"/>
      <c r="I331" s="21"/>
      <c r="J331" s="21"/>
    </row>
    <row r="332" spans="2:10" x14ac:dyDescent="0.25">
      <c r="B332" s="27"/>
      <c r="C332" s="28"/>
      <c r="D332" s="28"/>
      <c r="E332" s="28"/>
      <c r="F332" s="28"/>
      <c r="G332" s="28"/>
      <c r="H332" s="30"/>
      <c r="I332" s="30"/>
      <c r="J332" s="30"/>
    </row>
    <row r="333" spans="2:10" x14ac:dyDescent="0.25">
      <c r="B333" s="17"/>
      <c r="C333" s="126"/>
      <c r="D333" s="126"/>
      <c r="E333" s="126"/>
      <c r="F333" s="126"/>
      <c r="G333" s="126"/>
      <c r="H333" s="21"/>
      <c r="I333" s="21"/>
      <c r="J333" s="21"/>
    </row>
    <row r="334" spans="2:10" x14ac:dyDescent="0.25">
      <c r="B334" s="17"/>
      <c r="C334" s="126"/>
      <c r="D334" s="126"/>
      <c r="E334" s="126"/>
      <c r="F334" s="126"/>
      <c r="G334" s="126"/>
      <c r="H334" s="21"/>
      <c r="I334" s="21"/>
      <c r="J334" s="21"/>
    </row>
    <row r="335" spans="2:10" x14ac:dyDescent="0.25">
      <c r="B335" s="17"/>
      <c r="C335" s="126"/>
      <c r="D335" s="126"/>
      <c r="E335" s="126"/>
      <c r="F335" s="126"/>
      <c r="G335" s="126"/>
      <c r="H335" s="21"/>
      <c r="I335" s="21"/>
      <c r="J335" s="21"/>
    </row>
    <row r="336" spans="2:10" x14ac:dyDescent="0.25">
      <c r="B336" s="17"/>
      <c r="C336" s="126"/>
      <c r="D336" s="126"/>
      <c r="E336" s="126"/>
      <c r="F336" s="126"/>
      <c r="G336" s="126"/>
      <c r="H336" s="21"/>
      <c r="I336" s="21"/>
      <c r="J336" s="21"/>
    </row>
    <row r="337" spans="2:10" x14ac:dyDescent="0.25">
      <c r="B337" s="17"/>
      <c r="C337" s="126"/>
      <c r="D337" s="126"/>
      <c r="E337" s="126"/>
      <c r="F337" s="126"/>
      <c r="G337" s="126"/>
      <c r="H337" s="21"/>
      <c r="I337" s="21"/>
      <c r="J337" s="21"/>
    </row>
    <row r="338" spans="2:10" x14ac:dyDescent="0.25">
      <c r="B338" s="17"/>
      <c r="C338" s="126"/>
      <c r="D338" s="126"/>
      <c r="E338" s="126"/>
      <c r="F338" s="126"/>
      <c r="G338" s="126"/>
      <c r="H338" s="21"/>
      <c r="I338" s="21"/>
      <c r="J338" s="21"/>
    </row>
    <row r="339" spans="2:10" x14ac:dyDescent="0.25">
      <c r="B339" s="27"/>
      <c r="C339" s="28"/>
      <c r="D339" s="28"/>
      <c r="E339" s="28"/>
      <c r="F339" s="28"/>
      <c r="G339" s="28"/>
      <c r="H339" s="30"/>
      <c r="I339" s="30"/>
      <c r="J339" s="30"/>
    </row>
    <row r="340" spans="2:10" x14ac:dyDescent="0.25">
      <c r="B340" s="16"/>
      <c r="C340" s="131"/>
      <c r="D340" s="131"/>
      <c r="E340" s="131"/>
      <c r="F340" s="131"/>
      <c r="G340" s="131"/>
      <c r="H340" s="130"/>
      <c r="I340" s="130"/>
      <c r="J340" s="130"/>
    </row>
    <row r="341" spans="2:10" x14ac:dyDescent="0.25">
      <c r="B341" s="16"/>
      <c r="C341" s="131"/>
      <c r="D341" s="131"/>
      <c r="E341" s="131"/>
      <c r="F341" s="131"/>
      <c r="G341" s="131"/>
      <c r="H341" s="130"/>
      <c r="I341" s="130"/>
      <c r="J341" s="130"/>
    </row>
    <row r="342" spans="2:10" x14ac:dyDescent="0.25">
      <c r="B342" s="17"/>
      <c r="C342" s="126"/>
      <c r="D342" s="126"/>
      <c r="E342" s="126"/>
      <c r="F342" s="126"/>
      <c r="G342" s="126"/>
      <c r="H342" s="21"/>
      <c r="I342" s="21"/>
      <c r="J342" s="21"/>
    </row>
    <row r="343" spans="2:10" x14ac:dyDescent="0.25">
      <c r="B343" s="17"/>
      <c r="C343" s="126"/>
      <c r="D343" s="126"/>
      <c r="E343" s="126"/>
      <c r="F343" s="126"/>
      <c r="G343" s="126"/>
      <c r="H343" s="21"/>
      <c r="I343" s="21"/>
      <c r="J343" s="21"/>
    </row>
    <row r="344" spans="2:10" x14ac:dyDescent="0.25">
      <c r="B344" s="17"/>
      <c r="C344" s="126"/>
      <c r="D344" s="126"/>
      <c r="E344" s="126"/>
      <c r="F344" s="126"/>
      <c r="G344" s="126"/>
      <c r="H344" s="21"/>
      <c r="I344" s="21"/>
      <c r="J344" s="21"/>
    </row>
    <row r="345" spans="2:10" x14ac:dyDescent="0.25">
      <c r="B345" s="17"/>
      <c r="C345" s="126"/>
      <c r="D345" s="126"/>
      <c r="E345" s="126"/>
      <c r="F345" s="126"/>
      <c r="G345" s="126"/>
      <c r="H345" s="21"/>
      <c r="I345" s="21"/>
      <c r="J345" s="21"/>
    </row>
    <row r="346" spans="2:10" x14ac:dyDescent="0.25">
      <c r="B346" s="17"/>
      <c r="C346" s="126"/>
      <c r="D346" s="126"/>
      <c r="E346" s="126"/>
      <c r="F346" s="126"/>
      <c r="G346" s="126"/>
      <c r="H346" s="21"/>
      <c r="I346" s="21"/>
      <c r="J346" s="21"/>
    </row>
    <row r="347" spans="2:10" x14ac:dyDescent="0.25">
      <c r="B347" s="17"/>
      <c r="C347" s="126"/>
      <c r="D347" s="126"/>
      <c r="E347" s="126"/>
      <c r="F347" s="126"/>
      <c r="G347" s="126"/>
      <c r="H347" s="21"/>
      <c r="I347" s="21"/>
      <c r="J347" s="21"/>
    </row>
    <row r="348" spans="2:10" x14ac:dyDescent="0.25">
      <c r="B348" s="17"/>
      <c r="C348" s="126"/>
      <c r="D348" s="126"/>
      <c r="E348" s="126"/>
      <c r="F348" s="126"/>
      <c r="G348" s="126"/>
      <c r="H348" s="21"/>
      <c r="I348" s="21"/>
      <c r="J348" s="21"/>
    </row>
    <row r="349" spans="2:10" x14ac:dyDescent="0.25">
      <c r="B349" s="17"/>
    </row>
    <row r="350" spans="2:10" x14ac:dyDescent="0.25">
      <c r="B350" s="17"/>
      <c r="C350" s="131"/>
      <c r="D350" s="131"/>
      <c r="E350" s="131"/>
      <c r="F350" s="131"/>
      <c r="G350" s="131"/>
      <c r="H350" s="130"/>
      <c r="I350" s="130"/>
      <c r="J350" s="130"/>
    </row>
    <row r="351" spans="2:10" x14ac:dyDescent="0.25">
      <c r="B351" s="17"/>
      <c r="C351" s="126"/>
      <c r="D351" s="126"/>
      <c r="E351" s="126"/>
      <c r="F351" s="126"/>
      <c r="G351" s="126"/>
      <c r="H351" s="21"/>
      <c r="I351" s="21"/>
      <c r="J351" s="21"/>
    </row>
  </sheetData>
  <sheetProtection formatCells="0" formatColumns="0" formatRows="0" insertColumns="0" insertRows="0" insertHyperlinks="0" deleteColumns="0" deleteRows="0" sort="0" autoFilter="0" pivotTables="0"/>
  <mergeCells count="1520">
    <mergeCell ref="V42:V43"/>
    <mergeCell ref="T40:T41"/>
    <mergeCell ref="U40:U41"/>
    <mergeCell ref="V40:V41"/>
    <mergeCell ref="T38:T39"/>
    <mergeCell ref="U38:U39"/>
    <mergeCell ref="V38:V39"/>
    <mergeCell ref="T36:T37"/>
    <mergeCell ref="U36:U37"/>
    <mergeCell ref="V36:V37"/>
    <mergeCell ref="T64:T65"/>
    <mergeCell ref="U64:U65"/>
    <mergeCell ref="V64:V65"/>
    <mergeCell ref="T62:T63"/>
    <mergeCell ref="U62:U63"/>
    <mergeCell ref="V62:V63"/>
    <mergeCell ref="T60:T61"/>
    <mergeCell ref="U60:U61"/>
    <mergeCell ref="V60:V61"/>
    <mergeCell ref="T58:T59"/>
    <mergeCell ref="U58:U59"/>
    <mergeCell ref="V58:V59"/>
    <mergeCell ref="T56:T57"/>
    <mergeCell ref="U56:U57"/>
    <mergeCell ref="V56:V57"/>
    <mergeCell ref="T54:T55"/>
    <mergeCell ref="T76:T79"/>
    <mergeCell ref="U76:U79"/>
    <mergeCell ref="V76:V79"/>
    <mergeCell ref="T74:T75"/>
    <mergeCell ref="U74:U75"/>
    <mergeCell ref="V74:V75"/>
    <mergeCell ref="T72:T73"/>
    <mergeCell ref="U72:U73"/>
    <mergeCell ref="V72:V73"/>
    <mergeCell ref="T70:T71"/>
    <mergeCell ref="U70:U71"/>
    <mergeCell ref="V70:V71"/>
    <mergeCell ref="T68:T69"/>
    <mergeCell ref="U68:U69"/>
    <mergeCell ref="V68:V69"/>
    <mergeCell ref="T66:T67"/>
    <mergeCell ref="U66:U67"/>
    <mergeCell ref="V66:V67"/>
    <mergeCell ref="S100:S106"/>
    <mergeCell ref="U100:U106"/>
    <mergeCell ref="S92:S95"/>
    <mergeCell ref="O114:O116"/>
    <mergeCell ref="T114:T116"/>
    <mergeCell ref="V114:V116"/>
    <mergeCell ref="U114:U116"/>
    <mergeCell ref="T100:T105"/>
    <mergeCell ref="M117:M120"/>
    <mergeCell ref="N117:N120"/>
    <mergeCell ref="O117:O120"/>
    <mergeCell ref="P117:P120"/>
    <mergeCell ref="Q117:Q120"/>
    <mergeCell ref="R117:R120"/>
    <mergeCell ref="S114:S116"/>
    <mergeCell ref="R121:R122"/>
    <mergeCell ref="T121:T122"/>
    <mergeCell ref="U121:U122"/>
    <mergeCell ref="V50:V51"/>
    <mergeCell ref="T48:T49"/>
    <mergeCell ref="U48:U49"/>
    <mergeCell ref="V48:V49"/>
    <mergeCell ref="T46:T47"/>
    <mergeCell ref="U46:U47"/>
    <mergeCell ref="W72:W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U54:U55"/>
    <mergeCell ref="V54:V55"/>
    <mergeCell ref="V46:V47"/>
    <mergeCell ref="M62:M63"/>
    <mergeCell ref="N62:N63"/>
    <mergeCell ref="O62:O63"/>
    <mergeCell ref="P62:P63"/>
    <mergeCell ref="Q62:Q63"/>
    <mergeCell ref="R62:R63"/>
    <mergeCell ref="S62:S63"/>
    <mergeCell ref="W62:W63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W36:W37"/>
    <mergeCell ref="T52:T53"/>
    <mergeCell ref="U52:U53"/>
    <mergeCell ref="V52:V53"/>
    <mergeCell ref="T50:T51"/>
    <mergeCell ref="U50:U51"/>
    <mergeCell ref="E46:E47"/>
    <mergeCell ref="F46:F47"/>
    <mergeCell ref="G46:G47"/>
    <mergeCell ref="H46:H47"/>
    <mergeCell ref="I46:I47"/>
    <mergeCell ref="J46:J47"/>
    <mergeCell ref="K46:K47"/>
    <mergeCell ref="L46:L47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S68:S69"/>
    <mergeCell ref="W68:W69"/>
    <mergeCell ref="C64:C65"/>
    <mergeCell ref="D64:D65"/>
    <mergeCell ref="E64:E65"/>
    <mergeCell ref="F64:F65"/>
    <mergeCell ref="G64:G65"/>
    <mergeCell ref="H64:H65"/>
    <mergeCell ref="S46:S47"/>
    <mergeCell ref="W46:W47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W52:W53"/>
    <mergeCell ref="B46:B47"/>
    <mergeCell ref="C46:C47"/>
    <mergeCell ref="D46:D47"/>
    <mergeCell ref="N70:N71"/>
    <mergeCell ref="O70:O71"/>
    <mergeCell ref="P70:P71"/>
    <mergeCell ref="Q70:Q71"/>
    <mergeCell ref="R70:R71"/>
    <mergeCell ref="S70:S71"/>
    <mergeCell ref="W70:W71"/>
    <mergeCell ref="S72:S73"/>
    <mergeCell ref="M46:M47"/>
    <mergeCell ref="N46:N47"/>
    <mergeCell ref="O46:O47"/>
    <mergeCell ref="P46:P47"/>
    <mergeCell ref="Q46:Q47"/>
    <mergeCell ref="R46:R47"/>
    <mergeCell ref="W64:W65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P56:P57"/>
    <mergeCell ref="Q56:Q57"/>
    <mergeCell ref="R56:R57"/>
    <mergeCell ref="S56:S57"/>
    <mergeCell ref="W56:W57"/>
    <mergeCell ref="M58:M59"/>
    <mergeCell ref="I64:I65"/>
    <mergeCell ref="J64:J65"/>
    <mergeCell ref="Q74:Q75"/>
    <mergeCell ref="R74:R75"/>
    <mergeCell ref="S74:S75"/>
    <mergeCell ref="W74:W75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J70:J71"/>
    <mergeCell ref="K70:K71"/>
    <mergeCell ref="L70:L71"/>
    <mergeCell ref="M70:M71"/>
    <mergeCell ref="K50:K51"/>
    <mergeCell ref="L50:L51"/>
    <mergeCell ref="M50:M51"/>
    <mergeCell ref="N50:N51"/>
    <mergeCell ref="O50:O51"/>
    <mergeCell ref="B74:B75"/>
    <mergeCell ref="C74:C75"/>
    <mergeCell ref="D74:D75"/>
    <mergeCell ref="E74:E75"/>
    <mergeCell ref="W66:W67"/>
    <mergeCell ref="B70:B71"/>
    <mergeCell ref="C70:C71"/>
    <mergeCell ref="D70:D71"/>
    <mergeCell ref="E70:E71"/>
    <mergeCell ref="F70:F71"/>
    <mergeCell ref="G70:G71"/>
    <mergeCell ref="H70:H71"/>
    <mergeCell ref="I70:I71"/>
    <mergeCell ref="W50:W51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L74:L75"/>
    <mergeCell ref="M74:M75"/>
    <mergeCell ref="N74:N75"/>
    <mergeCell ref="O74:O75"/>
    <mergeCell ref="B64:B65"/>
    <mergeCell ref="K64:K65"/>
    <mergeCell ref="L64:L65"/>
    <mergeCell ref="M64:M65"/>
    <mergeCell ref="N64:N65"/>
    <mergeCell ref="W29:W35"/>
    <mergeCell ref="T29:T35"/>
    <mergeCell ref="U29:U35"/>
    <mergeCell ref="V29:V35"/>
    <mergeCell ref="M29:M35"/>
    <mergeCell ref="N29:N35"/>
    <mergeCell ref="O29:O35"/>
    <mergeCell ref="U98:U99"/>
    <mergeCell ref="V98:V99"/>
    <mergeCell ref="W98:W99"/>
    <mergeCell ref="P50:P51"/>
    <mergeCell ref="Q50:Q51"/>
    <mergeCell ref="R50:R51"/>
    <mergeCell ref="S50:S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R98:R99"/>
    <mergeCell ref="T98:T99"/>
    <mergeCell ref="B271:B282"/>
    <mergeCell ref="C271:C282"/>
    <mergeCell ref="D271:D282"/>
    <mergeCell ref="E271:E282"/>
    <mergeCell ref="L259:L270"/>
    <mergeCell ref="K285:K290"/>
    <mergeCell ref="L285:L290"/>
    <mergeCell ref="M283:M284"/>
    <mergeCell ref="N283:N284"/>
    <mergeCell ref="B283:B284"/>
    <mergeCell ref="A283:A284"/>
    <mergeCell ref="C283:C284"/>
    <mergeCell ref="D283:D284"/>
    <mergeCell ref="E283:E284"/>
    <mergeCell ref="F283:F284"/>
    <mergeCell ref="G283:G284"/>
    <mergeCell ref="H283:H284"/>
    <mergeCell ref="I283:I284"/>
    <mergeCell ref="J283:J284"/>
    <mergeCell ref="K283:K284"/>
    <mergeCell ref="L283:L284"/>
    <mergeCell ref="M285:M290"/>
    <mergeCell ref="N285:N290"/>
    <mergeCell ref="O285:O290"/>
    <mergeCell ref="P285:P290"/>
    <mergeCell ref="Q285:Q290"/>
    <mergeCell ref="R285:R290"/>
    <mergeCell ref="S285:S290"/>
    <mergeCell ref="T285:T290"/>
    <mergeCell ref="S123:S124"/>
    <mergeCell ref="B98:B99"/>
    <mergeCell ref="C98:C99"/>
    <mergeCell ref="A98:A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Q98:Q99"/>
    <mergeCell ref="K96:K97"/>
    <mergeCell ref="F90:F91"/>
    <mergeCell ref="R138:R139"/>
    <mergeCell ref="R140:R141"/>
    <mergeCell ref="S259:S270"/>
    <mergeCell ref="T259:T270"/>
    <mergeCell ref="P138:P139"/>
    <mergeCell ref="Q138:Q139"/>
    <mergeCell ref="N212:N228"/>
    <mergeCell ref="R165:R183"/>
    <mergeCell ref="S165:S183"/>
    <mergeCell ref="T165:T183"/>
    <mergeCell ref="I123:I124"/>
    <mergeCell ref="J123:J124"/>
    <mergeCell ref="K123:K124"/>
    <mergeCell ref="L123:L124"/>
    <mergeCell ref="M123:M124"/>
    <mergeCell ref="N123:N124"/>
    <mergeCell ref="L114:L116"/>
    <mergeCell ref="M114:M116"/>
    <mergeCell ref="N114:N116"/>
    <mergeCell ref="J165:J183"/>
    <mergeCell ref="K165:K183"/>
    <mergeCell ref="L165:L183"/>
    <mergeCell ref="L152:L160"/>
    <mergeCell ref="F244:F258"/>
    <mergeCell ref="R114:R116"/>
    <mergeCell ref="G117:G120"/>
    <mergeCell ref="H117:H120"/>
    <mergeCell ref="M244:M258"/>
    <mergeCell ref="M165:M183"/>
    <mergeCell ref="N165:N183"/>
    <mergeCell ref="K107:K112"/>
    <mergeCell ref="P259:P270"/>
    <mergeCell ref="Q259:Q270"/>
    <mergeCell ref="AX212:AX228"/>
    <mergeCell ref="AY212:AY228"/>
    <mergeCell ref="F144:F151"/>
    <mergeCell ref="H107:H112"/>
    <mergeCell ref="I107:I112"/>
    <mergeCell ref="J107:J112"/>
    <mergeCell ref="AT184:AT211"/>
    <mergeCell ref="AU184:AU211"/>
    <mergeCell ref="AV184:AV211"/>
    <mergeCell ref="AW184:AW211"/>
    <mergeCell ref="AX184:AX211"/>
    <mergeCell ref="R184:R211"/>
    <mergeCell ref="S184:S211"/>
    <mergeCell ref="T184:T211"/>
    <mergeCell ref="U184:U211"/>
    <mergeCell ref="V184:V211"/>
    <mergeCell ref="W184:W211"/>
    <mergeCell ref="L184:L211"/>
    <mergeCell ref="U212:U228"/>
    <mergeCell ref="V212:V228"/>
    <mergeCell ref="W212:W228"/>
    <mergeCell ref="AT212:AT228"/>
    <mergeCell ref="AU212:AU228"/>
    <mergeCell ref="K212:K228"/>
    <mergeCell ref="L212:L228"/>
    <mergeCell ref="M212:M228"/>
    <mergeCell ref="G144:G151"/>
    <mergeCell ref="H144:H151"/>
    <mergeCell ref="L125:L126"/>
    <mergeCell ref="AU229:AU243"/>
    <mergeCell ref="N229:N243"/>
    <mergeCell ref="BC212:BC228"/>
    <mergeCell ref="BD212:BD228"/>
    <mergeCell ref="BC229:BC243"/>
    <mergeCell ref="BD229:BD243"/>
    <mergeCell ref="AW212:AW228"/>
    <mergeCell ref="AZ259:AZ270"/>
    <mergeCell ref="BC259:BC270"/>
    <mergeCell ref="M259:M270"/>
    <mergeCell ref="N259:N270"/>
    <mergeCell ref="O259:O270"/>
    <mergeCell ref="AY259:AY270"/>
    <mergeCell ref="P114:P116"/>
    <mergeCell ref="Q114:Q116"/>
    <mergeCell ref="F114:F116"/>
    <mergeCell ref="G114:G116"/>
    <mergeCell ref="H114:H116"/>
    <mergeCell ref="AZ212:AZ228"/>
    <mergeCell ref="BA212:BA228"/>
    <mergeCell ref="BB212:BB228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I144:I151"/>
    <mergeCell ref="J144:J151"/>
    <mergeCell ref="K144:K151"/>
    <mergeCell ref="A121:A122"/>
    <mergeCell ref="A244:A258"/>
    <mergeCell ref="A212:A228"/>
    <mergeCell ref="D82:D85"/>
    <mergeCell ref="E82:E85"/>
    <mergeCell ref="F82:F85"/>
    <mergeCell ref="E117:E120"/>
    <mergeCell ref="F96:F97"/>
    <mergeCell ref="G96:G97"/>
    <mergeCell ref="H96:H97"/>
    <mergeCell ref="I96:I97"/>
    <mergeCell ref="J96:J97"/>
    <mergeCell ref="B114:B116"/>
    <mergeCell ref="C114:C116"/>
    <mergeCell ref="D114:D116"/>
    <mergeCell ref="C152:C160"/>
    <mergeCell ref="B244:B258"/>
    <mergeCell ref="C244:C258"/>
    <mergeCell ref="D244:D258"/>
    <mergeCell ref="E244:E258"/>
    <mergeCell ref="B212:B228"/>
    <mergeCell ref="C212:C228"/>
    <mergeCell ref="D212:D228"/>
    <mergeCell ref="E114:E116"/>
    <mergeCell ref="B144:B151"/>
    <mergeCell ref="C144:C151"/>
    <mergeCell ref="D144:D151"/>
    <mergeCell ref="E144:E151"/>
    <mergeCell ref="A125:A126"/>
    <mergeCell ref="A229:A243"/>
    <mergeCell ref="B229:B243"/>
    <mergeCell ref="C229:C243"/>
    <mergeCell ref="C325:G325"/>
    <mergeCell ref="C326:G326"/>
    <mergeCell ref="C327:G327"/>
    <mergeCell ref="C328:G328"/>
    <mergeCell ref="C329:G329"/>
    <mergeCell ref="C330:G330"/>
    <mergeCell ref="C318:G318"/>
    <mergeCell ref="C319:G319"/>
    <mergeCell ref="C320:G320"/>
    <mergeCell ref="C321:G321"/>
    <mergeCell ref="A285:A290"/>
    <mergeCell ref="A123:A124"/>
    <mergeCell ref="A127:A130"/>
    <mergeCell ref="A114:A116"/>
    <mergeCell ref="A82:A85"/>
    <mergeCell ref="A80:A81"/>
    <mergeCell ref="A86:A89"/>
    <mergeCell ref="A107:A113"/>
    <mergeCell ref="A100:A106"/>
    <mergeCell ref="A90:A91"/>
    <mergeCell ref="A133:A134"/>
    <mergeCell ref="A138:A139"/>
    <mergeCell ref="A135:A137"/>
    <mergeCell ref="G107:G112"/>
    <mergeCell ref="G271:G282"/>
    <mergeCell ref="F271:F282"/>
    <mergeCell ref="C322:G322"/>
    <mergeCell ref="C307:G307"/>
    <mergeCell ref="C308:G308"/>
    <mergeCell ref="B323:B324"/>
    <mergeCell ref="C323:G324"/>
    <mergeCell ref="C311:G311"/>
    <mergeCell ref="C350:G350"/>
    <mergeCell ref="C351:G351"/>
    <mergeCell ref="C343:G343"/>
    <mergeCell ref="C344:G344"/>
    <mergeCell ref="C345:G345"/>
    <mergeCell ref="C346:G346"/>
    <mergeCell ref="C347:G347"/>
    <mergeCell ref="C348:G348"/>
    <mergeCell ref="C337:G337"/>
    <mergeCell ref="C338:G338"/>
    <mergeCell ref="C339:G339"/>
    <mergeCell ref="B340:B341"/>
    <mergeCell ref="C340:G341"/>
    <mergeCell ref="C342:G342"/>
    <mergeCell ref="C331:G331"/>
    <mergeCell ref="C332:G332"/>
    <mergeCell ref="C333:G333"/>
    <mergeCell ref="C334:G334"/>
    <mergeCell ref="C335:G335"/>
    <mergeCell ref="C336:G336"/>
    <mergeCell ref="C312:G312"/>
    <mergeCell ref="C314:G314"/>
    <mergeCell ref="C315:G315"/>
    <mergeCell ref="C316:G316"/>
    <mergeCell ref="C317:G317"/>
    <mergeCell ref="B309:B310"/>
    <mergeCell ref="C309:G310"/>
    <mergeCell ref="B298:B299"/>
    <mergeCell ref="C298:G299"/>
    <mergeCell ref="C300:G300"/>
    <mergeCell ref="C301:G301"/>
    <mergeCell ref="C302:G302"/>
    <mergeCell ref="C303:G303"/>
    <mergeCell ref="C305:G305"/>
    <mergeCell ref="C306:G306"/>
    <mergeCell ref="C292:G292"/>
    <mergeCell ref="A294:D294"/>
    <mergeCell ref="C304:G304"/>
    <mergeCell ref="O271:O282"/>
    <mergeCell ref="BE271:BE282"/>
    <mergeCell ref="AX271:AX282"/>
    <mergeCell ref="AY271:AY282"/>
    <mergeCell ref="AZ271:AZ282"/>
    <mergeCell ref="BA271:BA282"/>
    <mergeCell ref="BB271:BB282"/>
    <mergeCell ref="BC271:BC282"/>
    <mergeCell ref="V271:V282"/>
    <mergeCell ref="W271:W282"/>
    <mergeCell ref="AT271:AT282"/>
    <mergeCell ref="AU271:AU282"/>
    <mergeCell ref="AV271:AV282"/>
    <mergeCell ref="AW271:AW282"/>
    <mergeCell ref="P271:P282"/>
    <mergeCell ref="Q271:Q282"/>
    <mergeCell ref="R271:R282"/>
    <mergeCell ref="S271:S282"/>
    <mergeCell ref="BD271:BD282"/>
    <mergeCell ref="AZ285:AZ290"/>
    <mergeCell ref="BA285:BA290"/>
    <mergeCell ref="BB285:BB290"/>
    <mergeCell ref="K271:K282"/>
    <mergeCell ref="L271:L282"/>
    <mergeCell ref="M271:M282"/>
    <mergeCell ref="N271:N282"/>
    <mergeCell ref="T271:T282"/>
    <mergeCell ref="U271:U282"/>
    <mergeCell ref="O283:O284"/>
    <mergeCell ref="P283:P284"/>
    <mergeCell ref="Q283:Q284"/>
    <mergeCell ref="Q244:Q258"/>
    <mergeCell ref="R244:R258"/>
    <mergeCell ref="S244:S258"/>
    <mergeCell ref="T244:T258"/>
    <mergeCell ref="U244:U258"/>
    <mergeCell ref="G244:G258"/>
    <mergeCell ref="K244:K258"/>
    <mergeCell ref="L244:L258"/>
    <mergeCell ref="N244:N258"/>
    <mergeCell ref="BA259:BA270"/>
    <mergeCell ref="W259:W270"/>
    <mergeCell ref="B285:B290"/>
    <mergeCell ref="C285:C290"/>
    <mergeCell ref="D285:D290"/>
    <mergeCell ref="E285:E290"/>
    <mergeCell ref="F285:F290"/>
    <mergeCell ref="G285:G290"/>
    <mergeCell ref="H285:H290"/>
    <mergeCell ref="I285:I290"/>
    <mergeCell ref="J285:J290"/>
    <mergeCell ref="U259:U270"/>
    <mergeCell ref="V259:V270"/>
    <mergeCell ref="R259:R270"/>
    <mergeCell ref="O244:O258"/>
    <mergeCell ref="R283:R284"/>
    <mergeCell ref="S283:S284"/>
    <mergeCell ref="T283:T284"/>
    <mergeCell ref="U283:U284"/>
    <mergeCell ref="V283:V284"/>
    <mergeCell ref="U285:U290"/>
    <mergeCell ref="V285:V290"/>
    <mergeCell ref="AX229:AX243"/>
    <mergeCell ref="AY229:AY243"/>
    <mergeCell ref="AZ229:AZ243"/>
    <mergeCell ref="BA229:BA243"/>
    <mergeCell ref="T229:T243"/>
    <mergeCell ref="U229:U243"/>
    <mergeCell ref="V229:V243"/>
    <mergeCell ref="W229:W243"/>
    <mergeCell ref="AT229:AT243"/>
    <mergeCell ref="E212:E228"/>
    <mergeCell ref="H212:H220"/>
    <mergeCell ref="I212:I220"/>
    <mergeCell ref="J212:J220"/>
    <mergeCell ref="A259:A270"/>
    <mergeCell ref="B259:B270"/>
    <mergeCell ref="C259:C270"/>
    <mergeCell ref="D259:D270"/>
    <mergeCell ref="E259:E270"/>
    <mergeCell ref="F259:F270"/>
    <mergeCell ref="G259:G270"/>
    <mergeCell ref="K259:K270"/>
    <mergeCell ref="AX244:AX258"/>
    <mergeCell ref="AY244:AY258"/>
    <mergeCell ref="AZ244:AZ258"/>
    <mergeCell ref="BA244:BA258"/>
    <mergeCell ref="V244:V258"/>
    <mergeCell ref="W244:W258"/>
    <mergeCell ref="AT244:AT258"/>
    <mergeCell ref="AU244:AU258"/>
    <mergeCell ref="AV244:AV258"/>
    <mergeCell ref="AW244:AW258"/>
    <mergeCell ref="P244:P258"/>
    <mergeCell ref="AW165:AW183"/>
    <mergeCell ref="AX165:AX183"/>
    <mergeCell ref="AZ165:AZ183"/>
    <mergeCell ref="BA165:BA183"/>
    <mergeCell ref="BB165:BB183"/>
    <mergeCell ref="BC165:BC183"/>
    <mergeCell ref="U165:U183"/>
    <mergeCell ref="V165:V183"/>
    <mergeCell ref="W165:W183"/>
    <mergeCell ref="AT165:AT183"/>
    <mergeCell ref="AU165:AU183"/>
    <mergeCell ref="AV165:AV183"/>
    <mergeCell ref="O165:O183"/>
    <mergeCell ref="D229:D243"/>
    <mergeCell ref="E229:E243"/>
    <mergeCell ref="F229:F243"/>
    <mergeCell ref="G229:G243"/>
    <mergeCell ref="O229:O243"/>
    <mergeCell ref="P229:P243"/>
    <mergeCell ref="Q229:Q243"/>
    <mergeCell ref="R229:R243"/>
    <mergeCell ref="S229:S243"/>
    <mergeCell ref="H229:H243"/>
    <mergeCell ref="I229:I243"/>
    <mergeCell ref="J229:J243"/>
    <mergeCell ref="K229:K243"/>
    <mergeCell ref="L229:L243"/>
    <mergeCell ref="M229:M243"/>
    <mergeCell ref="BB229:BB243"/>
    <mergeCell ref="R212:R228"/>
    <mergeCell ref="AV229:AV243"/>
    <mergeCell ref="AW229:AW243"/>
    <mergeCell ref="B152:B160"/>
    <mergeCell ref="A152:A160"/>
    <mergeCell ref="M152:M160"/>
    <mergeCell ref="N152:N160"/>
    <mergeCell ref="I184:I202"/>
    <mergeCell ref="J184:J202"/>
    <mergeCell ref="I203:I211"/>
    <mergeCell ref="J203:J211"/>
    <mergeCell ref="P184:P211"/>
    <mergeCell ref="Q184:Q211"/>
    <mergeCell ref="AV212:AV228"/>
    <mergeCell ref="O212:O228"/>
    <mergeCell ref="P212:P228"/>
    <mergeCell ref="Q212:Q228"/>
    <mergeCell ref="G212:G228"/>
    <mergeCell ref="S212:S228"/>
    <mergeCell ref="T212:T228"/>
    <mergeCell ref="A184:A211"/>
    <mergeCell ref="B184:B211"/>
    <mergeCell ref="C184:C211"/>
    <mergeCell ref="D184:D211"/>
    <mergeCell ref="E184:E211"/>
    <mergeCell ref="F184:F211"/>
    <mergeCell ref="G184:G211"/>
    <mergeCell ref="K184:K211"/>
    <mergeCell ref="F212:F228"/>
    <mergeCell ref="I165:I183"/>
    <mergeCell ref="M184:M211"/>
    <mergeCell ref="N184:N211"/>
    <mergeCell ref="O184:O211"/>
    <mergeCell ref="AX144:AX151"/>
    <mergeCell ref="AY144:AY151"/>
    <mergeCell ref="O144:O151"/>
    <mergeCell ref="P144:P151"/>
    <mergeCell ref="Q144:Q151"/>
    <mergeCell ref="R144:R151"/>
    <mergeCell ref="S144:S151"/>
    <mergeCell ref="W144:W151"/>
    <mergeCell ref="S138:S139"/>
    <mergeCell ref="W138:W139"/>
    <mergeCell ref="P165:P183"/>
    <mergeCell ref="Q165:Q183"/>
    <mergeCell ref="BE184:BE211"/>
    <mergeCell ref="BA184:BA211"/>
    <mergeCell ref="AX152:AX159"/>
    <mergeCell ref="AY152:AY159"/>
    <mergeCell ref="A165:A183"/>
    <mergeCell ref="B165:B183"/>
    <mergeCell ref="C165:C183"/>
    <mergeCell ref="D165:D183"/>
    <mergeCell ref="E165:E183"/>
    <mergeCell ref="F165:F183"/>
    <mergeCell ref="G165:G183"/>
    <mergeCell ref="H165:H183"/>
    <mergeCell ref="AT152:AT159"/>
    <mergeCell ref="AU152:AU159"/>
    <mergeCell ref="AV152:AV159"/>
    <mergeCell ref="AW152:AW159"/>
    <mergeCell ref="O152:O160"/>
    <mergeCell ref="P152:P160"/>
    <mergeCell ref="Q152:Q160"/>
    <mergeCell ref="R152:R160"/>
    <mergeCell ref="AA136:AA137"/>
    <mergeCell ref="Z136:Z137"/>
    <mergeCell ref="Y136:Y137"/>
    <mergeCell ref="X136:X137"/>
    <mergeCell ref="AC136:AC137"/>
    <mergeCell ref="AD136:AD137"/>
    <mergeCell ref="S135:S137"/>
    <mergeCell ref="W140:W141"/>
    <mergeCell ref="L138:L139"/>
    <mergeCell ref="L140:L141"/>
    <mergeCell ref="M140:M141"/>
    <mergeCell ref="Q140:Q141"/>
    <mergeCell ref="S140:S141"/>
    <mergeCell ref="AT144:AT151"/>
    <mergeCell ref="AU144:AU151"/>
    <mergeCell ref="AV144:AV151"/>
    <mergeCell ref="AW144:AW151"/>
    <mergeCell ref="L144:L151"/>
    <mergeCell ref="M144:M151"/>
    <mergeCell ref="N144:N151"/>
    <mergeCell ref="W135:W137"/>
    <mergeCell ref="T127:T130"/>
    <mergeCell ref="U127:U130"/>
    <mergeCell ref="J127:J130"/>
    <mergeCell ref="K127:K130"/>
    <mergeCell ref="L127:L130"/>
    <mergeCell ref="M127:M130"/>
    <mergeCell ref="N127:N130"/>
    <mergeCell ref="O127:O130"/>
    <mergeCell ref="AY133:AY134"/>
    <mergeCell ref="B135:B137"/>
    <mergeCell ref="C135:C137"/>
    <mergeCell ref="D135:D137"/>
    <mergeCell ref="E135:E137"/>
    <mergeCell ref="F135:F137"/>
    <mergeCell ref="G135:G137"/>
    <mergeCell ref="H135:H137"/>
    <mergeCell ref="U133:U134"/>
    <mergeCell ref="V133:V134"/>
    <mergeCell ref="W133:W134"/>
    <mergeCell ref="AT133:AT134"/>
    <mergeCell ref="AU133:AU134"/>
    <mergeCell ref="AV133:AV134"/>
    <mergeCell ref="O133:O134"/>
    <mergeCell ref="P133:P134"/>
    <mergeCell ref="Q133:Q134"/>
    <mergeCell ref="R133:R134"/>
    <mergeCell ref="S133:S134"/>
    <mergeCell ref="T133:T134"/>
    <mergeCell ref="I133:I134"/>
    <mergeCell ref="J133:J134"/>
    <mergeCell ref="K133:K134"/>
    <mergeCell ref="AU123:AU124"/>
    <mergeCell ref="AV123:AV124"/>
    <mergeCell ref="AW123:AW124"/>
    <mergeCell ref="AT125:AT126"/>
    <mergeCell ref="AU125:AU126"/>
    <mergeCell ref="AV125:AV126"/>
    <mergeCell ref="AW125:AW126"/>
    <mergeCell ref="M125:M126"/>
    <mergeCell ref="N125:N126"/>
    <mergeCell ref="O125:O126"/>
    <mergeCell ref="P125:P126"/>
    <mergeCell ref="Q125:Q126"/>
    <mergeCell ref="R125:R126"/>
    <mergeCell ref="R123:R124"/>
    <mergeCell ref="B127:B130"/>
    <mergeCell ref="C127:C130"/>
    <mergeCell ref="D127:D130"/>
    <mergeCell ref="E127:E130"/>
    <mergeCell ref="F127:F130"/>
    <mergeCell ref="G127:G130"/>
    <mergeCell ref="H127:H130"/>
    <mergeCell ref="I127:I130"/>
    <mergeCell ref="V127:V130"/>
    <mergeCell ref="W127:W130"/>
    <mergeCell ref="Q127:Q130"/>
    <mergeCell ref="R127:R130"/>
    <mergeCell ref="S127:S130"/>
    <mergeCell ref="P127:P130"/>
    <mergeCell ref="T123:T124"/>
    <mergeCell ref="U123:U124"/>
    <mergeCell ref="V123:V124"/>
    <mergeCell ref="A117:A120"/>
    <mergeCell ref="B117:B120"/>
    <mergeCell ref="C117:C120"/>
    <mergeCell ref="D117:D120"/>
    <mergeCell ref="B123:B124"/>
    <mergeCell ref="C123:C124"/>
    <mergeCell ref="D123:D124"/>
    <mergeCell ref="E123:E124"/>
    <mergeCell ref="F123:F124"/>
    <mergeCell ref="G123:G124"/>
    <mergeCell ref="H123:H124"/>
    <mergeCell ref="AX123:AX124"/>
    <mergeCell ref="B125:B126"/>
    <mergeCell ref="C125:C126"/>
    <mergeCell ref="D125:D126"/>
    <mergeCell ref="E125:E126"/>
    <mergeCell ref="F125:F126"/>
    <mergeCell ref="O123:O124"/>
    <mergeCell ref="P123:P124"/>
    <mergeCell ref="Q123:Q124"/>
    <mergeCell ref="AJ117:AJ120"/>
    <mergeCell ref="AK117:AK120"/>
    <mergeCell ref="S117:S120"/>
    <mergeCell ref="T117:T120"/>
    <mergeCell ref="U117:U120"/>
    <mergeCell ref="V117:V120"/>
    <mergeCell ref="W117:W120"/>
    <mergeCell ref="AI117:AI120"/>
    <mergeCell ref="G125:G126"/>
    <mergeCell ref="H125:H126"/>
    <mergeCell ref="I125:I126"/>
    <mergeCell ref="J125:J126"/>
    <mergeCell ref="W114:W116"/>
    <mergeCell ref="B107:B112"/>
    <mergeCell ref="C107:C112"/>
    <mergeCell ref="D107:D112"/>
    <mergeCell ref="E107:E112"/>
    <mergeCell ref="M100:M105"/>
    <mergeCell ref="N100:N105"/>
    <mergeCell ref="O100:O105"/>
    <mergeCell ref="P100:P105"/>
    <mergeCell ref="Q100:Q105"/>
    <mergeCell ref="R100:R105"/>
    <mergeCell ref="G100:G105"/>
    <mergeCell ref="H100:H105"/>
    <mergeCell ref="I100:I105"/>
    <mergeCell ref="J100:J105"/>
    <mergeCell ref="K100:K105"/>
    <mergeCell ref="L100:L105"/>
    <mergeCell ref="B100:B105"/>
    <mergeCell ref="C100:C105"/>
    <mergeCell ref="D100:D105"/>
    <mergeCell ref="E100:E105"/>
    <mergeCell ref="F107:F113"/>
    <mergeCell ref="R107:R112"/>
    <mergeCell ref="V107:V113"/>
    <mergeCell ref="W107:W113"/>
    <mergeCell ref="T107:T113"/>
    <mergeCell ref="M107:M112"/>
    <mergeCell ref="N107:N112"/>
    <mergeCell ref="O107:O112"/>
    <mergeCell ref="P107:P112"/>
    <mergeCell ref="Q107:Q112"/>
    <mergeCell ref="V100:V106"/>
    <mergeCell ref="AT96:AT97"/>
    <mergeCell ref="AU96:AU97"/>
    <mergeCell ref="AV96:AV97"/>
    <mergeCell ref="AW96:AW97"/>
    <mergeCell ref="AX96:AX97"/>
    <mergeCell ref="AY96:AY97"/>
    <mergeCell ref="R96:R97"/>
    <mergeCell ref="S96:S97"/>
    <mergeCell ref="T96:T97"/>
    <mergeCell ref="U96:U97"/>
    <mergeCell ref="V96:V97"/>
    <mergeCell ref="W96:W97"/>
    <mergeCell ref="L96:L97"/>
    <mergeCell ref="M96:M97"/>
    <mergeCell ref="N96:N97"/>
    <mergeCell ref="O96:O97"/>
    <mergeCell ref="P96:P97"/>
    <mergeCell ref="Q96:Q97"/>
    <mergeCell ref="W100:W106"/>
    <mergeCell ref="U107:U113"/>
    <mergeCell ref="S107:S112"/>
    <mergeCell ref="AU90:AU91"/>
    <mergeCell ref="AV90:AV91"/>
    <mergeCell ref="AW90:AW91"/>
    <mergeCell ref="AX90:AX91"/>
    <mergeCell ref="AY90:AY91"/>
    <mergeCell ref="A96:A97"/>
    <mergeCell ref="B96:B97"/>
    <mergeCell ref="C96:C97"/>
    <mergeCell ref="D96:D97"/>
    <mergeCell ref="E96:E97"/>
    <mergeCell ref="S90:S91"/>
    <mergeCell ref="T90:T91"/>
    <mergeCell ref="U90:U91"/>
    <mergeCell ref="V90:V91"/>
    <mergeCell ref="W90:W91"/>
    <mergeCell ref="AT90:AT91"/>
    <mergeCell ref="M90:M91"/>
    <mergeCell ref="N90:N91"/>
    <mergeCell ref="O90:O91"/>
    <mergeCell ref="P90:P91"/>
    <mergeCell ref="Q90:Q91"/>
    <mergeCell ref="R90:R91"/>
    <mergeCell ref="G90:G91"/>
    <mergeCell ref="H90:H91"/>
    <mergeCell ref="I90:I91"/>
    <mergeCell ref="J90:J91"/>
    <mergeCell ref="B90:B91"/>
    <mergeCell ref="C90:C91"/>
    <mergeCell ref="D90:D91"/>
    <mergeCell ref="B82:B85"/>
    <mergeCell ref="C82:C85"/>
    <mergeCell ref="T86:T89"/>
    <mergeCell ref="U86:U89"/>
    <mergeCell ref="V86:V89"/>
    <mergeCell ref="W86:W89"/>
    <mergeCell ref="N86:N89"/>
    <mergeCell ref="O86:O89"/>
    <mergeCell ref="P86:P89"/>
    <mergeCell ref="Q86:Q89"/>
    <mergeCell ref="R86:R89"/>
    <mergeCell ref="S86:S89"/>
    <mergeCell ref="H86:H89"/>
    <mergeCell ref="I86:I89"/>
    <mergeCell ref="J86:J89"/>
    <mergeCell ref="K86:K89"/>
    <mergeCell ref="L86:L89"/>
    <mergeCell ref="M86:M89"/>
    <mergeCell ref="B86:B89"/>
    <mergeCell ref="C86:C89"/>
    <mergeCell ref="D86:D89"/>
    <mergeCell ref="E86:E89"/>
    <mergeCell ref="F86:F89"/>
    <mergeCell ref="AY80:AY81"/>
    <mergeCell ref="P80:P81"/>
    <mergeCell ref="Q80:Q81"/>
    <mergeCell ref="R80:R81"/>
    <mergeCell ref="S80:S81"/>
    <mergeCell ref="W80:W81"/>
    <mergeCell ref="AT80:AT81"/>
    <mergeCell ref="J80:J81"/>
    <mergeCell ref="K80:K81"/>
    <mergeCell ref="L80:L81"/>
    <mergeCell ref="M80:M81"/>
    <mergeCell ref="N80:N81"/>
    <mergeCell ref="O80:O81"/>
    <mergeCell ref="V82:V85"/>
    <mergeCell ref="W82:W85"/>
    <mergeCell ref="U82:U85"/>
    <mergeCell ref="M82:M85"/>
    <mergeCell ref="N82:N85"/>
    <mergeCell ref="O82:O85"/>
    <mergeCell ref="P82:P85"/>
    <mergeCell ref="Q82:Q85"/>
    <mergeCell ref="R82:R85"/>
    <mergeCell ref="S82:S85"/>
    <mergeCell ref="T82:T85"/>
    <mergeCell ref="T80:T81"/>
    <mergeCell ref="U80:U81"/>
    <mergeCell ref="V80:V81"/>
    <mergeCell ref="J82:J85"/>
    <mergeCell ref="K82:K85"/>
    <mergeCell ref="L82:L85"/>
    <mergeCell ref="A29:A35"/>
    <mergeCell ref="D29:D35"/>
    <mergeCell ref="E29:E35"/>
    <mergeCell ref="S29:S30"/>
    <mergeCell ref="B29:B35"/>
    <mergeCell ref="C29:C35"/>
    <mergeCell ref="B80:B81"/>
    <mergeCell ref="C80:C81"/>
    <mergeCell ref="D80:D81"/>
    <mergeCell ref="E80:E81"/>
    <mergeCell ref="F80:F81"/>
    <mergeCell ref="G80:G81"/>
    <mergeCell ref="H80:H81"/>
    <mergeCell ref="I80:I81"/>
    <mergeCell ref="Q29:Q35"/>
    <mergeCell ref="R29:R35"/>
    <mergeCell ref="S31:S35"/>
    <mergeCell ref="R66:R67"/>
    <mergeCell ref="S66:S67"/>
    <mergeCell ref="O64:O65"/>
    <mergeCell ref="P64:P65"/>
    <mergeCell ref="Q64:Q65"/>
    <mergeCell ref="R64:R65"/>
    <mergeCell ref="S64:S65"/>
    <mergeCell ref="P74:P75"/>
    <mergeCell ref="P29:P35"/>
    <mergeCell ref="F74:F75"/>
    <mergeCell ref="G74:G75"/>
    <mergeCell ref="H74:H75"/>
    <mergeCell ref="I74:I75"/>
    <mergeCell ref="J74:J75"/>
    <mergeCell ref="K74:K75"/>
    <mergeCell ref="T25:T28"/>
    <mergeCell ref="U25:U28"/>
    <mergeCell ref="V25:V28"/>
    <mergeCell ref="W25:W28"/>
    <mergeCell ref="L25:L28"/>
    <mergeCell ref="M25:M28"/>
    <mergeCell ref="N25:N28"/>
    <mergeCell ref="O25:O28"/>
    <mergeCell ref="P25:P28"/>
    <mergeCell ref="Q25:Q28"/>
    <mergeCell ref="F25:F28"/>
    <mergeCell ref="G25:G28"/>
    <mergeCell ref="H25:H28"/>
    <mergeCell ref="I25:I28"/>
    <mergeCell ref="J25:J28"/>
    <mergeCell ref="K25:K28"/>
    <mergeCell ref="F29:F35"/>
    <mergeCell ref="G29:G35"/>
    <mergeCell ref="H29:H35"/>
    <mergeCell ref="I29:I35"/>
    <mergeCell ref="J29:J35"/>
    <mergeCell ref="K29:K35"/>
    <mergeCell ref="L29:L35"/>
    <mergeCell ref="U18:U19"/>
    <mergeCell ref="V18:V19"/>
    <mergeCell ref="S21:S24"/>
    <mergeCell ref="T21:T24"/>
    <mergeCell ref="U21:U24"/>
    <mergeCell ref="V21:V24"/>
    <mergeCell ref="W21:W24"/>
    <mergeCell ref="A25:A28"/>
    <mergeCell ref="B25:B28"/>
    <mergeCell ref="C25:C28"/>
    <mergeCell ref="D25:D28"/>
    <mergeCell ref="E25:E28"/>
    <mergeCell ref="M21:M24"/>
    <mergeCell ref="N21:N24"/>
    <mergeCell ref="O21:O24"/>
    <mergeCell ref="P21:P24"/>
    <mergeCell ref="Q21:Q24"/>
    <mergeCell ref="R21:R24"/>
    <mergeCell ref="G21:G24"/>
    <mergeCell ref="H21:H24"/>
    <mergeCell ref="I21:I24"/>
    <mergeCell ref="J21:J24"/>
    <mergeCell ref="K21:K24"/>
    <mergeCell ref="L21:L24"/>
    <mergeCell ref="R25:R28"/>
    <mergeCell ref="A21:A24"/>
    <mergeCell ref="B21:B24"/>
    <mergeCell ref="C21:C24"/>
    <mergeCell ref="D21:D24"/>
    <mergeCell ref="E21:E24"/>
    <mergeCell ref="F21:F24"/>
    <mergeCell ref="S25:S28"/>
    <mergeCell ref="K18:K19"/>
    <mergeCell ref="L18:L19"/>
    <mergeCell ref="M18:M19"/>
    <mergeCell ref="N18:N19"/>
    <mergeCell ref="O18:O19"/>
    <mergeCell ref="P18:P19"/>
    <mergeCell ref="BC17:BC19"/>
    <mergeCell ref="BD17:BD19"/>
    <mergeCell ref="BE17:BE19"/>
    <mergeCell ref="BF17:BF19"/>
    <mergeCell ref="BG17:BG19"/>
    <mergeCell ref="BH17:BJ17"/>
    <mergeCell ref="AW17:AW19"/>
    <mergeCell ref="AX17:AX19"/>
    <mergeCell ref="AY17:AY19"/>
    <mergeCell ref="AZ17:AZ19"/>
    <mergeCell ref="BA17:BA19"/>
    <mergeCell ref="BB17:BB19"/>
    <mergeCell ref="AC18:AD18"/>
    <mergeCell ref="AE18:AH18"/>
    <mergeCell ref="AI18:AK18"/>
    <mergeCell ref="AM18:AS18"/>
    <mergeCell ref="W18:W19"/>
    <mergeCell ref="X18:X19"/>
    <mergeCell ref="Y18:Y19"/>
    <mergeCell ref="Z18:Z19"/>
    <mergeCell ref="AA18:AA19"/>
    <mergeCell ref="AB18:AB19"/>
    <mergeCell ref="Q18:Q19"/>
    <mergeCell ref="R18:R19"/>
    <mergeCell ref="S18:S19"/>
    <mergeCell ref="T18:T19"/>
    <mergeCell ref="AZ16:BE16"/>
    <mergeCell ref="BF16:BQ16"/>
    <mergeCell ref="H17:H19"/>
    <mergeCell ref="I17:J17"/>
    <mergeCell ref="K17:W17"/>
    <mergeCell ref="X17:AH17"/>
    <mergeCell ref="AI17:AK17"/>
    <mergeCell ref="AL17:AS17"/>
    <mergeCell ref="AT17:AT19"/>
    <mergeCell ref="AU17:AV18"/>
    <mergeCell ref="A16:A20"/>
    <mergeCell ref="B16:G17"/>
    <mergeCell ref="H16:J16"/>
    <mergeCell ref="K16:AS16"/>
    <mergeCell ref="AT16:AY16"/>
    <mergeCell ref="BK17:BL17"/>
    <mergeCell ref="BM17:BM19"/>
    <mergeCell ref="BN17:BN19"/>
    <mergeCell ref="BO17:BQ17"/>
    <mergeCell ref="A140:A141"/>
    <mergeCell ref="C140:C141"/>
    <mergeCell ref="D140:D141"/>
    <mergeCell ref="E140:E141"/>
    <mergeCell ref="F140:F141"/>
    <mergeCell ref="G140:G141"/>
    <mergeCell ref="H140:H141"/>
    <mergeCell ref="A144:A151"/>
    <mergeCell ref="A271:A282"/>
    <mergeCell ref="N76:N79"/>
    <mergeCell ref="O76:O79"/>
    <mergeCell ref="P76:P79"/>
    <mergeCell ref="S76:S79"/>
    <mergeCell ref="Q76:Q79"/>
    <mergeCell ref="R76:R79"/>
    <mergeCell ref="P140:P141"/>
    <mergeCell ref="Q131:Q132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I135:I137"/>
    <mergeCell ref="J135:J137"/>
    <mergeCell ref="K135:K137"/>
    <mergeCell ref="L135:L137"/>
    <mergeCell ref="M135:M137"/>
    <mergeCell ref="N135:N137"/>
    <mergeCell ref="O135:O137"/>
    <mergeCell ref="B133:B134"/>
    <mergeCell ref="C133:C134"/>
    <mergeCell ref="D133:D134"/>
    <mergeCell ref="E133:E134"/>
    <mergeCell ref="W76:W79"/>
    <mergeCell ref="S125:S126"/>
    <mergeCell ref="W285:W290"/>
    <mergeCell ref="R131:R132"/>
    <mergeCell ref="T131:T132"/>
    <mergeCell ref="U131:U132"/>
    <mergeCell ref="V131:V132"/>
    <mergeCell ref="W131:W132"/>
    <mergeCell ref="B131:B132"/>
    <mergeCell ref="C131:C132"/>
    <mergeCell ref="D131:D132"/>
    <mergeCell ref="E131:E132"/>
    <mergeCell ref="F131:F132"/>
    <mergeCell ref="K140:K141"/>
    <mergeCell ref="J140:J141"/>
    <mergeCell ref="M138:M139"/>
    <mergeCell ref="N138:N139"/>
    <mergeCell ref="O138:O139"/>
    <mergeCell ref="B138:B139"/>
    <mergeCell ref="L133:L134"/>
    <mergeCell ref="M133:M134"/>
    <mergeCell ref="N133:N134"/>
    <mergeCell ref="B140:B141"/>
    <mergeCell ref="I140:I141"/>
    <mergeCell ref="G86:G89"/>
    <mergeCell ref="E90:E91"/>
    <mergeCell ref="K90:K91"/>
    <mergeCell ref="L90:L91"/>
    <mergeCell ref="K76:K79"/>
    <mergeCell ref="L76:L79"/>
    <mergeCell ref="M76:M79"/>
    <mergeCell ref="D152:D160"/>
    <mergeCell ref="E152:E160"/>
    <mergeCell ref="F152:F160"/>
    <mergeCell ref="G152:G160"/>
    <mergeCell ref="H152:H160"/>
    <mergeCell ref="I152:I160"/>
    <mergeCell ref="J152:J160"/>
    <mergeCell ref="K152:K160"/>
    <mergeCell ref="G131:G132"/>
    <mergeCell ref="H131:H132"/>
    <mergeCell ref="I131:I132"/>
    <mergeCell ref="J131:J132"/>
    <mergeCell ref="K131:K132"/>
    <mergeCell ref="L131:L132"/>
    <mergeCell ref="M131:M132"/>
    <mergeCell ref="I82:I85"/>
    <mergeCell ref="G82:G85"/>
    <mergeCell ref="H82:H85"/>
    <mergeCell ref="I117:I120"/>
    <mergeCell ref="J117:J120"/>
    <mergeCell ref="K117:K120"/>
    <mergeCell ref="L117:L120"/>
    <mergeCell ref="K125:K126"/>
    <mergeCell ref="I114:I116"/>
    <mergeCell ref="J114:J116"/>
    <mergeCell ref="K114:K116"/>
    <mergeCell ref="F117:F120"/>
    <mergeCell ref="L107:L112"/>
    <mergeCell ref="F100:F106"/>
    <mergeCell ref="BC285:BC290"/>
    <mergeCell ref="BD285:BD290"/>
    <mergeCell ref="BE285:BE290"/>
    <mergeCell ref="AT135:AT137"/>
    <mergeCell ref="AU135:AU137"/>
    <mergeCell ref="AV135:AV137"/>
    <mergeCell ref="AW135:AW137"/>
    <mergeCell ref="AX135:AX137"/>
    <mergeCell ref="AU80:AU81"/>
    <mergeCell ref="AV80:AV81"/>
    <mergeCell ref="AW80:AW81"/>
    <mergeCell ref="AX80:AX81"/>
    <mergeCell ref="A131:A132"/>
    <mergeCell ref="S152:S160"/>
    <mergeCell ref="T152:T160"/>
    <mergeCell ref="V154:V160"/>
    <mergeCell ref="W152:W160"/>
    <mergeCell ref="N131:N132"/>
    <mergeCell ref="O131:O132"/>
    <mergeCell ref="P131:P132"/>
    <mergeCell ref="P135:P137"/>
    <mergeCell ref="Q135:Q137"/>
    <mergeCell ref="R135:R137"/>
    <mergeCell ref="N140:N141"/>
    <mergeCell ref="O140:O141"/>
    <mergeCell ref="F133:F134"/>
    <mergeCell ref="G133:G134"/>
    <mergeCell ref="H133:H134"/>
    <mergeCell ref="C138:C139"/>
    <mergeCell ref="V121:V122"/>
    <mergeCell ref="W121:W122"/>
    <mergeCell ref="AZ283:AZ284"/>
    <mergeCell ref="BA283:BA284"/>
    <mergeCell ref="BB283:BB284"/>
    <mergeCell ref="BC283:BC284"/>
    <mergeCell ref="BD283:BD284"/>
    <mergeCell ref="BE283:BE284"/>
    <mergeCell ref="AZ144:AZ151"/>
    <mergeCell ref="BA144:BA151"/>
    <mergeCell ref="BB144:BB151"/>
    <mergeCell ref="BC144:BC151"/>
    <mergeCell ref="BD144:BD151"/>
    <mergeCell ref="BE144:BE151"/>
    <mergeCell ref="BE212:BE228"/>
    <mergeCell ref="BE229:BE243"/>
    <mergeCell ref="BB259:BB270"/>
    <mergeCell ref="BD259:BD270"/>
    <mergeCell ref="BB184:BB211"/>
    <mergeCell ref="BC184:BC211"/>
    <mergeCell ref="BD184:BD211"/>
    <mergeCell ref="BD165:BD183"/>
    <mergeCell ref="BE165:BE183"/>
    <mergeCell ref="BB244:BB258"/>
    <mergeCell ref="BC244:BC258"/>
    <mergeCell ref="BE259:BE270"/>
    <mergeCell ref="BD244:BD258"/>
    <mergeCell ref="BE244:BE258"/>
    <mergeCell ref="AZ184:AZ211"/>
    <mergeCell ref="AY123:AY124"/>
    <mergeCell ref="W123:W124"/>
    <mergeCell ref="AT123:AT124"/>
    <mergeCell ref="AW133:AW134"/>
    <mergeCell ref="AX133:AX134"/>
    <mergeCell ref="AM283:AM284"/>
    <mergeCell ref="AL283:AL284"/>
    <mergeCell ref="AY125:AY126"/>
    <mergeCell ref="W125:W126"/>
    <mergeCell ref="AX125:AX126"/>
    <mergeCell ref="B92:B95"/>
    <mergeCell ref="C92:C95"/>
    <mergeCell ref="D92:D95"/>
    <mergeCell ref="E92:E95"/>
    <mergeCell ref="F92:F95"/>
    <mergeCell ref="G92:G95"/>
    <mergeCell ref="H92:H95"/>
    <mergeCell ref="I92:I95"/>
    <mergeCell ref="J92:J95"/>
    <mergeCell ref="K92:K95"/>
    <mergeCell ref="L92:L95"/>
    <mergeCell ref="M92:M95"/>
    <mergeCell ref="N92:N95"/>
    <mergeCell ref="O92:O95"/>
    <mergeCell ref="P92:P95"/>
    <mergeCell ref="Q92:Q95"/>
    <mergeCell ref="R92:R95"/>
    <mergeCell ref="W92:W95"/>
    <mergeCell ref="T92:T95"/>
    <mergeCell ref="U92:U95"/>
    <mergeCell ref="V92:V95"/>
    <mergeCell ref="S98:S99"/>
    <mergeCell ref="P54:P55"/>
    <mergeCell ref="Q54:Q55"/>
    <mergeCell ref="R54:R55"/>
    <mergeCell ref="S54:S55"/>
    <mergeCell ref="W54:W55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N58:N59"/>
    <mergeCell ref="O58:O59"/>
    <mergeCell ref="P58:P59"/>
    <mergeCell ref="Q58:Q59"/>
    <mergeCell ref="R58:R59"/>
    <mergeCell ref="S58:S59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O56:O57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L40:L41"/>
    <mergeCell ref="M40:M41"/>
    <mergeCell ref="N40:N41"/>
    <mergeCell ref="O40:O41"/>
    <mergeCell ref="P40:P41"/>
    <mergeCell ref="Q40:Q41"/>
    <mergeCell ref="R40:R41"/>
    <mergeCell ref="S40:S41"/>
    <mergeCell ref="S60:S61"/>
    <mergeCell ref="W60:W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W58:W59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S38:S39"/>
    <mergeCell ref="W38:W3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W48:W4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W40:W41"/>
    <mergeCell ref="M42:M43"/>
    <mergeCell ref="N42:N43"/>
    <mergeCell ref="O42:O43"/>
    <mergeCell ref="P42:P43"/>
    <mergeCell ref="Q42:Q43"/>
    <mergeCell ref="R42:R43"/>
    <mergeCell ref="S42:S43"/>
    <mergeCell ref="W42:W43"/>
    <mergeCell ref="S44:S45"/>
    <mergeCell ref="W44:W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T44:T45"/>
    <mergeCell ref="U44:U45"/>
    <mergeCell ref="V44:V45"/>
    <mergeCell ref="T42:T43"/>
    <mergeCell ref="U42:U43"/>
    <mergeCell ref="A293:F29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38:B39"/>
    <mergeCell ref="C38:C39"/>
    <mergeCell ref="D38:D39"/>
    <mergeCell ref="E38:E39"/>
    <mergeCell ref="F38:F39"/>
    <mergeCell ref="B54:B55"/>
    <mergeCell ref="C54:C55"/>
    <mergeCell ref="D54:D55"/>
    <mergeCell ref="E54:E55"/>
    <mergeCell ref="F54:F55"/>
    <mergeCell ref="B121:B122"/>
    <mergeCell ref="C121:C122"/>
    <mergeCell ref="D121:D122"/>
    <mergeCell ref="E121:E122"/>
    <mergeCell ref="F121:F122"/>
    <mergeCell ref="A76:A79"/>
    <mergeCell ref="H221:H228"/>
    <mergeCell ref="I221:I228"/>
    <mergeCell ref="J221:J228"/>
    <mergeCell ref="H184:H211"/>
    <mergeCell ref="H244:H258"/>
    <mergeCell ref="I244:I258"/>
    <mergeCell ref="J244:J258"/>
    <mergeCell ref="H259:H270"/>
    <mergeCell ref="I259:I270"/>
    <mergeCell ref="J259:J270"/>
    <mergeCell ref="H271:H282"/>
    <mergeCell ref="I271:I282"/>
    <mergeCell ref="J271:J282"/>
    <mergeCell ref="A291:N291"/>
    <mergeCell ref="A66:A67"/>
    <mergeCell ref="A68:A69"/>
    <mergeCell ref="A70:A71"/>
    <mergeCell ref="A72:A73"/>
    <mergeCell ref="A74:A75"/>
    <mergeCell ref="A92:A95"/>
    <mergeCell ref="G121:G122"/>
    <mergeCell ref="H121:H122"/>
    <mergeCell ref="I121:I122"/>
    <mergeCell ref="B76:B79"/>
    <mergeCell ref="C76:C79"/>
    <mergeCell ref="D76:D79"/>
    <mergeCell ref="E76:E79"/>
    <mergeCell ref="F76:F79"/>
    <mergeCell ref="G76:G79"/>
    <mergeCell ref="H76:H79"/>
    <mergeCell ref="I76:I79"/>
    <mergeCell ref="J76:J79"/>
  </mergeCells>
  <pageMargins left="0.47244094488188981" right="0.19685039370078741" top="0.43307086614173229" bottom="0.31496062992125984" header="0.31496062992125984" footer="0.31496062992125984"/>
  <pageSetup scale="10" orientation="landscape" r:id="rId1"/>
  <rowBreaks count="3" manualBreakCount="3">
    <brk id="116" min="1" max="77" man="1"/>
    <brk id="143" min="1" max="77" man="1"/>
    <brk id="164" min="1" max="77" man="1"/>
  </rowBreaks>
  <colBreaks count="3" manualBreakCount="3">
    <brk id="29" max="556" man="1"/>
    <brk id="38" max="556" man="1"/>
    <brk id="45" max="556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SEME – LICITAÇÕES – ABR 2024</vt:lpstr>
      <vt:lpstr>'SEME – LICITAÇÕES – ABR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2023-09-27T13:18:39Z</cp:lastPrinted>
  <dcterms:created xsi:type="dcterms:W3CDTF">2013-10-11T22:10:57Z</dcterms:created>
  <dcterms:modified xsi:type="dcterms:W3CDTF">2024-08-08T15:56:15Z</dcterms:modified>
</cp:coreProperties>
</file>