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 tabRatio="599"/>
  </bookViews>
  <sheets>
    <sheet name="SEME MAIO 2016" sheetId="21" r:id="rId1"/>
  </sheets>
  <definedNames>
    <definedName name="_xlnm._FilterDatabase" localSheetId="0" hidden="1">'SEME MAIO 2016'!$A$14:$BD$516</definedName>
    <definedName name="_xlnm.Print_Area" localSheetId="0">'SEME MAIO 2016'!$A$1:$BD$538</definedName>
  </definedNames>
  <calcPr calcId="145621"/>
</workbook>
</file>

<file path=xl/calcChain.xml><?xml version="1.0" encoding="utf-8"?>
<calcChain xmlns="http://schemas.openxmlformats.org/spreadsheetml/2006/main">
  <c r="AH514" i="21" l="1"/>
  <c r="AH513" i="21"/>
  <c r="AH512" i="21"/>
  <c r="AH510" i="21"/>
  <c r="AH508" i="21"/>
  <c r="AH507" i="21"/>
  <c r="AH504" i="21"/>
  <c r="AH503" i="21"/>
  <c r="AH502" i="21"/>
  <c r="AH501" i="21"/>
  <c r="AH497" i="21"/>
  <c r="AH496" i="21"/>
  <c r="AH495" i="21"/>
  <c r="AH494" i="21"/>
  <c r="AH493" i="21"/>
  <c r="AH491" i="21"/>
  <c r="AH489" i="21"/>
  <c r="AH487" i="21"/>
  <c r="AH486" i="21"/>
  <c r="AH485" i="21"/>
  <c r="AH484" i="21"/>
  <c r="AH483" i="21"/>
  <c r="AH482" i="21"/>
  <c r="AH481" i="21"/>
  <c r="AH479" i="21"/>
  <c r="AH478" i="21"/>
  <c r="AH477" i="21"/>
  <c r="AH476" i="21"/>
  <c r="AH475" i="21"/>
  <c r="AH474" i="21"/>
  <c r="AH473" i="21"/>
  <c r="AH472" i="21"/>
  <c r="AH471" i="21"/>
  <c r="AH469" i="21"/>
  <c r="AH468" i="21"/>
  <c r="AH467" i="21"/>
  <c r="AH466" i="21"/>
  <c r="AH465" i="21"/>
  <c r="AH464" i="21"/>
  <c r="AH463" i="21"/>
  <c r="AH462" i="21"/>
  <c r="AH461" i="21"/>
  <c r="AH460" i="21"/>
  <c r="AH458" i="21"/>
  <c r="AH457" i="21"/>
  <c r="AH456" i="21"/>
  <c r="AH455" i="21"/>
  <c r="AH454" i="21"/>
  <c r="AH453" i="21"/>
  <c r="AH452" i="21"/>
  <c r="AH451" i="21"/>
  <c r="AH450" i="21"/>
  <c r="AH449" i="21"/>
  <c r="AH448" i="21"/>
  <c r="AH447" i="21"/>
  <c r="AH446" i="21"/>
  <c r="AH445" i="21"/>
  <c r="AH444" i="21"/>
  <c r="AH443" i="21"/>
  <c r="AH442" i="21"/>
  <c r="AH440" i="21"/>
  <c r="AH438" i="21"/>
  <c r="AH437" i="21"/>
  <c r="AH436" i="21"/>
  <c r="AH434" i="21"/>
  <c r="AH433" i="21"/>
  <c r="AH432" i="21"/>
  <c r="AH431" i="21"/>
  <c r="AH430" i="21"/>
  <c r="AH429" i="21"/>
  <c r="AH428" i="21"/>
  <c r="AH427" i="21"/>
  <c r="AH425" i="21"/>
  <c r="AH424" i="21"/>
  <c r="AH423" i="21"/>
  <c r="AH422" i="21"/>
  <c r="AH421" i="21"/>
  <c r="AH419" i="21"/>
  <c r="AH418" i="21"/>
  <c r="AH417" i="21"/>
  <c r="AH415" i="21"/>
  <c r="AH414" i="21"/>
  <c r="AH413" i="21"/>
  <c r="AH412" i="21"/>
  <c r="AH411" i="21"/>
  <c r="AH410" i="21"/>
  <c r="AH409" i="21"/>
  <c r="AH408" i="21"/>
  <c r="AH407" i="21"/>
  <c r="AH406" i="21"/>
  <c r="AH405" i="21"/>
  <c r="AH404" i="21"/>
  <c r="AH403" i="21"/>
  <c r="AH400" i="21"/>
  <c r="AH399" i="21"/>
  <c r="AH398" i="21"/>
  <c r="AH397" i="21"/>
  <c r="AH396" i="21"/>
  <c r="AH394" i="21"/>
  <c r="AH393" i="21"/>
  <c r="AH392" i="21"/>
  <c r="AH391" i="21"/>
  <c r="AH389" i="21"/>
  <c r="AH388" i="21"/>
  <c r="AH387" i="21"/>
  <c r="AH386" i="21"/>
  <c r="AH383" i="21"/>
  <c r="AH381" i="21"/>
  <c r="AH380" i="21"/>
  <c r="AH379" i="21"/>
  <c r="AH377" i="21"/>
  <c r="AH374" i="21"/>
  <c r="AH373" i="21"/>
  <c r="AH372" i="21"/>
  <c r="AH371" i="21"/>
  <c r="AH370" i="21"/>
  <c r="AH368" i="21"/>
  <c r="AH366" i="21"/>
  <c r="AH365" i="21"/>
  <c r="AH363" i="21"/>
  <c r="AH362" i="21"/>
  <c r="AH361" i="21"/>
  <c r="AH360" i="21"/>
  <c r="AH359" i="21"/>
  <c r="AH356" i="21"/>
  <c r="AH355" i="21"/>
  <c r="AH354" i="21"/>
  <c r="AH353" i="21"/>
  <c r="AH352" i="21"/>
  <c r="AH350" i="21"/>
  <c r="AH349" i="21"/>
  <c r="AH348" i="21"/>
  <c r="AH347" i="21"/>
  <c r="AH346" i="21"/>
  <c r="AH345" i="21"/>
  <c r="AH344" i="21"/>
  <c r="AH343" i="21"/>
  <c r="AH342" i="21"/>
  <c r="AH336" i="21"/>
  <c r="AH335" i="21"/>
  <c r="AH334" i="21"/>
  <c r="AH333" i="21"/>
  <c r="AH332" i="21"/>
  <c r="AH331" i="21"/>
  <c r="AH328" i="21"/>
  <c r="AH327" i="21"/>
  <c r="AH326" i="21"/>
  <c r="AH324" i="21"/>
  <c r="AH323" i="21"/>
  <c r="AH322" i="21"/>
  <c r="AH321" i="21"/>
  <c r="AH319" i="21"/>
  <c r="AH318" i="21"/>
  <c r="AH317" i="21"/>
  <c r="AH316" i="21"/>
  <c r="AH315" i="21"/>
  <c r="AH314" i="21"/>
  <c r="AH309" i="21"/>
  <c r="AH308" i="21"/>
  <c r="AH307" i="21"/>
  <c r="AH305" i="21"/>
  <c r="AH304" i="21"/>
  <c r="AH302" i="21"/>
  <c r="AH301" i="21"/>
  <c r="AH298" i="21"/>
  <c r="AH297" i="21"/>
  <c r="AH296" i="21"/>
  <c r="AH294" i="21"/>
  <c r="AH292" i="21"/>
  <c r="AH290" i="21"/>
  <c r="AH286" i="21"/>
  <c r="AH284" i="21"/>
  <c r="AH282" i="21"/>
  <c r="AH280" i="21"/>
  <c r="AH278" i="21"/>
  <c r="AH276" i="21"/>
  <c r="AH272" i="21"/>
  <c r="AH271" i="21"/>
  <c r="AH269" i="21"/>
  <c r="AH267" i="21"/>
  <c r="AH262" i="21"/>
  <c r="AH260" i="21"/>
  <c r="AH259" i="21"/>
  <c r="AH258" i="21"/>
  <c r="AH256" i="21"/>
  <c r="AH255" i="21"/>
  <c r="AH254" i="21"/>
  <c r="AH249" i="21"/>
  <c r="AH247" i="21"/>
  <c r="AH243" i="21"/>
  <c r="AH239" i="21"/>
  <c r="AH237" i="21"/>
  <c r="AH233" i="21"/>
  <c r="AH228" i="21"/>
  <c r="AH227" i="21"/>
  <c r="AH225" i="21"/>
  <c r="AH224" i="21"/>
  <c r="AH222" i="21"/>
  <c r="AH220" i="21"/>
  <c r="AH214" i="21"/>
  <c r="AH213" i="21"/>
  <c r="AH212" i="21"/>
  <c r="AH208" i="21"/>
  <c r="AH207" i="21"/>
  <c r="AH206" i="21"/>
  <c r="AH205" i="21"/>
  <c r="AH204" i="21"/>
  <c r="AH203" i="21"/>
  <c r="AH202" i="21"/>
  <c r="AH200" i="21"/>
  <c r="AH198" i="21"/>
  <c r="AH197" i="21"/>
  <c r="AH195" i="21"/>
  <c r="AH193" i="21"/>
  <c r="AH192" i="21"/>
  <c r="AH191" i="21"/>
  <c r="AH189" i="21"/>
  <c r="AH187" i="21"/>
  <c r="AH185" i="21"/>
  <c r="AH184" i="21"/>
  <c r="AH180" i="21"/>
  <c r="AH179" i="21"/>
  <c r="AH178" i="21"/>
  <c r="AH177" i="21"/>
  <c r="AH176" i="21"/>
  <c r="AH174" i="21"/>
  <c r="AH172" i="21"/>
  <c r="AH171" i="21"/>
  <c r="AH170" i="21"/>
  <c r="AH168" i="21"/>
  <c r="AH167" i="21"/>
  <c r="AH166" i="21"/>
  <c r="AH164" i="21"/>
  <c r="AH162" i="21"/>
  <c r="AH161" i="21"/>
  <c r="AH160" i="21"/>
  <c r="AH158" i="21"/>
  <c r="AH157" i="21"/>
  <c r="AH156" i="21"/>
  <c r="AH155" i="21"/>
  <c r="AH154" i="21"/>
  <c r="AH152" i="21"/>
  <c r="AH151" i="21"/>
  <c r="AH150" i="21"/>
  <c r="AH149" i="21"/>
  <c r="AH147" i="21"/>
  <c r="AH146" i="21"/>
  <c r="AH145" i="21"/>
  <c r="AH144" i="21"/>
  <c r="AH142" i="21"/>
  <c r="AH141" i="21"/>
  <c r="AH140" i="21"/>
  <c r="AH139" i="21"/>
  <c r="AH138" i="21"/>
  <c r="AH137" i="21"/>
  <c r="AH136" i="21"/>
  <c r="AH134" i="21"/>
  <c r="AH133" i="21"/>
  <c r="AH131" i="21"/>
  <c r="AH130" i="21"/>
  <c r="AH129" i="21"/>
  <c r="AH127" i="21"/>
  <c r="AH126" i="21"/>
  <c r="AH124" i="21"/>
  <c r="AH123" i="21"/>
  <c r="AH122" i="21"/>
  <c r="AH120" i="21"/>
  <c r="AH119" i="21"/>
  <c r="AH118" i="21"/>
  <c r="AH116" i="21"/>
  <c r="AH115" i="21"/>
  <c r="AH114" i="21"/>
  <c r="AH113" i="21"/>
  <c r="AH111" i="21"/>
  <c r="AH110" i="21"/>
  <c r="AH108" i="21"/>
  <c r="AH107" i="21"/>
  <c r="AH105" i="21"/>
  <c r="AH103" i="21"/>
  <c r="AH102" i="21"/>
  <c r="AH101" i="21"/>
  <c r="AH100" i="21"/>
  <c r="AH99" i="21"/>
  <c r="AH98" i="21"/>
  <c r="AH96" i="21"/>
  <c r="AH95" i="21"/>
  <c r="AH94" i="21"/>
  <c r="AH93" i="21"/>
  <c r="AH92" i="21"/>
  <c r="AH91" i="21"/>
  <c r="AH90" i="21"/>
  <c r="AH89" i="21"/>
  <c r="AH88" i="21"/>
  <c r="AH86" i="21"/>
  <c r="AH85" i="21"/>
  <c r="AH84" i="21"/>
  <c r="AH83" i="21"/>
  <c r="AH81" i="21"/>
  <c r="AH80" i="21"/>
  <c r="AH79" i="21"/>
  <c r="AH78" i="21"/>
  <c r="AH77" i="21"/>
  <c r="AH76" i="21"/>
  <c r="AH75" i="21"/>
  <c r="AH74" i="21"/>
  <c r="AH72" i="21"/>
  <c r="AH71" i="21"/>
  <c r="AH70" i="21"/>
  <c r="AH69" i="21"/>
  <c r="AH68" i="21"/>
  <c r="AH67" i="21"/>
  <c r="AH65" i="21"/>
  <c r="AH64" i="21"/>
  <c r="AH63" i="21"/>
  <c r="AH62" i="21"/>
  <c r="AH61" i="21"/>
  <c r="AH59" i="21"/>
  <c r="AH58" i="21"/>
  <c r="AH57" i="21"/>
  <c r="AH56" i="21"/>
  <c r="AH55" i="21"/>
  <c r="AH53" i="21"/>
  <c r="AH52" i="21"/>
  <c r="AH51" i="21"/>
  <c r="AH50" i="21"/>
  <c r="AH49" i="21"/>
  <c r="AH48" i="21"/>
  <c r="AH46" i="21"/>
  <c r="AH45" i="21"/>
  <c r="AH44" i="21"/>
  <c r="AH43" i="21"/>
  <c r="AH42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6" i="21"/>
  <c r="AH24" i="21"/>
  <c r="AH23" i="21"/>
  <c r="AH22" i="21"/>
  <c r="AH21" i="21"/>
  <c r="AH20" i="21"/>
  <c r="AG117" i="21" l="1"/>
  <c r="AC457" i="21" l="1"/>
  <c r="AA457" i="21"/>
  <c r="AC455" i="21"/>
  <c r="AA455" i="21"/>
  <c r="AA442" i="21"/>
  <c r="AG441" i="21"/>
  <c r="AG470" i="21" l="1"/>
  <c r="AG488" i="21"/>
  <c r="AG25" i="21"/>
  <c r="AG492" i="21" l="1"/>
  <c r="AG459" i="21"/>
  <c r="AC468" i="21"/>
  <c r="AE467" i="21"/>
  <c r="AE465" i="21"/>
  <c r="AE464" i="21"/>
  <c r="AC460" i="21"/>
  <c r="AG506" i="21"/>
  <c r="AH506" i="21" s="1"/>
  <c r="AC508" i="21"/>
  <c r="AE506" i="21"/>
  <c r="AE507" i="21" s="1"/>
  <c r="AC502" i="21"/>
  <c r="AE500" i="21"/>
  <c r="AE502" i="21" l="1"/>
  <c r="AE468" i="21"/>
  <c r="AE508" i="21"/>
  <c r="AA508" i="21"/>
  <c r="AA507" i="21"/>
  <c r="AA502" i="21"/>
  <c r="AG275" i="21" l="1"/>
  <c r="AH275" i="21" s="1"/>
  <c r="AG295" i="21" l="1"/>
  <c r="AH295" i="21" s="1"/>
  <c r="AG241" i="21"/>
  <c r="AH241" i="21" s="1"/>
  <c r="AG480" i="21" l="1"/>
  <c r="AG416" i="21"/>
  <c r="AF313" i="21" l="1"/>
  <c r="AG313" i="21"/>
  <c r="AH313" i="21" l="1"/>
  <c r="AG277" i="21"/>
  <c r="AH277" i="21" s="1"/>
  <c r="AE277" i="21"/>
  <c r="AG266" i="21"/>
  <c r="AH266" i="21" s="1"/>
  <c r="AE297" i="21"/>
  <c r="AG279" i="21" l="1"/>
  <c r="AH279" i="21" s="1"/>
  <c r="AG217" i="21"/>
  <c r="AG201" i="21" l="1"/>
  <c r="AG261" i="21"/>
  <c r="AH261" i="21" s="1"/>
  <c r="AG143" i="21" l="1"/>
  <c r="AG135" i="21"/>
  <c r="AG97" i="21" l="1"/>
  <c r="AG246" i="21"/>
  <c r="AG232" i="21" l="1"/>
  <c r="AH232" i="21" s="1"/>
  <c r="AG234" i="21"/>
  <c r="AG300" i="21"/>
  <c r="AH300" i="21" s="1"/>
  <c r="AG299" i="21"/>
  <c r="AH299" i="21" s="1"/>
  <c r="AG303" i="21"/>
  <c r="AG250" i="21"/>
  <c r="AH250" i="21" s="1"/>
  <c r="AG251" i="21"/>
  <c r="AH251" i="21" s="1"/>
  <c r="AG287" i="21"/>
  <c r="AH287" i="21" s="1"/>
  <c r="AG288" i="21"/>
  <c r="AH288" i="21" s="1"/>
  <c r="AE22" i="21" l="1"/>
  <c r="AW22" i="21" s="1"/>
  <c r="AE323" i="21"/>
  <c r="AW323" i="21" s="1"/>
  <c r="AH19" i="21"/>
  <c r="AE19" i="21"/>
  <c r="AG159" i="21"/>
  <c r="AW19" i="21" l="1"/>
  <c r="AG263" i="21"/>
  <c r="AH263" i="21" s="1"/>
  <c r="AG337" i="21" l="1"/>
  <c r="AG153" i="21" l="1"/>
  <c r="AG439" i="21" l="1"/>
  <c r="AG420" i="21"/>
  <c r="AG226" i="21" l="1"/>
  <c r="AG82" i="21"/>
  <c r="AG252" i="21" l="1"/>
  <c r="AH252" i="21" s="1"/>
  <c r="AG257" i="21"/>
  <c r="AH257" i="21" s="1"/>
  <c r="AE257" i="21"/>
  <c r="AG216" i="21" l="1"/>
  <c r="AF216" i="21"/>
  <c r="AG291" i="21"/>
  <c r="AH291" i="21" s="1"/>
  <c r="AF210" i="21"/>
  <c r="AH210" i="21" s="1"/>
  <c r="AG289" i="21"/>
  <c r="AH289" i="21" s="1"/>
  <c r="AH216" i="21" l="1"/>
  <c r="AG329" i="21"/>
  <c r="AE308" i="21" l="1"/>
  <c r="AE260" i="21"/>
  <c r="AG515" i="21" l="1"/>
  <c r="AG283" i="21" l="1"/>
  <c r="AH283" i="21" s="1"/>
  <c r="AE293" i="21"/>
  <c r="AE287" i="21"/>
  <c r="AE285" i="21"/>
  <c r="AE282" i="21"/>
  <c r="AE281" i="21"/>
  <c r="AE280" i="21"/>
  <c r="AE279" i="21"/>
  <c r="AE276" i="21"/>
  <c r="AE275" i="21"/>
  <c r="AE274" i="21"/>
  <c r="AE273" i="21"/>
  <c r="AE272" i="21"/>
  <c r="AE271" i="21"/>
  <c r="AE270" i="21"/>
  <c r="AE269" i="21"/>
  <c r="AE268" i="21"/>
  <c r="AE265" i="21"/>
  <c r="AE264" i="21"/>
  <c r="AE259" i="21"/>
  <c r="AE256" i="21"/>
  <c r="AE255" i="21"/>
  <c r="AE254" i="21"/>
  <c r="AG265" i="21"/>
  <c r="AH265" i="21" s="1"/>
  <c r="AG264" i="21"/>
  <c r="AH264" i="21" s="1"/>
  <c r="AG426" i="21" l="1"/>
  <c r="AH426" i="21" s="1"/>
  <c r="AG148" i="21"/>
  <c r="AG306" i="21"/>
  <c r="AF306" i="21"/>
  <c r="AH306" i="21" l="1"/>
  <c r="AE313" i="21"/>
  <c r="AA316" i="21" s="1"/>
  <c r="AE316" i="21" l="1"/>
  <c r="AG320" i="21"/>
  <c r="AH320" i="21" s="1"/>
  <c r="AG163" i="21" l="1"/>
  <c r="AH163" i="21" s="1"/>
  <c r="AG285" i="21" l="1"/>
  <c r="AH285" i="21" s="1"/>
  <c r="AG293" i="21"/>
  <c r="AH293" i="21" s="1"/>
  <c r="AG281" i="21"/>
  <c r="AH281" i="21" s="1"/>
  <c r="AG511" i="21" l="1"/>
  <c r="AE266" i="21" l="1"/>
  <c r="AE267" i="21" s="1"/>
  <c r="AA267" i="21" l="1"/>
  <c r="AG310" i="21"/>
  <c r="AG223" i="21" l="1"/>
  <c r="AG273" i="21" l="1"/>
  <c r="AH273" i="21" s="1"/>
  <c r="AG274" i="21"/>
  <c r="AH274" i="21" s="1"/>
  <c r="AG270" i="21" l="1"/>
  <c r="AH270" i="21" s="1"/>
  <c r="AG236" i="21"/>
  <c r="AG358" i="21" l="1"/>
  <c r="AH358" i="21" s="1"/>
  <c r="AE338" i="21"/>
  <c r="AA347" i="21" s="1"/>
  <c r="AA348" i="21" l="1"/>
  <c r="AG230" i="21" l="1"/>
  <c r="AG219" i="21"/>
  <c r="AG268" i="21" l="1"/>
  <c r="AH268" i="21" s="1"/>
  <c r="AE320" i="21" l="1"/>
  <c r="AW320" i="21" l="1"/>
  <c r="AG221" i="21"/>
  <c r="AE54" i="21" l="1"/>
  <c r="AE263" i="21"/>
  <c r="AE250" i="21"/>
  <c r="AE252" i="21"/>
  <c r="AE253" i="21"/>
  <c r="AG253" i="21"/>
  <c r="AH253" i="21" s="1"/>
  <c r="AG211" i="21" l="1"/>
  <c r="AE211" i="21"/>
  <c r="AE147" i="21" l="1"/>
  <c r="AC144" i="21"/>
  <c r="AE146" i="21"/>
  <c r="AE143" i="21"/>
  <c r="AE142" i="21"/>
  <c r="AE141" i="21"/>
  <c r="AE103" i="21"/>
  <c r="AE102" i="21"/>
  <c r="AE101" i="21"/>
  <c r="AF245" i="21" l="1"/>
  <c r="AG245" i="21"/>
  <c r="AC423" i="21"/>
  <c r="AE420" i="21"/>
  <c r="AG104" i="21"/>
  <c r="AG199" i="21"/>
  <c r="AE200" i="21"/>
  <c r="AE199" i="21"/>
  <c r="AH245" i="21" l="1"/>
  <c r="AC496" i="21"/>
  <c r="AC494" i="21"/>
  <c r="AA494" i="21"/>
  <c r="AF492" i="21"/>
  <c r="AH492" i="21" s="1"/>
  <c r="AE492" i="21"/>
  <c r="AG218" i="21"/>
  <c r="AE166" i="21"/>
  <c r="AF165" i="21"/>
  <c r="AH165" i="21" s="1"/>
  <c r="AE165" i="21"/>
  <c r="AE493" i="21" l="1"/>
  <c r="AE494" i="21" s="1"/>
  <c r="AE495" i="21" s="1"/>
  <c r="AE496" i="21" s="1"/>
  <c r="AE497" i="21" s="1"/>
  <c r="AE158" i="21"/>
  <c r="AE157" i="21"/>
  <c r="AC156" i="21"/>
  <c r="AC155" i="21"/>
  <c r="AC119" i="21"/>
  <c r="AE118" i="21"/>
  <c r="AE119" i="21" l="1"/>
  <c r="AA496" i="21"/>
  <c r="AE440" i="21"/>
  <c r="AE439" i="21"/>
  <c r="AE364" i="21" l="1"/>
  <c r="AE238" i="21" l="1"/>
  <c r="AE240" i="21"/>
  <c r="AE488" i="21"/>
  <c r="AE470" i="21"/>
  <c r="AE441" i="21"/>
  <c r="AE437" i="21"/>
  <c r="AE427" i="21"/>
  <c r="AE426" i="21"/>
  <c r="AE135" i="21"/>
  <c r="AE97" i="21"/>
  <c r="AA478" i="21" l="1"/>
  <c r="AA476" i="21"/>
  <c r="AC158" i="21"/>
  <c r="AC157" i="21"/>
  <c r="AE153" i="21"/>
  <c r="AE154" i="21" s="1"/>
  <c r="AG231" i="21"/>
  <c r="AE74" i="21"/>
  <c r="AE75" i="21" s="1"/>
  <c r="AE76" i="21" s="1"/>
  <c r="AE41" i="21"/>
  <c r="AE42" i="21" s="1"/>
  <c r="AE43" i="21" s="1"/>
  <c r="AE44" i="21" s="1"/>
  <c r="AE73" i="21"/>
  <c r="AF73" i="21"/>
  <c r="AH73" i="21" s="1"/>
  <c r="AC77" i="21"/>
  <c r="AE182" i="21"/>
  <c r="AE77" i="21" l="1"/>
  <c r="AE78" i="21" s="1"/>
  <c r="AE79" i="21" s="1"/>
  <c r="AE80" i="21" s="1"/>
  <c r="AE81" i="21" s="1"/>
  <c r="AE45" i="21"/>
  <c r="AE46" i="21" s="1"/>
  <c r="AA45" i="21"/>
  <c r="AA77" i="21"/>
  <c r="AA80" i="21" l="1"/>
  <c r="AE176" i="21"/>
  <c r="AE177" i="21" s="1"/>
  <c r="AE178" i="21" s="1"/>
  <c r="AE69" i="21"/>
  <c r="AE70" i="21" s="1"/>
  <c r="AE72" i="21" s="1"/>
  <c r="AC466" i="21"/>
  <c r="AC465" i="21"/>
  <c r="AA178" i="21" l="1"/>
  <c r="AA70" i="21"/>
  <c r="AE487" i="21"/>
  <c r="AE485" i="21"/>
  <c r="AE486" i="21" s="1"/>
  <c r="AE482" i="21"/>
  <c r="AE480" i="21"/>
  <c r="AE481" i="21"/>
  <c r="AA486" i="21" l="1"/>
  <c r="AE134" i="21"/>
  <c r="AE130" i="21"/>
  <c r="AF106" i="21"/>
  <c r="AH106" i="21" s="1"/>
  <c r="AE106" i="21"/>
  <c r="AE107" i="21" s="1"/>
  <c r="AA107" i="21" l="1"/>
  <c r="AE127" i="21" l="1"/>
  <c r="AG169" i="21"/>
  <c r="AG173" i="21" l="1"/>
  <c r="AG112" i="21"/>
  <c r="AH112" i="21" s="1"/>
  <c r="AE115" i="21"/>
  <c r="AE112" i="21"/>
  <c r="AE114" i="21" s="1"/>
  <c r="AA114" i="21" l="1"/>
  <c r="AG186" i="21"/>
  <c r="AG196" i="21"/>
  <c r="AE123" i="21"/>
  <c r="AE39" i="21"/>
  <c r="AE55" i="21"/>
  <c r="AE58" i="21"/>
  <c r="AE435" i="21"/>
  <c r="AE436" i="21" s="1"/>
  <c r="AE52" i="21"/>
  <c r="AC51" i="21"/>
  <c r="AC64" i="21" l="1"/>
  <c r="AG194" i="21" l="1"/>
  <c r="AG402" i="21"/>
  <c r="AE416" i="21" l="1"/>
  <c r="AE417" i="21" l="1"/>
  <c r="AE418" i="21" s="1"/>
  <c r="AA417" i="21"/>
  <c r="AG244" i="21"/>
  <c r="AE317" i="21" l="1"/>
  <c r="AW317" i="21" s="1"/>
  <c r="AG351" i="21" l="1"/>
  <c r="AF515" i="21" l="1"/>
  <c r="AH515" i="21" s="1"/>
  <c r="AF511" i="21"/>
  <c r="AH511" i="21" s="1"/>
  <c r="AF505" i="21"/>
  <c r="AH505" i="21" s="1"/>
  <c r="AF500" i="21"/>
  <c r="AH500" i="21" s="1"/>
  <c r="AF499" i="21"/>
  <c r="AH499" i="21" s="1"/>
  <c r="AF498" i="21"/>
  <c r="AH498" i="21" s="1"/>
  <c r="AF490" i="21"/>
  <c r="AH490" i="21" s="1"/>
  <c r="AF488" i="21"/>
  <c r="AH488" i="21" s="1"/>
  <c r="AF480" i="21"/>
  <c r="AH480" i="21" s="1"/>
  <c r="AF470" i="21"/>
  <c r="AH470" i="21" s="1"/>
  <c r="AF459" i="21"/>
  <c r="AH459" i="21" s="1"/>
  <c r="AF441" i="21"/>
  <c r="AH441" i="21" s="1"/>
  <c r="AF439" i="21"/>
  <c r="AH439" i="21" s="1"/>
  <c r="AF435" i="21"/>
  <c r="AH435" i="21" s="1"/>
  <c r="AF420" i="21"/>
  <c r="AH420" i="21" s="1"/>
  <c r="AF416" i="21"/>
  <c r="AH416" i="21" s="1"/>
  <c r="AF402" i="21"/>
  <c r="AH402" i="21" s="1"/>
  <c r="AF401" i="21"/>
  <c r="AH401" i="21" s="1"/>
  <c r="AF395" i="21"/>
  <c r="AH395" i="21" s="1"/>
  <c r="AF385" i="21"/>
  <c r="AH385" i="21" s="1"/>
  <c r="AF384" i="21"/>
  <c r="AH384" i="21" s="1"/>
  <c r="AF376" i="21"/>
  <c r="AH376" i="21" s="1"/>
  <c r="AF375" i="21"/>
  <c r="AH375" i="21" s="1"/>
  <c r="AF369" i="21"/>
  <c r="AH369" i="21" s="1"/>
  <c r="AF364" i="21"/>
  <c r="AH364" i="21" s="1"/>
  <c r="AF357" i="21"/>
  <c r="AH357" i="21" s="1"/>
  <c r="AF351" i="21"/>
  <c r="AH351" i="21" s="1"/>
  <c r="AF341" i="21"/>
  <c r="AH341" i="21" s="1"/>
  <c r="AF340" i="21"/>
  <c r="AH340" i="21" s="1"/>
  <c r="AF338" i="21"/>
  <c r="AH338" i="21" s="1"/>
  <c r="AF337" i="21"/>
  <c r="AH337" i="21" s="1"/>
  <c r="AF329" i="21"/>
  <c r="AH329" i="21" s="1"/>
  <c r="AW313" i="21"/>
  <c r="AF312" i="21"/>
  <c r="AH312" i="21" s="1"/>
  <c r="AF311" i="21"/>
  <c r="AH311" i="21" s="1"/>
  <c r="AF310" i="21"/>
  <c r="AH310" i="21" s="1"/>
  <c r="AF303" i="21"/>
  <c r="AH303" i="21" s="1"/>
  <c r="AF248" i="21"/>
  <c r="AH248" i="21" s="1"/>
  <c r="AF246" i="21"/>
  <c r="AH246" i="21" s="1"/>
  <c r="AF244" i="21"/>
  <c r="AH244" i="21" s="1"/>
  <c r="AF242" i="21"/>
  <c r="AH242" i="21" s="1"/>
  <c r="AF240" i="21"/>
  <c r="AH240" i="21" s="1"/>
  <c r="AF238" i="21"/>
  <c r="AH238" i="21" s="1"/>
  <c r="AF236" i="21"/>
  <c r="AH236" i="21" s="1"/>
  <c r="AF235" i="21"/>
  <c r="AH235" i="21" s="1"/>
  <c r="AF234" i="21"/>
  <c r="AH234" i="21" s="1"/>
  <c r="AF231" i="21"/>
  <c r="AH231" i="21" s="1"/>
  <c r="AF230" i="21"/>
  <c r="AH230" i="21" s="1"/>
  <c r="AF229" i="21"/>
  <c r="AH229" i="21" s="1"/>
  <c r="AF226" i="21"/>
  <c r="AH226" i="21" s="1"/>
  <c r="AF223" i="21"/>
  <c r="AH223" i="21" s="1"/>
  <c r="AF221" i="21"/>
  <c r="AH221" i="21" s="1"/>
  <c r="AF219" i="21"/>
  <c r="AH219" i="21" s="1"/>
  <c r="AF218" i="21"/>
  <c r="AH218" i="21" s="1"/>
  <c r="AF217" i="21"/>
  <c r="AH217" i="21" s="1"/>
  <c r="AF199" i="21"/>
  <c r="AH199" i="21" s="1"/>
  <c r="AF201" i="21"/>
  <c r="AH201" i="21" s="1"/>
  <c r="AF209" i="21"/>
  <c r="AH209" i="21" s="1"/>
  <c r="AF211" i="21"/>
  <c r="AH211" i="21" s="1"/>
  <c r="AF215" i="21"/>
  <c r="AH215" i="21" s="1"/>
  <c r="AF196" i="21"/>
  <c r="AH196" i="21" s="1"/>
  <c r="AF194" i="21"/>
  <c r="AH194" i="21" s="1"/>
  <c r="AF190" i="21"/>
  <c r="AH190" i="21" s="1"/>
  <c r="AF188" i="21"/>
  <c r="AH188" i="21" s="1"/>
  <c r="AF186" i="21"/>
  <c r="AH186" i="21" s="1"/>
  <c r="AF183" i="21"/>
  <c r="AH183" i="21" s="1"/>
  <c r="AF182" i="21"/>
  <c r="AH182" i="21" s="1"/>
  <c r="AF181" i="21"/>
  <c r="AH181" i="21" s="1"/>
  <c r="AF175" i="21"/>
  <c r="AH175" i="21" s="1"/>
  <c r="AF173" i="21"/>
  <c r="AH173" i="21" s="1"/>
  <c r="AF169" i="21"/>
  <c r="AH169" i="21" s="1"/>
  <c r="AF159" i="21"/>
  <c r="AH159" i="21" s="1"/>
  <c r="AF153" i="21"/>
  <c r="AH153" i="21" s="1"/>
  <c r="AF148" i="21"/>
  <c r="AH148" i="21" s="1"/>
  <c r="AF143" i="21"/>
  <c r="AH143" i="21" s="1"/>
  <c r="AF135" i="21" l="1"/>
  <c r="AH135" i="21" s="1"/>
  <c r="AF132" i="21"/>
  <c r="AH132" i="21" s="1"/>
  <c r="AF128" i="21"/>
  <c r="AH128" i="21" s="1"/>
  <c r="AF125" i="21"/>
  <c r="AH125" i="21" s="1"/>
  <c r="AF121" i="21"/>
  <c r="AH121" i="21" s="1"/>
  <c r="AF117" i="21"/>
  <c r="AH117" i="21" s="1"/>
  <c r="AF109" i="21"/>
  <c r="AH109" i="21" s="1"/>
  <c r="AF104" i="21"/>
  <c r="AH104" i="21" s="1"/>
  <c r="AF97" i="21"/>
  <c r="AH97" i="21" s="1"/>
  <c r="AF82" i="21"/>
  <c r="AH82" i="21" s="1"/>
  <c r="AF66" i="21"/>
  <c r="AH66" i="21" s="1"/>
  <c r="AF60" i="21"/>
  <c r="AH60" i="21" s="1"/>
  <c r="AF54" i="21"/>
  <c r="AH54" i="21" s="1"/>
  <c r="AF47" i="21"/>
  <c r="AH47" i="21" s="1"/>
  <c r="AF41" i="21"/>
  <c r="AH41" i="21" s="1"/>
  <c r="AF34" i="21"/>
  <c r="AH34" i="21" s="1"/>
  <c r="AF25" i="21"/>
  <c r="AH25" i="21" s="1"/>
  <c r="AE37" i="21" l="1"/>
  <c r="AE50" i="21"/>
  <c r="AE60" i="21"/>
  <c r="AE61" i="21" s="1"/>
  <c r="AE126" i="21"/>
  <c r="AA126" i="21"/>
  <c r="AA62" i="21" l="1"/>
  <c r="AE62" i="21"/>
  <c r="AE51" i="21"/>
  <c r="AA51" i="21"/>
  <c r="AE38" i="21"/>
  <c r="AA38" i="21"/>
  <c r="AE63" i="21" l="1"/>
  <c r="AE64" i="21" s="1"/>
  <c r="AA64" i="21"/>
  <c r="AE490" i="21" l="1"/>
  <c r="AE491" i="21" s="1"/>
  <c r="AA491" i="21"/>
  <c r="AE302" i="21" l="1"/>
  <c r="AE305" i="21"/>
  <c r="AA306" i="21" l="1"/>
  <c r="AE306" i="21"/>
  <c r="AA303" i="21"/>
  <c r="AE303" i="21"/>
  <c r="L516" i="21" l="1"/>
  <c r="AF509" i="21"/>
  <c r="AH509" i="21" s="1"/>
  <c r="AE509" i="21"/>
  <c r="AE505" i="21"/>
  <c r="AE504" i="21"/>
  <c r="AE498" i="21"/>
  <c r="AE489" i="21"/>
  <c r="AC484" i="21"/>
  <c r="AA484" i="21"/>
  <c r="AE483" i="21"/>
  <c r="AC482" i="21"/>
  <c r="AA482" i="21"/>
  <c r="AA474" i="21"/>
  <c r="AA472" i="21"/>
  <c r="AE471" i="21"/>
  <c r="AE472" i="21" s="1"/>
  <c r="AE473" i="21" s="1"/>
  <c r="AE474" i="21" s="1"/>
  <c r="AE475" i="21" s="1"/>
  <c r="AC464" i="21"/>
  <c r="AC463" i="21"/>
  <c r="AA463" i="21" s="1"/>
  <c r="AC461" i="21"/>
  <c r="AA461" i="21" s="1"/>
  <c r="AE459" i="21"/>
  <c r="AE460" i="21" s="1"/>
  <c r="AC453" i="21"/>
  <c r="AA453" i="21"/>
  <c r="AC451" i="21"/>
  <c r="AA451" i="21"/>
  <c r="AC449" i="21"/>
  <c r="AA449" i="21"/>
  <c r="AC447" i="21"/>
  <c r="AA447" i="21"/>
  <c r="AC444" i="21"/>
  <c r="AA444" i="21"/>
  <c r="AC443" i="21"/>
  <c r="AA443" i="21"/>
  <c r="AC442" i="21"/>
  <c r="AE442" i="21" s="1"/>
  <c r="AE421" i="21"/>
  <c r="AA424" i="21" s="1"/>
  <c r="AB421" i="21"/>
  <c r="AA406" i="21"/>
  <c r="AE403" i="21"/>
  <c r="AE406" i="21" s="1"/>
  <c r="AE392" i="21"/>
  <c r="AE396" i="21" s="1"/>
  <c r="AE398" i="21" s="1"/>
  <c r="AA392" i="21"/>
  <c r="AF390" i="21"/>
  <c r="AH390" i="21" s="1"/>
  <c r="AF382" i="21"/>
  <c r="AH382" i="21" s="1"/>
  <c r="AF378" i="21"/>
  <c r="AH378" i="21" s="1"/>
  <c r="AE378" i="21"/>
  <c r="AA378" i="21"/>
  <c r="AE376" i="21"/>
  <c r="Y373" i="21"/>
  <c r="Y372" i="21"/>
  <c r="Y371" i="21"/>
  <c r="AA370" i="21"/>
  <c r="Y370" i="21"/>
  <c r="AE369" i="21"/>
  <c r="AE370" i="21" s="1"/>
  <c r="AA369" i="21"/>
  <c r="Y369" i="21"/>
  <c r="Y368" i="21"/>
  <c r="AF367" i="21"/>
  <c r="AH367" i="21" s="1"/>
  <c r="O364" i="21"/>
  <c r="AA358" i="21"/>
  <c r="AA357" i="21"/>
  <c r="AE355" i="21"/>
  <c r="AE357" i="21" s="1"/>
  <c r="AE358" i="21" s="1"/>
  <c r="AA355" i="21"/>
  <c r="AE343" i="21"/>
  <c r="AE347" i="21" s="1"/>
  <c r="AE348" i="21" s="1"/>
  <c r="AA343" i="21"/>
  <c r="AF339" i="21"/>
  <c r="AH339" i="21" s="1"/>
  <c r="AA334" i="21"/>
  <c r="AA331" i="21"/>
  <c r="AF330" i="21"/>
  <c r="AH330" i="21" s="1"/>
  <c r="AE329" i="21"/>
  <c r="AE331" i="21" s="1"/>
  <c r="AE334" i="21" s="1"/>
  <c r="AA329" i="21"/>
  <c r="AF325" i="21"/>
  <c r="AH325" i="21" s="1"/>
  <c r="AE312" i="21"/>
  <c r="AE311" i="21"/>
  <c r="AE202" i="21"/>
  <c r="AB202" i="21"/>
  <c r="AE201" i="21"/>
  <c r="AE196" i="21"/>
  <c r="AE194" i="21"/>
  <c r="AE190" i="21"/>
  <c r="AA187" i="21"/>
  <c r="AE186" i="21"/>
  <c r="AE187" i="21" s="1"/>
  <c r="AE183" i="21"/>
  <c r="AE184" i="21" s="1"/>
  <c r="AE185" i="21" s="1"/>
  <c r="AA183" i="21"/>
  <c r="AE181" i="21"/>
  <c r="AE174" i="21"/>
  <c r="AA174" i="21"/>
  <c r="AE169" i="21"/>
  <c r="AE170" i="21" s="1"/>
  <c r="AE159" i="21"/>
  <c r="AE149" i="21"/>
  <c r="AC150" i="21" s="1"/>
  <c r="AA149" i="21"/>
  <c r="AE144" i="21"/>
  <c r="AE145" i="21" s="1"/>
  <c r="AC140" i="21"/>
  <c r="AD139" i="21"/>
  <c r="AB139" i="21"/>
  <c r="AA139" i="21"/>
  <c r="AD137" i="21"/>
  <c r="AC137" i="21"/>
  <c r="AD136" i="21"/>
  <c r="AB136" i="21" s="1"/>
  <c r="AC136" i="21"/>
  <c r="AE132" i="21"/>
  <c r="AE128" i="21"/>
  <c r="AE121" i="21"/>
  <c r="AE117" i="21"/>
  <c r="AE109" i="21"/>
  <c r="AE105" i="21"/>
  <c r="AE104" i="21"/>
  <c r="AD100" i="21"/>
  <c r="AB100" i="21"/>
  <c r="AA100" i="21"/>
  <c r="AD98" i="21"/>
  <c r="AB98" i="21"/>
  <c r="AF87" i="21"/>
  <c r="AH87" i="21" s="1"/>
  <c r="AA86" i="21"/>
  <c r="AC85" i="21"/>
  <c r="AE83" i="21"/>
  <c r="AA84" i="21" s="1"/>
  <c r="AA83" i="21"/>
  <c r="AA68" i="21"/>
  <c r="AE66" i="21"/>
  <c r="AC56" i="21"/>
  <c r="AA56" i="21" s="1"/>
  <c r="AA49" i="21"/>
  <c r="AC48" i="21"/>
  <c r="AE48" i="21" s="1"/>
  <c r="AE49" i="21" s="1"/>
  <c r="AA43" i="21"/>
  <c r="AA36" i="21"/>
  <c r="AC35" i="21"/>
  <c r="AE25" i="21"/>
  <c r="AE161" i="21" l="1"/>
  <c r="AA161" i="21"/>
  <c r="AE479" i="21"/>
  <c r="AE476" i="21"/>
  <c r="AE478" i="21" s="1"/>
  <c r="AE98" i="21"/>
  <c r="AE99" i="21" s="1"/>
  <c r="AA203" i="21"/>
  <c r="AE203" i="21"/>
  <c r="AE67" i="21"/>
  <c r="AE68" i="21" s="1"/>
  <c r="AE363" i="21"/>
  <c r="AA363" i="21"/>
  <c r="AE133" i="21"/>
  <c r="AA133" i="21"/>
  <c r="AE129" i="21"/>
  <c r="AA129" i="21"/>
  <c r="AE171" i="21"/>
  <c r="AE172" i="21" s="1"/>
  <c r="AA423" i="21"/>
  <c r="AE423" i="21"/>
  <c r="AE424" i="21" s="1"/>
  <c r="AG516" i="21"/>
  <c r="AA415" i="21"/>
  <c r="AE413" i="21"/>
  <c r="AE415" i="21" s="1"/>
  <c r="AW402" i="21" s="1"/>
  <c r="AE122" i="21"/>
  <c r="AA122" i="21"/>
  <c r="AE110" i="21"/>
  <c r="AA110" i="21"/>
  <c r="AA170" i="21"/>
  <c r="AA144" i="21"/>
  <c r="AA396" i="21"/>
  <c r="AW390" i="21"/>
  <c r="AA398" i="21"/>
  <c r="AB150" i="21"/>
  <c r="AE461" i="21"/>
  <c r="AE512" i="21"/>
  <c r="AW509" i="21"/>
  <c r="AW325" i="21"/>
  <c r="AA119" i="21"/>
  <c r="AE56" i="21"/>
  <c r="AE57" i="21" s="1"/>
  <c r="AD516" i="21"/>
  <c r="AE150" i="21"/>
  <c r="AW338" i="21"/>
  <c r="AW364" i="21"/>
  <c r="AA155" i="21"/>
  <c r="AE155" i="21"/>
  <c r="AA336" i="21"/>
  <c r="AE336" i="21"/>
  <c r="AF516" i="21"/>
  <c r="AE35" i="21"/>
  <c r="AE36" i="21" s="1"/>
  <c r="AE84" i="21"/>
  <c r="AE85" i="21" s="1"/>
  <c r="AE86" i="21" s="1"/>
  <c r="AE136" i="21"/>
  <c r="AA136" i="21"/>
  <c r="AW351" i="21"/>
  <c r="AE382" i="21"/>
  <c r="AA382" i="21"/>
  <c r="AE443" i="21"/>
  <c r="AE444" i="21" s="1"/>
  <c r="AE447" i="21" s="1"/>
  <c r="AE449" i="21" s="1"/>
  <c r="AE451" i="21" s="1"/>
  <c r="AE453" i="21" s="1"/>
  <c r="AE455" i="21" s="1"/>
  <c r="AE457" i="21" s="1"/>
  <c r="AE484" i="21"/>
  <c r="AE466" i="21" l="1"/>
  <c r="AE463" i="21"/>
  <c r="AE513" i="21"/>
  <c r="AA513" i="21"/>
  <c r="AC516" i="21"/>
  <c r="AE204" i="21"/>
  <c r="AE205" i="21" s="1"/>
  <c r="AA204" i="21"/>
  <c r="AH516" i="21"/>
  <c r="AE88" i="21"/>
  <c r="AA88" i="21"/>
  <c r="AE383" i="21"/>
  <c r="AW376" i="21" s="1"/>
  <c r="AA383" i="21"/>
  <c r="AB137" i="21"/>
  <c r="AE137" i="21"/>
  <c r="AA137" i="21"/>
  <c r="AE156" i="21"/>
  <c r="AA156" i="21"/>
  <c r="AE100" i="21" l="1"/>
  <c r="AA89" i="21"/>
  <c r="AE89" i="21"/>
  <c r="AE90" i="21" s="1"/>
  <c r="AE138" i="21"/>
  <c r="AE139" i="21" s="1"/>
  <c r="AB138" i="21"/>
  <c r="AA140" i="21" l="1"/>
  <c r="AE140" i="21"/>
  <c r="AE91" i="21"/>
  <c r="AA91" i="21"/>
  <c r="AE92" i="21" l="1"/>
  <c r="AA92" i="21"/>
  <c r="AE93" i="21" l="1"/>
  <c r="AA93" i="21"/>
  <c r="AA94" i="21" l="1"/>
  <c r="AE94" i="21"/>
  <c r="AE95" i="21" l="1"/>
  <c r="AA95" i="21"/>
  <c r="AE516" i="21" l="1"/>
</calcChain>
</file>

<file path=xl/sharedStrings.xml><?xml version="1.0" encoding="utf-8"?>
<sst xmlns="http://schemas.openxmlformats.org/spreadsheetml/2006/main" count="2091" uniqueCount="881">
  <si>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</si>
  <si>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</si>
  <si>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</si>
  <si>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</si>
  <si>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</si>
  <si>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</si>
  <si>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</si>
  <si>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</si>
  <si>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</si>
  <si>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</si>
  <si>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</si>
  <si>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</si>
  <si>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</si>
  <si>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</si>
  <si>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</si>
  <si>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</si>
  <si>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</si>
  <si>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</si>
  <si>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</si>
  <si>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</si>
  <si>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</si>
  <si>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</si>
  <si>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</si>
  <si>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</si>
  <si>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</si>
  <si>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</si>
  <si>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</si>
  <si>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</si>
  <si>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</si>
  <si>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</si>
  <si>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</si>
  <si>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</si>
  <si>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</si>
  <si>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</si>
  <si>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</si>
  <si>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</si>
  <si>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</si>
  <si>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</si>
  <si>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</si>
  <si>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</si>
  <si>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</si>
  <si>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</si>
  <si>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</si>
  <si>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</si>
  <si>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</si>
  <si>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</si>
  <si>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</si>
  <si>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</si>
  <si>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</si>
  <si>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</si>
  <si>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</si>
  <si>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</si>
  <si>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</si>
  <si>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</si>
  <si>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</si>
  <si>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</si>
  <si>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</si>
  <si>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</si>
  <si>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</si>
  <si>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</si>
  <si>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</si>
  <si>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</si>
  <si>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</si>
  <si>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</si>
  <si>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</si>
  <si>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</si>
  <si>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</si>
  <si>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</si>
  <si>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</si>
  <si>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</si>
  <si>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</si>
  <si>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</si>
  <si>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</si>
  <si>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</si>
  <si>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</si>
  <si>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</si>
  <si>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</si>
  <si>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</si>
  <si>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</si>
  <si>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</si>
  <si>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</si>
  <si>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</si>
  <si>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</si>
  <si>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</si>
  <si>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</si>
  <si>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</si>
  <si>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</si>
  <si>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</si>
  <si>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</si>
  <si>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</si>
  <si>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</si>
  <si>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</si>
  <si>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</si>
  <si>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</si>
  <si>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</si>
  <si>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</si>
  <si>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</si>
  <si>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</si>
  <si>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</si>
  <si>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</si>
  <si>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</si>
  <si>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</si>
  <si>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</si>
  <si>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</si>
  <si>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</si>
  <si>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</si>
  <si>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</si>
  <si>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</si>
  <si>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</si>
  <si>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</si>
  <si>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</si>
  <si>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</si>
  <si>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</si>
  <si>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008/2013</t>
  </si>
  <si>
    <t>010/2013</t>
  </si>
  <si>
    <t xml:space="preserve">Secretaria Municipal de Saúde </t>
  </si>
  <si>
    <t>025/2011</t>
  </si>
  <si>
    <t>024/2011</t>
  </si>
  <si>
    <t>257/2012</t>
  </si>
  <si>
    <t>934/2013</t>
  </si>
  <si>
    <t>040/2013</t>
  </si>
  <si>
    <t>042/2013</t>
  </si>
  <si>
    <t>CONVITE</t>
  </si>
  <si>
    <t>MENOR PREÇO</t>
  </si>
  <si>
    <t xml:space="preserve">2º TERMO ADITIVO </t>
  </si>
  <si>
    <t>3º TERMO ADITIVO</t>
  </si>
  <si>
    <t xml:space="preserve">4º TERMO ADITIVO </t>
  </si>
  <si>
    <t>5º TERMO ADITIVO</t>
  </si>
  <si>
    <t>124/12</t>
  </si>
  <si>
    <t>006/2013</t>
  </si>
  <si>
    <t>045/2013</t>
  </si>
  <si>
    <t>442/2013</t>
  </si>
  <si>
    <t>235/2013</t>
  </si>
  <si>
    <t>PREGÃO</t>
  </si>
  <si>
    <t>PREGÃO SRP</t>
  </si>
  <si>
    <t xml:space="preserve">PREGÃO </t>
  </si>
  <si>
    <t>TOMADA DE PREÇO</t>
  </si>
  <si>
    <t>CONTRATAÇÃO DE EMPRESA ESPECIALIZADA PARA FORNECIMENTO DOS SERVIÇOS DE MANUTENÇÃO E SUPORTE TÉCNICO DA REDE METROPOLITANA SEM FIO</t>
  </si>
  <si>
    <t>PRESTAÇÃO DE SERVIÇOS DE TRANSPORTES</t>
  </si>
  <si>
    <t>PRESTAÇÃO DE SERVIÇOS DE TRNSPORTE - VEICULO TIPO PASSEIO COM CONDUTOR</t>
  </si>
  <si>
    <t>PRESTAÇÃO DE SERVIÇOS DE TRANSPORTES - VEÍCULOS TIPO MOTO COM CONDUTOR</t>
  </si>
  <si>
    <t xml:space="preserve">1º TERMO ADITIVO </t>
  </si>
  <si>
    <t>2º TERMO ADITIVO</t>
  </si>
  <si>
    <t xml:space="preserve">3º TERMO ADITIVO </t>
  </si>
  <si>
    <t>CONTRATO Nº 005/2012</t>
  </si>
  <si>
    <t>1º TERMO ADITIVO</t>
  </si>
  <si>
    <t>VALQUIMAR MELO DA SILVA</t>
  </si>
  <si>
    <t>ELIAS ALVES DA SILVA</t>
  </si>
  <si>
    <t>MFNET COMÉRCIO E SERVIÇOS LTDA</t>
  </si>
  <si>
    <t>REFRIGERAÇÃO CHAMA AZUL LTDA</t>
  </si>
  <si>
    <t>JOSIMAR DE OLIVEIRA XIMENES</t>
  </si>
  <si>
    <t>JOSÉ DE JESUS PONTES DIAS</t>
  </si>
  <si>
    <t>EDINALDO ALMEIDA DE MORAIS</t>
  </si>
  <si>
    <t>DEUZA RODRIGUES DE MENDONÇA</t>
  </si>
  <si>
    <t>CLEBER LUIZ DA SILVA</t>
  </si>
  <si>
    <t>FÁBIO DE SOUZA BARBOSA</t>
  </si>
  <si>
    <t>11/06/212</t>
  </si>
  <si>
    <t>01</t>
  </si>
  <si>
    <t>06</t>
  </si>
  <si>
    <t>33.90.36.00</t>
  </si>
  <si>
    <t>33.90.39.00</t>
  </si>
  <si>
    <t>33.90.33.00</t>
  </si>
  <si>
    <t>Prorrogação de Prazo</t>
  </si>
  <si>
    <t>Aditivo de Valor</t>
  </si>
  <si>
    <t>Supressão de Valor</t>
  </si>
  <si>
    <t>069/2012</t>
  </si>
  <si>
    <t>69/2012</t>
  </si>
  <si>
    <t>037/2013</t>
  </si>
  <si>
    <t>238/2013</t>
  </si>
  <si>
    <t>001/2013</t>
  </si>
  <si>
    <t>016/2013</t>
  </si>
  <si>
    <t xml:space="preserve">MENOR PREÇO </t>
  </si>
  <si>
    <t>CONTRATAÇÃO DE EMPRESA PARA PRESTAÇÃO DO SERVIÇOS TERCEIRIZADOS ESPECIALIZADOS EM SUPORTE DE ATIVIDADES AUXILIARES, LIMPEZA E CONSERVAÇÃO (SERVENTES, ZELADORES DIURNOS, AUXILIAR DE DEPÓSITO, OFICCE BOY, RECEPCIONISTA, COPEIRO, ARTÍFICE DE SERVIÇOS GERAIS), SEM FORNECIMENTO DE MATERIAL DE CONSUMO</t>
  </si>
  <si>
    <t>CONTRATAÇÃO DE EMPRESA PARA PRESTAÇÃO DE SERVIÇOS TERCEIRIZADOS ESPECIALIZADOS EM SUPORTE DE ATIVIDADES AUSILIARES, LIMPEZA E CONSERVAÇÃO (SERVENTES, ZELADORES DIURNOS, AUXILIAR DE DEPÓSITO, OFICE BOY, RECEPCIONISTA, COPEIRO, ARTIFICE DE SERVIÇOS GERAIS), SEM FORNECIMENTO DE MATERIAL  DE CONSUMO</t>
  </si>
  <si>
    <t>PRESTAÇÃO DE SERVIÇOS TERCEIRIADOS ESPECIALIZADOS EM SUPORTE DE ATIVIDADES AUXILIARES, LIMPEZA E CONSERVAÇÃO (ITEM 03 - AUXILIAR DE DEPÓSITO, ITEM 04 – OFFICE BOY, ITEM 05 – RECEPCIONISTA E ITEM 06 - COPEIRO)</t>
  </si>
  <si>
    <t>AQUISIÇÃO DE MATERIAL PERMANENTE</t>
  </si>
  <si>
    <t xml:space="preserve">AQUISIÇÃO DE GÊNEROS ALIMENTICIOS PERECÍVEIS </t>
  </si>
  <si>
    <t xml:space="preserve">PRESTAÇÃO DE SERVIÇOS TERCEIRIZADOS ESPECIALIZADOS EM SUPORTE DE ATIVIDADES AUXILIARE3S, LIMPEZA E CONSERVAÇÃO </t>
  </si>
  <si>
    <t>PRESTAÇÃO DE SERVIÇOS DE LOCAÇÃO DE IMPRESSORAS MULTIFUNCIONAIS ADAPTADAS COM SISTEMA BULK INKS, ANTI-REFLUXO E ALIMENTAÇÃO CONTÍNUA DE TINTA COM CARTUCHOS RECARREGÁVEIS</t>
  </si>
  <si>
    <t>CONTRATAÇÃO DE EMPRESA PARA PRESTAÇÃO DE SERVIÇOS TERCEIRIZADOS ESPECIALIZADOS EM SUPORTE E ATIVIDADES AUXILIARES, LIMPEZA E CONSERVAÇÃO (SERVENTES, ZELADORES DIURNOS, AUXILIAR DE DEPOSITO, OFFICE BOY, RECEPCIONISTA, COPEIRO, ARTÍFICE DE SERVIÇOS GERAIS), SEM FORNECIMENTO DE MATERIAL DE CONSUMO</t>
  </si>
  <si>
    <t xml:space="preserve">AQUISIÇÃO DE GENÊROS ALIMENTÍCIOS PERECÍVEIS </t>
  </si>
  <si>
    <t xml:space="preserve">5º TERMO ADITIVO </t>
  </si>
  <si>
    <t>6º TERMO ADITIVO</t>
  </si>
  <si>
    <t>7º TERMO ADITIVO</t>
  </si>
  <si>
    <t xml:space="preserve">8º TERMO ADITIVO </t>
  </si>
  <si>
    <t xml:space="preserve">9º TERMO ADITIVO </t>
  </si>
  <si>
    <t xml:space="preserve">10º TERMO ADITIVO </t>
  </si>
  <si>
    <t>CONT./SEME/Nº 072/2011</t>
  </si>
  <si>
    <t>4º TERMO ADITIVO</t>
  </si>
  <si>
    <t>CONT./SEME/Nº 119/2012</t>
  </si>
  <si>
    <t>CONT./SEME/Nº 120/2012</t>
  </si>
  <si>
    <t>CONT./SEME/Nº 085/2013</t>
  </si>
  <si>
    <t>AUTORIZAÇÃO DE ENTREGA</t>
  </si>
  <si>
    <t>DOUGLAS VICENTE DE CASTRO</t>
  </si>
  <si>
    <t>J. W. C. NASCIMENTO</t>
  </si>
  <si>
    <t>COOPERATIVA DE TRABALHADORES AUTONOMOS EM SERVIÇOS GERAIS - COOPSERGE</t>
  </si>
  <si>
    <t>SANTOS &amp; BARBOSA LTDA</t>
  </si>
  <si>
    <t>COOPERATIVA CENTRAL DE COMERCIALIZAÇÃO EXTRATIVISTA DO ESTADO DO ACRE</t>
  </si>
  <si>
    <t>COOPERATIVA DE TRABALHADORES AUTONÔMOS EM SERVIÇOS GERAIS - COOPSERGE</t>
  </si>
  <si>
    <t>AUTO POSTO TREVO LTDA</t>
  </si>
  <si>
    <t>ROBERTO BEZERRA - ME</t>
  </si>
  <si>
    <t>ASA - AGENCIA DE SERVIÇOS DO ACRE LTDA</t>
  </si>
  <si>
    <t>R.S. FREITAS JUCA</t>
  </si>
  <si>
    <t>04</t>
  </si>
  <si>
    <t>33.90.30.00</t>
  </si>
  <si>
    <t>44.90.52.00</t>
  </si>
  <si>
    <t>Repactuação</t>
  </si>
  <si>
    <t>Aditivo de Valor (Quantitativo)</t>
  </si>
  <si>
    <t>44.90.51.00</t>
  </si>
  <si>
    <t>020/2013</t>
  </si>
  <si>
    <t>PRESTAÇÃO DE SERVIÇOS DE PROFISSIONAL EDUCACIONAL/TREINAMENTO</t>
  </si>
  <si>
    <t>PRESTAÇÃO DE SERVIÇOS DE SEGURANÇA ELETRÔNICA COM MONITORAMENTO REMOTO DE SISTEMAS DE ALARMES E MONITORAMENTO DIGITAL COM CÂMERAS EM CIRCUTOS FECHADOS COM ACESSO REMOTO VIA INTERNET IP 24(VINTE E QUATRO) HORAS POR DIA, 07 (SETE) DIAS POR SEMANAS COM LOCAÇÃO DE EQUIPAMENTOS A TÍTULO DE COMODATO.</t>
  </si>
  <si>
    <t>ESTAÇÃO VIP SEGURANÇA PRIVADA LTDA</t>
  </si>
  <si>
    <t>VALDOMIRO LOPES VITOLLO E ANTONIO GARCIA MOCHON</t>
  </si>
  <si>
    <t>IMOBILIARIA FORTALEZA LTDA</t>
  </si>
  <si>
    <t>EMPRESA BRASILEIRA DE COREIOS E TELEGRAFOS - ECT</t>
  </si>
  <si>
    <t>ALDO DE SOUZA LIMA JUNIOR</t>
  </si>
  <si>
    <t>EDUCANDÁRIO SANTA MARGARIDA</t>
  </si>
  <si>
    <t>IÃ LUCAS CONDUTA</t>
  </si>
  <si>
    <t>LOCAÇÃO DE IMOVEL, SITUADO NA AVENIDA ANTONIO DA ROCHA VIANA, S/Nº, BAIRRO BOSQUE, NESTA CIDADE, DESTINADO AO FUNCIONAMENTO DO DEPÓSITO DA MERENDA ESCOLAR E ALMOXARIFADO DA SEME</t>
  </si>
  <si>
    <t xml:space="preserve">PRESTAÇÃO DE SERVIÇOS POSTAIS, TELEMATICOS E ADICIONAIS  </t>
  </si>
  <si>
    <t>LOCAÇÃO DE 05 (CINCO) SALAS COMERCIAIS DESTINADAS ESCLUSIVAMENTE PARA O CONSELHO MUNICIPAL DE EDUCAÇÃO, CONSELHO MUNICIPAL DO FUNDEB E CONSELHO DE ALIMENTAÇÃO ESCOLAR</t>
  </si>
  <si>
    <t>LOCAÇÃO DE 1 (UM) IMÓVEL DESTINADO EXCLUSIVAMENTE PARA SER UTILIZADO COMO SEDE DA SECRETARIA MUNICIPAL DE EDUCAÇÃO</t>
  </si>
  <si>
    <t>LOCAÇÃO DE UM IMOVEL  DESTINADO AO FUNCIONAMENTO DA ESCOLA MUNICIPAL IRMÃ MARIA GABRIELA</t>
  </si>
  <si>
    <t xml:space="preserve">LOCAÇÃO DE 01 (UM) IMÓVEL </t>
  </si>
  <si>
    <t>CONT./SEME/Nº 091/2005</t>
  </si>
  <si>
    <t xml:space="preserve">APOSTILA Nº 32/2010 </t>
  </si>
  <si>
    <t xml:space="preserve">6º TERMO ADITIVO </t>
  </si>
  <si>
    <t xml:space="preserve">APOSTILA Nº 10/2011 </t>
  </si>
  <si>
    <t xml:space="preserve">7º TERMO ADITIVO </t>
  </si>
  <si>
    <t xml:space="preserve">APOSTILA Nº 29/2012 </t>
  </si>
  <si>
    <t xml:space="preserve">APOSTILA Nº 38/2013 </t>
  </si>
  <si>
    <t>8º TERMO ADITIVO</t>
  </si>
  <si>
    <t>9º TERMO ADITIVO</t>
  </si>
  <si>
    <t>10º TERMO ADITIVO</t>
  </si>
  <si>
    <t>CONT./SEME/Nº 019/2012</t>
  </si>
  <si>
    <t>CONT./SEME/Nº 016/2012</t>
  </si>
  <si>
    <t>APOSTILA Nº 001/2013</t>
  </si>
  <si>
    <t>CONT./SEME/Nº 064/2012</t>
  </si>
  <si>
    <t>APOSTILA Nº 004/2013</t>
  </si>
  <si>
    <t>1º TERMO DE ADITIVO</t>
  </si>
  <si>
    <t>1º TERMO ADTIVO</t>
  </si>
  <si>
    <t>Reajuste</t>
  </si>
  <si>
    <t>Art. 24, inciso X da Lei 8.666/93</t>
  </si>
  <si>
    <t>Art. 24, inciso II da Lei 8.666/93</t>
  </si>
  <si>
    <t>070/14</t>
  </si>
  <si>
    <t>PRESTAÇÃO DE SERVIÇOS DE MANUTENÇÃO DE VEÍCULOS AUTOMOTORES</t>
  </si>
  <si>
    <t>PRESTAÇÃO DE SERVIÇO DE TRANSPORTE - VEÍCULO TIPO MOTO COM CONDUTOR</t>
  </si>
  <si>
    <t>PRESTAÇÃO DE SERVIÇO DE TRANSPORTE - VEÍCULO TIPO PASSEIO COM CONDUTOR</t>
  </si>
  <si>
    <t>CONT.SEME/Nº 060/14</t>
  </si>
  <si>
    <t>CONT.SEME/Nº 061/14</t>
  </si>
  <si>
    <t>CONT.SEME/Nº 062/14</t>
  </si>
  <si>
    <t>CONT.SEME/Nº 063/14</t>
  </si>
  <si>
    <t>CONT.SEME/Nº 064/14</t>
  </si>
  <si>
    <t>CONT.SEME/Nº 065/14</t>
  </si>
  <si>
    <t>CONT.SEME/Nº 066/14</t>
  </si>
  <si>
    <t>MAQPEÇAS MÁQUINAS E IMPLEMENTOS AGRÍCOLAS IMP. E EXP.LTDA</t>
  </si>
  <si>
    <t>REGINALDO DA SILVA SOARES</t>
  </si>
  <si>
    <t>LEVI FREITAS DE ANDRADE</t>
  </si>
  <si>
    <t>NIVALDO CARDOSO DE MOURA</t>
  </si>
  <si>
    <t>JANIOS PEREIRA DA SILVA</t>
  </si>
  <si>
    <t>CLEILSON SILVA DE LIMA</t>
  </si>
  <si>
    <t>352/12</t>
  </si>
  <si>
    <t>110/14</t>
  </si>
  <si>
    <t>CONTRATAÇÃO DE EMPRESA PARA PRESTÇAÕ DE SERVIÇOS DE MANUTENÇÃO DE EQUIPAMENTOS E UTENSÍLIOS COM REPOSIÇÃO DE PEÇAS E INSUMO</t>
  </si>
  <si>
    <t>AQUISIÇÃO DE GÊNEROS ALIMENTÍCIOS NÃO PERECÍVEIS</t>
  </si>
  <si>
    <t xml:space="preserve">CONTRATAÇÃO DE SERVIÇOS DE TRANSPOSTE ESCOLAR </t>
  </si>
  <si>
    <t>AQUISIÇÃO DE GENEROS  ALIMENTICIOS NÃO PERECIVEIS</t>
  </si>
  <si>
    <t>CONT.SEME/Nº 093/14</t>
  </si>
  <si>
    <t>CONT.SEME/Nº 094/14</t>
  </si>
  <si>
    <t>CONT.SEME/Nº 095/14</t>
  </si>
  <si>
    <t>CONT.SEME/Nº 096/14</t>
  </si>
  <si>
    <t>CONT.SEME/Nº 097/14</t>
  </si>
  <si>
    <t>CONT.SEME/Nº 099/14</t>
  </si>
  <si>
    <t>CONT.SEME/Nº 100/14</t>
  </si>
  <si>
    <t>NASCIMENTO &amp; NUNES REP.COMERCIAIS LTDA</t>
  </si>
  <si>
    <t>A.M.SCHAFER - ME</t>
  </si>
  <si>
    <t>LEIBE DOS SANTOS BARROS</t>
  </si>
  <si>
    <t>SERGIO DA COSTA BEZERRA</t>
  </si>
  <si>
    <t>LUIZ CARLOS VIANA FONTENELE</t>
  </si>
  <si>
    <t>SAMIR ARAUJO DE CASTRO</t>
  </si>
  <si>
    <t>44.90.52.00/33.90.30.00</t>
  </si>
  <si>
    <t>006/14</t>
  </si>
  <si>
    <t>133/14</t>
  </si>
  <si>
    <t>CONTRATAÇÃO DE EMPRESA DE EMGENHARIA PARA A EXECUÇÃO DOS SERVIÇOS DE REFORMA DA ESC. LUIZA C.DANTAS</t>
  </si>
  <si>
    <t>CONTRATAÇÃO DE EMPRESA PARA EXECUÇÃO DE SERVIÇOS DE CONSTRUÇÃO DE SUBESTAÇÕES PARA ATENDER CRECHES MUNICIPAIS</t>
  </si>
  <si>
    <t>CONT.SEME/Nº 111/14</t>
  </si>
  <si>
    <t>CONT.SEME/Nº 122/14</t>
  </si>
  <si>
    <t>NEO CONTRUÇÕES E COM.LTDA</t>
  </si>
  <si>
    <t>CONSÓRCIO EURO</t>
  </si>
  <si>
    <t>JURUA SERVIÇOS TECNICOS LTDA</t>
  </si>
  <si>
    <t>DISPENSA.DE LICITAÇÃO</t>
  </si>
  <si>
    <t>DISPENSA DE LICITAÇÃO</t>
  </si>
  <si>
    <t>LOCAÇÃO DE IMÓVEL</t>
  </si>
  <si>
    <t xml:space="preserve">CONSTRUÇÃO DE CRECHE PADRÃO PRO INFANCIA/ESC.INF.TIPO B LOT.JEQUITIBÁ </t>
  </si>
  <si>
    <t>CONT.SEME/Nº 087/14</t>
  </si>
  <si>
    <t>CACILDA PEREIRA SARAIVA</t>
  </si>
  <si>
    <t>33.90.51.00</t>
  </si>
  <si>
    <t xml:space="preserve"> </t>
  </si>
  <si>
    <t>14.294.326/001/83</t>
  </si>
  <si>
    <t>04.003.224/0001-08</t>
  </si>
  <si>
    <t>1º TERMO APOSTILAMENTO</t>
  </si>
  <si>
    <t>CONTRATAÇÃO DE EMPRESA DE ENGENHARIA PARA A EXECUÇÃO DE SERVIÇOS DE CONSTRUÇÃO DE CRECHE PADRÃO PRO INFANCIA/ESCOLA INFANTIL TIPO B - LOTEAMENTO AROEIRA</t>
  </si>
  <si>
    <t xml:space="preserve">CONTRATAÇÃO DE EMPRESA DE ENGENHARIA PARA EXECUÇÃO DE SERVIÇOS DE CONSTRUÇÃO DE UMA CRECHE PADRÃO PRÓINFÂNCIA - LOTEAMENTO ANDIRÁ </t>
  </si>
  <si>
    <t>CONTRATAÇÃO DE EMPRESA DE ENGENHARIA PARA EXECUÇÃO DE SERVIÇOS DE CONSTRUÇÃO DE UMA CRECHE PADRÃO PRÓINFÂNCIA - LOTEAMENTO VALE DO CARANDÁ</t>
  </si>
  <si>
    <t>CONTRATAÇÃO DE EMPRESA DE ENGENHARIA PAR EXECUÇÃO DE SERVIÇOS DE CONSTRUÇÃO  DE CRECHE PADRÃO PRO INFANCIA/ESCOLA INFANTIL TIPO B - LOTEAMENTO CABREÚVA</t>
  </si>
  <si>
    <t>CONTRATAÇÃO DE EMPRESA DE ENGENHARIA PAR EXECUÇÃO DE SERVIÇOS DE CONSTRUÇÃO  DE CRECHE PADRÃO PRO INFANCIA/ESCOLA INFANTIL TIPO B - LOTEAMENTO ROSA LINDA III</t>
  </si>
  <si>
    <t>CONTRATAÇÃO DE EMPRESA DE ENGENHARIA PAR EXECUÇÃO DE SERVIÇOS DE CONSTRUÇÃO  DE CRECHE PADRÃO PRO INFANCIA/ESCOLA INFANTIL TIPO B - LOTEAMENTO JACAMIM</t>
  </si>
  <si>
    <t>CONTRATAÇÃO DE EMPRESA DE ENGENHARIA PARA EXECUÇÃO DE SERVIÇOS DE CONSTRUÇÃO DE CRECHE PADRÃO PRO INFANCIA/ESCOLA  INFANTIL TIPO B, LOTE II (CONST. MURO), NO LOTEAMENTO ANDIRÁ</t>
  </si>
  <si>
    <t>3º TERMO DE APOSTILAMENTO</t>
  </si>
  <si>
    <t>NEO CONSTRUÇÃO E COMÉRCIO LTDA</t>
  </si>
  <si>
    <t>CONSTRUTORA FRIZONI LTDA</t>
  </si>
  <si>
    <t>LÍDER CONSTRUÇÕES</t>
  </si>
  <si>
    <t>COLUNA CONSTRUÇÕES E COMÉRCIO LTDA</t>
  </si>
  <si>
    <t>16</t>
  </si>
  <si>
    <t>035/2013</t>
  </si>
  <si>
    <t>036/2013</t>
  </si>
  <si>
    <t>044/2013</t>
  </si>
  <si>
    <t>CONCORÊNCIA</t>
  </si>
  <si>
    <t>CHAMADA PUBLICA</t>
  </si>
  <si>
    <t>COOPERATIVA DOS PRODUTORES DE POLPA DE FRUTAS DO ESTADO DO ACRE</t>
  </si>
  <si>
    <t>CONT./SEME/Nº 103/2013</t>
  </si>
  <si>
    <t>03.488.438/001-59</t>
  </si>
  <si>
    <t>07.190.927/0001-80</t>
  </si>
  <si>
    <t>00.415.832/0001-79</t>
  </si>
  <si>
    <t>04.063.681/0001-98</t>
  </si>
  <si>
    <t>CONT./SEME/Nº 125/2013</t>
  </si>
  <si>
    <t>CONT./SEME/Nº 095/2013</t>
  </si>
  <si>
    <t>CONT./SEME/Nº 074/2013</t>
  </si>
  <si>
    <t>CONT./SEME/Nº 047/2013</t>
  </si>
  <si>
    <t>CONT./SEME/Nº 045/2013</t>
  </si>
  <si>
    <t>CONT./SEME/Nº 001/2013</t>
  </si>
  <si>
    <t>CONT./SEME/Nº 019/2013</t>
  </si>
  <si>
    <t>prorrogação de Prazo</t>
  </si>
  <si>
    <t>03.488.438/0001/59</t>
  </si>
  <si>
    <t>84.322.932/0001-40</t>
  </si>
  <si>
    <t>14.317.275/0001-68</t>
  </si>
  <si>
    <t>07.278.888/0001-78</t>
  </si>
  <si>
    <t>17.483.432/0001-01</t>
  </si>
  <si>
    <t>11.340.836/0001-51</t>
  </si>
  <si>
    <t>09.286.947/0001-85</t>
  </si>
  <si>
    <t>34.028.316/7709-95</t>
  </si>
  <si>
    <t>17.332.592/0001-41</t>
  </si>
  <si>
    <t>583.516.472-68</t>
  </si>
  <si>
    <t>Aditivo de valor</t>
  </si>
  <si>
    <t>10.663.905/0001-03</t>
  </si>
  <si>
    <t>04.522.609/0001-81</t>
  </si>
  <si>
    <t>04.814.502/0001-07</t>
  </si>
  <si>
    <t>05.128.507/0001-49</t>
  </si>
  <si>
    <t>CONT./SEME/Nº 101/2013</t>
  </si>
  <si>
    <t>03.587.444/0001-63</t>
  </si>
  <si>
    <t>CONT./SEME/Nº 087/2013</t>
  </si>
  <si>
    <t>05.155.291/0001-00</t>
  </si>
  <si>
    <t>84.327.295/0001-03</t>
  </si>
  <si>
    <t>CONT./SEME/Nº 194/2013</t>
  </si>
  <si>
    <t xml:space="preserve">3º TERMO APOSTILAMNETO </t>
  </si>
  <si>
    <t>CONT./SEME/Nº 104/2013</t>
  </si>
  <si>
    <t>08.068.675/0001-84</t>
  </si>
  <si>
    <t>02.564.396/0001-25</t>
  </si>
  <si>
    <t>08.903.456/0001-73</t>
  </si>
  <si>
    <t>CONTRATAÇÃO DE EMPRESA DE ENGENHARIA PARA A EXECUÇÃO DOS SERVIÇOS AMPLIAÇÃO DOS BANHEIROS E REFORMA DA COBERTURA DA CRECHE JAIRO JUNIOR</t>
  </si>
  <si>
    <t>03.200.207/0001-06</t>
  </si>
  <si>
    <t>102/14</t>
  </si>
  <si>
    <t>05.687.069/0001-59          05.552.585/0001-76</t>
  </si>
  <si>
    <t>05.146.814/0001-52</t>
  </si>
  <si>
    <t>4º TERMO DE APOSTILAMENTO</t>
  </si>
  <si>
    <t>AZ COMERCIO, SERV. E REP. E EXPORTAÇÃO LTDA</t>
  </si>
  <si>
    <t>08.078.762/0001-12</t>
  </si>
  <si>
    <t>34.709.857/0001-05</t>
  </si>
  <si>
    <t>316.755.228/04</t>
  </si>
  <si>
    <t>CONT./SEME/Nº 160/2013</t>
  </si>
  <si>
    <t>005.225.772/02</t>
  </si>
  <si>
    <t>11.160</t>
  </si>
  <si>
    <t>CONT./SEME/Nº 116/2013</t>
  </si>
  <si>
    <t>023/2013</t>
  </si>
  <si>
    <t>11.815.892/0001-03</t>
  </si>
  <si>
    <t>018/2012</t>
  </si>
  <si>
    <t>2º TERMO DE ADITIVO</t>
  </si>
  <si>
    <t>3º TERMO DE ADITIVO</t>
  </si>
  <si>
    <t>04.090.759/0001-63</t>
  </si>
  <si>
    <t>03.713.023/0001-31</t>
  </si>
  <si>
    <t xml:space="preserve">PREGÃO SRP </t>
  </si>
  <si>
    <t>07.987.265/0001-74</t>
  </si>
  <si>
    <t>09.228.233/0001-10</t>
  </si>
  <si>
    <t>002/2013</t>
  </si>
  <si>
    <t>003/2013</t>
  </si>
  <si>
    <t>CONT./SEME/Nº 086/2013</t>
  </si>
  <si>
    <t>CONT./SEME/Nº 080/2013</t>
  </si>
  <si>
    <t>016/2014</t>
  </si>
  <si>
    <t>006/2014</t>
  </si>
  <si>
    <t xml:space="preserve">TOMADA DE PREÇO </t>
  </si>
  <si>
    <t>009/2014</t>
  </si>
  <si>
    <t>041/2014</t>
  </si>
  <si>
    <t>025/2014</t>
  </si>
  <si>
    <t xml:space="preserve">PREGÃO  </t>
  </si>
  <si>
    <t>004/2014</t>
  </si>
  <si>
    <t>121/2013</t>
  </si>
  <si>
    <t xml:space="preserve">CONCORÊNCIA </t>
  </si>
  <si>
    <t>007/2013</t>
  </si>
  <si>
    <t>Reajuste de  Valor</t>
  </si>
  <si>
    <t>N</t>
  </si>
  <si>
    <t>S</t>
  </si>
  <si>
    <t>CONSÓRCIO LIDER APURINÃ</t>
  </si>
  <si>
    <t>CONT.SEME/Nº 004/14</t>
  </si>
  <si>
    <t>339.659.782-68</t>
  </si>
  <si>
    <t>573.601.462-91</t>
  </si>
  <si>
    <t xml:space="preserve">2º TERMO DE APOSTILAMENTO </t>
  </si>
  <si>
    <t>Reajuste de Valor</t>
  </si>
  <si>
    <t>521.476.222-49</t>
  </si>
  <si>
    <t>384.149.962-72</t>
  </si>
  <si>
    <t>006.891.272-27</t>
  </si>
  <si>
    <t>753.135.102-15</t>
  </si>
  <si>
    <t>WEBERSON DE OLIVEIRA ARAUJO</t>
  </si>
  <si>
    <t>856.653.392-53</t>
  </si>
  <si>
    <t>692.138.282-68</t>
  </si>
  <si>
    <t>898.205.092-20</t>
  </si>
  <si>
    <t>625.004.732-87</t>
  </si>
  <si>
    <t>217.173.832-34</t>
  </si>
  <si>
    <t>791.646.922-72</t>
  </si>
  <si>
    <t>016.434.752-66</t>
  </si>
  <si>
    <t>601.285.962-04</t>
  </si>
  <si>
    <t>892.890.212-68</t>
  </si>
  <si>
    <t>07.850.772/0001-61</t>
  </si>
  <si>
    <t>010/2012</t>
  </si>
  <si>
    <t>01.153.381/0001-01</t>
  </si>
  <si>
    <t>1º TERMO DE APOSTILAMENTO</t>
  </si>
  <si>
    <t>2º TERMO DE APOSTILAMENTO</t>
  </si>
  <si>
    <t>03.383.410/0001-57</t>
  </si>
  <si>
    <t xml:space="preserve">1º TERMO DE APOSTILAMENTO </t>
  </si>
  <si>
    <t>60/2012</t>
  </si>
  <si>
    <t>107/2013</t>
  </si>
  <si>
    <t>1. TERMO ADITIVO</t>
  </si>
  <si>
    <t>TECMAQ LTDA</t>
  </si>
  <si>
    <t>04.108.775/0001-36</t>
  </si>
  <si>
    <t>469.082.427-49</t>
  </si>
  <si>
    <t>233.250.972-00</t>
  </si>
  <si>
    <t>380.498.487-87</t>
  </si>
  <si>
    <t>40/2013</t>
  </si>
  <si>
    <t>AQUISIÇÃO DE GENEROS  ALIMENTICIOS PERECIVEIS</t>
  </si>
  <si>
    <t>25/2014</t>
  </si>
  <si>
    <t>CONT./SEME/Nº 132/14</t>
  </si>
  <si>
    <t xml:space="preserve">3º TERMO DE APOSTILAMENTO </t>
  </si>
  <si>
    <t>Reajuste de /valor</t>
  </si>
  <si>
    <t xml:space="preserve">J.L.F DA SILVA </t>
  </si>
  <si>
    <t xml:space="preserve">04 </t>
  </si>
  <si>
    <t>SIDMIR GARCIA BEZERRA</t>
  </si>
  <si>
    <t>MC CAVALCANTE - ME</t>
  </si>
  <si>
    <t>SERVIÇO</t>
  </si>
  <si>
    <t>INDIRETA</t>
  </si>
  <si>
    <t>OBRA</t>
  </si>
  <si>
    <t>ADESÃO  SRP</t>
  </si>
  <si>
    <t xml:space="preserve">NEO CONSTRUÇÃO E COMÉRCIO LTDA </t>
  </si>
  <si>
    <t>D</t>
  </si>
  <si>
    <t>Lei 8.666/93</t>
  </si>
  <si>
    <t>110/2014</t>
  </si>
  <si>
    <t>MIRAGINA S/A IND.E COM</t>
  </si>
  <si>
    <t>EDVALDO PASQUIM AVARE - ME</t>
  </si>
  <si>
    <t xml:space="preserve">LEILA MARIA RIBOURA DE OLIVEIRA </t>
  </si>
  <si>
    <t xml:space="preserve">MARIA DAS GRAÇAS NOGUEIRA DE SOUZA </t>
  </si>
  <si>
    <t>260/2014</t>
  </si>
  <si>
    <t>CONTRATAÇÃO DE SERVIÇOS DE TRANSPOSTE ESCOLAR COM CONDUTOR E MONITOR</t>
  </si>
  <si>
    <t>CONT.SEME/Nº 146/14</t>
  </si>
  <si>
    <t>EGIMIO MENEZES DA SILVA</t>
  </si>
  <si>
    <t>749.477.882-91</t>
  </si>
  <si>
    <t>Repactuação de Valor</t>
  </si>
  <si>
    <t>767.714.822-00</t>
  </si>
  <si>
    <t>052.047.712-04</t>
  </si>
  <si>
    <t>CONT.SEME/Nº 113/14</t>
  </si>
  <si>
    <t>483.751.792-72</t>
  </si>
  <si>
    <t>033/2014</t>
  </si>
  <si>
    <t>322.086.932-72</t>
  </si>
  <si>
    <t>*</t>
  </si>
  <si>
    <t>1ª TERMO ADITIVO</t>
  </si>
  <si>
    <t>31/12/204</t>
  </si>
  <si>
    <t>508.149.072-53</t>
  </si>
  <si>
    <t>095.897.672-49</t>
  </si>
  <si>
    <t>IRALDO MUNIZ ONOFRE</t>
  </si>
  <si>
    <t>Prorrogação de Prazo 12 meses</t>
  </si>
  <si>
    <t>Prorrogação de Prazo  6 meses</t>
  </si>
  <si>
    <t>Prorrogação de Prazo 6 meses</t>
  </si>
  <si>
    <t>Prorrogação de Prazo de 12 meses</t>
  </si>
  <si>
    <t>Prorrogação de Prazo de 5 meses</t>
  </si>
  <si>
    <t>Remanejamento de valor para o orçamento do exercicio financeiro de 2014</t>
  </si>
  <si>
    <t>Reajuste de valor</t>
  </si>
  <si>
    <t>Prorrogação de Prazo de Execução</t>
  </si>
  <si>
    <t>Prorrogação de Prazo 13 meses e Reajuste de valor</t>
  </si>
  <si>
    <t>Prorrogação de Prazo 12 meses e Reajuste de valor</t>
  </si>
  <si>
    <t>Prorrogação de Prazo 11 meses</t>
  </si>
  <si>
    <t>Aditivo de Quantitativo</t>
  </si>
  <si>
    <t>Aditivo e Supressão de Quantitativo</t>
  </si>
  <si>
    <t>Supressão de Quantitativo</t>
  </si>
  <si>
    <t>Repactuação e Supressão de Quantitativo</t>
  </si>
  <si>
    <t>Prorrogação de Prazo e Aditivo de Quantitativo</t>
  </si>
  <si>
    <t>Supressão de Quantitativo e Repactuação</t>
  </si>
  <si>
    <t>CONT./SEME/Nº 043 - A/2013</t>
  </si>
  <si>
    <t>Supressão de valor (redução do valor unitário)</t>
  </si>
  <si>
    <t>Prorrogação de prazo 05 meses</t>
  </si>
  <si>
    <t>Prorrogação de prazo 12 meses e Acréscimo de Quantitativo</t>
  </si>
  <si>
    <t>Prorrogação de Prazo 07 meses</t>
  </si>
  <si>
    <t xml:space="preserve">Prorrogação de Prazo 210 dias </t>
  </si>
  <si>
    <t xml:space="preserve">Prorrogação de Prazo de Esecução 150 dias </t>
  </si>
  <si>
    <t>Remanejamento de Valor para o orçamento do exercicio financeiro de 2014</t>
  </si>
  <si>
    <t>3 º TERMO ADITIVO</t>
  </si>
  <si>
    <t>Prorrogação de Prazo 05 meses</t>
  </si>
  <si>
    <t>Prorrogação de Prazo - 07 meses</t>
  </si>
  <si>
    <t xml:space="preserve">Aditivo de Valor </t>
  </si>
  <si>
    <t>Prorrogação de Prazo 03 meses</t>
  </si>
  <si>
    <t xml:space="preserve">1º TERMO APOSTILAMNETO </t>
  </si>
  <si>
    <t xml:space="preserve">2º TERMO APOSTILAMNETO </t>
  </si>
  <si>
    <t>Prorrogação de Prazo 06 meses</t>
  </si>
  <si>
    <t>Prorrogação de Prazo 02 meses</t>
  </si>
  <si>
    <t xml:space="preserve">1º TERMO APOSTILAMENTO </t>
  </si>
  <si>
    <t>Prorrogação de prazo 12 meses</t>
  </si>
  <si>
    <t>Supressão de Quantitativo e Prorrogação de Prazo 12 meses</t>
  </si>
  <si>
    <t>PREGÃO  SRP</t>
  </si>
  <si>
    <t>260/214</t>
  </si>
  <si>
    <t>CONTRATAÇÃO DE SERVIÇOS DE TRANSPOSTE ESCOLAR  COM CONDUTOR E MONITOR</t>
  </si>
  <si>
    <t>CONT.SEME/Nº 148/14</t>
  </si>
  <si>
    <t>SID ROBERTO SILVA DE OLIVEIRA</t>
  </si>
  <si>
    <t>339/2014</t>
  </si>
  <si>
    <t>117/2014</t>
  </si>
  <si>
    <t>PRESTAÇÃO DE SERVIÇOS TERCEIRIZADOS DE SEGURANÇA E VIGILÂNCIA PATRIMONIAL NOTURNA DESARMADA</t>
  </si>
  <si>
    <t>CONT.SEME/Nº 07/2015</t>
  </si>
  <si>
    <t>GOLD SERVICE VIGILANCIA E SEGURANÇA</t>
  </si>
  <si>
    <t>02.764.609/0001-62</t>
  </si>
  <si>
    <t>08</t>
  </si>
  <si>
    <t>01-04</t>
  </si>
  <si>
    <t>351/2013</t>
  </si>
  <si>
    <t xml:space="preserve">CONCORRENCIA POR REGISTRO DE PREÇO </t>
  </si>
  <si>
    <t xml:space="preserve">CONTRATAÇÃO DE EMPRESA PARA A PRESTAÇÃO DE SERVIÇOS DE MANUTENÇÃO PREVENTIVA E CORRETIVA NAS INSTALAÇÕES FISICAS DOS PREDIOS ADMINISTRATIVO E DAS UNIDADES DE ENSINO </t>
  </si>
  <si>
    <t>CONT.SEME/Nº 01/2015</t>
  </si>
  <si>
    <t>07.941.947/0001-46</t>
  </si>
  <si>
    <t>Art. 24, Inciso X da Lei 8.666/93</t>
  </si>
  <si>
    <t>017/2014</t>
  </si>
  <si>
    <t>Prorrogação de Prazo-12 meses</t>
  </si>
  <si>
    <t xml:space="preserve">2º TERMO DE ADITIVO </t>
  </si>
  <si>
    <t>4º TERMO DE ADITIVO</t>
  </si>
  <si>
    <t xml:space="preserve">4º TERMO DE APOSTILAMENTO </t>
  </si>
  <si>
    <t>Remanejamento de Valor para o orçamento do exercicio financeiro de 2015</t>
  </si>
  <si>
    <t>prorrogação do prazo por 120 dias</t>
  </si>
  <si>
    <t>Prorrogação de Prazo 150 dias</t>
  </si>
  <si>
    <t>(ag)</t>
  </si>
  <si>
    <t>Prorogação de Prazo 12 meses</t>
  </si>
  <si>
    <t>335/2014</t>
  </si>
  <si>
    <t xml:space="preserve"> CONT.SEME/Nº 002/2015</t>
  </si>
  <si>
    <t xml:space="preserve"> CONT.SEME/Nº 003/2015</t>
  </si>
  <si>
    <t>278/2014</t>
  </si>
  <si>
    <t>PRESTAÇÃO DE SERVIÇOS DE LOCAÇÃO DE EQUIPAMENTOS DE INFORMÁTICAS, INCLUINDO SERVIÇOS DE ASSISTÊNCIA TÉCNICA</t>
  </si>
  <si>
    <t>CONT.SEME/Nº 025/14</t>
  </si>
  <si>
    <t>ADESÃO A ATA DE REGISTRO DE PREÇO SRP</t>
  </si>
  <si>
    <t>18.285.648/0001-17</t>
  </si>
  <si>
    <t xml:space="preserve">Prorrogação de Prazo 12 meses </t>
  </si>
  <si>
    <t>Prorrogação de Prazo de Execução 150 e Vigência 210</t>
  </si>
  <si>
    <t>23034.018985/2012-80/2012</t>
  </si>
  <si>
    <t>16/2013</t>
  </si>
  <si>
    <t xml:space="preserve">AQUISIÇAO DE MOBILIARIO ESCOLAR </t>
  </si>
  <si>
    <t>CONT.SEME/Nº 204/2013</t>
  </si>
  <si>
    <t xml:space="preserve">MILANFLEX INDUSTRIA E COMERCIO DE MOVEIS E EQUIPAMENTOS </t>
  </si>
  <si>
    <t>86.729.324/0002-61</t>
  </si>
  <si>
    <t>APOSTILA Nº 062/2013</t>
  </si>
  <si>
    <t>Remanejamento para o exercicio de 2014</t>
  </si>
  <si>
    <t xml:space="preserve">Prorogação de prazo de execução 90 dias </t>
  </si>
  <si>
    <t>APOSTILA Nº 01/2015</t>
  </si>
  <si>
    <t>Remanejamento para o exercicio de 2015</t>
  </si>
  <si>
    <t>68/2013</t>
  </si>
  <si>
    <t>FUNDO NACIONAL DE DESENVOLVIMENTO DA EDUCACAO-FNDE</t>
  </si>
  <si>
    <t xml:space="preserve">ADESAO SRP </t>
  </si>
  <si>
    <t>049/2014</t>
  </si>
  <si>
    <t xml:space="preserve">LOCACAO DE 01 IMOVEL </t>
  </si>
  <si>
    <t>CONT./SEME/Nº 179/14</t>
  </si>
  <si>
    <t>14.294.326/0001-83</t>
  </si>
  <si>
    <t>Art. 24, Inciso  da Lei 8.666/93</t>
  </si>
  <si>
    <t>PREGAO SRP</t>
  </si>
  <si>
    <t>AQUISIÇAO DE GENEROS ALIMENTICIOS PERECIVEIS</t>
  </si>
  <si>
    <t>095/2015</t>
  </si>
  <si>
    <t>026/2015</t>
  </si>
  <si>
    <t>031/2015</t>
  </si>
  <si>
    <t>AQUISIÇÃO DE MATRERIAL DE CONSUMO (RECARGA DE GAS LIQUEFEITO DE PETRÓLEO 13KG)</t>
  </si>
  <si>
    <t xml:space="preserve">E SOARES COSTA IMPORTAÇAO E EXPORTAÇAO </t>
  </si>
  <si>
    <t>15.226.944/0001-59</t>
  </si>
  <si>
    <t xml:space="preserve">Prorrogação de Prazo 210 dias e Execução 150 dias </t>
  </si>
  <si>
    <t>33.90.39.,00</t>
  </si>
  <si>
    <t>027/2015</t>
  </si>
  <si>
    <t>003/2015</t>
  </si>
  <si>
    <t>DILSON A RIBEIRO - ME</t>
  </si>
  <si>
    <t>015/2015</t>
  </si>
  <si>
    <t>010/2015</t>
  </si>
  <si>
    <t>Prorrogação de Prazo de execução - 05 meses</t>
  </si>
  <si>
    <t>5º TERMO DE AITIVO</t>
  </si>
  <si>
    <t>MARINILES S BATISTA - ME</t>
  </si>
  <si>
    <t>Prorrogação de Prazo 11 meses e 10 dias</t>
  </si>
  <si>
    <t>Prorrogação de Prazo  09 meses</t>
  </si>
  <si>
    <t>Prorrogação de Prazo - Vigência e execuçao 90 dias</t>
  </si>
  <si>
    <t>Prorrogação de Prazo  08 meses e 17 dias</t>
  </si>
  <si>
    <t>(ae) = (l) - (ad) + (ac)</t>
  </si>
  <si>
    <t>Prorogação de Prazo Execução 150 dias Vigencia 210 dias</t>
  </si>
  <si>
    <t xml:space="preserve">Prorogação de Prazo Execução 150 dias </t>
  </si>
  <si>
    <t>2ª TERMO ADITIVO</t>
  </si>
  <si>
    <t>prorrogação de Prazo 08 meses e 17 dias</t>
  </si>
  <si>
    <t>114+4</t>
  </si>
  <si>
    <t>prorrogação do prazo execução 90 dias e vigencia 120 dias</t>
  </si>
  <si>
    <t>Aditamento de Valor</t>
  </si>
  <si>
    <t>Prorrogação de Prazo de 210 dias</t>
  </si>
  <si>
    <t>30/12/204</t>
  </si>
  <si>
    <t>Prorrogação de prazo</t>
  </si>
  <si>
    <t>Repactuaçao do Valor</t>
  </si>
  <si>
    <t>Prorrogação de Prazo - Vigência e execuçao 03 meses</t>
  </si>
  <si>
    <t>18/01/201</t>
  </si>
  <si>
    <t>Prorrogação de Prazo 10 meses</t>
  </si>
  <si>
    <t>361/2013</t>
  </si>
  <si>
    <t>124/2013</t>
  </si>
  <si>
    <t>PRESTAÇAO DE SERVIÇOD DE EQUIPAMENTOS DE INFORMATICA</t>
  </si>
  <si>
    <t>CONT.SEME/Nº 05/2015</t>
  </si>
  <si>
    <t>R  S FREITAS JUCA - ME</t>
  </si>
  <si>
    <t>06 SE</t>
  </si>
  <si>
    <t>33.90.36</t>
  </si>
  <si>
    <t>002/2015</t>
  </si>
  <si>
    <t>040/2015</t>
  </si>
  <si>
    <t>009/2015</t>
  </si>
  <si>
    <t>CONT./SEME/Nº 070/2015</t>
  </si>
  <si>
    <t>030/2015</t>
  </si>
  <si>
    <t>004/2015</t>
  </si>
  <si>
    <t>CONT.SEME/Nº 088/2015</t>
  </si>
  <si>
    <t>33.090.30.00</t>
  </si>
  <si>
    <t>001/2015</t>
  </si>
  <si>
    <t>AQUISIÇÃO D E GENERO ALIMENTÍCIO PERECIVEIS E NÃO PERECIVEIS</t>
  </si>
  <si>
    <t>CONT./SEME/Nº 64/15</t>
  </si>
  <si>
    <t>1</t>
  </si>
  <si>
    <t>APOSTILA Nº 001/2015</t>
  </si>
  <si>
    <t>AQUISIÇÃO DE GENERO ALIMENTICIO PERECIVEIS E NÃO PERECIVEIS</t>
  </si>
  <si>
    <t>CONT./SEME/Nº 63/2015</t>
  </si>
  <si>
    <t>COPERATIVA DOS PRODUTORES DE AVES-AGROAVES</t>
  </si>
  <si>
    <t>09.239.515/0001-13</t>
  </si>
  <si>
    <t>CONT.SEME/Nº 079/2015</t>
  </si>
  <si>
    <t>11.340.836/0001-15</t>
  </si>
  <si>
    <t>087/2015</t>
  </si>
  <si>
    <t>025/2015</t>
  </si>
  <si>
    <t>PRESTAÇAO DE SERVIÇOS DE MANUTENÇAO DE VEICULOS AUTOMOTORES COM REPOSIÇAO DE PEÇAS</t>
  </si>
  <si>
    <t>CONT.SEME/Nº 073/2015</t>
  </si>
  <si>
    <t>LABNORTE CIRURGIA IMP. E EXP. LTDA-EPP</t>
  </si>
  <si>
    <t>03.033.345/0001-30</t>
  </si>
  <si>
    <t>08.279.380/0001-57</t>
  </si>
  <si>
    <t>034/2015</t>
  </si>
  <si>
    <t>065/2015</t>
  </si>
  <si>
    <t>016/2015</t>
  </si>
  <si>
    <t>121/2015</t>
  </si>
  <si>
    <t>PRESTAÇAO DE SERVIÇO DE AGENTE DE PORTARIA</t>
  </si>
  <si>
    <t>CONT./SEME/Nº 122/2015</t>
  </si>
  <si>
    <t>JWC MULTISERVIÇOS LTDA</t>
  </si>
  <si>
    <t>CONT./SEME/Nº 65/15</t>
  </si>
  <si>
    <t>CONT.SEME/Nº 076/2015</t>
  </si>
  <si>
    <t>FREIRE E PEREIRA LTDA</t>
  </si>
  <si>
    <t>04.458.272/0001-90</t>
  </si>
  <si>
    <t>Prorrogação de Prazo de execução 150 dias</t>
  </si>
  <si>
    <t>273/2015</t>
  </si>
  <si>
    <t>103/2014</t>
  </si>
  <si>
    <t>AQUISIÇÃO DE MATERIAL DE CONSUMO(PNEUS)</t>
  </si>
  <si>
    <t>CONT./SEME/Nº 124/2015</t>
  </si>
  <si>
    <t>AUGE PNEUS TRANSPORTE E ARMAZENAMENTO LTDA - EPP</t>
  </si>
  <si>
    <t>05.391.917/0001-88</t>
  </si>
  <si>
    <t>932/2015</t>
  </si>
  <si>
    <t>AQUISIÇAO DE MATERIAL DE CONSUMO(RECAREGA DE GAS LIQUEFEITO DE PETROLEO 13KG)</t>
  </si>
  <si>
    <t>CONT./SEME/Nº 130/2015</t>
  </si>
  <si>
    <t>AUGUSTO S DE ARAUJO</t>
  </si>
  <si>
    <t>05.511.061/0001-37</t>
  </si>
  <si>
    <t>11618</t>
  </si>
  <si>
    <t>14/07/205</t>
  </si>
  <si>
    <t xml:space="preserve">J R ASSESSORIA &amp; COMERCIO  LTDA </t>
  </si>
  <si>
    <t>008/2015</t>
  </si>
  <si>
    <t>039/2015</t>
  </si>
  <si>
    <t>170/2015</t>
  </si>
  <si>
    <t>055/2015</t>
  </si>
  <si>
    <t>PRESTAÇAO DE SERVIÇOS DE MANUTETENÇAO DE VEICULOS AUTOMOTORES COM REPOSIÇAO DE PEÇAS</t>
  </si>
  <si>
    <t>CONT.SEME/Nº 116/2015</t>
  </si>
  <si>
    <t>MERCETOYA PEÇAS E ACESSORIOS IMP. E EXP. LTDA</t>
  </si>
  <si>
    <t>CONT.SEME/Nº 59/2015</t>
  </si>
  <si>
    <t>5º TERMO DE ADITIVO</t>
  </si>
  <si>
    <t>6º TERMO DE ADITIVO</t>
  </si>
  <si>
    <t>Remanejamento de Valor para exercicio de 2015</t>
  </si>
  <si>
    <t>6º TERMO DE AITIVO</t>
  </si>
  <si>
    <t>Prorrogação de execução prorrogado por 150 dias e vigencia 210 dias</t>
  </si>
  <si>
    <t>AQUISIÇAO DE MATERIAL DE CONSUMO</t>
  </si>
  <si>
    <t>5º TERMO DE APOSTILAMENTO</t>
  </si>
  <si>
    <t>Remanejamento de valor para o orçamento do exercicio financeiro de 2015</t>
  </si>
  <si>
    <t>Prorrogação de Prazo 116 dias</t>
  </si>
  <si>
    <t>Prorrogação de Prazo: execução 150 dias e vigencia 210 dias</t>
  </si>
  <si>
    <t xml:space="preserve">5º TERMO APOSTILAMNETO </t>
  </si>
  <si>
    <t xml:space="preserve">4º TERMO APOSTILAMNETO </t>
  </si>
  <si>
    <t>?????</t>
  </si>
  <si>
    <t>113/2014</t>
  </si>
  <si>
    <t>CONTRATAÇAO DE EMPRESA ESPECIALIZADA PARA EXECUÇAO DE SERVIÇOS DE CONTROLE DE PRAGAS E VETORES</t>
  </si>
  <si>
    <t>304/2014</t>
  </si>
  <si>
    <t>CONT./SEME/Nº 120/2015</t>
  </si>
  <si>
    <t>PARAISO AMBIENTES IMPORTAÇAO E EXPORTAÇAO LTDA</t>
  </si>
  <si>
    <t>05.493.311/0001-53</t>
  </si>
  <si>
    <t>SUPERINTENDENCIA MUNICIPAL DE TRANSPORTES E TRANSITO - RBTRANS</t>
  </si>
  <si>
    <t>Prorrogação de prazo e vigencia</t>
  </si>
  <si>
    <t>750-3/2014</t>
  </si>
  <si>
    <t>1159-2013</t>
  </si>
  <si>
    <t>CONTRATAÇAO DE EMPRESA PRESTADORA DE SERVIÇO DE ORIENTAÇÃO,INFORMAÇÃO,SUPERVISAO,RECEPÇÃO E ARTIFICES DE SERVIÇOS GERAIS</t>
  </si>
  <si>
    <t>CONT./SEME/Nº 121/2015</t>
  </si>
  <si>
    <t>TEC NEWS EIRELI EPP</t>
  </si>
  <si>
    <t>05.608.779/0001-46</t>
  </si>
  <si>
    <t>SECRETARIA DE ESTADO DE GESTAO ADMINISTRATIVA</t>
  </si>
  <si>
    <t>AQUISIÇAO DE GENEROS ALIMENTICIOS NÃO PERECIVEIS</t>
  </si>
  <si>
    <t>G SANTOS DA SILVA -ME</t>
  </si>
  <si>
    <t>MARINILDES S BATISTA</t>
  </si>
  <si>
    <t>CONT.SEME/Nº 160/2015</t>
  </si>
  <si>
    <t>CONT.SEME/Nº 175/2015</t>
  </si>
  <si>
    <t>A M SHAFFER - ME</t>
  </si>
  <si>
    <t>7º TERMO DE ADITIVO</t>
  </si>
  <si>
    <t>CONT.SEME/Nº 164/2015</t>
  </si>
  <si>
    <t>33/2015</t>
  </si>
  <si>
    <t>CONT.SEME/Nº 179/2015</t>
  </si>
  <si>
    <t>CONT.SEME/Nº 117/2015</t>
  </si>
  <si>
    <t>CONT.SEME/Nº 163/2015</t>
  </si>
  <si>
    <t>R B DIS. E COM. DE CONSUMO MEDICAÇAO E MERCADORIAS EM GERAL</t>
  </si>
  <si>
    <t>CONT.SEME/Nº 176/2015</t>
  </si>
  <si>
    <t>1ºTERMO DE ADITIVO</t>
  </si>
  <si>
    <t>CONTRATAÇAO DE EMPRESA DE ENGENHARIA PARA XECUÇAO DE SERVIÇOS DE CONSTRUÇAO DE CRECHE PADRAO PRO INFANCA- JUAREZ TAVORA</t>
  </si>
  <si>
    <t xml:space="preserve">CONT.SEME/Nº 06/14 </t>
  </si>
  <si>
    <t>D.L.RAMOS -ME</t>
  </si>
  <si>
    <t>CLELSON A. DE ARAUJO</t>
  </si>
  <si>
    <t>CONT.SEME/Nº 173/2015</t>
  </si>
  <si>
    <t>CONT./SEME/Nº 170/2015</t>
  </si>
  <si>
    <t>CONT.SEME/Nº 172/2015</t>
  </si>
  <si>
    <t>J L F DA SILVA</t>
  </si>
  <si>
    <t>11.853.235/0001-42</t>
  </si>
  <si>
    <t>Reajuste de Valor e Prorrogação de Prazo</t>
  </si>
  <si>
    <t>CONT./SEME/Nº 61/2015</t>
  </si>
  <si>
    <t>3ª TERMO ADITIVO</t>
  </si>
  <si>
    <t>prorrogação de Prazo 03 meses e 13 dias</t>
  </si>
  <si>
    <t>Prorrogaçao de Prazo</t>
  </si>
  <si>
    <t xml:space="preserve">PREGÃO  SRP </t>
  </si>
  <si>
    <t>116.50</t>
  </si>
  <si>
    <t>PRESTAÇAO DE SERVIÇO DE TRANSPORTE ESCOLAR</t>
  </si>
  <si>
    <t>CONT./SEME/Nº 033/2015</t>
  </si>
  <si>
    <t>ANDRE ALVES DE AGUIAR AMORIM</t>
  </si>
  <si>
    <t>509.950.062-53</t>
  </si>
  <si>
    <t>SECRETARIA MUNICIPAL DE MEIO AMBIENTE</t>
  </si>
  <si>
    <t>Prorrogação de Prazo e Aditamento de Valor</t>
  </si>
  <si>
    <t>Remanejamento de Valor</t>
  </si>
  <si>
    <t>TOTAL</t>
  </si>
  <si>
    <t xml:space="preserve"> Executado no Exercício 2016</t>
  </si>
  <si>
    <t>Executado até 2015</t>
  </si>
  <si>
    <t>AQUISIÇAO DE COMBUSTIVEIS</t>
  </si>
  <si>
    <t>CONT./SEME/Nº 16/2016</t>
  </si>
  <si>
    <t xml:space="preserve">Prorrogação de Prazo 06 meses </t>
  </si>
  <si>
    <t>Prorrogação de prazo 06 meses e Acréscimo de Quantitativo</t>
  </si>
  <si>
    <t>11º TERMO ADITIVO</t>
  </si>
  <si>
    <t>12º TERMO ADITIVO</t>
  </si>
  <si>
    <t>13º TERMO ADITIVO</t>
  </si>
  <si>
    <t>14º TERMO ADITIVO</t>
  </si>
  <si>
    <t xml:space="preserve">Prorrogação de prazo 12 meses </t>
  </si>
  <si>
    <t>Prorrogação de Prazo 03 mese e 13 dias</t>
  </si>
  <si>
    <t>Aditivo fr Valor</t>
  </si>
  <si>
    <t>AQUISIÇAO DE AGUA MINERAL SEM GÁS</t>
  </si>
  <si>
    <t>CONT./SEME/Nº 03/2016</t>
  </si>
  <si>
    <t>2º TERMO APOSTILAMENTO</t>
  </si>
  <si>
    <t>PRESTAÇAO DE SERVIÇOS DE AGENCIMANETO DE PASSAGENS AEREAS EM TRECHOS NACIONAIS E INTERNACIONAIS E PASSAGENS TERRESTRES EM TRECHOS INTERESTADUAIS E INTERMUNICIPAIS</t>
  </si>
  <si>
    <t>CONT.SEME/Nº 01/2016</t>
  </si>
  <si>
    <t>JF TURISMO EIRELI</t>
  </si>
  <si>
    <t>Retificação de Claúsula</t>
  </si>
  <si>
    <t>Repactuação de Preço</t>
  </si>
  <si>
    <t>4ª TERMO ADITIVO</t>
  </si>
  <si>
    <t>Prorrogação do Prazo de 12 meses</t>
  </si>
  <si>
    <t>014/2011</t>
  </si>
  <si>
    <t>005/2011</t>
  </si>
  <si>
    <t>SERVIÇOS DE TRANPORTE CARRO TIPO PASSEIO (COM CONDUTOR)</t>
  </si>
  <si>
    <t>Prorrogação de Prazo e valor</t>
  </si>
  <si>
    <t>Prorrogação de Prazo 12 mese</t>
  </si>
  <si>
    <t>Prorrogação de Prazo 06 mese</t>
  </si>
  <si>
    <t>Prorrogação de Prazo 03 mese</t>
  </si>
  <si>
    <t>Prorrogação de Prao 06 meses</t>
  </si>
  <si>
    <t>2ºTERMO DE ADITIVO</t>
  </si>
  <si>
    <t>7º TERMO DE AITIVO</t>
  </si>
  <si>
    <t xml:space="preserve">3º TERMO DE ADITIVO </t>
  </si>
  <si>
    <t>Prorrogação de Prazo 04 meses e 07 dias</t>
  </si>
  <si>
    <t>CONTRATAÇAO DE EMPRESA ESPECIALIZADA PARA PRODUÇAO, IMPLANTAÇÃO E SUPORTE TECNICO DE PAGINA ELETRONICA/SERVIÇOS DE DESENV. E CUSTOMIZAÇÃO DE WEB-SITES</t>
  </si>
  <si>
    <t>CONT./SEME/Nº 129/2015</t>
  </si>
  <si>
    <t>JORGE K S OLIVEIRA</t>
  </si>
  <si>
    <t>17.482.154/0001-60</t>
  </si>
  <si>
    <t>14/17/2015</t>
  </si>
  <si>
    <t>28/07/52015</t>
  </si>
  <si>
    <t>4 º TERMO ADITIVO</t>
  </si>
  <si>
    <t>Prorrogação de Prazo de Vigência 04 meses</t>
  </si>
  <si>
    <t>CONT./SEME/Nº 04/2016</t>
  </si>
  <si>
    <t>Prorrogação de Vigência</t>
  </si>
  <si>
    <t>CONT.SEME/Nº 010/2016</t>
  </si>
  <si>
    <t>289/2015</t>
  </si>
  <si>
    <t>212/2015</t>
  </si>
  <si>
    <t>074/2015</t>
  </si>
  <si>
    <t xml:space="preserve">PRESTAÇAO DE SERVIÇOS GRAFICOS </t>
  </si>
  <si>
    <t>CONT./SEME/Nº 23/2016</t>
  </si>
  <si>
    <t>J.A.COMERCIO E REPRESENTAÇOES LTDA</t>
  </si>
  <si>
    <t>CONT.SEME/Nº 161/2015</t>
  </si>
  <si>
    <t>5ºTERMO DE ADITIVO</t>
  </si>
  <si>
    <t>Prorrogação de Prazo 150 dias e Vigência 210 dias</t>
  </si>
  <si>
    <t>prorrogação de prazo de vigencia</t>
  </si>
  <si>
    <t>059/2013</t>
  </si>
  <si>
    <t>AQUISIÇÃO DE EQUIPAMENTOS(MOBILIARIOA, EQUIPAMENTOS  ELETROCNICOS E DIVERSOS)</t>
  </si>
  <si>
    <t>CONT.SEME/Nº 30/2016</t>
  </si>
  <si>
    <t>AMAZON IMP.E EXP.LTDA</t>
  </si>
  <si>
    <t>84.312.669/0001-09</t>
  </si>
  <si>
    <t>CONT.SEME/Nº 32/2016</t>
  </si>
  <si>
    <t>CONT./SEME/Nº 06/2016</t>
  </si>
  <si>
    <t>PRESTACAO DE SERVIÇOS DE LAVAGENS E LUBRIFICAÇAO DE VEICULOS</t>
  </si>
  <si>
    <t>043/2015</t>
  </si>
  <si>
    <t>CONT.SEME/Nº 33/2016</t>
  </si>
  <si>
    <t>AQUISIÇAO DE MATERIAL DE CONSUMO ( ESCOVA DE DENTE - INFANTIL0</t>
  </si>
  <si>
    <t>CONT./SEME/Nº 11/2016</t>
  </si>
  <si>
    <t>DENTAL MED SUL ARTIGOS ODONTOLOGICOS</t>
  </si>
  <si>
    <t>02.447.571/0001-47</t>
  </si>
  <si>
    <t>CONT.SEME/Nº 075/2015</t>
  </si>
  <si>
    <t>C.SILVA DE SALES</t>
  </si>
  <si>
    <t>Prorrogação de Prazo de Vigência 06 meses</t>
  </si>
  <si>
    <t>040/2016</t>
  </si>
  <si>
    <t>CONT.SEME/Nº 44/2016</t>
  </si>
  <si>
    <t>CONT./SEME/Nº 22/2016</t>
  </si>
  <si>
    <t>A N BRILHANTE - ME</t>
  </si>
  <si>
    <t>00.672.348/0001-25</t>
  </si>
  <si>
    <t>CONT.SEME/Nº 34/2016</t>
  </si>
  <si>
    <t>019/2016</t>
  </si>
  <si>
    <t>010/2016</t>
  </si>
  <si>
    <t>030/2016</t>
  </si>
  <si>
    <t>CONT.SEME/Nº 39/2016</t>
  </si>
  <si>
    <t>G SANTOS DA SILVA - ME</t>
  </si>
  <si>
    <t>CONT.SEME/Nº 48/2016</t>
  </si>
  <si>
    <t>CONT.SEME/Nº 42/2016</t>
  </si>
  <si>
    <t>Inclusao de Clausula - Programa de Trabalho: 013.003.22390000- Fonte de Recurso 16/FNDE/MEC</t>
  </si>
  <si>
    <t>Prorrogação de Prazo Vigência 90 dias e Execução 60 dias</t>
  </si>
  <si>
    <t>prorrogação de prazo de execução 120 dias, vigência 150 dias</t>
  </si>
  <si>
    <t>CONT./SEME/Nº 21/2016</t>
  </si>
  <si>
    <t>RB DIST. E COM. DE CONSUMO, MEDICAÇAO E MERCADORIAS EM GERAL LTDA</t>
  </si>
  <si>
    <t>018/2016</t>
  </si>
  <si>
    <t>014/2016</t>
  </si>
  <si>
    <t>AQUISIÇAO DE MATERIAL DE RECARGA E CARGA COMPLETA DE GAS LIQUEFEITO DE PETROLEO 13KG E GAS CILINDRO P45</t>
  </si>
  <si>
    <t>CONT.SEME/Nº 36/2016</t>
  </si>
  <si>
    <t>AUGUSTO SOUZA DE ARAUJO</t>
  </si>
  <si>
    <t>CONT.SEME/Nº 40/2016</t>
  </si>
  <si>
    <t>162/2015</t>
  </si>
  <si>
    <t>062/2015</t>
  </si>
  <si>
    <t>PRESTAÇAO DE SERVIÇOS DE REPROGRAFIA E OUTROS</t>
  </si>
  <si>
    <t>CONT./SEME/Nº 14/2016</t>
  </si>
  <si>
    <t>S L DE CASTRO ME</t>
  </si>
  <si>
    <t>08.629.283/0001-47</t>
  </si>
  <si>
    <t>CONT.SEME/Nº 45/2016</t>
  </si>
  <si>
    <t>CONT.SEME/Nº 47/2016</t>
  </si>
  <si>
    <t>CONT.SEME/Nº 08/2016</t>
  </si>
  <si>
    <t xml:space="preserve">AQUISIÇAO DE AGUA MINERAL SEM GAS </t>
  </si>
  <si>
    <t>CONT.SEME/Nº 35/2016</t>
  </si>
  <si>
    <t>PRESTAÇAO DE SERVIÇOS DE TERCEIRIZADOS DE SEGURANÇA E VIGILANCIA PATRIMONIAL NOTURNA</t>
  </si>
  <si>
    <t>CONT./SEME/Nº 15/2016</t>
  </si>
  <si>
    <t>341/2015</t>
  </si>
  <si>
    <t>CONTRATAÇAO DE EMPRESA DE ENGENHARIA PARA A EXECUÇÃO DOS SERVIÇOS DE REFORMA NA ESCOLA INFANTIL MARIA ADEIZA RODRIGUES PEREIRA</t>
  </si>
  <si>
    <t>CONT.SEME/Nº 19/16</t>
  </si>
  <si>
    <t>336/2015</t>
  </si>
  <si>
    <t>CONTRATAÇÃO DE EMPRESA DE ENGENHARIA PARA EXECUÇÃO DOS SERVIÇOS DE REFORMA DA ESCOLA DJANIRA BEZERRA DOS REIS</t>
  </si>
  <si>
    <t>CONT./SEME/Nº 18/2016</t>
  </si>
  <si>
    <t xml:space="preserve">44.90.51.00               </t>
  </si>
  <si>
    <t>Concluída em 2015</t>
  </si>
  <si>
    <t>Em andamento em 2016</t>
  </si>
  <si>
    <t>387/2015</t>
  </si>
  <si>
    <t>007/2015</t>
  </si>
  <si>
    <t>CONTRATAÇAO DE EMPRESA DE ENGENHARIA PARA A EXECUÇÃO DOS SERVIÇOS DE REFORMA NA ESCOLA INFANTIL MARIA IZALIS CORREIA TEIXEIRA</t>
  </si>
  <si>
    <t>CONT.SEME/Nº 17/16</t>
  </si>
  <si>
    <t>EURO CONSTRUÇÕES LTDA-ME</t>
  </si>
  <si>
    <t>05.687.069/0001-59</t>
  </si>
  <si>
    <t>066/2016</t>
  </si>
  <si>
    <t>CONT.SEME/Nº 63/2016</t>
  </si>
  <si>
    <t>CONT.SEME/Nº 49/2016</t>
  </si>
  <si>
    <t>Prorrogação de Prazo de Vigencia 12 meses</t>
  </si>
  <si>
    <t xml:space="preserve">8º TERMO DE APOSTILAMENTO </t>
  </si>
  <si>
    <t xml:space="preserve">9º TERMO DE APOSTILAMENTO </t>
  </si>
  <si>
    <t xml:space="preserve">Reajuste </t>
  </si>
  <si>
    <t>PRESTAÇÃO DE CONTAS MENSAL - EXERCÍCIO 2016</t>
  </si>
  <si>
    <r>
      <t xml:space="preserve">ÓRGÃO/ENTIDADE/FUNDO: </t>
    </r>
    <r>
      <rPr>
        <b/>
        <sz val="10"/>
        <rFont val="Arial"/>
        <family val="2"/>
      </rPr>
      <t>SECRETARIA MUNICIPAL DE EDUCAÇÃO - SEME</t>
    </r>
  </si>
  <si>
    <r>
      <t xml:space="preserve">MÊS/ANO: </t>
    </r>
    <r>
      <rPr>
        <b/>
        <sz val="10"/>
        <rFont val="Arial"/>
        <family val="2"/>
      </rPr>
      <t>JANEIRO A MAIO DE 2016</t>
    </r>
  </si>
  <si>
    <r>
      <t xml:space="preserve">DATA DA ÚLTIMA ATUALIZAÇÃO: </t>
    </r>
    <r>
      <rPr>
        <b/>
        <sz val="10"/>
        <rFont val="Arial"/>
        <family val="2"/>
      </rPr>
      <t>06/06/2016</t>
    </r>
  </si>
  <si>
    <r>
      <t xml:space="preserve">Nome do responsável pela elaboração: </t>
    </r>
    <r>
      <rPr>
        <b/>
        <sz val="11"/>
        <rFont val="Arial"/>
        <family val="2"/>
      </rPr>
      <t>Ana Helena Meireles da Silva</t>
    </r>
  </si>
  <si>
    <r>
      <t xml:space="preserve">Nome do titular do Órgão/Entidade/Fundo (no exercício do cargo): </t>
    </r>
    <r>
      <rPr>
        <b/>
        <sz val="11"/>
        <rFont val="Arial"/>
        <family val="2"/>
      </rPr>
      <t>Márcio José Batista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</si>
</sst>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0" fontId="2" fillId="0" borderId="8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9" fontId="2" fillId="0" borderId="1" xfId="2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9" fontId="2" fillId="0" borderId="8" xfId="2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9" fontId="2" fillId="0" borderId="6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 wrapText="1"/>
    </xf>
    <xf numFmtId="9" fontId="2" fillId="0" borderId="6" xfId="2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" fontId="2" fillId="0" borderId="8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4" fontId="2" fillId="0" borderId="8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right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14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33CCCC"/>
      <color rgb="FF6666FF"/>
      <color rgb="FFFF99FF"/>
      <color rgb="FFFF66CC"/>
      <color rgb="FF14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230281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0" y="85725"/>
          <a:ext cx="0" cy="46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723900</xdr:colOff>
      <xdr:row>2</xdr:row>
      <xdr:rowOff>352425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561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9"/>
  <sheetViews>
    <sheetView tabSelected="1" zoomScaleNormal="100" zoomScaleSheetLayoutView="100" workbookViewId="0">
      <selection activeCell="B518" sqref="B518:D518"/>
    </sheetView>
  </sheetViews>
  <sheetFormatPr defaultRowHeight="12.75" x14ac:dyDescent="0.25"/>
  <cols>
    <col min="1" max="1" width="11.7109375" style="2" customWidth="1"/>
    <col min="2" max="2" width="14.42578125" style="2" customWidth="1"/>
    <col min="3" max="3" width="10.28515625" style="2" customWidth="1"/>
    <col min="4" max="4" width="17.28515625" style="2" customWidth="1"/>
    <col min="5" max="5" width="13.7109375" style="2" customWidth="1"/>
    <col min="6" max="6" width="47.28515625" style="2" customWidth="1"/>
    <col min="7" max="7" width="16.28515625" style="2" customWidth="1"/>
    <col min="8" max="8" width="14.28515625" style="2" customWidth="1"/>
    <col min="9" max="9" width="20" style="2" customWidth="1"/>
    <col min="10" max="10" width="21.5703125" style="2" customWidth="1"/>
    <col min="11" max="11" width="14.140625" style="2" customWidth="1"/>
    <col min="12" max="12" width="24.85546875" style="2" customWidth="1"/>
    <col min="13" max="13" width="13.140625" style="2" customWidth="1"/>
    <col min="14" max="14" width="14" style="2" customWidth="1"/>
    <col min="15" max="15" width="16.42578125" style="2" customWidth="1"/>
    <col min="16" max="16" width="19.28515625" style="3" customWidth="1"/>
    <col min="17" max="17" width="12" style="2" customWidth="1"/>
    <col min="18" max="18" width="10.5703125" style="2" customWidth="1"/>
    <col min="19" max="19" width="10" style="2" customWidth="1"/>
    <col min="20" max="20" width="15.28515625" style="2" customWidth="1"/>
    <col min="21" max="21" width="24.5703125" style="3" customWidth="1"/>
    <col min="22" max="22" width="14.140625" style="2" customWidth="1"/>
    <col min="23" max="23" width="14.7109375" style="5" customWidth="1"/>
    <col min="24" max="24" width="42.42578125" style="2" customWidth="1"/>
    <col min="25" max="25" width="13.7109375" style="2" customWidth="1"/>
    <col min="26" max="26" width="12.7109375" style="2" customWidth="1"/>
    <col min="27" max="27" width="14.140625" style="197" customWidth="1"/>
    <col min="28" max="28" width="12.42578125" style="2" customWidth="1"/>
    <col min="29" max="29" width="18.85546875" style="2" customWidth="1"/>
    <col min="30" max="30" width="21.140625" style="198" customWidth="1"/>
    <col min="31" max="31" width="21" style="2" customWidth="1"/>
    <col min="32" max="32" width="27" style="2" customWidth="1"/>
    <col min="33" max="33" width="27.7109375" style="2" customWidth="1"/>
    <col min="34" max="34" width="20.85546875" style="2" customWidth="1"/>
    <col min="35" max="35" width="11.5703125" style="2" customWidth="1"/>
    <col min="36" max="36" width="13.85546875" style="2" customWidth="1"/>
    <col min="37" max="37" width="33.140625" style="2" customWidth="1"/>
    <col min="38" max="38" width="13.140625" style="2" customWidth="1"/>
    <col min="39" max="39" width="14.5703125" style="2" customWidth="1"/>
    <col min="40" max="40" width="14.42578125" style="2" customWidth="1"/>
    <col min="41" max="41" width="13.85546875" style="2" customWidth="1"/>
    <col min="42" max="42" width="13.7109375" style="2" customWidth="1"/>
    <col min="43" max="43" width="13.28515625" style="2" customWidth="1"/>
    <col min="44" max="44" width="12.28515625" style="2" customWidth="1"/>
    <col min="45" max="45" width="13" style="2" customWidth="1"/>
    <col min="46" max="46" width="11.28515625" style="2" customWidth="1"/>
    <col min="47" max="47" width="11.85546875" style="2" bestFit="1" customWidth="1"/>
    <col min="48" max="48" width="11.5703125" style="2" bestFit="1" customWidth="1"/>
    <col min="49" max="49" width="16" style="2" customWidth="1"/>
    <col min="50" max="50" width="12.85546875" style="2" customWidth="1"/>
    <col min="51" max="51" width="11.85546875" style="2" bestFit="1" customWidth="1"/>
    <col min="52" max="52" width="9.140625" style="2"/>
    <col min="53" max="53" width="10.140625" style="2" customWidth="1"/>
    <col min="54" max="55" width="9.140625" style="2"/>
    <col min="56" max="56" width="55.28515625" style="2" customWidth="1"/>
    <col min="57" max="62" width="9.140625" style="193"/>
    <col min="63" max="16384" width="9.140625" style="2"/>
  </cols>
  <sheetData>
    <row r="1" spans="1:62" x14ac:dyDescent="0.25">
      <c r="I1" s="195"/>
      <c r="J1" s="195"/>
      <c r="K1" s="195"/>
      <c r="AI1" s="164"/>
      <c r="AJ1" s="164"/>
      <c r="AK1" s="164"/>
      <c r="AL1" s="164"/>
      <c r="AM1" s="164"/>
      <c r="AN1" s="164"/>
      <c r="AO1" s="164"/>
      <c r="AP1" s="164"/>
      <c r="AQ1" s="164"/>
      <c r="AR1" s="164"/>
    </row>
    <row r="2" spans="1:62" x14ac:dyDescent="0.25">
      <c r="I2" s="1"/>
      <c r="J2" s="3"/>
      <c r="K2" s="1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62" ht="30.75" customHeight="1" x14ac:dyDescent="0.25">
      <c r="F3" s="199"/>
      <c r="I3" s="1"/>
      <c r="J3" s="3"/>
      <c r="K3" s="1"/>
      <c r="L3" s="200"/>
      <c r="N3" s="195"/>
      <c r="O3" s="195"/>
      <c r="P3" s="195"/>
      <c r="Q3" s="195"/>
      <c r="U3" s="1"/>
      <c r="AA3" s="201"/>
      <c r="AB3" s="201"/>
      <c r="AD3" s="200"/>
      <c r="AE3" s="202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62" s="199" customFormat="1" x14ac:dyDescent="0.25">
      <c r="A4" s="199" t="s">
        <v>51</v>
      </c>
      <c r="I4" s="203"/>
      <c r="J4" s="203"/>
      <c r="K4" s="203"/>
      <c r="N4" s="220"/>
      <c r="O4" s="220"/>
      <c r="P4" s="220"/>
      <c r="U4" s="221"/>
      <c r="W4" s="221"/>
      <c r="AA4" s="222"/>
      <c r="AB4" s="223"/>
      <c r="AC4" s="223"/>
      <c r="AD4" s="224"/>
      <c r="AE4" s="225"/>
      <c r="AF4" s="226"/>
      <c r="BE4" s="227"/>
      <c r="BF4" s="227"/>
      <c r="BG4" s="227"/>
      <c r="BH4" s="227"/>
      <c r="BI4" s="227"/>
      <c r="BJ4" s="227"/>
    </row>
    <row r="5" spans="1:62" x14ac:dyDescent="0.25">
      <c r="B5" s="3"/>
      <c r="C5" s="3"/>
      <c r="D5" s="3"/>
      <c r="E5" s="3"/>
      <c r="F5" s="3"/>
      <c r="G5" s="3"/>
      <c r="H5" s="3" t="s">
        <v>298</v>
      </c>
      <c r="I5" s="195"/>
      <c r="J5" s="195"/>
      <c r="K5" s="195"/>
      <c r="L5" s="1"/>
      <c r="M5" s="3"/>
      <c r="N5" s="3"/>
      <c r="O5" s="3"/>
      <c r="Q5" s="3"/>
      <c r="R5" s="3"/>
      <c r="S5" s="3"/>
      <c r="T5" s="3"/>
      <c r="U5" s="1"/>
      <c r="V5" s="1"/>
      <c r="W5" s="1"/>
      <c r="X5" s="3"/>
      <c r="Y5" s="3"/>
      <c r="Z5" s="3"/>
      <c r="AA5" s="205"/>
      <c r="AB5" s="3"/>
      <c r="AC5" s="205"/>
      <c r="AD5" s="206"/>
      <c r="AE5" s="3"/>
      <c r="AF5" s="3"/>
      <c r="AG5" s="2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62" s="199" customFormat="1" x14ac:dyDescent="0.25">
      <c r="A6" s="199" t="s">
        <v>875</v>
      </c>
      <c r="I6" s="220"/>
      <c r="J6" s="220"/>
      <c r="K6" s="220"/>
      <c r="W6" s="223"/>
      <c r="Y6" s="228"/>
      <c r="AA6" s="226"/>
      <c r="AD6" s="224"/>
      <c r="AU6" s="223"/>
      <c r="AW6" s="223"/>
      <c r="BE6" s="227"/>
      <c r="BF6" s="227"/>
      <c r="BG6" s="227"/>
      <c r="BH6" s="227"/>
      <c r="BI6" s="227"/>
      <c r="BJ6" s="227"/>
    </row>
    <row r="7" spans="1:62" x14ac:dyDescent="0.25">
      <c r="A7" s="207" t="s">
        <v>112</v>
      </c>
      <c r="B7" s="207"/>
      <c r="C7" s="207"/>
      <c r="D7" s="207"/>
      <c r="E7" s="207"/>
      <c r="F7" s="207"/>
      <c r="G7" s="207"/>
      <c r="H7" s="207"/>
      <c r="I7" s="207"/>
      <c r="J7" s="207"/>
      <c r="K7" s="4"/>
      <c r="L7" s="164"/>
      <c r="M7" s="4"/>
      <c r="N7" s="164"/>
      <c r="O7" s="4"/>
      <c r="Q7" s="164"/>
      <c r="R7" s="164"/>
      <c r="S7" s="164"/>
      <c r="T7" s="164"/>
      <c r="U7" s="1"/>
      <c r="V7" s="164"/>
      <c r="W7" s="1"/>
      <c r="X7" s="164"/>
      <c r="Y7" s="4"/>
      <c r="Z7" s="164"/>
      <c r="AA7" s="200"/>
      <c r="AB7" s="164"/>
      <c r="AC7" s="208"/>
      <c r="AD7" s="208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U7" s="200"/>
      <c r="AW7" s="200"/>
    </row>
    <row r="8" spans="1:62" x14ac:dyDescent="0.25">
      <c r="A8" s="207" t="s">
        <v>89</v>
      </c>
      <c r="B8" s="207"/>
      <c r="C8" s="207"/>
      <c r="D8" s="207"/>
      <c r="E8" s="207"/>
      <c r="F8" s="164"/>
      <c r="G8" s="164"/>
      <c r="H8" s="164"/>
      <c r="I8" s="164"/>
      <c r="J8" s="164"/>
      <c r="K8" s="4"/>
      <c r="L8" s="164"/>
      <c r="M8" s="4"/>
      <c r="N8" s="3"/>
      <c r="O8" s="4"/>
      <c r="P8" s="1"/>
      <c r="Q8" s="164"/>
      <c r="R8" s="164"/>
      <c r="S8" s="164"/>
      <c r="T8" s="164"/>
      <c r="U8" s="1"/>
      <c r="V8" s="4"/>
      <c r="W8" s="1"/>
      <c r="X8" s="4"/>
      <c r="Y8" s="4"/>
      <c r="Z8" s="164"/>
      <c r="AA8" s="200"/>
      <c r="AB8" s="4"/>
      <c r="AC8" s="209"/>
      <c r="AD8" s="210"/>
      <c r="AE8" s="210"/>
      <c r="AF8" s="211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</row>
    <row r="9" spans="1:62" x14ac:dyDescent="0.25">
      <c r="B9" s="3"/>
      <c r="C9" s="3"/>
      <c r="D9" s="3"/>
      <c r="E9" s="3"/>
      <c r="F9" s="3"/>
      <c r="G9" s="3"/>
      <c r="H9" s="3"/>
      <c r="I9" s="203"/>
      <c r="J9" s="3"/>
      <c r="K9" s="3"/>
      <c r="L9" s="3"/>
      <c r="M9" s="1"/>
      <c r="N9" s="212"/>
      <c r="O9" s="1"/>
      <c r="Q9" s="3"/>
      <c r="R9" s="3"/>
      <c r="S9" s="3"/>
      <c r="T9" s="3"/>
      <c r="V9" s="1"/>
      <c r="W9" s="1"/>
      <c r="X9" s="1"/>
      <c r="Y9" s="1"/>
      <c r="Z9" s="3"/>
      <c r="AA9" s="212"/>
      <c r="AB9" s="3"/>
      <c r="AC9" s="205"/>
      <c r="AD9" s="206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62" x14ac:dyDescent="0.25">
      <c r="A10" s="207" t="s">
        <v>876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</row>
    <row r="11" spans="1:62" x14ac:dyDescent="0.25">
      <c r="A11" s="2" t="s">
        <v>877</v>
      </c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3"/>
      <c r="N11" s="3"/>
      <c r="O11" s="3"/>
      <c r="Q11" s="3"/>
      <c r="R11" s="3"/>
      <c r="S11" s="3"/>
      <c r="T11" s="3"/>
      <c r="V11" s="3"/>
      <c r="X11" s="3"/>
      <c r="Y11" s="3"/>
      <c r="Z11" s="3"/>
      <c r="AA11" s="205"/>
      <c r="AB11" s="3"/>
      <c r="AC11" s="3"/>
      <c r="AD11" s="20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62" x14ac:dyDescent="0.25">
      <c r="A12" s="207" t="s">
        <v>878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</row>
    <row r="13" spans="1:62" x14ac:dyDescent="0.25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</row>
    <row r="14" spans="1:62" s="231" customFormat="1" ht="15.75" customHeight="1" thickBot="1" x14ac:dyDescent="0.3">
      <c r="A14" s="229" t="s">
        <v>83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30"/>
      <c r="BF14" s="230"/>
      <c r="BG14" s="230"/>
      <c r="BH14" s="230"/>
      <c r="BI14" s="230"/>
      <c r="BJ14" s="230"/>
    </row>
    <row r="15" spans="1:62" ht="15.75" customHeight="1" x14ac:dyDescent="0.25">
      <c r="A15" s="237" t="s">
        <v>55</v>
      </c>
      <c r="B15" s="238" t="s">
        <v>22</v>
      </c>
      <c r="C15" s="238"/>
      <c r="D15" s="238"/>
      <c r="E15" s="238"/>
      <c r="F15" s="238"/>
      <c r="G15" s="238"/>
      <c r="H15" s="238" t="s">
        <v>84</v>
      </c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 t="s">
        <v>91</v>
      </c>
      <c r="AJ15" s="238"/>
      <c r="AK15" s="238"/>
      <c r="AL15" s="238"/>
      <c r="AM15" s="238" t="s">
        <v>111</v>
      </c>
      <c r="AN15" s="238"/>
      <c r="AO15" s="238"/>
      <c r="AP15" s="238"/>
      <c r="AQ15" s="238"/>
      <c r="AR15" s="238"/>
      <c r="AS15" s="238" t="s">
        <v>85</v>
      </c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9"/>
    </row>
    <row r="16" spans="1:62" ht="15.75" customHeight="1" x14ac:dyDescent="0.25">
      <c r="A16" s="240"/>
      <c r="B16" s="154"/>
      <c r="C16" s="154"/>
      <c r="D16" s="154"/>
      <c r="E16" s="154"/>
      <c r="F16" s="154"/>
      <c r="G16" s="154"/>
      <c r="H16" s="154" t="s">
        <v>52</v>
      </c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 t="s">
        <v>53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54</v>
      </c>
      <c r="AF16" s="154"/>
      <c r="AG16" s="154"/>
      <c r="AH16" s="154"/>
      <c r="AI16" s="154" t="s">
        <v>93</v>
      </c>
      <c r="AJ16" s="154" t="s">
        <v>94</v>
      </c>
      <c r="AK16" s="154" t="s">
        <v>92</v>
      </c>
      <c r="AL16" s="154" t="s">
        <v>95</v>
      </c>
      <c r="AM16" s="154" t="s">
        <v>100</v>
      </c>
      <c r="AN16" s="154" t="s">
        <v>101</v>
      </c>
      <c r="AO16" s="154" t="s">
        <v>102</v>
      </c>
      <c r="AP16" s="154" t="s">
        <v>104</v>
      </c>
      <c r="AQ16" s="154" t="s">
        <v>103</v>
      </c>
      <c r="AR16" s="154" t="s">
        <v>104</v>
      </c>
      <c r="AS16" s="154" t="s">
        <v>1</v>
      </c>
      <c r="AT16" s="154" t="s">
        <v>61</v>
      </c>
      <c r="AU16" s="232" t="s">
        <v>65</v>
      </c>
      <c r="AV16" s="232"/>
      <c r="AW16" s="232"/>
      <c r="AX16" s="232" t="s">
        <v>68</v>
      </c>
      <c r="AY16" s="232"/>
      <c r="AZ16" s="154" t="s">
        <v>860</v>
      </c>
      <c r="BA16" s="154" t="s">
        <v>861</v>
      </c>
      <c r="BB16" s="232" t="s">
        <v>71</v>
      </c>
      <c r="BC16" s="232"/>
      <c r="BD16" s="241"/>
    </row>
    <row r="17" spans="1:56" ht="41.25" customHeight="1" x14ac:dyDescent="0.25">
      <c r="A17" s="240"/>
      <c r="B17" s="155" t="s">
        <v>6</v>
      </c>
      <c r="C17" s="155" t="s">
        <v>7</v>
      </c>
      <c r="D17" s="155" t="s">
        <v>0</v>
      </c>
      <c r="E17" s="155" t="s">
        <v>1</v>
      </c>
      <c r="F17" s="155" t="s">
        <v>2</v>
      </c>
      <c r="G17" s="155" t="s">
        <v>8</v>
      </c>
      <c r="H17" s="233" t="s">
        <v>9</v>
      </c>
      <c r="I17" s="155" t="s">
        <v>3</v>
      </c>
      <c r="J17" s="155" t="s">
        <v>20</v>
      </c>
      <c r="K17" s="155" t="s">
        <v>10</v>
      </c>
      <c r="L17" s="155" t="s">
        <v>49</v>
      </c>
      <c r="M17" s="155" t="s">
        <v>15</v>
      </c>
      <c r="N17" s="155" t="s">
        <v>14</v>
      </c>
      <c r="O17" s="155" t="s">
        <v>13</v>
      </c>
      <c r="P17" s="155" t="s">
        <v>4</v>
      </c>
      <c r="Q17" s="155" t="s">
        <v>90</v>
      </c>
      <c r="R17" s="155" t="s">
        <v>56</v>
      </c>
      <c r="S17" s="155" t="s">
        <v>57</v>
      </c>
      <c r="T17" s="155" t="s">
        <v>5</v>
      </c>
      <c r="U17" s="155" t="s">
        <v>11</v>
      </c>
      <c r="V17" s="155" t="s">
        <v>10</v>
      </c>
      <c r="W17" s="156" t="s">
        <v>15</v>
      </c>
      <c r="X17" s="155" t="s">
        <v>12</v>
      </c>
      <c r="Y17" s="155" t="s">
        <v>14</v>
      </c>
      <c r="Z17" s="155" t="s">
        <v>13</v>
      </c>
      <c r="AA17" s="157" t="s">
        <v>16</v>
      </c>
      <c r="AB17" s="155" t="s">
        <v>17</v>
      </c>
      <c r="AC17" s="155" t="s">
        <v>18</v>
      </c>
      <c r="AD17" s="158" t="s">
        <v>19</v>
      </c>
      <c r="AE17" s="155" t="s">
        <v>23</v>
      </c>
      <c r="AF17" s="155" t="s">
        <v>744</v>
      </c>
      <c r="AG17" s="155" t="s">
        <v>743</v>
      </c>
      <c r="AH17" s="155" t="s">
        <v>21</v>
      </c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234" t="s">
        <v>62</v>
      </c>
      <c r="AV17" s="234" t="s">
        <v>63</v>
      </c>
      <c r="AW17" s="234" t="s">
        <v>64</v>
      </c>
      <c r="AX17" s="234" t="s">
        <v>66</v>
      </c>
      <c r="AY17" s="155" t="s">
        <v>67</v>
      </c>
      <c r="AZ17" s="154"/>
      <c r="BA17" s="154"/>
      <c r="BB17" s="234" t="s">
        <v>62</v>
      </c>
      <c r="BC17" s="234" t="s">
        <v>70</v>
      </c>
      <c r="BD17" s="242" t="s">
        <v>69</v>
      </c>
    </row>
    <row r="18" spans="1:56" ht="28.5" customHeight="1" thickBot="1" x14ac:dyDescent="0.3">
      <c r="A18" s="243"/>
      <c r="B18" s="244" t="s">
        <v>24</v>
      </c>
      <c r="C18" s="244" t="s">
        <v>25</v>
      </c>
      <c r="D18" s="245" t="s">
        <v>48</v>
      </c>
      <c r="E18" s="244" t="s">
        <v>26</v>
      </c>
      <c r="F18" s="244" t="s">
        <v>27</v>
      </c>
      <c r="G18" s="244" t="s">
        <v>28</v>
      </c>
      <c r="H18" s="245" t="s">
        <v>29</v>
      </c>
      <c r="I18" s="244" t="s">
        <v>30</v>
      </c>
      <c r="J18" s="244" t="s">
        <v>31</v>
      </c>
      <c r="K18" s="244" t="s">
        <v>32</v>
      </c>
      <c r="L18" s="246" t="s">
        <v>33</v>
      </c>
      <c r="M18" s="244" t="s">
        <v>34</v>
      </c>
      <c r="N18" s="244" t="s">
        <v>35</v>
      </c>
      <c r="O18" s="244" t="s">
        <v>36</v>
      </c>
      <c r="P18" s="244" t="s">
        <v>37</v>
      </c>
      <c r="Q18" s="244" t="s">
        <v>38</v>
      </c>
      <c r="R18" s="244" t="s">
        <v>39</v>
      </c>
      <c r="S18" s="244" t="s">
        <v>50</v>
      </c>
      <c r="T18" s="244" t="s">
        <v>40</v>
      </c>
      <c r="U18" s="244" t="s">
        <v>58</v>
      </c>
      <c r="V18" s="244" t="s">
        <v>41</v>
      </c>
      <c r="W18" s="247" t="s">
        <v>42</v>
      </c>
      <c r="X18" s="244" t="s">
        <v>43</v>
      </c>
      <c r="Y18" s="244" t="s">
        <v>44</v>
      </c>
      <c r="Z18" s="244" t="s">
        <v>45</v>
      </c>
      <c r="AA18" s="248" t="s">
        <v>46</v>
      </c>
      <c r="AB18" s="244" t="s">
        <v>59</v>
      </c>
      <c r="AC18" s="244" t="s">
        <v>47</v>
      </c>
      <c r="AD18" s="249" t="s">
        <v>86</v>
      </c>
      <c r="AE18" s="244" t="s">
        <v>594</v>
      </c>
      <c r="AF18" s="244" t="s">
        <v>60</v>
      </c>
      <c r="AG18" s="244" t="s">
        <v>541</v>
      </c>
      <c r="AH18" s="244" t="s">
        <v>88</v>
      </c>
      <c r="AI18" s="244" t="s">
        <v>72</v>
      </c>
      <c r="AJ18" s="244" t="s">
        <v>73</v>
      </c>
      <c r="AK18" s="244" t="s">
        <v>74</v>
      </c>
      <c r="AL18" s="244" t="s">
        <v>75</v>
      </c>
      <c r="AM18" s="250" t="s">
        <v>76</v>
      </c>
      <c r="AN18" s="250" t="s">
        <v>77</v>
      </c>
      <c r="AO18" s="250" t="s">
        <v>78</v>
      </c>
      <c r="AP18" s="250" t="s">
        <v>79</v>
      </c>
      <c r="AQ18" s="250" t="s">
        <v>80</v>
      </c>
      <c r="AR18" s="250" t="s">
        <v>81</v>
      </c>
      <c r="AS18" s="250" t="s">
        <v>82</v>
      </c>
      <c r="AT18" s="250" t="s">
        <v>87</v>
      </c>
      <c r="AU18" s="250" t="s">
        <v>96</v>
      </c>
      <c r="AV18" s="250" t="s">
        <v>97</v>
      </c>
      <c r="AW18" s="250" t="s">
        <v>98</v>
      </c>
      <c r="AX18" s="250" t="s">
        <v>105</v>
      </c>
      <c r="AY18" s="250" t="s">
        <v>99</v>
      </c>
      <c r="AZ18" s="250" t="s">
        <v>106</v>
      </c>
      <c r="BA18" s="250" t="s">
        <v>107</v>
      </c>
      <c r="BB18" s="250" t="s">
        <v>108</v>
      </c>
      <c r="BC18" s="250" t="s">
        <v>109</v>
      </c>
      <c r="BD18" s="251" t="s">
        <v>110</v>
      </c>
    </row>
    <row r="19" spans="1:56" ht="28.5" customHeight="1" x14ac:dyDescent="0.25">
      <c r="A19" s="267">
        <v>1</v>
      </c>
      <c r="B19" s="252" t="s">
        <v>853</v>
      </c>
      <c r="C19" s="29" t="s">
        <v>621</v>
      </c>
      <c r="D19" s="29" t="s">
        <v>122</v>
      </c>
      <c r="E19" s="29" t="s">
        <v>123</v>
      </c>
      <c r="F19" s="29" t="s">
        <v>854</v>
      </c>
      <c r="G19" s="67">
        <v>11728</v>
      </c>
      <c r="H19" s="29" t="s">
        <v>855</v>
      </c>
      <c r="I19" s="29" t="s">
        <v>366</v>
      </c>
      <c r="J19" s="29" t="s">
        <v>367</v>
      </c>
      <c r="K19" s="30">
        <v>42395</v>
      </c>
      <c r="L19" s="167">
        <v>63584.51</v>
      </c>
      <c r="M19" s="65">
        <v>11731</v>
      </c>
      <c r="N19" s="33">
        <v>42395</v>
      </c>
      <c r="O19" s="33">
        <v>42485</v>
      </c>
      <c r="P19" s="29">
        <v>1</v>
      </c>
      <c r="Q19" s="29"/>
      <c r="R19" s="29"/>
      <c r="S19" s="29"/>
      <c r="T19" s="29" t="s">
        <v>208</v>
      </c>
      <c r="U19" s="51"/>
      <c r="V19" s="51"/>
      <c r="W19" s="114"/>
      <c r="X19" s="51"/>
      <c r="Y19" s="51"/>
      <c r="Z19" s="51"/>
      <c r="AA19" s="141"/>
      <c r="AB19" s="51"/>
      <c r="AC19" s="51"/>
      <c r="AD19" s="113"/>
      <c r="AE19" s="235">
        <f>L19</f>
        <v>63584.51</v>
      </c>
      <c r="AF19" s="51"/>
      <c r="AG19" s="135">
        <v>44821.06</v>
      </c>
      <c r="AH19" s="13">
        <f>AF19+AG19</f>
        <v>44821.06</v>
      </c>
      <c r="AI19" s="51"/>
      <c r="AJ19" s="51"/>
      <c r="AK19" s="51"/>
      <c r="AL19" s="51"/>
      <c r="AM19" s="115"/>
      <c r="AN19" s="115"/>
      <c r="AO19" s="115"/>
      <c r="AP19" s="115"/>
      <c r="AQ19" s="115"/>
      <c r="AR19" s="115"/>
      <c r="AS19" s="115"/>
      <c r="AT19" s="115"/>
      <c r="AU19" s="236">
        <v>42395</v>
      </c>
      <c r="AV19" s="236">
        <v>42454</v>
      </c>
      <c r="AW19" s="168">
        <f>SUM(AH19/AE19)</f>
        <v>0.70490532993019839</v>
      </c>
      <c r="AX19" s="115"/>
      <c r="AY19" s="115"/>
      <c r="AZ19" s="115"/>
      <c r="BA19" s="115"/>
      <c r="BB19" s="115"/>
      <c r="BC19" s="115"/>
      <c r="BD19" s="115"/>
    </row>
    <row r="20" spans="1:56" ht="28.5" customHeight="1" x14ac:dyDescent="0.25">
      <c r="A20" s="268"/>
      <c r="B20" s="252"/>
      <c r="C20" s="29"/>
      <c r="D20" s="29"/>
      <c r="E20" s="29"/>
      <c r="F20" s="29"/>
      <c r="G20" s="67"/>
      <c r="H20" s="29"/>
      <c r="I20" s="29"/>
      <c r="J20" s="29"/>
      <c r="K20" s="30"/>
      <c r="L20" s="167"/>
      <c r="M20" s="65"/>
      <c r="N20" s="33"/>
      <c r="O20" s="33"/>
      <c r="P20" s="29"/>
      <c r="Q20" s="29"/>
      <c r="R20" s="29"/>
      <c r="S20" s="29"/>
      <c r="T20" s="29"/>
      <c r="U20" s="21"/>
      <c r="V20" s="21"/>
      <c r="W20" s="11"/>
      <c r="X20" s="21"/>
      <c r="Y20" s="21"/>
      <c r="Z20" s="21"/>
      <c r="AA20" s="23"/>
      <c r="AB20" s="21"/>
      <c r="AC20" s="21"/>
      <c r="AD20" s="24"/>
      <c r="AE20" s="21"/>
      <c r="AF20" s="21"/>
      <c r="AG20" s="69"/>
      <c r="AH20" s="12">
        <f t="shared" ref="AH20:AH72" si="0">AF20+AG20</f>
        <v>0</v>
      </c>
      <c r="AI20" s="21"/>
      <c r="AJ20" s="21"/>
      <c r="AK20" s="21"/>
      <c r="AL20" s="21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168"/>
      <c r="AX20" s="27"/>
      <c r="AY20" s="27"/>
      <c r="AZ20" s="27"/>
      <c r="BA20" s="27"/>
      <c r="BB20" s="27"/>
      <c r="BC20" s="27"/>
      <c r="BD20" s="27"/>
    </row>
    <row r="21" spans="1:56" ht="28.5" customHeight="1" x14ac:dyDescent="0.25">
      <c r="A21" s="269"/>
      <c r="B21" s="253"/>
      <c r="C21" s="35"/>
      <c r="D21" s="35"/>
      <c r="E21" s="35"/>
      <c r="F21" s="35"/>
      <c r="G21" s="73"/>
      <c r="H21" s="35"/>
      <c r="I21" s="35"/>
      <c r="J21" s="35"/>
      <c r="K21" s="36"/>
      <c r="L21" s="169"/>
      <c r="M21" s="71"/>
      <c r="N21" s="39"/>
      <c r="O21" s="39"/>
      <c r="P21" s="35"/>
      <c r="Q21" s="35"/>
      <c r="R21" s="35"/>
      <c r="S21" s="35"/>
      <c r="T21" s="35"/>
      <c r="U21" s="21"/>
      <c r="V21" s="21"/>
      <c r="W21" s="11"/>
      <c r="X21" s="21"/>
      <c r="Y21" s="21"/>
      <c r="Z21" s="21"/>
      <c r="AA21" s="23"/>
      <c r="AB21" s="21"/>
      <c r="AC21" s="21"/>
      <c r="AD21" s="24"/>
      <c r="AE21" s="21"/>
      <c r="AF21" s="21"/>
      <c r="AG21" s="69"/>
      <c r="AH21" s="12">
        <f t="shared" si="0"/>
        <v>0</v>
      </c>
      <c r="AI21" s="21"/>
      <c r="AJ21" s="21"/>
      <c r="AK21" s="21"/>
      <c r="AL21" s="21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170"/>
      <c r="AX21" s="27"/>
      <c r="AY21" s="27"/>
      <c r="AZ21" s="27"/>
      <c r="BA21" s="27"/>
      <c r="BB21" s="27"/>
      <c r="BC21" s="27"/>
      <c r="BD21" s="27"/>
    </row>
    <row r="22" spans="1:56" ht="28.5" customHeight="1" x14ac:dyDescent="0.25">
      <c r="A22" s="270">
        <v>2</v>
      </c>
      <c r="B22" s="254" t="s">
        <v>862</v>
      </c>
      <c r="C22" s="16" t="s">
        <v>863</v>
      </c>
      <c r="D22" s="16" t="s">
        <v>122</v>
      </c>
      <c r="E22" s="16" t="s">
        <v>123</v>
      </c>
      <c r="F22" s="16" t="s">
        <v>864</v>
      </c>
      <c r="G22" s="63">
        <v>11730</v>
      </c>
      <c r="H22" s="16" t="s">
        <v>865</v>
      </c>
      <c r="I22" s="16" t="s">
        <v>866</v>
      </c>
      <c r="J22" s="16" t="s">
        <v>867</v>
      </c>
      <c r="K22" s="17">
        <v>42395</v>
      </c>
      <c r="L22" s="165">
        <v>25654.69</v>
      </c>
      <c r="M22" s="61">
        <v>11767</v>
      </c>
      <c r="N22" s="20">
        <v>42395</v>
      </c>
      <c r="O22" s="20">
        <v>42452</v>
      </c>
      <c r="P22" s="16">
        <v>1</v>
      </c>
      <c r="Q22" s="16"/>
      <c r="R22" s="16"/>
      <c r="S22" s="16"/>
      <c r="T22" s="16" t="s">
        <v>208</v>
      </c>
      <c r="U22" s="21"/>
      <c r="V22" s="21"/>
      <c r="W22" s="11"/>
      <c r="X22" s="21"/>
      <c r="Y22" s="21"/>
      <c r="Z22" s="21"/>
      <c r="AA22" s="23"/>
      <c r="AB22" s="21"/>
      <c r="AC22" s="21"/>
      <c r="AD22" s="24"/>
      <c r="AE22" s="150">
        <f>L22</f>
        <v>25654.69</v>
      </c>
      <c r="AF22" s="21"/>
      <c r="AG22" s="171">
        <v>21504.67</v>
      </c>
      <c r="AH22" s="12">
        <f t="shared" si="0"/>
        <v>21504.67</v>
      </c>
      <c r="AI22" s="21"/>
      <c r="AJ22" s="21"/>
      <c r="AK22" s="21"/>
      <c r="AL22" s="21"/>
      <c r="AM22" s="27"/>
      <c r="AN22" s="27"/>
      <c r="AO22" s="27"/>
      <c r="AP22" s="27"/>
      <c r="AQ22" s="27"/>
      <c r="AR22" s="27"/>
      <c r="AS22" s="27"/>
      <c r="AT22" s="27"/>
      <c r="AU22" s="123">
        <v>42395</v>
      </c>
      <c r="AV22" s="123">
        <v>42426</v>
      </c>
      <c r="AW22" s="172">
        <f>AH22/AE22</f>
        <v>0.83823542595915213</v>
      </c>
      <c r="AX22" s="27"/>
      <c r="AY22" s="27"/>
      <c r="AZ22" s="27"/>
      <c r="BA22" s="27"/>
      <c r="BB22" s="27"/>
      <c r="BC22" s="27"/>
      <c r="BD22" s="27"/>
    </row>
    <row r="23" spans="1:56" ht="28.5" customHeight="1" x14ac:dyDescent="0.25">
      <c r="A23" s="268"/>
      <c r="B23" s="252"/>
      <c r="C23" s="29"/>
      <c r="D23" s="29"/>
      <c r="E23" s="29"/>
      <c r="F23" s="29"/>
      <c r="G23" s="67"/>
      <c r="H23" s="29"/>
      <c r="I23" s="29"/>
      <c r="J23" s="29"/>
      <c r="K23" s="30"/>
      <c r="L23" s="167"/>
      <c r="M23" s="65"/>
      <c r="N23" s="33"/>
      <c r="O23" s="33"/>
      <c r="P23" s="29"/>
      <c r="Q23" s="29"/>
      <c r="R23" s="29"/>
      <c r="S23" s="29"/>
      <c r="T23" s="29"/>
      <c r="U23" s="6" t="s">
        <v>141</v>
      </c>
      <c r="V23" s="10">
        <v>42446</v>
      </c>
      <c r="W23" s="11">
        <v>11768</v>
      </c>
      <c r="X23" s="6" t="s">
        <v>510</v>
      </c>
      <c r="Y23" s="10">
        <v>42453</v>
      </c>
      <c r="Z23" s="10">
        <v>42513</v>
      </c>
      <c r="AA23" s="23"/>
      <c r="AB23" s="21"/>
      <c r="AC23" s="21"/>
      <c r="AD23" s="24"/>
      <c r="AE23" s="21"/>
      <c r="AF23" s="21"/>
      <c r="AG23" s="69"/>
      <c r="AH23" s="12">
        <f t="shared" si="0"/>
        <v>0</v>
      </c>
      <c r="AI23" s="21"/>
      <c r="AJ23" s="21"/>
      <c r="AK23" s="21"/>
      <c r="AL23" s="21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172"/>
      <c r="AX23" s="27"/>
      <c r="AY23" s="27"/>
      <c r="AZ23" s="27"/>
      <c r="BA23" s="27"/>
      <c r="BB23" s="27"/>
      <c r="BC23" s="27"/>
      <c r="BD23" s="27"/>
    </row>
    <row r="24" spans="1:56" ht="28.5" customHeight="1" x14ac:dyDescent="0.25">
      <c r="A24" s="269"/>
      <c r="B24" s="253"/>
      <c r="C24" s="35"/>
      <c r="D24" s="35"/>
      <c r="E24" s="35"/>
      <c r="F24" s="35"/>
      <c r="G24" s="73"/>
      <c r="H24" s="35"/>
      <c r="I24" s="35"/>
      <c r="J24" s="35"/>
      <c r="K24" s="36"/>
      <c r="L24" s="169"/>
      <c r="M24" s="71"/>
      <c r="N24" s="39"/>
      <c r="O24" s="39"/>
      <c r="P24" s="35"/>
      <c r="Q24" s="35"/>
      <c r="R24" s="35"/>
      <c r="S24" s="35"/>
      <c r="T24" s="35"/>
      <c r="U24" s="21"/>
      <c r="V24" s="21"/>
      <c r="W24" s="11"/>
      <c r="X24" s="21"/>
      <c r="Y24" s="21"/>
      <c r="Z24" s="21"/>
      <c r="AA24" s="23"/>
      <c r="AB24" s="21"/>
      <c r="AC24" s="21"/>
      <c r="AD24" s="24"/>
      <c r="AE24" s="21"/>
      <c r="AF24" s="21"/>
      <c r="AG24" s="69"/>
      <c r="AH24" s="12">
        <f t="shared" si="0"/>
        <v>0</v>
      </c>
      <c r="AI24" s="21"/>
      <c r="AJ24" s="21"/>
      <c r="AK24" s="21"/>
      <c r="AL24" s="21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172"/>
      <c r="AX24" s="27"/>
      <c r="AY24" s="27"/>
      <c r="AZ24" s="27"/>
      <c r="BA24" s="27"/>
      <c r="BB24" s="27"/>
      <c r="BC24" s="27"/>
      <c r="BD24" s="27"/>
    </row>
    <row r="25" spans="1:56" s="193" customFormat="1" ht="27" customHeight="1" x14ac:dyDescent="0.25">
      <c r="A25" s="271">
        <v>3</v>
      </c>
      <c r="B25" s="255" t="s">
        <v>128</v>
      </c>
      <c r="C25" s="44" t="s">
        <v>423</v>
      </c>
      <c r="D25" s="44" t="s">
        <v>133</v>
      </c>
      <c r="E25" s="44" t="s">
        <v>123</v>
      </c>
      <c r="F25" s="44" t="s">
        <v>137</v>
      </c>
      <c r="G25" s="118">
        <v>10792</v>
      </c>
      <c r="H25" s="116" t="s">
        <v>144</v>
      </c>
      <c r="I25" s="44" t="s">
        <v>148</v>
      </c>
      <c r="J25" s="44" t="s">
        <v>357</v>
      </c>
      <c r="K25" s="45">
        <v>41071</v>
      </c>
      <c r="L25" s="130">
        <v>593733.32999999996</v>
      </c>
      <c r="M25" s="118">
        <v>10849</v>
      </c>
      <c r="N25" s="45" t="s">
        <v>156</v>
      </c>
      <c r="O25" s="45">
        <v>41274</v>
      </c>
      <c r="P25" s="116" t="s">
        <v>157</v>
      </c>
      <c r="Q25" s="44"/>
      <c r="R25" s="44"/>
      <c r="S25" s="44"/>
      <c r="T25" s="44" t="s">
        <v>160</v>
      </c>
      <c r="U25" s="21"/>
      <c r="V25" s="21"/>
      <c r="W25" s="11"/>
      <c r="X25" s="6"/>
      <c r="Y25" s="21"/>
      <c r="Z25" s="21"/>
      <c r="AA25" s="23"/>
      <c r="AB25" s="21"/>
      <c r="AC25" s="24"/>
      <c r="AD25" s="24"/>
      <c r="AE25" s="25">
        <f>L25-AD25+AC25</f>
        <v>593733.32999999996</v>
      </c>
      <c r="AF25" s="25">
        <f>77183+31786+69465</f>
        <v>178434</v>
      </c>
      <c r="AG25" s="107">
        <f>4631+4631+4631+9262</f>
        <v>23155</v>
      </c>
      <c r="AH25" s="12">
        <f t="shared" si="0"/>
        <v>201589</v>
      </c>
      <c r="AI25" s="21"/>
      <c r="AJ25" s="11"/>
      <c r="AK25" s="21"/>
      <c r="AL25" s="27"/>
      <c r="AM25" s="21"/>
      <c r="AN25" s="21"/>
      <c r="AO25" s="11"/>
      <c r="AP25" s="10"/>
      <c r="AQ25" s="11"/>
      <c r="AR25" s="10"/>
      <c r="AS25" s="21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s="193" customFormat="1" x14ac:dyDescent="0.25">
      <c r="A26" s="271"/>
      <c r="B26" s="255"/>
      <c r="C26" s="44"/>
      <c r="D26" s="44"/>
      <c r="E26" s="44"/>
      <c r="F26" s="44"/>
      <c r="G26" s="118"/>
      <c r="H26" s="116"/>
      <c r="I26" s="44"/>
      <c r="J26" s="44"/>
      <c r="K26" s="44"/>
      <c r="L26" s="130"/>
      <c r="M26" s="118"/>
      <c r="N26" s="45"/>
      <c r="O26" s="45"/>
      <c r="P26" s="116"/>
      <c r="Q26" s="44"/>
      <c r="R26" s="44"/>
      <c r="S26" s="44"/>
      <c r="T26" s="44"/>
      <c r="U26" s="6" t="s">
        <v>141</v>
      </c>
      <c r="V26" s="10">
        <v>41270</v>
      </c>
      <c r="W26" s="11">
        <v>10961</v>
      </c>
      <c r="X26" s="6" t="s">
        <v>478</v>
      </c>
      <c r="Y26" s="10">
        <v>41275</v>
      </c>
      <c r="Z26" s="10">
        <v>41455</v>
      </c>
      <c r="AA26" s="23"/>
      <c r="AB26" s="21"/>
      <c r="AC26" s="24"/>
      <c r="AD26" s="24"/>
      <c r="AE26" s="25"/>
      <c r="AF26" s="25"/>
      <c r="AG26" s="107"/>
      <c r="AH26" s="12">
        <f t="shared" si="0"/>
        <v>0</v>
      </c>
      <c r="AI26" s="21"/>
      <c r="AJ26" s="11"/>
      <c r="AK26" s="21"/>
      <c r="AL26" s="27"/>
      <c r="AM26" s="21"/>
      <c r="AN26" s="21"/>
      <c r="AO26" s="11"/>
      <c r="AP26" s="10"/>
      <c r="AQ26" s="11"/>
      <c r="AR26" s="10"/>
      <c r="AS26" s="21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93" customFormat="1" x14ac:dyDescent="0.25">
      <c r="A27" s="271"/>
      <c r="B27" s="255"/>
      <c r="C27" s="44"/>
      <c r="D27" s="44"/>
      <c r="E27" s="44"/>
      <c r="F27" s="44"/>
      <c r="G27" s="118"/>
      <c r="H27" s="116"/>
      <c r="I27" s="44"/>
      <c r="J27" s="44"/>
      <c r="K27" s="44"/>
      <c r="L27" s="130"/>
      <c r="M27" s="118"/>
      <c r="N27" s="45"/>
      <c r="O27" s="45"/>
      <c r="P27" s="116"/>
      <c r="Q27" s="44"/>
      <c r="R27" s="44"/>
      <c r="S27" s="44"/>
      <c r="T27" s="44"/>
      <c r="U27" s="6" t="s">
        <v>124</v>
      </c>
      <c r="V27" s="10">
        <v>41453</v>
      </c>
      <c r="W27" s="11">
        <v>11111</v>
      </c>
      <c r="X27" s="6" t="s">
        <v>479</v>
      </c>
      <c r="Y27" s="10">
        <v>41456</v>
      </c>
      <c r="Z27" s="10">
        <v>41638</v>
      </c>
      <c r="AA27" s="23"/>
      <c r="AB27" s="21"/>
      <c r="AC27" s="24"/>
      <c r="AD27" s="24"/>
      <c r="AE27" s="25"/>
      <c r="AF27" s="25"/>
      <c r="AG27" s="107"/>
      <c r="AH27" s="12">
        <f t="shared" si="0"/>
        <v>0</v>
      </c>
      <c r="AI27" s="21"/>
      <c r="AJ27" s="11"/>
      <c r="AK27" s="21"/>
      <c r="AL27" s="27"/>
      <c r="AM27" s="21"/>
      <c r="AN27" s="21"/>
      <c r="AO27" s="11"/>
      <c r="AP27" s="10"/>
      <c r="AQ27" s="11"/>
      <c r="AR27" s="10"/>
      <c r="AS27" s="21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93" customFormat="1" x14ac:dyDescent="0.25">
      <c r="A28" s="271"/>
      <c r="B28" s="255"/>
      <c r="C28" s="44"/>
      <c r="D28" s="44"/>
      <c r="E28" s="44"/>
      <c r="F28" s="44"/>
      <c r="G28" s="118"/>
      <c r="H28" s="116"/>
      <c r="I28" s="44"/>
      <c r="J28" s="44"/>
      <c r="K28" s="44"/>
      <c r="L28" s="130"/>
      <c r="M28" s="118"/>
      <c r="N28" s="45"/>
      <c r="O28" s="45"/>
      <c r="P28" s="116"/>
      <c r="Q28" s="44"/>
      <c r="R28" s="44"/>
      <c r="S28" s="44"/>
      <c r="T28" s="44"/>
      <c r="U28" s="6" t="s">
        <v>143</v>
      </c>
      <c r="V28" s="10">
        <v>41637</v>
      </c>
      <c r="W28" s="11">
        <v>11297</v>
      </c>
      <c r="X28" s="6" t="s">
        <v>479</v>
      </c>
      <c r="Y28" s="10">
        <v>41640</v>
      </c>
      <c r="Z28" s="10">
        <v>41820</v>
      </c>
      <c r="AA28" s="23"/>
      <c r="AB28" s="21"/>
      <c r="AC28" s="24"/>
      <c r="AD28" s="24"/>
      <c r="AE28" s="25"/>
      <c r="AF28" s="25"/>
      <c r="AG28" s="107"/>
      <c r="AH28" s="12">
        <f t="shared" si="0"/>
        <v>0</v>
      </c>
      <c r="AI28" s="21"/>
      <c r="AJ28" s="11"/>
      <c r="AK28" s="21"/>
      <c r="AL28" s="27"/>
      <c r="AM28" s="21"/>
      <c r="AN28" s="21"/>
      <c r="AO28" s="11"/>
      <c r="AP28" s="10"/>
      <c r="AQ28" s="11"/>
      <c r="AR28" s="10"/>
      <c r="AS28" s="21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93" customFormat="1" x14ac:dyDescent="0.25">
      <c r="A29" s="271"/>
      <c r="B29" s="255"/>
      <c r="C29" s="44"/>
      <c r="D29" s="44"/>
      <c r="E29" s="44"/>
      <c r="F29" s="44"/>
      <c r="G29" s="118"/>
      <c r="H29" s="116"/>
      <c r="I29" s="44"/>
      <c r="J29" s="44"/>
      <c r="K29" s="44"/>
      <c r="L29" s="130"/>
      <c r="M29" s="118"/>
      <c r="N29" s="45"/>
      <c r="O29" s="45"/>
      <c r="P29" s="116"/>
      <c r="Q29" s="44"/>
      <c r="R29" s="44"/>
      <c r="S29" s="44"/>
      <c r="T29" s="44"/>
      <c r="U29" s="6" t="s">
        <v>126</v>
      </c>
      <c r="V29" s="10">
        <v>41820</v>
      </c>
      <c r="W29" s="11">
        <v>11354</v>
      </c>
      <c r="X29" s="6" t="s">
        <v>479</v>
      </c>
      <c r="Y29" s="10">
        <v>41821</v>
      </c>
      <c r="Z29" s="10">
        <v>42004</v>
      </c>
      <c r="AA29" s="23"/>
      <c r="AB29" s="21"/>
      <c r="AC29" s="24"/>
      <c r="AD29" s="24"/>
      <c r="AE29" s="25"/>
      <c r="AF29" s="25"/>
      <c r="AG29" s="107"/>
      <c r="AH29" s="12">
        <f t="shared" si="0"/>
        <v>0</v>
      </c>
      <c r="AI29" s="21"/>
      <c r="AJ29" s="11"/>
      <c r="AK29" s="21"/>
      <c r="AL29" s="27"/>
      <c r="AM29" s="21"/>
      <c r="AN29" s="21"/>
      <c r="AO29" s="11"/>
      <c r="AP29" s="10"/>
      <c r="AQ29" s="11"/>
      <c r="AR29" s="10"/>
      <c r="AS29" s="21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s="193" customFormat="1" x14ac:dyDescent="0.25">
      <c r="A30" s="271"/>
      <c r="B30" s="255"/>
      <c r="C30" s="44"/>
      <c r="D30" s="44"/>
      <c r="E30" s="44"/>
      <c r="F30" s="44"/>
      <c r="G30" s="118"/>
      <c r="H30" s="116"/>
      <c r="I30" s="44"/>
      <c r="J30" s="44"/>
      <c r="K30" s="44"/>
      <c r="L30" s="130"/>
      <c r="M30" s="118"/>
      <c r="N30" s="45"/>
      <c r="O30" s="45"/>
      <c r="P30" s="116"/>
      <c r="Q30" s="44"/>
      <c r="R30" s="44"/>
      <c r="S30" s="44"/>
      <c r="T30" s="44"/>
      <c r="U30" s="6" t="s">
        <v>181</v>
      </c>
      <c r="V30" s="10">
        <v>42003</v>
      </c>
      <c r="W30" s="11">
        <v>11518</v>
      </c>
      <c r="X30" s="6" t="s">
        <v>479</v>
      </c>
      <c r="Y30" s="10">
        <v>42005</v>
      </c>
      <c r="Z30" s="10">
        <v>42185</v>
      </c>
      <c r="AA30" s="23"/>
      <c r="AB30" s="21"/>
      <c r="AC30" s="24"/>
      <c r="AD30" s="24"/>
      <c r="AE30" s="25"/>
      <c r="AF30" s="25"/>
      <c r="AG30" s="107"/>
      <c r="AH30" s="12">
        <f t="shared" si="0"/>
        <v>0</v>
      </c>
      <c r="AI30" s="21"/>
      <c r="AJ30" s="11"/>
      <c r="AK30" s="21"/>
      <c r="AL30" s="27"/>
      <c r="AM30" s="21"/>
      <c r="AN30" s="21"/>
      <c r="AO30" s="11"/>
      <c r="AP30" s="10"/>
      <c r="AQ30" s="11"/>
      <c r="AR30" s="10"/>
      <c r="AS30" s="21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s="193" customFormat="1" x14ac:dyDescent="0.25">
      <c r="A31" s="271"/>
      <c r="B31" s="255"/>
      <c r="C31" s="44"/>
      <c r="D31" s="44"/>
      <c r="E31" s="44"/>
      <c r="F31" s="44"/>
      <c r="G31" s="118"/>
      <c r="H31" s="116"/>
      <c r="I31" s="44"/>
      <c r="J31" s="44"/>
      <c r="K31" s="44"/>
      <c r="L31" s="130"/>
      <c r="M31" s="118"/>
      <c r="N31" s="45"/>
      <c r="O31" s="45"/>
      <c r="P31" s="116"/>
      <c r="Q31" s="44"/>
      <c r="R31" s="44"/>
      <c r="S31" s="44"/>
      <c r="T31" s="44"/>
      <c r="U31" s="6" t="s">
        <v>227</v>
      </c>
      <c r="V31" s="10">
        <v>42185</v>
      </c>
      <c r="W31" s="11">
        <v>11601</v>
      </c>
      <c r="X31" s="6" t="s">
        <v>479</v>
      </c>
      <c r="Y31" s="10">
        <v>42185</v>
      </c>
      <c r="Z31" s="10">
        <v>42369</v>
      </c>
      <c r="AA31" s="23"/>
      <c r="AB31" s="21"/>
      <c r="AC31" s="24"/>
      <c r="AD31" s="24"/>
      <c r="AE31" s="25"/>
      <c r="AF31" s="25"/>
      <c r="AG31" s="107"/>
      <c r="AH31" s="12">
        <f t="shared" si="0"/>
        <v>0</v>
      </c>
      <c r="AI31" s="21"/>
      <c r="AJ31" s="11"/>
      <c r="AK31" s="21"/>
      <c r="AL31" s="27"/>
      <c r="AM31" s="21"/>
      <c r="AN31" s="21"/>
      <c r="AO31" s="11"/>
      <c r="AP31" s="10"/>
      <c r="AQ31" s="11"/>
      <c r="AR31" s="10"/>
      <c r="AS31" s="21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s="193" customFormat="1" x14ac:dyDescent="0.25">
      <c r="A32" s="271"/>
      <c r="B32" s="255"/>
      <c r="C32" s="44"/>
      <c r="D32" s="44"/>
      <c r="E32" s="44"/>
      <c r="F32" s="44"/>
      <c r="G32" s="118"/>
      <c r="H32" s="116"/>
      <c r="I32" s="44"/>
      <c r="J32" s="44"/>
      <c r="K32" s="44"/>
      <c r="L32" s="130"/>
      <c r="M32" s="118"/>
      <c r="N32" s="45"/>
      <c r="O32" s="45"/>
      <c r="P32" s="116"/>
      <c r="Q32" s="44"/>
      <c r="R32" s="44"/>
      <c r="S32" s="44"/>
      <c r="T32" s="44"/>
      <c r="U32" s="6" t="s">
        <v>229</v>
      </c>
      <c r="V32" s="10">
        <v>42368</v>
      </c>
      <c r="W32" s="147">
        <v>11731</v>
      </c>
      <c r="X32" s="6" t="s">
        <v>479</v>
      </c>
      <c r="Y32" s="10">
        <v>42370</v>
      </c>
      <c r="Z32" s="10">
        <v>42551</v>
      </c>
      <c r="AA32" s="23"/>
      <c r="AB32" s="21"/>
      <c r="AC32" s="24"/>
      <c r="AD32" s="24"/>
      <c r="AE32" s="25"/>
      <c r="AF32" s="25"/>
      <c r="AG32" s="107"/>
      <c r="AH32" s="12">
        <f t="shared" si="0"/>
        <v>0</v>
      </c>
      <c r="AI32" s="21"/>
      <c r="AJ32" s="11"/>
      <c r="AK32" s="21"/>
      <c r="AL32" s="27"/>
      <c r="AM32" s="21"/>
      <c r="AN32" s="21"/>
      <c r="AO32" s="11"/>
      <c r="AP32" s="10"/>
      <c r="AQ32" s="11"/>
      <c r="AR32" s="10"/>
      <c r="AS32" s="21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s="193" customFormat="1" x14ac:dyDescent="0.25">
      <c r="A33" s="271"/>
      <c r="B33" s="255"/>
      <c r="C33" s="44"/>
      <c r="D33" s="44"/>
      <c r="E33" s="44"/>
      <c r="F33" s="44"/>
      <c r="G33" s="118"/>
      <c r="H33" s="116"/>
      <c r="I33" s="44"/>
      <c r="J33" s="44"/>
      <c r="K33" s="44"/>
      <c r="L33" s="130"/>
      <c r="M33" s="118"/>
      <c r="N33" s="45"/>
      <c r="O33" s="45"/>
      <c r="P33" s="116"/>
      <c r="Q33" s="44"/>
      <c r="R33" s="44"/>
      <c r="S33" s="44"/>
      <c r="T33" s="44"/>
      <c r="U33" s="6"/>
      <c r="V33" s="10"/>
      <c r="W33" s="11"/>
      <c r="X33" s="6"/>
      <c r="Y33" s="10"/>
      <c r="Z33" s="10"/>
      <c r="AA33" s="23"/>
      <c r="AB33" s="21"/>
      <c r="AC33" s="24"/>
      <c r="AD33" s="24"/>
      <c r="AE33" s="25"/>
      <c r="AF33" s="25"/>
      <c r="AG33" s="107"/>
      <c r="AH33" s="12">
        <f t="shared" si="0"/>
        <v>0</v>
      </c>
      <c r="AI33" s="21"/>
      <c r="AJ33" s="11"/>
      <c r="AK33" s="21"/>
      <c r="AL33" s="27"/>
      <c r="AM33" s="21"/>
      <c r="AN33" s="21"/>
      <c r="AO33" s="11"/>
      <c r="AP33" s="10"/>
      <c r="AQ33" s="11"/>
      <c r="AR33" s="10"/>
      <c r="AS33" s="21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s="193" customFormat="1" x14ac:dyDescent="0.25">
      <c r="A34" s="270">
        <v>4</v>
      </c>
      <c r="B34" s="255" t="s">
        <v>130</v>
      </c>
      <c r="C34" s="44" t="s">
        <v>398</v>
      </c>
      <c r="D34" s="44" t="s">
        <v>134</v>
      </c>
      <c r="E34" s="44" t="s">
        <v>123</v>
      </c>
      <c r="F34" s="44" t="s">
        <v>138</v>
      </c>
      <c r="G34" s="118">
        <v>11017</v>
      </c>
      <c r="H34" s="116" t="s">
        <v>330</v>
      </c>
      <c r="I34" s="44" t="s">
        <v>150</v>
      </c>
      <c r="J34" s="44" t="s">
        <v>421</v>
      </c>
      <c r="K34" s="45">
        <v>41365</v>
      </c>
      <c r="L34" s="130">
        <v>12348</v>
      </c>
      <c r="M34" s="118">
        <v>11026</v>
      </c>
      <c r="N34" s="45">
        <v>41365</v>
      </c>
      <c r="O34" s="45">
        <v>41639</v>
      </c>
      <c r="P34" s="109" t="s">
        <v>157</v>
      </c>
      <c r="Q34" s="44"/>
      <c r="R34" s="44"/>
      <c r="S34" s="44"/>
      <c r="T34" s="44" t="s">
        <v>159</v>
      </c>
      <c r="U34" s="21"/>
      <c r="V34" s="21"/>
      <c r="W34" s="11"/>
      <c r="X34" s="6"/>
      <c r="Y34" s="21"/>
      <c r="Z34" s="21"/>
      <c r="AA34" s="23"/>
      <c r="AB34" s="21"/>
      <c r="AC34" s="24"/>
      <c r="AD34" s="24"/>
      <c r="AE34" s="25"/>
      <c r="AF34" s="82">
        <f>12348+17366.52+18084.06</f>
        <v>47798.58</v>
      </c>
      <c r="AG34" s="107">
        <v>1518.58</v>
      </c>
      <c r="AH34" s="12">
        <f t="shared" si="0"/>
        <v>49317.16</v>
      </c>
      <c r="AI34" s="21"/>
      <c r="AJ34" s="11"/>
      <c r="AK34" s="21"/>
      <c r="AL34" s="27"/>
      <c r="AM34" s="21"/>
      <c r="AN34" s="21"/>
      <c r="AO34" s="11"/>
      <c r="AP34" s="10"/>
      <c r="AQ34" s="11"/>
      <c r="AR34" s="10"/>
      <c r="AS34" s="21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193" customFormat="1" x14ac:dyDescent="0.25">
      <c r="A35" s="268"/>
      <c r="B35" s="255"/>
      <c r="C35" s="44"/>
      <c r="D35" s="44"/>
      <c r="E35" s="44"/>
      <c r="F35" s="44"/>
      <c r="G35" s="118"/>
      <c r="H35" s="116"/>
      <c r="I35" s="44"/>
      <c r="J35" s="44"/>
      <c r="K35" s="45"/>
      <c r="L35" s="130"/>
      <c r="M35" s="118"/>
      <c r="N35" s="45"/>
      <c r="O35" s="45"/>
      <c r="P35" s="112"/>
      <c r="Q35" s="44"/>
      <c r="R35" s="44"/>
      <c r="S35" s="44"/>
      <c r="T35" s="44"/>
      <c r="U35" s="6" t="s">
        <v>141</v>
      </c>
      <c r="V35" s="10">
        <v>41631</v>
      </c>
      <c r="W35" s="11">
        <v>11219</v>
      </c>
      <c r="X35" s="6" t="s">
        <v>477</v>
      </c>
      <c r="Y35" s="10">
        <v>41640</v>
      </c>
      <c r="Z35" s="10">
        <v>42004</v>
      </c>
      <c r="AA35" s="23"/>
      <c r="AB35" s="21"/>
      <c r="AC35" s="24">
        <f>1372*3</f>
        <v>4116</v>
      </c>
      <c r="AD35" s="24"/>
      <c r="AE35" s="25">
        <f>AC35+L34</f>
        <v>16464</v>
      </c>
      <c r="AF35" s="119"/>
      <c r="AG35" s="107"/>
      <c r="AH35" s="12">
        <f t="shared" si="0"/>
        <v>0</v>
      </c>
      <c r="AI35" s="21"/>
      <c r="AJ35" s="11"/>
      <c r="AK35" s="21"/>
      <c r="AL35" s="27"/>
      <c r="AM35" s="21"/>
      <c r="AN35" s="21"/>
      <c r="AO35" s="11"/>
      <c r="AP35" s="10"/>
      <c r="AQ35" s="11"/>
      <c r="AR35" s="10"/>
      <c r="AS35" s="21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s="193" customFormat="1" ht="25.5" x14ac:dyDescent="0.25">
      <c r="A36" s="268"/>
      <c r="B36" s="255"/>
      <c r="C36" s="44"/>
      <c r="D36" s="44"/>
      <c r="E36" s="44"/>
      <c r="F36" s="44"/>
      <c r="G36" s="118"/>
      <c r="H36" s="116"/>
      <c r="I36" s="44"/>
      <c r="J36" s="44"/>
      <c r="K36" s="45"/>
      <c r="L36" s="130"/>
      <c r="M36" s="118"/>
      <c r="N36" s="45"/>
      <c r="O36" s="45"/>
      <c r="P36" s="112"/>
      <c r="Q36" s="44"/>
      <c r="R36" s="44"/>
      <c r="S36" s="44"/>
      <c r="T36" s="44"/>
      <c r="U36" s="6" t="s">
        <v>428</v>
      </c>
      <c r="V36" s="10">
        <v>41738</v>
      </c>
      <c r="W36" s="11">
        <v>11219</v>
      </c>
      <c r="X36" s="6" t="s">
        <v>407</v>
      </c>
      <c r="Y36" s="10">
        <v>41730</v>
      </c>
      <c r="Z36" s="10">
        <v>42004</v>
      </c>
      <c r="AA36" s="23">
        <f>AC36/L34</f>
        <v>7.3090379008746348E-2</v>
      </c>
      <c r="AB36" s="21"/>
      <c r="AC36" s="24">
        <v>902.52</v>
      </c>
      <c r="AD36" s="24"/>
      <c r="AE36" s="25">
        <f>AE35+AC36</f>
        <v>17366.52</v>
      </c>
      <c r="AF36" s="119"/>
      <c r="AG36" s="107"/>
      <c r="AH36" s="12">
        <f t="shared" si="0"/>
        <v>0</v>
      </c>
      <c r="AI36" s="21"/>
      <c r="AJ36" s="11"/>
      <c r="AK36" s="21"/>
      <c r="AL36" s="27"/>
      <c r="AM36" s="21"/>
      <c r="AN36" s="21"/>
      <c r="AO36" s="11"/>
      <c r="AP36" s="10"/>
      <c r="AQ36" s="11"/>
      <c r="AR36" s="10"/>
      <c r="AS36" s="21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</row>
    <row r="37" spans="1:56" s="193" customFormat="1" x14ac:dyDescent="0.25">
      <c r="A37" s="268"/>
      <c r="B37" s="255"/>
      <c r="C37" s="44"/>
      <c r="D37" s="44"/>
      <c r="E37" s="44"/>
      <c r="F37" s="44"/>
      <c r="G37" s="118"/>
      <c r="H37" s="116"/>
      <c r="I37" s="44"/>
      <c r="J37" s="44"/>
      <c r="K37" s="45"/>
      <c r="L37" s="130"/>
      <c r="M37" s="118"/>
      <c r="N37" s="45"/>
      <c r="O37" s="45"/>
      <c r="P37" s="112"/>
      <c r="Q37" s="44"/>
      <c r="R37" s="44"/>
      <c r="S37" s="44"/>
      <c r="T37" s="44"/>
      <c r="U37" s="6" t="s">
        <v>124</v>
      </c>
      <c r="V37" s="10">
        <v>42003</v>
      </c>
      <c r="W37" s="11">
        <v>11486</v>
      </c>
      <c r="X37" s="6" t="s">
        <v>477</v>
      </c>
      <c r="Y37" s="10">
        <v>42005</v>
      </c>
      <c r="Z37" s="10">
        <v>42369</v>
      </c>
      <c r="AA37" s="23"/>
      <c r="AB37" s="21"/>
      <c r="AC37" s="24"/>
      <c r="AD37" s="24"/>
      <c r="AE37" s="25">
        <f>(1472.28*12)</f>
        <v>17667.36</v>
      </c>
      <c r="AF37" s="119"/>
      <c r="AG37" s="107"/>
      <c r="AH37" s="12">
        <f t="shared" si="0"/>
        <v>0</v>
      </c>
      <c r="AI37" s="21"/>
      <c r="AJ37" s="11"/>
      <c r="AK37" s="21"/>
      <c r="AL37" s="27"/>
      <c r="AM37" s="21"/>
      <c r="AN37" s="21"/>
      <c r="AO37" s="11"/>
      <c r="AP37" s="10"/>
      <c r="AQ37" s="11"/>
      <c r="AR37" s="10"/>
      <c r="AS37" s="21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</row>
    <row r="38" spans="1:56" s="193" customFormat="1" ht="25.5" x14ac:dyDescent="0.25">
      <c r="A38" s="268"/>
      <c r="B38" s="255"/>
      <c r="C38" s="44"/>
      <c r="D38" s="44"/>
      <c r="E38" s="44"/>
      <c r="F38" s="44"/>
      <c r="G38" s="118"/>
      <c r="H38" s="116"/>
      <c r="I38" s="44"/>
      <c r="J38" s="44"/>
      <c r="K38" s="45"/>
      <c r="L38" s="130"/>
      <c r="M38" s="118"/>
      <c r="N38" s="45"/>
      <c r="O38" s="45"/>
      <c r="P38" s="112"/>
      <c r="Q38" s="44"/>
      <c r="R38" s="44"/>
      <c r="S38" s="44"/>
      <c r="T38" s="44"/>
      <c r="U38" s="6" t="s">
        <v>406</v>
      </c>
      <c r="V38" s="10">
        <v>42283</v>
      </c>
      <c r="W38" s="11">
        <v>11658</v>
      </c>
      <c r="X38" s="6" t="s">
        <v>407</v>
      </c>
      <c r="Y38" s="10">
        <v>42005</v>
      </c>
      <c r="Z38" s="10">
        <v>42369</v>
      </c>
      <c r="AA38" s="23">
        <f>AC38/AE37</f>
        <v>2.3585866818811637E-2</v>
      </c>
      <c r="AB38" s="21"/>
      <c r="AC38" s="24">
        <v>416.7</v>
      </c>
      <c r="AD38" s="24"/>
      <c r="AE38" s="25">
        <f>AE37-AD38+AC38</f>
        <v>18084.060000000001</v>
      </c>
      <c r="AF38" s="119"/>
      <c r="AG38" s="107"/>
      <c r="AH38" s="12">
        <f t="shared" si="0"/>
        <v>0</v>
      </c>
      <c r="AI38" s="21"/>
      <c r="AJ38" s="11"/>
      <c r="AK38" s="21"/>
      <c r="AL38" s="27"/>
      <c r="AM38" s="21"/>
      <c r="AN38" s="21"/>
      <c r="AO38" s="11"/>
      <c r="AP38" s="10"/>
      <c r="AQ38" s="11"/>
      <c r="AR38" s="10"/>
      <c r="AS38" s="21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s="193" customFormat="1" x14ac:dyDescent="0.25">
      <c r="A39" s="268"/>
      <c r="B39" s="255"/>
      <c r="C39" s="44"/>
      <c r="D39" s="44"/>
      <c r="E39" s="44"/>
      <c r="F39" s="44"/>
      <c r="G39" s="118"/>
      <c r="H39" s="116"/>
      <c r="I39" s="44"/>
      <c r="J39" s="44"/>
      <c r="K39" s="45"/>
      <c r="L39" s="130"/>
      <c r="M39" s="118"/>
      <c r="N39" s="45"/>
      <c r="O39" s="45"/>
      <c r="P39" s="112"/>
      <c r="Q39" s="44"/>
      <c r="R39" s="44"/>
      <c r="S39" s="44"/>
      <c r="T39" s="44"/>
      <c r="U39" s="6" t="s">
        <v>143</v>
      </c>
      <c r="V39" s="10">
        <v>42368</v>
      </c>
      <c r="W39" s="11">
        <v>11730</v>
      </c>
      <c r="X39" s="6" t="s">
        <v>477</v>
      </c>
      <c r="Y39" s="10">
        <v>42370</v>
      </c>
      <c r="Z39" s="10">
        <v>42735</v>
      </c>
      <c r="AA39" s="23"/>
      <c r="AB39" s="21"/>
      <c r="AC39" s="24"/>
      <c r="AD39" s="24"/>
      <c r="AE39" s="25">
        <f>1518.58*12</f>
        <v>18222.96</v>
      </c>
      <c r="AF39" s="119"/>
      <c r="AG39" s="107"/>
      <c r="AH39" s="12">
        <f t="shared" si="0"/>
        <v>0</v>
      </c>
      <c r="AI39" s="21"/>
      <c r="AJ39" s="11"/>
      <c r="AK39" s="21"/>
      <c r="AL39" s="27"/>
      <c r="AM39" s="21"/>
      <c r="AN39" s="21"/>
      <c r="AO39" s="11"/>
      <c r="AP39" s="10"/>
      <c r="AQ39" s="11"/>
      <c r="AR39" s="10"/>
      <c r="AS39" s="21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s="193" customFormat="1" x14ac:dyDescent="0.25">
      <c r="A40" s="269"/>
      <c r="B40" s="255"/>
      <c r="C40" s="44"/>
      <c r="D40" s="44"/>
      <c r="E40" s="44"/>
      <c r="F40" s="44"/>
      <c r="G40" s="118"/>
      <c r="H40" s="116"/>
      <c r="I40" s="44"/>
      <c r="J40" s="44"/>
      <c r="K40" s="44"/>
      <c r="L40" s="130"/>
      <c r="M40" s="118"/>
      <c r="N40" s="45"/>
      <c r="O40" s="45"/>
      <c r="P40" s="110"/>
      <c r="Q40" s="44"/>
      <c r="R40" s="44"/>
      <c r="S40" s="44"/>
      <c r="T40" s="44"/>
      <c r="U40" s="6"/>
      <c r="V40" s="10"/>
      <c r="W40" s="11"/>
      <c r="X40" s="6"/>
      <c r="Y40" s="10"/>
      <c r="Z40" s="10"/>
      <c r="AA40" s="23"/>
      <c r="AB40" s="23"/>
      <c r="AC40" s="24"/>
      <c r="AD40" s="24"/>
      <c r="AE40" s="25"/>
      <c r="AF40" s="92"/>
      <c r="AG40" s="107"/>
      <c r="AH40" s="12">
        <f t="shared" si="0"/>
        <v>0</v>
      </c>
      <c r="AI40" s="21"/>
      <c r="AJ40" s="11"/>
      <c r="AK40" s="21"/>
      <c r="AL40" s="27"/>
      <c r="AM40" s="21"/>
      <c r="AN40" s="21"/>
      <c r="AO40" s="11"/>
      <c r="AP40" s="10"/>
      <c r="AQ40" s="11"/>
      <c r="AR40" s="10"/>
      <c r="AS40" s="21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</row>
    <row r="41" spans="1:56" s="193" customFormat="1" ht="19.5" customHeight="1" x14ac:dyDescent="0.25">
      <c r="A41" s="271">
        <v>5</v>
      </c>
      <c r="B41" s="255" t="s">
        <v>130</v>
      </c>
      <c r="C41" s="44" t="s">
        <v>398</v>
      </c>
      <c r="D41" s="44" t="s">
        <v>134</v>
      </c>
      <c r="E41" s="44" t="s">
        <v>123</v>
      </c>
      <c r="F41" s="44" t="s">
        <v>138</v>
      </c>
      <c r="G41" s="118">
        <v>11017</v>
      </c>
      <c r="H41" s="116" t="s">
        <v>329</v>
      </c>
      <c r="I41" s="44" t="s">
        <v>151</v>
      </c>
      <c r="J41" s="44" t="s">
        <v>419</v>
      </c>
      <c r="K41" s="45">
        <v>41365</v>
      </c>
      <c r="L41" s="130">
        <v>12690</v>
      </c>
      <c r="M41" s="118">
        <v>11026</v>
      </c>
      <c r="N41" s="45">
        <v>41365</v>
      </c>
      <c r="O41" s="45">
        <v>41639</v>
      </c>
      <c r="P41" s="116" t="s">
        <v>157</v>
      </c>
      <c r="Q41" s="44"/>
      <c r="R41" s="44"/>
      <c r="S41" s="44"/>
      <c r="T41" s="44" t="s">
        <v>159</v>
      </c>
      <c r="U41" s="21"/>
      <c r="V41" s="21"/>
      <c r="W41" s="11"/>
      <c r="X41" s="6"/>
      <c r="Y41" s="21"/>
      <c r="Z41" s="21"/>
      <c r="AA41" s="23"/>
      <c r="AB41" s="21"/>
      <c r="AC41" s="24"/>
      <c r="AD41" s="24"/>
      <c r="AE41" s="25">
        <f>L41</f>
        <v>12690</v>
      </c>
      <c r="AF41" s="25">
        <f>12690+17847.45+18584.91</f>
        <v>49122.36</v>
      </c>
      <c r="AG41" s="107">
        <v>1560.64</v>
      </c>
      <c r="AH41" s="12">
        <f t="shared" si="0"/>
        <v>50683</v>
      </c>
      <c r="AI41" s="21"/>
      <c r="AJ41" s="11"/>
      <c r="AK41" s="21"/>
      <c r="AL41" s="27"/>
      <c r="AM41" s="21"/>
      <c r="AN41" s="21"/>
      <c r="AO41" s="11"/>
      <c r="AP41" s="10"/>
      <c r="AQ41" s="11"/>
      <c r="AR41" s="10"/>
      <c r="AS41" s="21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</row>
    <row r="42" spans="1:56" s="193" customFormat="1" ht="26.25" customHeight="1" x14ac:dyDescent="0.25">
      <c r="A42" s="271"/>
      <c r="B42" s="255"/>
      <c r="C42" s="44"/>
      <c r="D42" s="44"/>
      <c r="E42" s="44"/>
      <c r="F42" s="44"/>
      <c r="G42" s="118"/>
      <c r="H42" s="116"/>
      <c r="I42" s="44"/>
      <c r="J42" s="44"/>
      <c r="K42" s="45"/>
      <c r="L42" s="130"/>
      <c r="M42" s="118"/>
      <c r="N42" s="45"/>
      <c r="O42" s="45"/>
      <c r="P42" s="116"/>
      <c r="Q42" s="44"/>
      <c r="R42" s="44"/>
      <c r="S42" s="44"/>
      <c r="T42" s="44"/>
      <c r="U42" s="6" t="s">
        <v>141</v>
      </c>
      <c r="V42" s="10">
        <v>41631</v>
      </c>
      <c r="W42" s="11">
        <v>11219</v>
      </c>
      <c r="X42" s="6" t="s">
        <v>477</v>
      </c>
      <c r="Y42" s="10">
        <v>41640</v>
      </c>
      <c r="Z42" s="10">
        <v>42004</v>
      </c>
      <c r="AA42" s="23"/>
      <c r="AB42" s="21"/>
      <c r="AC42" s="24"/>
      <c r="AD42" s="24"/>
      <c r="AE42" s="25">
        <f>(1410*12)+AE41</f>
        <v>29610</v>
      </c>
      <c r="AF42" s="25"/>
      <c r="AG42" s="107"/>
      <c r="AH42" s="12">
        <f t="shared" si="0"/>
        <v>0</v>
      </c>
      <c r="AI42" s="21"/>
      <c r="AJ42" s="11"/>
      <c r="AK42" s="21"/>
      <c r="AL42" s="27"/>
      <c r="AM42" s="21"/>
      <c r="AN42" s="21"/>
      <c r="AO42" s="11"/>
      <c r="AP42" s="10"/>
      <c r="AQ42" s="11"/>
      <c r="AR42" s="10"/>
      <c r="AS42" s="21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</row>
    <row r="43" spans="1:56" s="193" customFormat="1" ht="26.25" customHeight="1" x14ac:dyDescent="0.25">
      <c r="A43" s="271"/>
      <c r="B43" s="255"/>
      <c r="C43" s="44"/>
      <c r="D43" s="44"/>
      <c r="E43" s="44"/>
      <c r="F43" s="44"/>
      <c r="G43" s="118"/>
      <c r="H43" s="116"/>
      <c r="I43" s="44"/>
      <c r="J43" s="44"/>
      <c r="K43" s="45"/>
      <c r="L43" s="130"/>
      <c r="M43" s="118"/>
      <c r="N43" s="45"/>
      <c r="O43" s="45"/>
      <c r="P43" s="116"/>
      <c r="Q43" s="44"/>
      <c r="R43" s="44"/>
      <c r="S43" s="44"/>
      <c r="T43" s="44"/>
      <c r="U43" s="6" t="s">
        <v>428</v>
      </c>
      <c r="V43" s="10">
        <v>41738</v>
      </c>
      <c r="W43" s="11">
        <v>11288</v>
      </c>
      <c r="X43" s="6" t="s">
        <v>407</v>
      </c>
      <c r="Y43" s="10">
        <v>41730</v>
      </c>
      <c r="Z43" s="10">
        <v>42004</v>
      </c>
      <c r="AA43" s="23">
        <f>AC43/L41</f>
        <v>7.3085106382978729E-2</v>
      </c>
      <c r="AB43" s="21"/>
      <c r="AC43" s="24">
        <v>927.45</v>
      </c>
      <c r="AD43" s="24"/>
      <c r="AE43" s="25">
        <f>AE42-AD43+AC43</f>
        <v>30537.45</v>
      </c>
      <c r="AF43" s="25"/>
      <c r="AG43" s="107"/>
      <c r="AH43" s="12">
        <f t="shared" si="0"/>
        <v>0</v>
      </c>
      <c r="AI43" s="21"/>
      <c r="AJ43" s="11"/>
      <c r="AK43" s="21"/>
      <c r="AL43" s="27"/>
      <c r="AM43" s="21"/>
      <c r="AN43" s="21"/>
      <c r="AO43" s="11"/>
      <c r="AP43" s="10"/>
      <c r="AQ43" s="11"/>
      <c r="AR43" s="10"/>
      <c r="AS43" s="21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</row>
    <row r="44" spans="1:56" s="193" customFormat="1" ht="26.25" customHeight="1" x14ac:dyDescent="0.25">
      <c r="A44" s="271"/>
      <c r="B44" s="255"/>
      <c r="C44" s="44"/>
      <c r="D44" s="44"/>
      <c r="E44" s="44"/>
      <c r="F44" s="44"/>
      <c r="G44" s="118"/>
      <c r="H44" s="116"/>
      <c r="I44" s="44"/>
      <c r="J44" s="44"/>
      <c r="K44" s="45"/>
      <c r="L44" s="130"/>
      <c r="M44" s="118"/>
      <c r="N44" s="45"/>
      <c r="O44" s="45"/>
      <c r="P44" s="116"/>
      <c r="Q44" s="44"/>
      <c r="R44" s="44"/>
      <c r="S44" s="44"/>
      <c r="T44" s="44"/>
      <c r="U44" s="6" t="s">
        <v>124</v>
      </c>
      <c r="V44" s="10">
        <v>42003</v>
      </c>
      <c r="W44" s="11">
        <v>11485</v>
      </c>
      <c r="X44" s="6" t="s">
        <v>477</v>
      </c>
      <c r="Y44" s="10">
        <v>42005</v>
      </c>
      <c r="Z44" s="10">
        <v>42369</v>
      </c>
      <c r="AA44" s="23"/>
      <c r="AB44" s="21"/>
      <c r="AC44" s="24"/>
      <c r="AD44" s="24"/>
      <c r="AE44" s="25">
        <f>(1513.05*12)+AE43</f>
        <v>48694.05</v>
      </c>
      <c r="AF44" s="25"/>
      <c r="AG44" s="107"/>
      <c r="AH44" s="12">
        <f t="shared" si="0"/>
        <v>0</v>
      </c>
      <c r="AI44" s="21"/>
      <c r="AJ44" s="11"/>
      <c r="AK44" s="21"/>
      <c r="AL44" s="27"/>
      <c r="AM44" s="21"/>
      <c r="AN44" s="21"/>
      <c r="AO44" s="11"/>
      <c r="AP44" s="10"/>
      <c r="AQ44" s="11"/>
      <c r="AR44" s="10"/>
      <c r="AS44" s="21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</row>
    <row r="45" spans="1:56" s="193" customFormat="1" ht="26.25" customHeight="1" x14ac:dyDescent="0.25">
      <c r="A45" s="271"/>
      <c r="B45" s="255"/>
      <c r="C45" s="44"/>
      <c r="D45" s="44"/>
      <c r="E45" s="44"/>
      <c r="F45" s="44"/>
      <c r="G45" s="118"/>
      <c r="H45" s="116"/>
      <c r="I45" s="44"/>
      <c r="J45" s="44"/>
      <c r="K45" s="45"/>
      <c r="L45" s="130"/>
      <c r="M45" s="118"/>
      <c r="N45" s="45"/>
      <c r="O45" s="45"/>
      <c r="P45" s="116"/>
      <c r="Q45" s="44"/>
      <c r="R45" s="44"/>
      <c r="S45" s="44"/>
      <c r="T45" s="44"/>
      <c r="U45" s="6" t="s">
        <v>406</v>
      </c>
      <c r="V45" s="10">
        <v>42283</v>
      </c>
      <c r="W45" s="11">
        <v>11658</v>
      </c>
      <c r="X45" s="6" t="s">
        <v>407</v>
      </c>
      <c r="Y45" s="10">
        <v>42005</v>
      </c>
      <c r="Z45" s="10">
        <v>42369</v>
      </c>
      <c r="AA45" s="23">
        <f>AC45/AE44</f>
        <v>8.7959411878864042E-3</v>
      </c>
      <c r="AB45" s="21"/>
      <c r="AC45" s="24">
        <v>428.31</v>
      </c>
      <c r="AD45" s="24"/>
      <c r="AE45" s="25">
        <f>AE44-AD45+AC45</f>
        <v>49122.36</v>
      </c>
      <c r="AF45" s="25"/>
      <c r="AG45" s="107"/>
      <c r="AH45" s="12">
        <f t="shared" si="0"/>
        <v>0</v>
      </c>
      <c r="AI45" s="21"/>
      <c r="AJ45" s="11"/>
      <c r="AK45" s="21"/>
      <c r="AL45" s="27"/>
      <c r="AM45" s="21"/>
      <c r="AN45" s="21"/>
      <c r="AO45" s="11"/>
      <c r="AP45" s="10"/>
      <c r="AQ45" s="11"/>
      <c r="AR45" s="10"/>
      <c r="AS45" s="21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</row>
    <row r="46" spans="1:56" s="193" customFormat="1" x14ac:dyDescent="0.25">
      <c r="A46" s="271"/>
      <c r="B46" s="255"/>
      <c r="C46" s="44"/>
      <c r="D46" s="44"/>
      <c r="E46" s="44"/>
      <c r="F46" s="44"/>
      <c r="G46" s="118"/>
      <c r="H46" s="116"/>
      <c r="I46" s="44"/>
      <c r="J46" s="44"/>
      <c r="K46" s="44"/>
      <c r="L46" s="130"/>
      <c r="M46" s="118"/>
      <c r="N46" s="45"/>
      <c r="O46" s="45"/>
      <c r="P46" s="116"/>
      <c r="Q46" s="44"/>
      <c r="R46" s="44"/>
      <c r="S46" s="44"/>
      <c r="T46" s="44"/>
      <c r="U46" s="6" t="s">
        <v>143</v>
      </c>
      <c r="V46" s="10">
        <v>42283</v>
      </c>
      <c r="W46" s="11">
        <v>11730</v>
      </c>
      <c r="X46" s="6" t="s">
        <v>477</v>
      </c>
      <c r="Y46" s="10">
        <v>42370</v>
      </c>
      <c r="Z46" s="10">
        <v>42735</v>
      </c>
      <c r="AA46" s="23"/>
      <c r="AB46" s="21"/>
      <c r="AC46" s="24"/>
      <c r="AD46" s="23"/>
      <c r="AE46" s="25">
        <f>(1560.64*12)+AE45</f>
        <v>67850.040000000008</v>
      </c>
      <c r="AF46" s="25"/>
      <c r="AG46" s="107"/>
      <c r="AH46" s="12">
        <f t="shared" si="0"/>
        <v>0</v>
      </c>
      <c r="AI46" s="21"/>
      <c r="AJ46" s="11"/>
      <c r="AK46" s="21"/>
      <c r="AL46" s="27"/>
      <c r="AM46" s="21"/>
      <c r="AN46" s="21"/>
      <c r="AO46" s="11"/>
      <c r="AP46" s="10"/>
      <c r="AQ46" s="11"/>
      <c r="AR46" s="10"/>
      <c r="AS46" s="21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</row>
    <row r="47" spans="1:56" s="193" customFormat="1" ht="45" customHeight="1" x14ac:dyDescent="0.25">
      <c r="A47" s="271">
        <v>6</v>
      </c>
      <c r="B47" s="255" t="s">
        <v>130</v>
      </c>
      <c r="C47" s="44" t="s">
        <v>398</v>
      </c>
      <c r="D47" s="44" t="s">
        <v>135</v>
      </c>
      <c r="E47" s="44" t="s">
        <v>123</v>
      </c>
      <c r="F47" s="44" t="s">
        <v>139</v>
      </c>
      <c r="G47" s="118">
        <v>11017</v>
      </c>
      <c r="H47" s="116" t="s">
        <v>328</v>
      </c>
      <c r="I47" s="44" t="s">
        <v>147</v>
      </c>
      <c r="J47" s="44" t="s">
        <v>343</v>
      </c>
      <c r="K47" s="45">
        <v>41396</v>
      </c>
      <c r="L47" s="130">
        <v>11992</v>
      </c>
      <c r="M47" s="118">
        <v>11068</v>
      </c>
      <c r="N47" s="45">
        <v>41396</v>
      </c>
      <c r="O47" s="45">
        <v>41639</v>
      </c>
      <c r="P47" s="116" t="s">
        <v>157</v>
      </c>
      <c r="Q47" s="44"/>
      <c r="R47" s="44"/>
      <c r="S47" s="44"/>
      <c r="T47" s="44" t="s">
        <v>159</v>
      </c>
      <c r="U47" s="6"/>
      <c r="V47" s="21"/>
      <c r="W47" s="11"/>
      <c r="X47" s="6"/>
      <c r="Y47" s="21"/>
      <c r="Z47" s="21"/>
      <c r="AA47" s="23"/>
      <c r="AB47" s="21"/>
      <c r="AC47" s="24"/>
      <c r="AD47" s="24"/>
      <c r="AE47" s="25"/>
      <c r="AF47" s="82">
        <f>11992+18945.44+19883.12</f>
        <v>50820.56</v>
      </c>
      <c r="AG47" s="107">
        <v>1676.05</v>
      </c>
      <c r="AH47" s="12">
        <f t="shared" si="0"/>
        <v>52496.61</v>
      </c>
      <c r="AI47" s="21"/>
      <c r="AJ47" s="11"/>
      <c r="AK47" s="21"/>
      <c r="AL47" s="27"/>
      <c r="AM47" s="21"/>
      <c r="AN47" s="21"/>
      <c r="AO47" s="11"/>
      <c r="AP47" s="10"/>
      <c r="AQ47" s="11"/>
      <c r="AR47" s="10"/>
      <c r="AS47" s="21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</row>
    <row r="48" spans="1:56" s="193" customFormat="1" x14ac:dyDescent="0.25">
      <c r="A48" s="271"/>
      <c r="B48" s="255"/>
      <c r="C48" s="44"/>
      <c r="D48" s="44"/>
      <c r="E48" s="44"/>
      <c r="F48" s="44"/>
      <c r="G48" s="118"/>
      <c r="H48" s="116"/>
      <c r="I48" s="44"/>
      <c r="J48" s="44"/>
      <c r="K48" s="45"/>
      <c r="L48" s="130"/>
      <c r="M48" s="118"/>
      <c r="N48" s="45"/>
      <c r="O48" s="45"/>
      <c r="P48" s="116"/>
      <c r="Q48" s="44"/>
      <c r="R48" s="44"/>
      <c r="S48" s="44"/>
      <c r="T48" s="44"/>
      <c r="U48" s="6" t="s">
        <v>141</v>
      </c>
      <c r="V48" s="10">
        <v>41631</v>
      </c>
      <c r="W48" s="11">
        <v>11219</v>
      </c>
      <c r="X48" s="6" t="s">
        <v>477</v>
      </c>
      <c r="Y48" s="10">
        <v>41640</v>
      </c>
      <c r="Z48" s="10">
        <v>42004</v>
      </c>
      <c r="AA48" s="23"/>
      <c r="AB48" s="21"/>
      <c r="AC48" s="24">
        <f>1499*4</f>
        <v>5996</v>
      </c>
      <c r="AD48" s="24"/>
      <c r="AE48" s="25">
        <f>AC48+L47</f>
        <v>17988</v>
      </c>
      <c r="AF48" s="119"/>
      <c r="AG48" s="107"/>
      <c r="AH48" s="12">
        <f t="shared" si="0"/>
        <v>0</v>
      </c>
      <c r="AI48" s="21"/>
      <c r="AJ48" s="11"/>
      <c r="AK48" s="21"/>
      <c r="AL48" s="27"/>
      <c r="AM48" s="21"/>
      <c r="AN48" s="21"/>
      <c r="AO48" s="11"/>
      <c r="AP48" s="10"/>
      <c r="AQ48" s="11"/>
      <c r="AR48" s="10"/>
      <c r="AS48" s="21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</row>
    <row r="49" spans="1:56" s="193" customFormat="1" ht="25.5" x14ac:dyDescent="0.25">
      <c r="A49" s="271"/>
      <c r="B49" s="255"/>
      <c r="C49" s="44"/>
      <c r="D49" s="44"/>
      <c r="E49" s="44"/>
      <c r="F49" s="44"/>
      <c r="G49" s="118"/>
      <c r="H49" s="116"/>
      <c r="I49" s="44"/>
      <c r="J49" s="44"/>
      <c r="K49" s="45"/>
      <c r="L49" s="130"/>
      <c r="M49" s="118"/>
      <c r="N49" s="45"/>
      <c r="O49" s="45"/>
      <c r="P49" s="116"/>
      <c r="Q49" s="44"/>
      <c r="R49" s="44"/>
      <c r="S49" s="44"/>
      <c r="T49" s="44"/>
      <c r="U49" s="6" t="s">
        <v>425</v>
      </c>
      <c r="V49" s="10">
        <v>41767</v>
      </c>
      <c r="W49" s="11">
        <v>11301</v>
      </c>
      <c r="X49" s="6" t="s">
        <v>407</v>
      </c>
      <c r="Y49" s="10">
        <v>41761</v>
      </c>
      <c r="Z49" s="10">
        <v>42004</v>
      </c>
      <c r="AA49" s="23">
        <f>AC49/L47</f>
        <v>7.9839893262174791E-2</v>
      </c>
      <c r="AB49" s="21"/>
      <c r="AC49" s="24">
        <v>957.44</v>
      </c>
      <c r="AD49" s="24"/>
      <c r="AE49" s="25">
        <f>AC49+AE48</f>
        <v>18945.439999999999</v>
      </c>
      <c r="AF49" s="119"/>
      <c r="AG49" s="107"/>
      <c r="AH49" s="12">
        <f t="shared" si="0"/>
        <v>0</v>
      </c>
      <c r="AI49" s="21"/>
      <c r="AJ49" s="11"/>
      <c r="AK49" s="21"/>
      <c r="AL49" s="27"/>
      <c r="AM49" s="21"/>
      <c r="AN49" s="21"/>
      <c r="AO49" s="11"/>
      <c r="AP49" s="10"/>
      <c r="AQ49" s="11"/>
      <c r="AR49" s="10"/>
      <c r="AS49" s="21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</row>
    <row r="50" spans="1:56" s="193" customFormat="1" x14ac:dyDescent="0.25">
      <c r="A50" s="271"/>
      <c r="B50" s="255"/>
      <c r="C50" s="44"/>
      <c r="D50" s="44"/>
      <c r="E50" s="44"/>
      <c r="F50" s="44"/>
      <c r="G50" s="118"/>
      <c r="H50" s="116"/>
      <c r="I50" s="44"/>
      <c r="J50" s="44"/>
      <c r="K50" s="45"/>
      <c r="L50" s="130"/>
      <c r="M50" s="118"/>
      <c r="N50" s="45"/>
      <c r="O50" s="45"/>
      <c r="P50" s="116"/>
      <c r="Q50" s="44"/>
      <c r="R50" s="44"/>
      <c r="S50" s="44"/>
      <c r="T50" s="44"/>
      <c r="U50" s="6" t="s">
        <v>124</v>
      </c>
      <c r="V50" s="10">
        <v>42003</v>
      </c>
      <c r="W50" s="11">
        <v>11486</v>
      </c>
      <c r="X50" s="6" t="s">
        <v>477</v>
      </c>
      <c r="Y50" s="10">
        <v>42005</v>
      </c>
      <c r="Z50" s="10">
        <v>42369</v>
      </c>
      <c r="AA50" s="23"/>
      <c r="AB50" s="21"/>
      <c r="AC50" s="24"/>
      <c r="AD50" s="24"/>
      <c r="AE50" s="25">
        <f>(1618.68*12)</f>
        <v>19424.16</v>
      </c>
      <c r="AF50" s="119"/>
      <c r="AG50" s="107"/>
      <c r="AH50" s="12">
        <f t="shared" si="0"/>
        <v>0</v>
      </c>
      <c r="AI50" s="21"/>
      <c r="AJ50" s="11"/>
      <c r="AK50" s="21"/>
      <c r="AL50" s="27"/>
      <c r="AM50" s="21"/>
      <c r="AN50" s="21"/>
      <c r="AO50" s="11"/>
      <c r="AP50" s="10"/>
      <c r="AQ50" s="11"/>
      <c r="AR50" s="10"/>
      <c r="AS50" s="21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</row>
    <row r="51" spans="1:56" s="193" customFormat="1" ht="25.5" x14ac:dyDescent="0.25">
      <c r="A51" s="271"/>
      <c r="B51" s="255"/>
      <c r="C51" s="44"/>
      <c r="D51" s="44"/>
      <c r="E51" s="44"/>
      <c r="F51" s="44"/>
      <c r="G51" s="118"/>
      <c r="H51" s="116"/>
      <c r="I51" s="44"/>
      <c r="J51" s="44"/>
      <c r="K51" s="45"/>
      <c r="L51" s="130"/>
      <c r="M51" s="118"/>
      <c r="N51" s="45"/>
      <c r="O51" s="45"/>
      <c r="P51" s="116"/>
      <c r="Q51" s="44"/>
      <c r="R51" s="44"/>
      <c r="S51" s="44"/>
      <c r="T51" s="44"/>
      <c r="U51" s="6" t="s">
        <v>426</v>
      </c>
      <c r="V51" s="10">
        <v>42283</v>
      </c>
      <c r="W51" s="11">
        <v>11658</v>
      </c>
      <c r="X51" s="6" t="s">
        <v>407</v>
      </c>
      <c r="Y51" s="10">
        <v>42005</v>
      </c>
      <c r="Z51" s="10">
        <v>42369</v>
      </c>
      <c r="AA51" s="23">
        <f>AC51/AE50</f>
        <v>2.3628306191876506E-2</v>
      </c>
      <c r="AB51" s="21"/>
      <c r="AC51" s="24">
        <f>57.37*8</f>
        <v>458.96</v>
      </c>
      <c r="AD51" s="24"/>
      <c r="AE51" s="25">
        <f>AE50-AD51+AC51</f>
        <v>19883.12</v>
      </c>
      <c r="AF51" s="119"/>
      <c r="AG51" s="107"/>
      <c r="AH51" s="12">
        <f t="shared" si="0"/>
        <v>0</v>
      </c>
      <c r="AI51" s="21"/>
      <c r="AJ51" s="11"/>
      <c r="AK51" s="21"/>
      <c r="AL51" s="27"/>
      <c r="AM51" s="21"/>
      <c r="AN51" s="21"/>
      <c r="AO51" s="11"/>
      <c r="AP51" s="10"/>
      <c r="AQ51" s="11"/>
      <c r="AR51" s="10"/>
      <c r="AS51" s="21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</row>
    <row r="52" spans="1:56" s="193" customFormat="1" x14ac:dyDescent="0.25">
      <c r="A52" s="271"/>
      <c r="B52" s="255"/>
      <c r="C52" s="44"/>
      <c r="D52" s="44"/>
      <c r="E52" s="44"/>
      <c r="F52" s="44"/>
      <c r="G52" s="118"/>
      <c r="H52" s="116"/>
      <c r="I52" s="44"/>
      <c r="J52" s="44"/>
      <c r="K52" s="45"/>
      <c r="L52" s="130"/>
      <c r="M52" s="118"/>
      <c r="N52" s="45"/>
      <c r="O52" s="45"/>
      <c r="P52" s="116"/>
      <c r="Q52" s="44"/>
      <c r="R52" s="44"/>
      <c r="S52" s="44"/>
      <c r="T52" s="44"/>
      <c r="U52" s="6" t="s">
        <v>143</v>
      </c>
      <c r="V52" s="10">
        <v>42368</v>
      </c>
      <c r="W52" s="11">
        <v>11730</v>
      </c>
      <c r="X52" s="6" t="s">
        <v>477</v>
      </c>
      <c r="Y52" s="10">
        <v>42370</v>
      </c>
      <c r="Z52" s="10">
        <v>42735</v>
      </c>
      <c r="AA52" s="23"/>
      <c r="AB52" s="21"/>
      <c r="AC52" s="24"/>
      <c r="AD52" s="24"/>
      <c r="AE52" s="25">
        <f>1676.05*12</f>
        <v>20112.599999999999</v>
      </c>
      <c r="AF52" s="119"/>
      <c r="AG52" s="107"/>
      <c r="AH52" s="12">
        <f t="shared" si="0"/>
        <v>0</v>
      </c>
      <c r="AI52" s="21"/>
      <c r="AJ52" s="11"/>
      <c r="AK52" s="21"/>
      <c r="AL52" s="27"/>
      <c r="AM52" s="21"/>
      <c r="AN52" s="21"/>
      <c r="AO52" s="11"/>
      <c r="AP52" s="10"/>
      <c r="AQ52" s="11"/>
      <c r="AR52" s="10"/>
      <c r="AS52" s="21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56" s="193" customFormat="1" x14ac:dyDescent="0.25">
      <c r="A53" s="271"/>
      <c r="B53" s="255"/>
      <c r="C53" s="44"/>
      <c r="D53" s="44"/>
      <c r="E53" s="44"/>
      <c r="F53" s="44"/>
      <c r="G53" s="118"/>
      <c r="H53" s="116"/>
      <c r="I53" s="44"/>
      <c r="J53" s="44"/>
      <c r="K53" s="45"/>
      <c r="L53" s="130"/>
      <c r="M53" s="118"/>
      <c r="N53" s="45"/>
      <c r="O53" s="45"/>
      <c r="P53" s="116"/>
      <c r="Q53" s="44"/>
      <c r="R53" s="44"/>
      <c r="S53" s="44"/>
      <c r="T53" s="44"/>
      <c r="U53" s="6"/>
      <c r="V53" s="10"/>
      <c r="W53" s="11"/>
      <c r="X53" s="6"/>
      <c r="Y53" s="10"/>
      <c r="Z53" s="10"/>
      <c r="AA53" s="23"/>
      <c r="AB53" s="23"/>
      <c r="AC53" s="24"/>
      <c r="AD53" s="24"/>
      <c r="AE53" s="25"/>
      <c r="AF53" s="92"/>
      <c r="AG53" s="107"/>
      <c r="AH53" s="12">
        <f t="shared" si="0"/>
        <v>0</v>
      </c>
      <c r="AI53" s="21"/>
      <c r="AJ53" s="11"/>
      <c r="AK53" s="21"/>
      <c r="AL53" s="27"/>
      <c r="AM53" s="21"/>
      <c r="AN53" s="21"/>
      <c r="AO53" s="11"/>
      <c r="AP53" s="10"/>
      <c r="AQ53" s="11"/>
      <c r="AR53" s="10"/>
      <c r="AS53" s="21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1:56" s="193" customFormat="1" ht="45" customHeight="1" x14ac:dyDescent="0.25">
      <c r="A54" s="271">
        <v>7</v>
      </c>
      <c r="B54" s="255" t="s">
        <v>131</v>
      </c>
      <c r="C54" s="44" t="s">
        <v>209</v>
      </c>
      <c r="D54" s="44" t="s">
        <v>133</v>
      </c>
      <c r="E54" s="44" t="s">
        <v>123</v>
      </c>
      <c r="F54" s="44" t="s">
        <v>138</v>
      </c>
      <c r="G54" s="118">
        <v>11058</v>
      </c>
      <c r="H54" s="116" t="s">
        <v>327</v>
      </c>
      <c r="I54" s="44" t="s">
        <v>153</v>
      </c>
      <c r="J54" s="44" t="s">
        <v>417</v>
      </c>
      <c r="K54" s="45">
        <v>41456</v>
      </c>
      <c r="L54" s="130">
        <v>7620</v>
      </c>
      <c r="M54" s="118">
        <v>11090</v>
      </c>
      <c r="N54" s="45">
        <v>41456</v>
      </c>
      <c r="O54" s="45">
        <v>41639</v>
      </c>
      <c r="P54" s="116" t="s">
        <v>157</v>
      </c>
      <c r="Q54" s="44"/>
      <c r="R54" s="44"/>
      <c r="S54" s="44"/>
      <c r="T54" s="44" t="s">
        <v>159</v>
      </c>
      <c r="U54" s="6"/>
      <c r="V54" s="21"/>
      <c r="W54" s="11"/>
      <c r="X54" s="6"/>
      <c r="Y54" s="21"/>
      <c r="Z54" s="21"/>
      <c r="AA54" s="23"/>
      <c r="AB54" s="21"/>
      <c r="AC54" s="24"/>
      <c r="AD54" s="24"/>
      <c r="AE54" s="25">
        <f>L54</f>
        <v>7620</v>
      </c>
      <c r="AF54" s="25">
        <f>7620+15716.16+16747.92</f>
        <v>40084.080000000002</v>
      </c>
      <c r="AG54" s="107">
        <v>1441.96</v>
      </c>
      <c r="AH54" s="12">
        <f t="shared" si="0"/>
        <v>41526.04</v>
      </c>
      <c r="AI54" s="21"/>
      <c r="AJ54" s="11"/>
      <c r="AK54" s="21"/>
      <c r="AL54" s="27"/>
      <c r="AM54" s="21"/>
      <c r="AN54" s="21"/>
      <c r="AO54" s="11"/>
      <c r="AP54" s="10"/>
      <c r="AQ54" s="11"/>
      <c r="AR54" s="10"/>
      <c r="AS54" s="21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1:56" s="193" customFormat="1" ht="45" customHeight="1" x14ac:dyDescent="0.25">
      <c r="A55" s="271"/>
      <c r="B55" s="255"/>
      <c r="C55" s="44"/>
      <c r="D55" s="44"/>
      <c r="E55" s="44"/>
      <c r="F55" s="44"/>
      <c r="G55" s="118"/>
      <c r="H55" s="116"/>
      <c r="I55" s="44"/>
      <c r="J55" s="44"/>
      <c r="K55" s="45"/>
      <c r="L55" s="130"/>
      <c r="M55" s="118"/>
      <c r="N55" s="45"/>
      <c r="O55" s="45"/>
      <c r="P55" s="116"/>
      <c r="Q55" s="44"/>
      <c r="R55" s="44"/>
      <c r="S55" s="44"/>
      <c r="T55" s="44"/>
      <c r="U55" s="6" t="s">
        <v>145</v>
      </c>
      <c r="V55" s="10">
        <v>41631</v>
      </c>
      <c r="W55" s="11">
        <v>11224</v>
      </c>
      <c r="X55" s="6" t="s">
        <v>477</v>
      </c>
      <c r="Y55" s="10">
        <v>41640</v>
      </c>
      <c r="Z55" s="10">
        <v>42004</v>
      </c>
      <c r="AA55" s="23"/>
      <c r="AB55" s="21"/>
      <c r="AC55" s="24"/>
      <c r="AD55" s="24"/>
      <c r="AE55" s="107">
        <f>(1270*12)-L54</f>
        <v>7620</v>
      </c>
      <c r="AF55" s="25"/>
      <c r="AG55" s="107"/>
      <c r="AH55" s="12">
        <f t="shared" si="0"/>
        <v>0</v>
      </c>
      <c r="AI55" s="21"/>
      <c r="AJ55" s="11"/>
      <c r="AK55" s="21"/>
      <c r="AL55" s="27"/>
      <c r="AM55" s="21"/>
      <c r="AN55" s="21"/>
      <c r="AO55" s="11"/>
      <c r="AP55" s="10"/>
      <c r="AQ55" s="11"/>
      <c r="AR55" s="10"/>
      <c r="AS55" s="21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1:56" s="193" customFormat="1" ht="45" customHeight="1" x14ac:dyDescent="0.25">
      <c r="A56" s="271"/>
      <c r="B56" s="255"/>
      <c r="C56" s="44"/>
      <c r="D56" s="44"/>
      <c r="E56" s="44"/>
      <c r="F56" s="44"/>
      <c r="G56" s="118"/>
      <c r="H56" s="116"/>
      <c r="I56" s="44"/>
      <c r="J56" s="44"/>
      <c r="K56" s="45"/>
      <c r="L56" s="130"/>
      <c r="M56" s="118"/>
      <c r="N56" s="45"/>
      <c r="O56" s="45"/>
      <c r="P56" s="116"/>
      <c r="Q56" s="44"/>
      <c r="R56" s="44"/>
      <c r="S56" s="44"/>
      <c r="T56" s="44"/>
      <c r="U56" s="6" t="s">
        <v>425</v>
      </c>
      <c r="V56" s="10">
        <v>41841</v>
      </c>
      <c r="W56" s="11">
        <v>11358</v>
      </c>
      <c r="X56" s="6" t="s">
        <v>407</v>
      </c>
      <c r="Y56" s="10">
        <v>41640</v>
      </c>
      <c r="Z56" s="10">
        <v>42004</v>
      </c>
      <c r="AA56" s="23">
        <f>AC56/L54</f>
        <v>6.2488188976377951E-2</v>
      </c>
      <c r="AB56" s="21"/>
      <c r="AC56" s="24">
        <f>(79.36*6)</f>
        <v>476.15999999999997</v>
      </c>
      <c r="AD56" s="24"/>
      <c r="AE56" s="25">
        <f>AE55+AC56</f>
        <v>8096.16</v>
      </c>
      <c r="AF56" s="25"/>
      <c r="AG56" s="107"/>
      <c r="AH56" s="12">
        <f t="shared" si="0"/>
        <v>0</v>
      </c>
      <c r="AI56" s="21"/>
      <c r="AJ56" s="11"/>
      <c r="AK56" s="21"/>
      <c r="AL56" s="27"/>
      <c r="AM56" s="21"/>
      <c r="AN56" s="21"/>
      <c r="AO56" s="11"/>
      <c r="AP56" s="10"/>
      <c r="AQ56" s="11"/>
      <c r="AR56" s="10"/>
      <c r="AS56" s="21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pans="1:56" s="193" customFormat="1" ht="45" customHeight="1" x14ac:dyDescent="0.25">
      <c r="A57" s="271"/>
      <c r="B57" s="255"/>
      <c r="C57" s="44"/>
      <c r="D57" s="44"/>
      <c r="E57" s="44"/>
      <c r="F57" s="44"/>
      <c r="G57" s="118"/>
      <c r="H57" s="116"/>
      <c r="I57" s="44"/>
      <c r="J57" s="44"/>
      <c r="K57" s="45"/>
      <c r="L57" s="130"/>
      <c r="M57" s="118"/>
      <c r="N57" s="45"/>
      <c r="O57" s="45"/>
      <c r="P57" s="116"/>
      <c r="Q57" s="44"/>
      <c r="R57" s="44"/>
      <c r="S57" s="44"/>
      <c r="T57" s="44"/>
      <c r="U57" s="6" t="s">
        <v>142</v>
      </c>
      <c r="V57" s="10">
        <v>42003</v>
      </c>
      <c r="W57" s="11">
        <v>11486</v>
      </c>
      <c r="X57" s="6" t="s">
        <v>477</v>
      </c>
      <c r="Y57" s="10">
        <v>42005</v>
      </c>
      <c r="Z57" s="10">
        <v>42369</v>
      </c>
      <c r="AA57" s="23"/>
      <c r="AB57" s="21"/>
      <c r="AC57" s="24"/>
      <c r="AD57" s="24"/>
      <c r="AE57" s="25">
        <f>(1349.36*6)+AE56</f>
        <v>16192.32</v>
      </c>
      <c r="AF57" s="25"/>
      <c r="AG57" s="107"/>
      <c r="AH57" s="12">
        <f t="shared" si="0"/>
        <v>0</v>
      </c>
      <c r="AI57" s="21"/>
      <c r="AJ57" s="11"/>
      <c r="AK57" s="21"/>
      <c r="AL57" s="27"/>
      <c r="AM57" s="21"/>
      <c r="AN57" s="21"/>
      <c r="AO57" s="11"/>
      <c r="AP57" s="10"/>
      <c r="AQ57" s="11"/>
      <c r="AR57" s="10"/>
      <c r="AS57" s="21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1:56" s="193" customFormat="1" ht="45" customHeight="1" x14ac:dyDescent="0.25">
      <c r="A58" s="271"/>
      <c r="B58" s="255"/>
      <c r="C58" s="44"/>
      <c r="D58" s="44"/>
      <c r="E58" s="44"/>
      <c r="F58" s="44"/>
      <c r="G58" s="118"/>
      <c r="H58" s="116"/>
      <c r="I58" s="44"/>
      <c r="J58" s="44"/>
      <c r="K58" s="45"/>
      <c r="L58" s="130"/>
      <c r="M58" s="118"/>
      <c r="N58" s="45"/>
      <c r="O58" s="45"/>
      <c r="P58" s="116"/>
      <c r="Q58" s="44"/>
      <c r="R58" s="44"/>
      <c r="S58" s="44"/>
      <c r="T58" s="44"/>
      <c r="U58" s="6" t="s">
        <v>125</v>
      </c>
      <c r="V58" s="10">
        <v>42368</v>
      </c>
      <c r="W58" s="11"/>
      <c r="X58" s="6" t="s">
        <v>477</v>
      </c>
      <c r="Y58" s="10">
        <v>42370</v>
      </c>
      <c r="Z58" s="10">
        <v>42735</v>
      </c>
      <c r="AA58" s="23"/>
      <c r="AB58" s="21"/>
      <c r="AC58" s="24"/>
      <c r="AD58" s="24"/>
      <c r="AE58" s="25">
        <f>1441.96*12</f>
        <v>17303.52</v>
      </c>
      <c r="AF58" s="25"/>
      <c r="AG58" s="107"/>
      <c r="AH58" s="12">
        <f t="shared" si="0"/>
        <v>0</v>
      </c>
      <c r="AI58" s="21"/>
      <c r="AJ58" s="11"/>
      <c r="AK58" s="21"/>
      <c r="AL58" s="27"/>
      <c r="AM58" s="21"/>
      <c r="AN58" s="21"/>
      <c r="AO58" s="11"/>
      <c r="AP58" s="10"/>
      <c r="AQ58" s="11"/>
      <c r="AR58" s="10"/>
      <c r="AS58" s="21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spans="1:56" s="193" customFormat="1" ht="40.5" customHeight="1" x14ac:dyDescent="0.25">
      <c r="A59" s="271"/>
      <c r="B59" s="255"/>
      <c r="C59" s="44"/>
      <c r="D59" s="44"/>
      <c r="E59" s="44"/>
      <c r="F59" s="44"/>
      <c r="G59" s="118"/>
      <c r="H59" s="116"/>
      <c r="I59" s="44"/>
      <c r="J59" s="44"/>
      <c r="K59" s="44"/>
      <c r="L59" s="130"/>
      <c r="M59" s="118"/>
      <c r="N59" s="45"/>
      <c r="O59" s="45"/>
      <c r="P59" s="116"/>
      <c r="Q59" s="44"/>
      <c r="R59" s="44"/>
      <c r="S59" s="44"/>
      <c r="T59" s="44"/>
      <c r="U59" s="6"/>
      <c r="V59" s="10"/>
      <c r="W59" s="11"/>
      <c r="X59" s="6"/>
      <c r="Y59" s="10"/>
      <c r="Z59" s="10"/>
      <c r="AA59" s="23"/>
      <c r="AB59" s="21"/>
      <c r="AC59" s="24"/>
      <c r="AD59" s="24"/>
      <c r="AE59" s="25"/>
      <c r="AF59" s="25"/>
      <c r="AG59" s="107"/>
      <c r="AH59" s="12">
        <f t="shared" si="0"/>
        <v>0</v>
      </c>
      <c r="AI59" s="21"/>
      <c r="AJ59" s="11"/>
      <c r="AK59" s="21"/>
      <c r="AL59" s="27"/>
      <c r="AM59" s="21"/>
      <c r="AN59" s="21"/>
      <c r="AO59" s="11"/>
      <c r="AP59" s="10"/>
      <c r="AQ59" s="11"/>
      <c r="AR59" s="10"/>
      <c r="AS59" s="21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</row>
    <row r="60" spans="1:56" s="193" customFormat="1" ht="45" customHeight="1" x14ac:dyDescent="0.25">
      <c r="A60" s="271">
        <v>8</v>
      </c>
      <c r="B60" s="255" t="s">
        <v>131</v>
      </c>
      <c r="C60" s="44" t="s">
        <v>209</v>
      </c>
      <c r="D60" s="44" t="s">
        <v>135</v>
      </c>
      <c r="E60" s="44" t="s">
        <v>123</v>
      </c>
      <c r="F60" s="44" t="s">
        <v>138</v>
      </c>
      <c r="G60" s="118">
        <v>11058</v>
      </c>
      <c r="H60" s="116" t="s">
        <v>349</v>
      </c>
      <c r="I60" s="44" t="s">
        <v>154</v>
      </c>
      <c r="J60" s="44" t="s">
        <v>420</v>
      </c>
      <c r="K60" s="45">
        <v>41456</v>
      </c>
      <c r="L60" s="130">
        <v>8580</v>
      </c>
      <c r="M60" s="118">
        <v>11120</v>
      </c>
      <c r="N60" s="45">
        <v>41456</v>
      </c>
      <c r="O60" s="45">
        <v>41639</v>
      </c>
      <c r="P60" s="116" t="s">
        <v>157</v>
      </c>
      <c r="Q60" s="44"/>
      <c r="R60" s="44"/>
      <c r="S60" s="44"/>
      <c r="T60" s="16" t="s">
        <v>159</v>
      </c>
      <c r="U60" s="6"/>
      <c r="V60" s="10"/>
      <c r="W60" s="11"/>
      <c r="X60" s="6"/>
      <c r="Y60" s="10"/>
      <c r="Z60" s="10"/>
      <c r="AA60" s="23"/>
      <c r="AB60" s="21"/>
      <c r="AC60" s="24"/>
      <c r="AD60" s="24"/>
      <c r="AE60" s="25">
        <f>L60</f>
        <v>8580</v>
      </c>
      <c r="AF60" s="25">
        <f>8580+17696.1+18857.82</f>
        <v>45133.919999999998</v>
      </c>
      <c r="AG60" s="107">
        <v>1623.62</v>
      </c>
      <c r="AH60" s="12">
        <f t="shared" si="0"/>
        <v>46757.54</v>
      </c>
      <c r="AI60" s="21"/>
      <c r="AJ60" s="11"/>
      <c r="AK60" s="21"/>
      <c r="AL60" s="27"/>
      <c r="AM60" s="21"/>
      <c r="AN60" s="21"/>
      <c r="AO60" s="11"/>
      <c r="AP60" s="10"/>
      <c r="AQ60" s="11"/>
      <c r="AR60" s="10"/>
      <c r="AS60" s="21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</row>
    <row r="61" spans="1:56" s="193" customFormat="1" ht="45" customHeight="1" x14ac:dyDescent="0.25">
      <c r="A61" s="271"/>
      <c r="B61" s="255"/>
      <c r="C61" s="44"/>
      <c r="D61" s="44"/>
      <c r="E61" s="44"/>
      <c r="F61" s="44"/>
      <c r="G61" s="118"/>
      <c r="H61" s="116"/>
      <c r="I61" s="44"/>
      <c r="J61" s="44"/>
      <c r="K61" s="45"/>
      <c r="L61" s="130"/>
      <c r="M61" s="118"/>
      <c r="N61" s="45"/>
      <c r="O61" s="45"/>
      <c r="P61" s="116"/>
      <c r="Q61" s="44"/>
      <c r="R61" s="44"/>
      <c r="S61" s="44"/>
      <c r="T61" s="29"/>
      <c r="U61" s="6" t="s">
        <v>145</v>
      </c>
      <c r="V61" s="10">
        <v>41631</v>
      </c>
      <c r="W61" s="11">
        <v>11219</v>
      </c>
      <c r="X61" s="6" t="s">
        <v>477</v>
      </c>
      <c r="Y61" s="10">
        <v>41640</v>
      </c>
      <c r="Z61" s="10">
        <v>42004</v>
      </c>
      <c r="AA61" s="23"/>
      <c r="AB61" s="21"/>
      <c r="AC61" s="24"/>
      <c r="AD61" s="24"/>
      <c r="AE61" s="25">
        <f>AE60+(1430*6)</f>
        <v>17160</v>
      </c>
      <c r="AF61" s="25"/>
      <c r="AG61" s="107"/>
      <c r="AH61" s="12">
        <f t="shared" si="0"/>
        <v>0</v>
      </c>
      <c r="AI61" s="21"/>
      <c r="AJ61" s="11"/>
      <c r="AK61" s="21"/>
      <c r="AL61" s="27"/>
      <c r="AM61" s="21"/>
      <c r="AN61" s="21"/>
      <c r="AO61" s="11"/>
      <c r="AP61" s="10"/>
      <c r="AQ61" s="11"/>
      <c r="AR61" s="10"/>
      <c r="AS61" s="21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</row>
    <row r="62" spans="1:56" s="193" customFormat="1" ht="45" customHeight="1" x14ac:dyDescent="0.25">
      <c r="A62" s="271"/>
      <c r="B62" s="255"/>
      <c r="C62" s="44"/>
      <c r="D62" s="44"/>
      <c r="E62" s="44"/>
      <c r="F62" s="44"/>
      <c r="G62" s="118"/>
      <c r="H62" s="116"/>
      <c r="I62" s="44"/>
      <c r="J62" s="44"/>
      <c r="K62" s="45"/>
      <c r="L62" s="130"/>
      <c r="M62" s="118"/>
      <c r="N62" s="45"/>
      <c r="O62" s="45"/>
      <c r="P62" s="116"/>
      <c r="Q62" s="44"/>
      <c r="R62" s="44"/>
      <c r="S62" s="44"/>
      <c r="T62" s="29"/>
      <c r="U62" s="6" t="s">
        <v>425</v>
      </c>
      <c r="V62" s="10">
        <v>41841</v>
      </c>
      <c r="W62" s="11">
        <v>11358</v>
      </c>
      <c r="X62" s="6" t="s">
        <v>407</v>
      </c>
      <c r="Y62" s="10">
        <v>41640</v>
      </c>
      <c r="Z62" s="10">
        <v>42004</v>
      </c>
      <c r="AA62" s="23">
        <f>AC62/AE60</f>
        <v>5.0587412587412589E-2</v>
      </c>
      <c r="AB62" s="21"/>
      <c r="AC62" s="24">
        <v>434.04</v>
      </c>
      <c r="AD62" s="24"/>
      <c r="AE62" s="25">
        <f>AE61-AD62+AC62</f>
        <v>17594.04</v>
      </c>
      <c r="AF62" s="25"/>
      <c r="AG62" s="107"/>
      <c r="AH62" s="12">
        <f t="shared" si="0"/>
        <v>0</v>
      </c>
      <c r="AI62" s="21"/>
      <c r="AJ62" s="11"/>
      <c r="AK62" s="21"/>
      <c r="AL62" s="27"/>
      <c r="AM62" s="21"/>
      <c r="AN62" s="21"/>
      <c r="AO62" s="11"/>
      <c r="AP62" s="10"/>
      <c r="AQ62" s="11"/>
      <c r="AR62" s="10"/>
      <c r="AS62" s="21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</row>
    <row r="63" spans="1:56" s="193" customFormat="1" ht="27" customHeight="1" x14ac:dyDescent="0.25">
      <c r="A63" s="271"/>
      <c r="B63" s="255"/>
      <c r="C63" s="44"/>
      <c r="D63" s="44"/>
      <c r="E63" s="44"/>
      <c r="F63" s="44"/>
      <c r="G63" s="118"/>
      <c r="H63" s="116"/>
      <c r="I63" s="44"/>
      <c r="J63" s="44"/>
      <c r="K63" s="45"/>
      <c r="L63" s="130"/>
      <c r="M63" s="118"/>
      <c r="N63" s="45"/>
      <c r="O63" s="45"/>
      <c r="P63" s="116"/>
      <c r="Q63" s="44"/>
      <c r="R63" s="44"/>
      <c r="S63" s="44"/>
      <c r="T63" s="29"/>
      <c r="U63" s="6" t="s">
        <v>142</v>
      </c>
      <c r="V63" s="10">
        <v>42003</v>
      </c>
      <c r="W63" s="11">
        <v>11488</v>
      </c>
      <c r="X63" s="6" t="s">
        <v>477</v>
      </c>
      <c r="Y63" s="10">
        <v>42005</v>
      </c>
      <c r="Z63" s="10">
        <v>42369</v>
      </c>
      <c r="AA63" s="23"/>
      <c r="AB63" s="21"/>
      <c r="AC63" s="24"/>
      <c r="AD63" s="24"/>
      <c r="AE63" s="25">
        <f>AE62-AD63+(434.04*1)</f>
        <v>18028.080000000002</v>
      </c>
      <c r="AF63" s="25"/>
      <c r="AG63" s="107"/>
      <c r="AH63" s="12">
        <f t="shared" si="0"/>
        <v>0</v>
      </c>
      <c r="AI63" s="21"/>
      <c r="AJ63" s="11"/>
      <c r="AK63" s="21"/>
      <c r="AL63" s="27"/>
      <c r="AM63" s="21"/>
      <c r="AN63" s="21"/>
      <c r="AO63" s="11"/>
      <c r="AP63" s="10"/>
      <c r="AQ63" s="11"/>
      <c r="AR63" s="10"/>
      <c r="AS63" s="21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6" s="193" customFormat="1" ht="22.5" customHeight="1" x14ac:dyDescent="0.25">
      <c r="A64" s="271"/>
      <c r="B64" s="255"/>
      <c r="C64" s="44"/>
      <c r="D64" s="44"/>
      <c r="E64" s="44"/>
      <c r="F64" s="44"/>
      <c r="G64" s="118"/>
      <c r="H64" s="116"/>
      <c r="I64" s="44"/>
      <c r="J64" s="44"/>
      <c r="K64" s="45"/>
      <c r="L64" s="130"/>
      <c r="M64" s="118"/>
      <c r="N64" s="45"/>
      <c r="O64" s="45"/>
      <c r="P64" s="116"/>
      <c r="Q64" s="44"/>
      <c r="R64" s="44"/>
      <c r="S64" s="44"/>
      <c r="T64" s="29"/>
      <c r="U64" s="6" t="s">
        <v>426</v>
      </c>
      <c r="V64" s="10">
        <v>42312</v>
      </c>
      <c r="W64" s="11"/>
      <c r="X64" s="6" t="s">
        <v>407</v>
      </c>
      <c r="Y64" s="10">
        <v>41821</v>
      </c>
      <c r="Z64" s="10">
        <v>42369</v>
      </c>
      <c r="AA64" s="23">
        <f>AC64/AE62</f>
        <v>4.1359460362713742E-2</v>
      </c>
      <c r="AB64" s="21"/>
      <c r="AC64" s="24">
        <f>121.28*6</f>
        <v>727.68000000000006</v>
      </c>
      <c r="AD64" s="24"/>
      <c r="AE64" s="25">
        <f>AE63-AD64+AC64</f>
        <v>18755.760000000002</v>
      </c>
      <c r="AF64" s="25"/>
      <c r="AG64" s="107"/>
      <c r="AH64" s="12">
        <f t="shared" si="0"/>
        <v>0</v>
      </c>
      <c r="AI64" s="21"/>
      <c r="AJ64" s="11"/>
      <c r="AK64" s="21"/>
      <c r="AL64" s="27"/>
      <c r="AM64" s="21"/>
      <c r="AN64" s="21"/>
      <c r="AO64" s="11"/>
      <c r="AP64" s="10"/>
      <c r="AQ64" s="11"/>
      <c r="AR64" s="10"/>
      <c r="AS64" s="21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6" s="193" customFormat="1" x14ac:dyDescent="0.25">
      <c r="A65" s="271"/>
      <c r="B65" s="255"/>
      <c r="C65" s="44"/>
      <c r="D65" s="44"/>
      <c r="E65" s="44"/>
      <c r="F65" s="44"/>
      <c r="G65" s="118"/>
      <c r="H65" s="116"/>
      <c r="I65" s="44"/>
      <c r="J65" s="44"/>
      <c r="K65" s="45"/>
      <c r="L65" s="130"/>
      <c r="M65" s="118"/>
      <c r="N65" s="45"/>
      <c r="O65" s="45"/>
      <c r="P65" s="116"/>
      <c r="Q65" s="44"/>
      <c r="R65" s="44"/>
      <c r="S65" s="44"/>
      <c r="T65" s="35"/>
      <c r="U65" s="6"/>
      <c r="V65" s="10"/>
      <c r="W65" s="11"/>
      <c r="X65" s="6"/>
      <c r="Y65" s="10"/>
      <c r="Z65" s="10"/>
      <c r="AA65" s="23"/>
      <c r="AB65" s="21"/>
      <c r="AC65" s="24"/>
      <c r="AD65" s="24"/>
      <c r="AE65" s="25"/>
      <c r="AF65" s="25"/>
      <c r="AG65" s="107"/>
      <c r="AH65" s="12">
        <f t="shared" si="0"/>
        <v>0</v>
      </c>
      <c r="AI65" s="21"/>
      <c r="AJ65" s="11"/>
      <c r="AK65" s="21"/>
      <c r="AL65" s="27"/>
      <c r="AM65" s="21"/>
      <c r="AN65" s="21"/>
      <c r="AO65" s="11"/>
      <c r="AP65" s="10"/>
      <c r="AQ65" s="11"/>
      <c r="AR65" s="10"/>
      <c r="AS65" s="21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</row>
    <row r="66" spans="1:56" s="193" customFormat="1" ht="18" customHeight="1" x14ac:dyDescent="0.25">
      <c r="A66" s="271">
        <v>9</v>
      </c>
      <c r="B66" s="255" t="s">
        <v>132</v>
      </c>
      <c r="C66" s="44" t="s">
        <v>374</v>
      </c>
      <c r="D66" s="44" t="s">
        <v>135</v>
      </c>
      <c r="E66" s="44" t="s">
        <v>123</v>
      </c>
      <c r="F66" s="44" t="s">
        <v>140</v>
      </c>
      <c r="G66" s="118">
        <v>11108</v>
      </c>
      <c r="H66" s="116" t="s">
        <v>326</v>
      </c>
      <c r="I66" s="44" t="s">
        <v>155</v>
      </c>
      <c r="J66" s="44" t="s">
        <v>410</v>
      </c>
      <c r="K66" s="45">
        <v>41498</v>
      </c>
      <c r="L66" s="130">
        <v>3967</v>
      </c>
      <c r="M66" s="118">
        <v>11116</v>
      </c>
      <c r="N66" s="45">
        <v>41498</v>
      </c>
      <c r="O66" s="45">
        <v>41639</v>
      </c>
      <c r="P66" s="116" t="s">
        <v>157</v>
      </c>
      <c r="Q66" s="44"/>
      <c r="R66" s="44"/>
      <c r="S66" s="44"/>
      <c r="T66" s="44" t="s">
        <v>159</v>
      </c>
      <c r="U66" s="6"/>
      <c r="V66" s="21"/>
      <c r="W66" s="11"/>
      <c r="X66" s="6"/>
      <c r="Y66" s="21"/>
      <c r="Z66" s="21"/>
      <c r="AA66" s="23"/>
      <c r="AB66" s="21"/>
      <c r="AC66" s="24"/>
      <c r="AD66" s="24"/>
      <c r="AE66" s="25">
        <f>L66-AD66+AC66</f>
        <v>3967</v>
      </c>
      <c r="AF66" s="25">
        <f>3967+10248+10882.28</f>
        <v>25097.279999999999</v>
      </c>
      <c r="AG66" s="107">
        <v>979.15</v>
      </c>
      <c r="AH66" s="12">
        <f t="shared" si="0"/>
        <v>26076.43</v>
      </c>
      <c r="AI66" s="21"/>
      <c r="AJ66" s="11"/>
      <c r="AK66" s="21"/>
      <c r="AL66" s="27"/>
      <c r="AM66" s="21"/>
      <c r="AN66" s="21"/>
      <c r="AO66" s="11"/>
      <c r="AP66" s="10"/>
      <c r="AQ66" s="11"/>
      <c r="AR66" s="10"/>
      <c r="AS66" s="21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</row>
    <row r="67" spans="1:56" s="193" customFormat="1" ht="28.5" customHeight="1" x14ac:dyDescent="0.25">
      <c r="A67" s="271"/>
      <c r="B67" s="255"/>
      <c r="C67" s="44"/>
      <c r="D67" s="44"/>
      <c r="E67" s="44"/>
      <c r="F67" s="44"/>
      <c r="G67" s="118"/>
      <c r="H67" s="116"/>
      <c r="I67" s="44"/>
      <c r="J67" s="44"/>
      <c r="K67" s="45"/>
      <c r="L67" s="130"/>
      <c r="M67" s="118"/>
      <c r="N67" s="45"/>
      <c r="O67" s="45"/>
      <c r="P67" s="116"/>
      <c r="Q67" s="44"/>
      <c r="R67" s="44"/>
      <c r="S67" s="44"/>
      <c r="T67" s="44"/>
      <c r="U67" s="6" t="s">
        <v>145</v>
      </c>
      <c r="V67" s="10">
        <v>41631</v>
      </c>
      <c r="W67" s="11">
        <v>11224</v>
      </c>
      <c r="X67" s="6" t="s">
        <v>551</v>
      </c>
      <c r="Y67" s="10">
        <v>41640</v>
      </c>
      <c r="Z67" s="10">
        <v>42004</v>
      </c>
      <c r="AA67" s="23"/>
      <c r="AB67" s="21"/>
      <c r="AC67" s="24"/>
      <c r="AD67" s="24"/>
      <c r="AE67" s="25">
        <f>6281+AE66</f>
        <v>10248</v>
      </c>
      <c r="AF67" s="25"/>
      <c r="AG67" s="107">
        <v>0</v>
      </c>
      <c r="AH67" s="12">
        <f t="shared" si="0"/>
        <v>0</v>
      </c>
      <c r="AI67" s="21"/>
      <c r="AJ67" s="11"/>
      <c r="AK67" s="21"/>
      <c r="AL67" s="27"/>
      <c r="AM67" s="21"/>
      <c r="AN67" s="21"/>
      <c r="AO67" s="11"/>
      <c r="AP67" s="10"/>
      <c r="AQ67" s="11"/>
      <c r="AR67" s="10"/>
      <c r="AS67" s="21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s="193" customFormat="1" ht="28.5" customHeight="1" x14ac:dyDescent="0.25">
      <c r="A68" s="271"/>
      <c r="B68" s="255"/>
      <c r="C68" s="44"/>
      <c r="D68" s="44"/>
      <c r="E68" s="44"/>
      <c r="F68" s="44"/>
      <c r="G68" s="118"/>
      <c r="H68" s="116"/>
      <c r="I68" s="44"/>
      <c r="J68" s="44"/>
      <c r="K68" s="45"/>
      <c r="L68" s="130"/>
      <c r="M68" s="118"/>
      <c r="N68" s="45"/>
      <c r="O68" s="45"/>
      <c r="P68" s="116"/>
      <c r="Q68" s="44"/>
      <c r="R68" s="44"/>
      <c r="S68" s="44"/>
      <c r="T68" s="44"/>
      <c r="U68" s="6" t="s">
        <v>425</v>
      </c>
      <c r="V68" s="10">
        <v>41862</v>
      </c>
      <c r="W68" s="11">
        <v>11463</v>
      </c>
      <c r="X68" s="6" t="s">
        <v>407</v>
      </c>
      <c r="Y68" s="10">
        <v>41640</v>
      </c>
      <c r="Z68" s="10">
        <v>42004</v>
      </c>
      <c r="AA68" s="23">
        <f>AC68/L66</f>
        <v>5.3889589110158807E-2</v>
      </c>
      <c r="AB68" s="21"/>
      <c r="AC68" s="24">
        <v>213.78</v>
      </c>
      <c r="AD68" s="24"/>
      <c r="AE68" s="25">
        <f>AE67+AC68</f>
        <v>10461.780000000001</v>
      </c>
      <c r="AF68" s="25"/>
      <c r="AG68" s="107"/>
      <c r="AH68" s="12">
        <f t="shared" si="0"/>
        <v>0</v>
      </c>
      <c r="AI68" s="21"/>
      <c r="AJ68" s="11"/>
      <c r="AK68" s="21"/>
      <c r="AL68" s="27"/>
      <c r="AM68" s="21"/>
      <c r="AN68" s="21"/>
      <c r="AO68" s="11"/>
      <c r="AP68" s="10"/>
      <c r="AQ68" s="11"/>
      <c r="AR68" s="10"/>
      <c r="AS68" s="21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1:56" s="193" customFormat="1" ht="28.5" customHeight="1" x14ac:dyDescent="0.25">
      <c r="A69" s="271"/>
      <c r="B69" s="255"/>
      <c r="C69" s="44"/>
      <c r="D69" s="44"/>
      <c r="E69" s="44"/>
      <c r="F69" s="44"/>
      <c r="G69" s="118"/>
      <c r="H69" s="116"/>
      <c r="I69" s="44"/>
      <c r="J69" s="44"/>
      <c r="K69" s="45"/>
      <c r="L69" s="130"/>
      <c r="M69" s="118"/>
      <c r="N69" s="45"/>
      <c r="O69" s="45"/>
      <c r="P69" s="116"/>
      <c r="Q69" s="44"/>
      <c r="R69" s="44"/>
      <c r="S69" s="44"/>
      <c r="T69" s="44"/>
      <c r="U69" s="6" t="s">
        <v>142</v>
      </c>
      <c r="V69" s="10">
        <v>42003</v>
      </c>
      <c r="W69" s="11">
        <v>11486</v>
      </c>
      <c r="X69" s="6" t="s">
        <v>551</v>
      </c>
      <c r="Y69" s="10">
        <v>42005</v>
      </c>
      <c r="Z69" s="10">
        <v>42369</v>
      </c>
      <c r="AA69" s="23"/>
      <c r="AB69" s="21"/>
      <c r="AC69" s="24"/>
      <c r="AD69" s="24"/>
      <c r="AE69" s="25">
        <f>(899.49*12)</f>
        <v>10793.880000000001</v>
      </c>
      <c r="AF69" s="25"/>
      <c r="AG69" s="107"/>
      <c r="AH69" s="12">
        <f t="shared" si="0"/>
        <v>0</v>
      </c>
      <c r="AI69" s="21"/>
      <c r="AJ69" s="11"/>
      <c r="AK69" s="21"/>
      <c r="AL69" s="27"/>
      <c r="AM69" s="21"/>
      <c r="AN69" s="21"/>
      <c r="AO69" s="11"/>
      <c r="AP69" s="10"/>
      <c r="AQ69" s="11"/>
      <c r="AR69" s="10"/>
      <c r="AS69" s="21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6" s="193" customFormat="1" ht="28.5" customHeight="1" x14ac:dyDescent="0.25">
      <c r="A70" s="271"/>
      <c r="B70" s="255"/>
      <c r="C70" s="44"/>
      <c r="D70" s="44"/>
      <c r="E70" s="44"/>
      <c r="F70" s="44"/>
      <c r="G70" s="118"/>
      <c r="H70" s="116"/>
      <c r="I70" s="44"/>
      <c r="J70" s="44"/>
      <c r="K70" s="45"/>
      <c r="L70" s="130"/>
      <c r="M70" s="118"/>
      <c r="N70" s="45"/>
      <c r="O70" s="45"/>
      <c r="P70" s="116"/>
      <c r="Q70" s="44"/>
      <c r="R70" s="44"/>
      <c r="S70" s="44"/>
      <c r="T70" s="44"/>
      <c r="U70" s="6" t="s">
        <v>426</v>
      </c>
      <c r="V70" s="10">
        <v>42237</v>
      </c>
      <c r="W70" s="11">
        <v>11628</v>
      </c>
      <c r="X70" s="6" t="s">
        <v>407</v>
      </c>
      <c r="Y70" s="10">
        <v>42005</v>
      </c>
      <c r="Z70" s="10">
        <v>42369</v>
      </c>
      <c r="AA70" s="23">
        <f>AC70/AE69</f>
        <v>3.430184511964187E-2</v>
      </c>
      <c r="AB70" s="21"/>
      <c r="AC70" s="24">
        <v>370.25</v>
      </c>
      <c r="AD70" s="24"/>
      <c r="AE70" s="25">
        <f>AE69-AD70+AC70</f>
        <v>11164.130000000001</v>
      </c>
      <c r="AF70" s="25"/>
      <c r="AG70" s="107"/>
      <c r="AH70" s="12">
        <f t="shared" si="0"/>
        <v>0</v>
      </c>
      <c r="AI70" s="21"/>
      <c r="AJ70" s="11"/>
      <c r="AK70" s="21"/>
      <c r="AL70" s="27"/>
      <c r="AM70" s="21"/>
      <c r="AN70" s="21"/>
      <c r="AO70" s="11"/>
      <c r="AP70" s="10"/>
      <c r="AQ70" s="11"/>
      <c r="AR70" s="10"/>
      <c r="AS70" s="21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</row>
    <row r="71" spans="1:56" s="193" customFormat="1" ht="28.5" customHeight="1" x14ac:dyDescent="0.25">
      <c r="A71" s="271"/>
      <c r="B71" s="255"/>
      <c r="C71" s="44"/>
      <c r="D71" s="44"/>
      <c r="E71" s="44"/>
      <c r="F71" s="44"/>
      <c r="G71" s="118"/>
      <c r="H71" s="116"/>
      <c r="I71" s="44"/>
      <c r="J71" s="44"/>
      <c r="K71" s="45"/>
      <c r="L71" s="130"/>
      <c r="M71" s="118"/>
      <c r="N71" s="45"/>
      <c r="O71" s="45"/>
      <c r="P71" s="116"/>
      <c r="Q71" s="44"/>
      <c r="R71" s="44"/>
      <c r="S71" s="44"/>
      <c r="T71" s="44"/>
      <c r="U71" s="6" t="s">
        <v>125</v>
      </c>
      <c r="V71" s="10">
        <v>42312</v>
      </c>
      <c r="W71" s="11">
        <v>11692</v>
      </c>
      <c r="X71" s="6" t="s">
        <v>762</v>
      </c>
      <c r="Y71" s="10">
        <v>42005</v>
      </c>
      <c r="Z71" s="10">
        <v>42369</v>
      </c>
      <c r="AA71" s="23"/>
      <c r="AB71" s="21"/>
      <c r="AC71" s="24"/>
      <c r="AD71" s="24"/>
      <c r="AE71" s="25"/>
      <c r="AF71" s="25"/>
      <c r="AG71" s="107"/>
      <c r="AH71" s="12">
        <f t="shared" si="0"/>
        <v>0</v>
      </c>
      <c r="AI71" s="21"/>
      <c r="AJ71" s="11"/>
      <c r="AK71" s="21"/>
      <c r="AL71" s="27"/>
      <c r="AM71" s="21"/>
      <c r="AN71" s="21"/>
      <c r="AO71" s="11"/>
      <c r="AP71" s="10"/>
      <c r="AQ71" s="11"/>
      <c r="AR71" s="10"/>
      <c r="AS71" s="21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</row>
    <row r="72" spans="1:56" s="193" customFormat="1" ht="28.5" customHeight="1" x14ac:dyDescent="0.25">
      <c r="A72" s="271"/>
      <c r="B72" s="255"/>
      <c r="C72" s="44"/>
      <c r="D72" s="44"/>
      <c r="E72" s="44"/>
      <c r="F72" s="44"/>
      <c r="G72" s="118"/>
      <c r="H72" s="116"/>
      <c r="I72" s="44"/>
      <c r="J72" s="44"/>
      <c r="K72" s="44"/>
      <c r="L72" s="130"/>
      <c r="M72" s="118"/>
      <c r="N72" s="45"/>
      <c r="O72" s="45"/>
      <c r="P72" s="116"/>
      <c r="Q72" s="44"/>
      <c r="R72" s="44"/>
      <c r="S72" s="44"/>
      <c r="T72" s="44"/>
      <c r="U72" s="6" t="s">
        <v>188</v>
      </c>
      <c r="V72" s="10">
        <v>42368</v>
      </c>
      <c r="W72" s="11">
        <v>11730</v>
      </c>
      <c r="X72" s="6" t="s">
        <v>551</v>
      </c>
      <c r="Y72" s="10">
        <v>42370</v>
      </c>
      <c r="Z72" s="10">
        <v>42735</v>
      </c>
      <c r="AA72" s="23"/>
      <c r="AB72" s="21"/>
      <c r="AC72" s="24"/>
      <c r="AD72" s="24"/>
      <c r="AE72" s="25">
        <f>(979.15*12)+AE70</f>
        <v>22913.93</v>
      </c>
      <c r="AF72" s="25"/>
      <c r="AG72" s="107"/>
      <c r="AH72" s="12">
        <f t="shared" si="0"/>
        <v>0</v>
      </c>
      <c r="AI72" s="21"/>
      <c r="AJ72" s="11"/>
      <c r="AK72" s="21"/>
      <c r="AL72" s="27"/>
      <c r="AM72" s="21"/>
      <c r="AN72" s="21"/>
      <c r="AO72" s="11"/>
      <c r="AP72" s="10"/>
      <c r="AQ72" s="11"/>
      <c r="AR72" s="10"/>
      <c r="AS72" s="21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</row>
    <row r="73" spans="1:56" x14ac:dyDescent="0.25">
      <c r="A73" s="270">
        <v>10</v>
      </c>
      <c r="B73" s="255" t="s">
        <v>766</v>
      </c>
      <c r="C73" s="44" t="s">
        <v>767</v>
      </c>
      <c r="D73" s="44" t="s">
        <v>133</v>
      </c>
      <c r="E73" s="44" t="s">
        <v>123</v>
      </c>
      <c r="F73" s="44" t="s">
        <v>768</v>
      </c>
      <c r="G73" s="118">
        <v>10534</v>
      </c>
      <c r="H73" s="116" t="s">
        <v>187</v>
      </c>
      <c r="I73" s="44" t="s">
        <v>193</v>
      </c>
      <c r="J73" s="44" t="s">
        <v>418</v>
      </c>
      <c r="K73" s="45">
        <v>40658</v>
      </c>
      <c r="L73" s="130">
        <v>9600</v>
      </c>
      <c r="M73" s="118">
        <v>10543</v>
      </c>
      <c r="N73" s="45">
        <v>40665</v>
      </c>
      <c r="O73" s="45">
        <v>40908</v>
      </c>
      <c r="P73" s="116" t="s">
        <v>157</v>
      </c>
      <c r="Q73" s="44"/>
      <c r="R73" s="44"/>
      <c r="S73" s="44"/>
      <c r="T73" s="44" t="s">
        <v>159</v>
      </c>
      <c r="U73" s="6"/>
      <c r="V73" s="10"/>
      <c r="W73" s="11"/>
      <c r="X73" s="6"/>
      <c r="Y73" s="21"/>
      <c r="Z73" s="21"/>
      <c r="AA73" s="173"/>
      <c r="AB73" s="23"/>
      <c r="AC73" s="24"/>
      <c r="AD73" s="24"/>
      <c r="AE73" s="25">
        <f>L73</f>
        <v>9600</v>
      </c>
      <c r="AF73" s="70">
        <f>38400+15166.4</f>
        <v>53566.400000000001</v>
      </c>
      <c r="AG73" s="8">
        <v>1341.73</v>
      </c>
      <c r="AH73" s="12">
        <f t="shared" ref="AH73:AH103" si="1">AF73+AG73</f>
        <v>54908.130000000005</v>
      </c>
      <c r="AI73" s="21"/>
      <c r="AJ73" s="11"/>
      <c r="AK73" s="21"/>
      <c r="AL73" s="27"/>
      <c r="AM73" s="21"/>
      <c r="AN73" s="21"/>
      <c r="AO73" s="11"/>
      <c r="AP73" s="10"/>
      <c r="AQ73" s="11"/>
      <c r="AR73" s="10"/>
      <c r="AS73" s="21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</row>
    <row r="74" spans="1:56" x14ac:dyDescent="0.25">
      <c r="A74" s="268"/>
      <c r="B74" s="255"/>
      <c r="C74" s="44"/>
      <c r="D74" s="44"/>
      <c r="E74" s="44"/>
      <c r="F74" s="44"/>
      <c r="G74" s="118"/>
      <c r="H74" s="116"/>
      <c r="I74" s="44"/>
      <c r="J74" s="44"/>
      <c r="K74" s="45"/>
      <c r="L74" s="130"/>
      <c r="M74" s="118"/>
      <c r="N74" s="45"/>
      <c r="O74" s="45"/>
      <c r="P74" s="116"/>
      <c r="Q74" s="44"/>
      <c r="R74" s="44"/>
      <c r="S74" s="44"/>
      <c r="T74" s="44"/>
      <c r="U74" s="6" t="s">
        <v>141</v>
      </c>
      <c r="V74" s="10">
        <v>40878</v>
      </c>
      <c r="W74" s="11">
        <v>10694</v>
      </c>
      <c r="X74" s="6" t="s">
        <v>477</v>
      </c>
      <c r="Y74" s="10">
        <v>40909</v>
      </c>
      <c r="Z74" s="10">
        <v>41274</v>
      </c>
      <c r="AA74" s="173"/>
      <c r="AB74" s="23"/>
      <c r="AC74" s="24"/>
      <c r="AD74" s="24"/>
      <c r="AE74" s="25">
        <f>(1200*12)+L73</f>
        <v>24000</v>
      </c>
      <c r="AF74" s="135"/>
      <c r="AG74" s="8"/>
      <c r="AH74" s="12">
        <f t="shared" si="1"/>
        <v>0</v>
      </c>
      <c r="AI74" s="21"/>
      <c r="AJ74" s="11"/>
      <c r="AK74" s="21"/>
      <c r="AL74" s="27"/>
      <c r="AM74" s="21"/>
      <c r="AN74" s="21"/>
      <c r="AO74" s="11"/>
      <c r="AP74" s="10"/>
      <c r="AQ74" s="11"/>
      <c r="AR74" s="10"/>
      <c r="AS74" s="21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</row>
    <row r="75" spans="1:56" x14ac:dyDescent="0.25">
      <c r="A75" s="268"/>
      <c r="B75" s="255"/>
      <c r="C75" s="44"/>
      <c r="D75" s="44"/>
      <c r="E75" s="44"/>
      <c r="F75" s="44"/>
      <c r="G75" s="118"/>
      <c r="H75" s="116"/>
      <c r="I75" s="44"/>
      <c r="J75" s="44"/>
      <c r="K75" s="45"/>
      <c r="L75" s="130"/>
      <c r="M75" s="118"/>
      <c r="N75" s="45"/>
      <c r="O75" s="45"/>
      <c r="P75" s="116"/>
      <c r="Q75" s="44"/>
      <c r="R75" s="44"/>
      <c r="S75" s="44"/>
      <c r="T75" s="44"/>
      <c r="U75" s="6" t="s">
        <v>124</v>
      </c>
      <c r="V75" s="10">
        <v>41256</v>
      </c>
      <c r="W75" s="11">
        <v>10972</v>
      </c>
      <c r="X75" s="6" t="s">
        <v>477</v>
      </c>
      <c r="Y75" s="10">
        <v>41275</v>
      </c>
      <c r="Z75" s="10">
        <v>41639</v>
      </c>
      <c r="AA75" s="173"/>
      <c r="AB75" s="23"/>
      <c r="AC75" s="24"/>
      <c r="AD75" s="24"/>
      <c r="AE75" s="25">
        <f>(1200*12)+AE74</f>
        <v>38400</v>
      </c>
      <c r="AF75" s="135"/>
      <c r="AG75" s="8"/>
      <c r="AH75" s="12">
        <f t="shared" si="1"/>
        <v>0</v>
      </c>
      <c r="AI75" s="21"/>
      <c r="AJ75" s="11"/>
      <c r="AK75" s="21"/>
      <c r="AL75" s="27"/>
      <c r="AM75" s="21"/>
      <c r="AN75" s="21"/>
      <c r="AO75" s="11"/>
      <c r="AP75" s="10"/>
      <c r="AQ75" s="11"/>
      <c r="AR75" s="10"/>
      <c r="AS75" s="21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</row>
    <row r="76" spans="1:56" x14ac:dyDescent="0.25">
      <c r="A76" s="268"/>
      <c r="B76" s="255"/>
      <c r="C76" s="44"/>
      <c r="D76" s="44"/>
      <c r="E76" s="44"/>
      <c r="F76" s="44"/>
      <c r="G76" s="118"/>
      <c r="H76" s="116"/>
      <c r="I76" s="44"/>
      <c r="J76" s="44"/>
      <c r="K76" s="45"/>
      <c r="L76" s="130"/>
      <c r="M76" s="118"/>
      <c r="N76" s="45"/>
      <c r="O76" s="45"/>
      <c r="P76" s="116"/>
      <c r="Q76" s="44"/>
      <c r="R76" s="44"/>
      <c r="S76" s="44"/>
      <c r="T76" s="44"/>
      <c r="U76" s="6" t="s">
        <v>143</v>
      </c>
      <c r="V76" s="10">
        <v>41631</v>
      </c>
      <c r="W76" s="11">
        <v>11224</v>
      </c>
      <c r="X76" s="6" t="s">
        <v>771</v>
      </c>
      <c r="Y76" s="10">
        <v>41640</v>
      </c>
      <c r="Z76" s="10">
        <v>41820</v>
      </c>
      <c r="AA76" s="173"/>
      <c r="AB76" s="23"/>
      <c r="AC76" s="24"/>
      <c r="AD76" s="24"/>
      <c r="AE76" s="25">
        <f>(1200*6)+AE75</f>
        <v>45600</v>
      </c>
      <c r="AF76" s="135"/>
      <c r="AG76" s="8"/>
      <c r="AH76" s="12">
        <f t="shared" si="1"/>
        <v>0</v>
      </c>
      <c r="AI76" s="21"/>
      <c r="AJ76" s="11"/>
      <c r="AK76" s="21"/>
      <c r="AL76" s="27"/>
      <c r="AM76" s="21"/>
      <c r="AN76" s="21"/>
      <c r="AO76" s="11"/>
      <c r="AP76" s="10"/>
      <c r="AQ76" s="11"/>
      <c r="AR76" s="10"/>
      <c r="AS76" s="21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</row>
    <row r="77" spans="1:56" ht="25.5" x14ac:dyDescent="0.25">
      <c r="A77" s="268"/>
      <c r="B77" s="255"/>
      <c r="C77" s="44"/>
      <c r="D77" s="44"/>
      <c r="E77" s="44"/>
      <c r="F77" s="44"/>
      <c r="G77" s="118"/>
      <c r="H77" s="116"/>
      <c r="I77" s="44"/>
      <c r="J77" s="44"/>
      <c r="K77" s="45"/>
      <c r="L77" s="130"/>
      <c r="M77" s="118"/>
      <c r="N77" s="45"/>
      <c r="O77" s="45"/>
      <c r="P77" s="116"/>
      <c r="Q77" s="44"/>
      <c r="R77" s="44"/>
      <c r="S77" s="44"/>
      <c r="T77" s="44"/>
      <c r="U77" s="6" t="s">
        <v>425</v>
      </c>
      <c r="V77" s="10">
        <v>41767</v>
      </c>
      <c r="W77" s="11">
        <v>11301</v>
      </c>
      <c r="X77" s="6" t="s">
        <v>407</v>
      </c>
      <c r="Y77" s="10">
        <v>41761</v>
      </c>
      <c r="Z77" s="10">
        <v>41820</v>
      </c>
      <c r="AA77" s="173">
        <f>AC77/AE76</f>
        <v>4.2017543859649122E-3</v>
      </c>
      <c r="AB77" s="23"/>
      <c r="AC77" s="24">
        <f>95.8*2</f>
        <v>191.6</v>
      </c>
      <c r="AD77" s="24"/>
      <c r="AE77" s="25">
        <f>AE76-AD77+AC77</f>
        <v>45791.6</v>
      </c>
      <c r="AF77" s="135"/>
      <c r="AG77" s="8"/>
      <c r="AH77" s="12">
        <f t="shared" si="1"/>
        <v>0</v>
      </c>
      <c r="AI77" s="21"/>
      <c r="AJ77" s="11"/>
      <c r="AK77" s="21"/>
      <c r="AL77" s="27"/>
      <c r="AM77" s="21"/>
      <c r="AN77" s="21"/>
      <c r="AO77" s="11"/>
      <c r="AP77" s="10"/>
      <c r="AQ77" s="11"/>
      <c r="AR77" s="10"/>
      <c r="AS77" s="21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</row>
    <row r="78" spans="1:56" x14ac:dyDescent="0.25">
      <c r="A78" s="268"/>
      <c r="B78" s="255"/>
      <c r="C78" s="44"/>
      <c r="D78" s="44"/>
      <c r="E78" s="44"/>
      <c r="F78" s="44"/>
      <c r="G78" s="118"/>
      <c r="H78" s="116"/>
      <c r="I78" s="44"/>
      <c r="J78" s="44"/>
      <c r="K78" s="45"/>
      <c r="L78" s="130"/>
      <c r="M78" s="118"/>
      <c r="N78" s="45"/>
      <c r="O78" s="45"/>
      <c r="P78" s="116"/>
      <c r="Q78" s="44"/>
      <c r="R78" s="44"/>
      <c r="S78" s="44"/>
      <c r="T78" s="44"/>
      <c r="U78" s="6" t="s">
        <v>126</v>
      </c>
      <c r="V78" s="10">
        <v>41815</v>
      </c>
      <c r="W78" s="11">
        <v>11341</v>
      </c>
      <c r="X78" s="6" t="s">
        <v>769</v>
      </c>
      <c r="Y78" s="10">
        <v>41821</v>
      </c>
      <c r="Z78" s="10">
        <v>42004</v>
      </c>
      <c r="AA78" s="173"/>
      <c r="AB78" s="23"/>
      <c r="AC78" s="24"/>
      <c r="AD78" s="24"/>
      <c r="AE78" s="25">
        <f>(1295.8*6)+AE77</f>
        <v>53566.399999999994</v>
      </c>
      <c r="AF78" s="135"/>
      <c r="AG78" s="8"/>
      <c r="AH78" s="12">
        <f t="shared" si="1"/>
        <v>0</v>
      </c>
      <c r="AI78" s="21"/>
      <c r="AJ78" s="11"/>
      <c r="AK78" s="21"/>
      <c r="AL78" s="27"/>
      <c r="AM78" s="21"/>
      <c r="AN78" s="21"/>
      <c r="AO78" s="11"/>
      <c r="AP78" s="10"/>
      <c r="AQ78" s="11"/>
      <c r="AR78" s="10"/>
      <c r="AS78" s="21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</row>
    <row r="79" spans="1:56" x14ac:dyDescent="0.25">
      <c r="A79" s="268"/>
      <c r="B79" s="255"/>
      <c r="C79" s="44"/>
      <c r="D79" s="44"/>
      <c r="E79" s="44"/>
      <c r="F79" s="44"/>
      <c r="G79" s="118"/>
      <c r="H79" s="116"/>
      <c r="I79" s="44"/>
      <c r="J79" s="44"/>
      <c r="K79" s="45"/>
      <c r="L79" s="130"/>
      <c r="M79" s="118"/>
      <c r="N79" s="45"/>
      <c r="O79" s="45"/>
      <c r="P79" s="116"/>
      <c r="Q79" s="44"/>
      <c r="R79" s="44"/>
      <c r="S79" s="44"/>
      <c r="T79" s="44"/>
      <c r="U79" s="6" t="s">
        <v>181</v>
      </c>
      <c r="V79" s="10">
        <v>42003</v>
      </c>
      <c r="W79" s="11">
        <v>11486</v>
      </c>
      <c r="X79" s="6" t="s">
        <v>770</v>
      </c>
      <c r="Y79" s="10">
        <v>42005</v>
      </c>
      <c r="Z79" s="10">
        <v>42369</v>
      </c>
      <c r="AA79" s="173"/>
      <c r="AB79" s="23"/>
      <c r="AC79" s="24"/>
      <c r="AD79" s="24"/>
      <c r="AE79" s="25">
        <f>(1295.8*12)+AE78</f>
        <v>69116</v>
      </c>
      <c r="AF79" s="135"/>
      <c r="AG79" s="8"/>
      <c r="AH79" s="12">
        <f t="shared" si="1"/>
        <v>0</v>
      </c>
      <c r="AI79" s="21"/>
      <c r="AJ79" s="11"/>
      <c r="AK79" s="21"/>
      <c r="AL79" s="27"/>
      <c r="AM79" s="21"/>
      <c r="AN79" s="21"/>
      <c r="AO79" s="11"/>
      <c r="AP79" s="10"/>
      <c r="AQ79" s="11"/>
      <c r="AR79" s="10"/>
      <c r="AS79" s="21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</row>
    <row r="80" spans="1:56" ht="25.5" x14ac:dyDescent="0.25">
      <c r="A80" s="268"/>
      <c r="B80" s="255"/>
      <c r="C80" s="44"/>
      <c r="D80" s="44"/>
      <c r="E80" s="44"/>
      <c r="F80" s="44"/>
      <c r="G80" s="118"/>
      <c r="H80" s="116"/>
      <c r="I80" s="44"/>
      <c r="J80" s="44"/>
      <c r="K80" s="45"/>
      <c r="L80" s="130"/>
      <c r="M80" s="118"/>
      <c r="N80" s="45"/>
      <c r="O80" s="45"/>
      <c r="P80" s="116"/>
      <c r="Q80" s="44"/>
      <c r="R80" s="44"/>
      <c r="S80" s="44"/>
      <c r="T80" s="44"/>
      <c r="U80" s="6" t="s">
        <v>426</v>
      </c>
      <c r="V80" s="10">
        <v>42283</v>
      </c>
      <c r="W80" s="11">
        <v>11658</v>
      </c>
      <c r="X80" s="6" t="s">
        <v>407</v>
      </c>
      <c r="Y80" s="10">
        <v>42126</v>
      </c>
      <c r="Z80" s="10">
        <v>42369</v>
      </c>
      <c r="AA80" s="173">
        <f>AC80/AE79</f>
        <v>5.3162798773077145E-3</v>
      </c>
      <c r="AB80" s="23"/>
      <c r="AC80" s="24">
        <v>367.44</v>
      </c>
      <c r="AD80" s="24"/>
      <c r="AE80" s="25">
        <f>AE79-AD80+AC80</f>
        <v>69483.44</v>
      </c>
      <c r="AF80" s="135"/>
      <c r="AG80" s="8"/>
      <c r="AH80" s="12">
        <f t="shared" si="1"/>
        <v>0</v>
      </c>
      <c r="AI80" s="21"/>
      <c r="AJ80" s="11"/>
      <c r="AK80" s="21"/>
      <c r="AL80" s="27"/>
      <c r="AM80" s="21"/>
      <c r="AN80" s="21"/>
      <c r="AO80" s="11"/>
      <c r="AP80" s="10"/>
      <c r="AQ80" s="11"/>
      <c r="AR80" s="10"/>
      <c r="AS80" s="21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</row>
    <row r="81" spans="1:56" x14ac:dyDescent="0.25">
      <c r="A81" s="269"/>
      <c r="B81" s="255"/>
      <c r="C81" s="44"/>
      <c r="D81" s="44"/>
      <c r="E81" s="44"/>
      <c r="F81" s="44"/>
      <c r="G81" s="118"/>
      <c r="H81" s="116"/>
      <c r="I81" s="44"/>
      <c r="J81" s="44"/>
      <c r="K81" s="45"/>
      <c r="L81" s="130"/>
      <c r="M81" s="118"/>
      <c r="N81" s="45"/>
      <c r="O81" s="45"/>
      <c r="P81" s="116"/>
      <c r="Q81" s="44"/>
      <c r="R81" s="44"/>
      <c r="S81" s="44"/>
      <c r="T81" s="44"/>
      <c r="U81" s="6" t="s">
        <v>227</v>
      </c>
      <c r="V81" s="10">
        <v>42368</v>
      </c>
      <c r="W81" s="11">
        <v>11730</v>
      </c>
      <c r="X81" s="6" t="s">
        <v>772</v>
      </c>
      <c r="Y81" s="10">
        <v>42370</v>
      </c>
      <c r="Z81" s="10">
        <v>42460</v>
      </c>
      <c r="AA81" s="173"/>
      <c r="AB81" s="23"/>
      <c r="AC81" s="24"/>
      <c r="AD81" s="24"/>
      <c r="AE81" s="25">
        <f>(1341.73*3)+AE80</f>
        <v>73508.63</v>
      </c>
      <c r="AF81" s="135"/>
      <c r="AG81" s="8"/>
      <c r="AH81" s="12">
        <f t="shared" si="1"/>
        <v>0</v>
      </c>
      <c r="AI81" s="21"/>
      <c r="AJ81" s="11"/>
      <c r="AK81" s="21"/>
      <c r="AL81" s="27"/>
      <c r="AM81" s="21"/>
      <c r="AN81" s="21"/>
      <c r="AO81" s="11"/>
      <c r="AP81" s="10"/>
      <c r="AQ81" s="11"/>
      <c r="AR81" s="10"/>
      <c r="AS81" s="21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</row>
    <row r="82" spans="1:56" s="193" customFormat="1" ht="23.25" customHeight="1" x14ac:dyDescent="0.25">
      <c r="A82" s="270">
        <v>11</v>
      </c>
      <c r="B82" s="256" t="s">
        <v>165</v>
      </c>
      <c r="C82" s="16" t="s">
        <v>376</v>
      </c>
      <c r="D82" s="16" t="s">
        <v>134</v>
      </c>
      <c r="E82" s="16" t="s">
        <v>123</v>
      </c>
      <c r="F82" s="16" t="s">
        <v>172</v>
      </c>
      <c r="G82" s="63">
        <v>10756</v>
      </c>
      <c r="H82" s="109" t="s">
        <v>189</v>
      </c>
      <c r="I82" s="16" t="s">
        <v>194</v>
      </c>
      <c r="J82" s="16" t="s">
        <v>379</v>
      </c>
      <c r="K82" s="17">
        <v>41177</v>
      </c>
      <c r="L82" s="105">
        <v>2219816.8199999998</v>
      </c>
      <c r="M82" s="63">
        <v>10842</v>
      </c>
      <c r="N82" s="17">
        <v>41091</v>
      </c>
      <c r="O82" s="17">
        <v>41274</v>
      </c>
      <c r="P82" s="109" t="s">
        <v>157</v>
      </c>
      <c r="Q82" s="16"/>
      <c r="R82" s="16"/>
      <c r="S82" s="16"/>
      <c r="T82" s="16" t="s">
        <v>160</v>
      </c>
      <c r="U82" s="6"/>
      <c r="V82" s="21"/>
      <c r="W82" s="11"/>
      <c r="X82" s="6"/>
      <c r="Y82" s="21"/>
      <c r="Z82" s="21"/>
      <c r="AA82" s="23"/>
      <c r="AB82" s="21"/>
      <c r="AC82" s="24"/>
      <c r="AD82" s="24"/>
      <c r="AE82" s="25"/>
      <c r="AF82" s="70">
        <f>4518410.8+4270768.64+3108222.16</f>
        <v>11897401.6</v>
      </c>
      <c r="AG82" s="120">
        <f>40648.44+51208.6+40648.44+40648.44+40648.44+493588.2</f>
        <v>707390.56</v>
      </c>
      <c r="AH82" s="12">
        <f t="shared" si="1"/>
        <v>12604792.16</v>
      </c>
      <c r="AI82" s="21"/>
      <c r="AJ82" s="11"/>
      <c r="AK82" s="21"/>
      <c r="AL82" s="27"/>
      <c r="AM82" s="21"/>
      <c r="AN82" s="21"/>
      <c r="AO82" s="11"/>
      <c r="AP82" s="10"/>
      <c r="AQ82" s="11"/>
      <c r="AR82" s="10"/>
      <c r="AS82" s="21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</row>
    <row r="83" spans="1:56" s="193" customFormat="1" x14ac:dyDescent="0.25">
      <c r="A83" s="268"/>
      <c r="B83" s="257"/>
      <c r="C83" s="29"/>
      <c r="D83" s="29"/>
      <c r="E83" s="29"/>
      <c r="F83" s="29"/>
      <c r="G83" s="67"/>
      <c r="H83" s="112"/>
      <c r="I83" s="29"/>
      <c r="J83" s="29"/>
      <c r="K83" s="30"/>
      <c r="L83" s="101"/>
      <c r="M83" s="67"/>
      <c r="N83" s="30"/>
      <c r="O83" s="30"/>
      <c r="P83" s="112"/>
      <c r="Q83" s="29"/>
      <c r="R83" s="29"/>
      <c r="S83" s="29"/>
      <c r="T83" s="29"/>
      <c r="U83" s="6" t="s">
        <v>145</v>
      </c>
      <c r="V83" s="10">
        <v>41096</v>
      </c>
      <c r="W83" s="11">
        <v>10856</v>
      </c>
      <c r="X83" s="6" t="s">
        <v>488</v>
      </c>
      <c r="Y83" s="10">
        <v>41099</v>
      </c>
      <c r="Z83" s="10">
        <v>41274</v>
      </c>
      <c r="AA83" s="23">
        <f>AC83/L82</f>
        <v>2.5981607797710086E-2</v>
      </c>
      <c r="AB83" s="27"/>
      <c r="AC83" s="24">
        <v>57674.41</v>
      </c>
      <c r="AD83" s="24"/>
      <c r="AE83" s="25">
        <f>AC83+L82</f>
        <v>2277491.23</v>
      </c>
      <c r="AF83" s="127"/>
      <c r="AG83" s="121"/>
      <c r="AH83" s="12">
        <f t="shared" si="1"/>
        <v>0</v>
      </c>
      <c r="AI83" s="21"/>
      <c r="AJ83" s="11"/>
      <c r="AK83" s="21"/>
      <c r="AL83" s="27"/>
      <c r="AM83" s="21"/>
      <c r="AN83" s="21"/>
      <c r="AO83" s="11"/>
      <c r="AP83" s="10"/>
      <c r="AQ83" s="11"/>
      <c r="AR83" s="10"/>
      <c r="AS83" s="21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</row>
    <row r="84" spans="1:56" s="193" customFormat="1" x14ac:dyDescent="0.25">
      <c r="A84" s="268"/>
      <c r="B84" s="257"/>
      <c r="C84" s="29"/>
      <c r="D84" s="29"/>
      <c r="E84" s="29"/>
      <c r="F84" s="29"/>
      <c r="G84" s="67"/>
      <c r="H84" s="112"/>
      <c r="I84" s="29"/>
      <c r="J84" s="29"/>
      <c r="K84" s="30"/>
      <c r="L84" s="101"/>
      <c r="M84" s="67"/>
      <c r="N84" s="30"/>
      <c r="O84" s="30"/>
      <c r="P84" s="116" t="s">
        <v>526</v>
      </c>
      <c r="Q84" s="29"/>
      <c r="R84" s="29"/>
      <c r="S84" s="29"/>
      <c r="T84" s="29"/>
      <c r="U84" s="6" t="s">
        <v>124</v>
      </c>
      <c r="V84" s="10">
        <v>41107</v>
      </c>
      <c r="W84" s="11">
        <v>10857</v>
      </c>
      <c r="X84" s="6" t="s">
        <v>488</v>
      </c>
      <c r="Y84" s="10">
        <v>41108</v>
      </c>
      <c r="Z84" s="10">
        <v>41274</v>
      </c>
      <c r="AA84" s="23">
        <f>AC84/AE83</f>
        <v>8.0144150544105494E-3</v>
      </c>
      <c r="AB84" s="23"/>
      <c r="AC84" s="24">
        <v>18252.759999999998</v>
      </c>
      <c r="AD84" s="24"/>
      <c r="AE84" s="25">
        <f>AC84+AE83</f>
        <v>2295743.9899999998</v>
      </c>
      <c r="AF84" s="70">
        <v>2295743.9900000002</v>
      </c>
      <c r="AG84" s="120"/>
      <c r="AH84" s="12">
        <f t="shared" si="1"/>
        <v>2295743.9900000002</v>
      </c>
      <c r="AI84" s="21"/>
      <c r="AJ84" s="11"/>
      <c r="AK84" s="21"/>
      <c r="AL84" s="27"/>
      <c r="AM84" s="21"/>
      <c r="AN84" s="21"/>
      <c r="AO84" s="11"/>
      <c r="AP84" s="10"/>
      <c r="AQ84" s="11"/>
      <c r="AR84" s="10"/>
      <c r="AS84" s="21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1:56" s="193" customFormat="1" x14ac:dyDescent="0.25">
      <c r="A85" s="268"/>
      <c r="B85" s="257"/>
      <c r="C85" s="29"/>
      <c r="D85" s="29"/>
      <c r="E85" s="29"/>
      <c r="F85" s="29"/>
      <c r="G85" s="67"/>
      <c r="H85" s="112"/>
      <c r="I85" s="29"/>
      <c r="J85" s="29"/>
      <c r="K85" s="30"/>
      <c r="L85" s="101"/>
      <c r="M85" s="67"/>
      <c r="N85" s="30"/>
      <c r="O85" s="30"/>
      <c r="P85" s="116"/>
      <c r="Q85" s="29"/>
      <c r="R85" s="29"/>
      <c r="S85" s="29"/>
      <c r="T85" s="29"/>
      <c r="U85" s="6" t="s">
        <v>125</v>
      </c>
      <c r="V85" s="10">
        <v>41253</v>
      </c>
      <c r="W85" s="11">
        <v>10951</v>
      </c>
      <c r="X85" s="6" t="s">
        <v>480</v>
      </c>
      <c r="Y85" s="10">
        <v>41275</v>
      </c>
      <c r="Z85" s="10">
        <v>41639</v>
      </c>
      <c r="AA85" s="23"/>
      <c r="AB85" s="21"/>
      <c r="AC85" s="24">
        <f>6896088.35-2295743.99</f>
        <v>4600344.3599999994</v>
      </c>
      <c r="AD85" s="24"/>
      <c r="AE85" s="25">
        <f>AE84+AC85</f>
        <v>6896088.3499999996</v>
      </c>
      <c r="AF85" s="135"/>
      <c r="AG85" s="174"/>
      <c r="AH85" s="12">
        <f t="shared" si="1"/>
        <v>0</v>
      </c>
      <c r="AI85" s="21"/>
      <c r="AJ85" s="11"/>
      <c r="AK85" s="21"/>
      <c r="AL85" s="27"/>
      <c r="AM85" s="21"/>
      <c r="AN85" s="21"/>
      <c r="AO85" s="11"/>
      <c r="AP85" s="10"/>
      <c r="AQ85" s="11"/>
      <c r="AR85" s="10"/>
      <c r="AS85" s="21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1:56" s="193" customFormat="1" x14ac:dyDescent="0.25">
      <c r="A86" s="268"/>
      <c r="B86" s="257"/>
      <c r="C86" s="29"/>
      <c r="D86" s="29"/>
      <c r="E86" s="29"/>
      <c r="F86" s="29"/>
      <c r="G86" s="67"/>
      <c r="H86" s="112"/>
      <c r="I86" s="29"/>
      <c r="J86" s="29"/>
      <c r="K86" s="30"/>
      <c r="L86" s="101"/>
      <c r="M86" s="67"/>
      <c r="N86" s="30"/>
      <c r="O86" s="30"/>
      <c r="P86" s="116"/>
      <c r="Q86" s="29"/>
      <c r="R86" s="29"/>
      <c r="S86" s="29"/>
      <c r="T86" s="29"/>
      <c r="U86" s="6" t="s">
        <v>188</v>
      </c>
      <c r="V86" s="10">
        <v>41521</v>
      </c>
      <c r="W86" s="11">
        <v>11502</v>
      </c>
      <c r="X86" s="6" t="s">
        <v>464</v>
      </c>
      <c r="Y86" s="10">
        <v>41275</v>
      </c>
      <c r="Z86" s="10">
        <v>41639</v>
      </c>
      <c r="AA86" s="23">
        <f>AC86/(383362.03*12)</f>
        <v>6.3574112525784918E-2</v>
      </c>
      <c r="AB86" s="27"/>
      <c r="AC86" s="24">
        <v>292462.81</v>
      </c>
      <c r="AD86" s="24"/>
      <c r="AE86" s="175">
        <f>AE85+AC86</f>
        <v>7188551.1599999992</v>
      </c>
      <c r="AF86" s="127"/>
      <c r="AG86" s="121"/>
      <c r="AH86" s="12">
        <f t="shared" si="1"/>
        <v>0</v>
      </c>
      <c r="AI86" s="21"/>
      <c r="AJ86" s="11"/>
      <c r="AK86" s="21"/>
      <c r="AL86" s="27"/>
      <c r="AM86" s="21"/>
      <c r="AN86" s="21"/>
      <c r="AO86" s="11"/>
      <c r="AP86" s="10"/>
      <c r="AQ86" s="11"/>
      <c r="AR86" s="10"/>
      <c r="AS86" s="21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</row>
    <row r="87" spans="1:56" s="193" customFormat="1" x14ac:dyDescent="0.25">
      <c r="A87" s="268"/>
      <c r="B87" s="257"/>
      <c r="C87" s="29"/>
      <c r="D87" s="29"/>
      <c r="E87" s="29"/>
      <c r="F87" s="29"/>
      <c r="G87" s="67"/>
      <c r="H87" s="112"/>
      <c r="I87" s="29"/>
      <c r="J87" s="29"/>
      <c r="K87" s="30"/>
      <c r="L87" s="101"/>
      <c r="M87" s="67"/>
      <c r="N87" s="30"/>
      <c r="O87" s="30"/>
      <c r="P87" s="109" t="s">
        <v>203</v>
      </c>
      <c r="Q87" s="29"/>
      <c r="R87" s="29"/>
      <c r="S87" s="29"/>
      <c r="T87" s="29"/>
      <c r="U87" s="6" t="s">
        <v>127</v>
      </c>
      <c r="V87" s="10">
        <v>41631</v>
      </c>
      <c r="W87" s="11">
        <v>11513</v>
      </c>
      <c r="X87" s="6" t="s">
        <v>480</v>
      </c>
      <c r="Y87" s="10">
        <v>41640</v>
      </c>
      <c r="Z87" s="10">
        <v>42004</v>
      </c>
      <c r="AA87" s="23"/>
      <c r="AB87" s="21"/>
      <c r="AC87" s="24"/>
      <c r="AD87" s="24"/>
      <c r="AE87" s="175"/>
      <c r="AF87" s="82">
        <f>365648+380273.92</f>
        <v>745921.91999999993</v>
      </c>
      <c r="AG87" s="12"/>
      <c r="AH87" s="12">
        <f t="shared" si="1"/>
        <v>745921.91999999993</v>
      </c>
      <c r="AI87" s="21"/>
      <c r="AJ87" s="11"/>
      <c r="AK87" s="21"/>
      <c r="AL87" s="27"/>
      <c r="AM87" s="21"/>
      <c r="AN87" s="21"/>
      <c r="AO87" s="11"/>
      <c r="AP87" s="10"/>
      <c r="AQ87" s="11"/>
      <c r="AR87" s="10"/>
      <c r="AS87" s="21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</row>
    <row r="88" spans="1:56" s="193" customFormat="1" x14ac:dyDescent="0.25">
      <c r="A88" s="268"/>
      <c r="B88" s="257"/>
      <c r="C88" s="29"/>
      <c r="D88" s="29"/>
      <c r="E88" s="29"/>
      <c r="F88" s="29"/>
      <c r="G88" s="67"/>
      <c r="H88" s="112"/>
      <c r="I88" s="29"/>
      <c r="J88" s="29"/>
      <c r="K88" s="30"/>
      <c r="L88" s="101"/>
      <c r="M88" s="67"/>
      <c r="N88" s="30"/>
      <c r="O88" s="30"/>
      <c r="P88" s="112"/>
      <c r="Q88" s="29"/>
      <c r="R88" s="29"/>
      <c r="S88" s="29"/>
      <c r="T88" s="29"/>
      <c r="U88" s="6" t="s">
        <v>182</v>
      </c>
      <c r="V88" s="10">
        <v>41791</v>
      </c>
      <c r="W88" s="11">
        <v>11513</v>
      </c>
      <c r="X88" s="6" t="s">
        <v>207</v>
      </c>
      <c r="Y88" s="10">
        <v>41640</v>
      </c>
      <c r="Z88" s="10">
        <v>42004</v>
      </c>
      <c r="AA88" s="23">
        <f>AC88/AE86</f>
        <v>1.2462004930629164E-2</v>
      </c>
      <c r="AB88" s="23"/>
      <c r="AC88" s="24">
        <v>89583.76</v>
      </c>
      <c r="AD88" s="24"/>
      <c r="AE88" s="25">
        <f>AE86+AC88</f>
        <v>7278134.919999999</v>
      </c>
      <c r="AF88" s="119"/>
      <c r="AG88" s="13"/>
      <c r="AH88" s="12">
        <f t="shared" si="1"/>
        <v>0</v>
      </c>
      <c r="AI88" s="21"/>
      <c r="AJ88" s="11"/>
      <c r="AK88" s="21"/>
      <c r="AL88" s="27"/>
      <c r="AM88" s="21"/>
      <c r="AN88" s="21"/>
      <c r="AO88" s="11"/>
      <c r="AP88" s="10"/>
      <c r="AQ88" s="11"/>
      <c r="AR88" s="10"/>
      <c r="AS88" s="21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</row>
    <row r="89" spans="1:56" s="193" customFormat="1" x14ac:dyDescent="0.25">
      <c r="A89" s="268"/>
      <c r="B89" s="257"/>
      <c r="C89" s="29"/>
      <c r="D89" s="29"/>
      <c r="E89" s="29"/>
      <c r="F89" s="29"/>
      <c r="G89" s="67"/>
      <c r="H89" s="112"/>
      <c r="I89" s="29"/>
      <c r="J89" s="29"/>
      <c r="K89" s="30"/>
      <c r="L89" s="101"/>
      <c r="M89" s="67"/>
      <c r="N89" s="30"/>
      <c r="O89" s="30"/>
      <c r="P89" s="112"/>
      <c r="Q89" s="29"/>
      <c r="R89" s="29"/>
      <c r="S89" s="29"/>
      <c r="T89" s="29"/>
      <c r="U89" s="6" t="s">
        <v>183</v>
      </c>
      <c r="V89" s="10">
        <v>41791</v>
      </c>
      <c r="W89" s="11">
        <v>11513</v>
      </c>
      <c r="X89" s="6" t="s">
        <v>207</v>
      </c>
      <c r="Y89" s="10">
        <v>41640</v>
      </c>
      <c r="Z89" s="10">
        <v>42004</v>
      </c>
      <c r="AA89" s="23">
        <f>AC89/AE88</f>
        <v>1.0047848906873523E-3</v>
      </c>
      <c r="AB89" s="21"/>
      <c r="AC89" s="24">
        <v>7312.96</v>
      </c>
      <c r="AD89" s="24"/>
      <c r="AE89" s="25">
        <f>AE88+AC89</f>
        <v>7285447.879999999</v>
      </c>
      <c r="AF89" s="119"/>
      <c r="AG89" s="13"/>
      <c r="AH89" s="12">
        <f t="shared" si="1"/>
        <v>0</v>
      </c>
      <c r="AI89" s="21"/>
      <c r="AJ89" s="11"/>
      <c r="AK89" s="21"/>
      <c r="AL89" s="27"/>
      <c r="AM89" s="21"/>
      <c r="AN89" s="21"/>
      <c r="AO89" s="11"/>
      <c r="AP89" s="10"/>
      <c r="AQ89" s="11"/>
      <c r="AR89" s="10"/>
      <c r="AS89" s="21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</row>
    <row r="90" spans="1:56" s="193" customFormat="1" x14ac:dyDescent="0.25">
      <c r="A90" s="268"/>
      <c r="B90" s="257"/>
      <c r="C90" s="29"/>
      <c r="D90" s="29"/>
      <c r="E90" s="29"/>
      <c r="F90" s="29"/>
      <c r="G90" s="67"/>
      <c r="H90" s="112"/>
      <c r="I90" s="29"/>
      <c r="J90" s="29"/>
      <c r="K90" s="30"/>
      <c r="L90" s="101"/>
      <c r="M90" s="67"/>
      <c r="N90" s="30"/>
      <c r="O90" s="30"/>
      <c r="P90" s="112"/>
      <c r="Q90" s="29"/>
      <c r="R90" s="29"/>
      <c r="S90" s="29"/>
      <c r="T90" s="29"/>
      <c r="U90" s="6" t="s">
        <v>232</v>
      </c>
      <c r="V90" s="10">
        <v>42054</v>
      </c>
      <c r="W90" s="11">
        <v>11485</v>
      </c>
      <c r="X90" s="6" t="s">
        <v>480</v>
      </c>
      <c r="Y90" s="10">
        <v>42005</v>
      </c>
      <c r="Z90" s="10">
        <v>42369</v>
      </c>
      <c r="AA90" s="23"/>
      <c r="AB90" s="21"/>
      <c r="AC90" s="24"/>
      <c r="AD90" s="24"/>
      <c r="AE90" s="25">
        <f>AE89+AC90</f>
        <v>7285447.879999999</v>
      </c>
      <c r="AF90" s="119"/>
      <c r="AG90" s="13"/>
      <c r="AH90" s="12">
        <f t="shared" si="1"/>
        <v>0</v>
      </c>
      <c r="AI90" s="21"/>
      <c r="AJ90" s="11"/>
      <c r="AK90" s="21"/>
      <c r="AL90" s="27"/>
      <c r="AM90" s="21"/>
      <c r="AN90" s="21"/>
      <c r="AO90" s="11"/>
      <c r="AP90" s="10"/>
      <c r="AQ90" s="11"/>
      <c r="AR90" s="10"/>
      <c r="AS90" s="21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</row>
    <row r="91" spans="1:56" s="193" customFormat="1" x14ac:dyDescent="0.25">
      <c r="A91" s="268"/>
      <c r="B91" s="257"/>
      <c r="C91" s="29"/>
      <c r="D91" s="29"/>
      <c r="E91" s="29"/>
      <c r="F91" s="29"/>
      <c r="G91" s="67"/>
      <c r="H91" s="112"/>
      <c r="I91" s="29"/>
      <c r="J91" s="29"/>
      <c r="K91" s="30"/>
      <c r="L91" s="101"/>
      <c r="M91" s="67"/>
      <c r="N91" s="30"/>
      <c r="O91" s="30"/>
      <c r="P91" s="112"/>
      <c r="Q91" s="29"/>
      <c r="R91" s="29"/>
      <c r="S91" s="29"/>
      <c r="T91" s="29"/>
      <c r="U91" s="6" t="s">
        <v>233</v>
      </c>
      <c r="V91" s="10">
        <v>42108</v>
      </c>
      <c r="W91" s="11">
        <v>11359</v>
      </c>
      <c r="X91" s="6" t="s">
        <v>464</v>
      </c>
      <c r="Y91" s="10">
        <v>42005</v>
      </c>
      <c r="Z91" s="10">
        <v>42369</v>
      </c>
      <c r="AA91" s="23">
        <f>AC91/AE90</f>
        <v>4.1291545139706641E-2</v>
      </c>
      <c r="AB91" s="21"/>
      <c r="AC91" s="24">
        <v>300827.40000000002</v>
      </c>
      <c r="AD91" s="24"/>
      <c r="AE91" s="25">
        <f>AE90+AC91-AD91</f>
        <v>7586275.2799999993</v>
      </c>
      <c r="AF91" s="92"/>
      <c r="AG91" s="13"/>
      <c r="AH91" s="12">
        <f t="shared" si="1"/>
        <v>0</v>
      </c>
      <c r="AI91" s="21"/>
      <c r="AJ91" s="11"/>
      <c r="AK91" s="21"/>
      <c r="AL91" s="27"/>
      <c r="AM91" s="21"/>
      <c r="AN91" s="21"/>
      <c r="AO91" s="11"/>
      <c r="AP91" s="10"/>
      <c r="AQ91" s="11"/>
      <c r="AR91" s="10"/>
      <c r="AS91" s="21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</row>
    <row r="92" spans="1:56" s="193" customFormat="1" x14ac:dyDescent="0.25">
      <c r="A92" s="268"/>
      <c r="B92" s="257"/>
      <c r="C92" s="29"/>
      <c r="D92" s="29"/>
      <c r="E92" s="29"/>
      <c r="F92" s="29"/>
      <c r="G92" s="67"/>
      <c r="H92" s="112"/>
      <c r="I92" s="29"/>
      <c r="J92" s="29"/>
      <c r="K92" s="30"/>
      <c r="L92" s="101"/>
      <c r="M92" s="67"/>
      <c r="N92" s="30"/>
      <c r="O92" s="30"/>
      <c r="P92" s="112"/>
      <c r="Q92" s="29"/>
      <c r="R92" s="29"/>
      <c r="S92" s="29"/>
      <c r="T92" s="29"/>
      <c r="U92" s="6" t="s">
        <v>234</v>
      </c>
      <c r="V92" s="10">
        <v>42103</v>
      </c>
      <c r="W92" s="11">
        <v>11219</v>
      </c>
      <c r="X92" s="6" t="s">
        <v>207</v>
      </c>
      <c r="Y92" s="10">
        <v>42104</v>
      </c>
      <c r="Z92" s="10">
        <v>42369</v>
      </c>
      <c r="AA92" s="23">
        <f>AC92/AE91</f>
        <v>2.143259952992373E-2</v>
      </c>
      <c r="AB92" s="21"/>
      <c r="AC92" s="24">
        <v>162593.60000000001</v>
      </c>
      <c r="AD92" s="24"/>
      <c r="AE92" s="25">
        <f>AE91-AD92+AC92</f>
        <v>7748868.879999999</v>
      </c>
      <c r="AF92" s="119"/>
      <c r="AG92" s="13"/>
      <c r="AH92" s="12">
        <f t="shared" si="1"/>
        <v>0</v>
      </c>
      <c r="AI92" s="21"/>
      <c r="AJ92" s="11"/>
      <c r="AK92" s="21"/>
      <c r="AL92" s="27"/>
      <c r="AM92" s="21"/>
      <c r="AN92" s="21"/>
      <c r="AO92" s="11"/>
      <c r="AP92" s="10"/>
      <c r="AQ92" s="11"/>
      <c r="AR92" s="10"/>
      <c r="AS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</row>
    <row r="93" spans="1:56" s="193" customFormat="1" x14ac:dyDescent="0.25">
      <c r="A93" s="268"/>
      <c r="B93" s="257"/>
      <c r="C93" s="29"/>
      <c r="D93" s="29"/>
      <c r="E93" s="29"/>
      <c r="F93" s="29"/>
      <c r="G93" s="67"/>
      <c r="H93" s="112"/>
      <c r="I93" s="29"/>
      <c r="J93" s="29"/>
      <c r="K93" s="30"/>
      <c r="L93" s="101"/>
      <c r="M93" s="67"/>
      <c r="N93" s="30"/>
      <c r="O93" s="30"/>
      <c r="P93" s="112"/>
      <c r="Q93" s="29"/>
      <c r="R93" s="29"/>
      <c r="S93" s="29"/>
      <c r="T93" s="29"/>
      <c r="U93" s="6" t="s">
        <v>749</v>
      </c>
      <c r="V93" s="10">
        <v>42158</v>
      </c>
      <c r="W93" s="11">
        <v>11648</v>
      </c>
      <c r="X93" s="6" t="s">
        <v>207</v>
      </c>
      <c r="Y93" s="10">
        <v>42163</v>
      </c>
      <c r="Z93" s="10">
        <v>42369</v>
      </c>
      <c r="AA93" s="23">
        <f>AC93/AE92</f>
        <v>1.8942878279803853E-2</v>
      </c>
      <c r="AB93" s="21"/>
      <c r="AC93" s="24">
        <v>146785.88</v>
      </c>
      <c r="AD93" s="24"/>
      <c r="AE93" s="25">
        <f>AE92-AD93+AC93</f>
        <v>7895654.7599999988</v>
      </c>
      <c r="AF93" s="119"/>
      <c r="AG93" s="13"/>
      <c r="AH93" s="12">
        <f t="shared" si="1"/>
        <v>0</v>
      </c>
      <c r="AI93" s="21"/>
      <c r="AJ93" s="11"/>
      <c r="AK93" s="21"/>
      <c r="AL93" s="27"/>
      <c r="AM93" s="21"/>
      <c r="AN93" s="21"/>
      <c r="AO93" s="11"/>
      <c r="AP93" s="10"/>
      <c r="AQ93" s="11"/>
      <c r="AR93" s="10"/>
      <c r="AS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</row>
    <row r="94" spans="1:56" s="193" customFormat="1" x14ac:dyDescent="0.25">
      <c r="A94" s="268"/>
      <c r="B94" s="257"/>
      <c r="C94" s="29"/>
      <c r="D94" s="29"/>
      <c r="E94" s="29"/>
      <c r="F94" s="29"/>
      <c r="G94" s="67"/>
      <c r="H94" s="112"/>
      <c r="I94" s="29"/>
      <c r="J94" s="29"/>
      <c r="K94" s="30"/>
      <c r="L94" s="101"/>
      <c r="M94" s="67"/>
      <c r="N94" s="30"/>
      <c r="O94" s="30"/>
      <c r="P94" s="112"/>
      <c r="Q94" s="29"/>
      <c r="R94" s="29"/>
      <c r="S94" s="29"/>
      <c r="T94" s="29"/>
      <c r="U94" s="6" t="s">
        <v>750</v>
      </c>
      <c r="V94" s="10">
        <v>42271</v>
      </c>
      <c r="W94" s="11">
        <v>11698</v>
      </c>
      <c r="X94" s="6" t="s">
        <v>207</v>
      </c>
      <c r="Y94" s="10">
        <v>42248</v>
      </c>
      <c r="Z94" s="10">
        <v>42369</v>
      </c>
      <c r="AA94" s="23">
        <f>AC94/AE93</f>
        <v>7.8448820120397486E-3</v>
      </c>
      <c r="AB94" s="21"/>
      <c r="AC94" s="24">
        <v>61940.480000000003</v>
      </c>
      <c r="AD94" s="24"/>
      <c r="AE94" s="25">
        <f>AE93-AD94+AC94</f>
        <v>7957595.2399999993</v>
      </c>
      <c r="AF94" s="119"/>
      <c r="AG94" s="13"/>
      <c r="AH94" s="12">
        <f t="shared" si="1"/>
        <v>0</v>
      </c>
      <c r="AI94" s="21"/>
      <c r="AJ94" s="11"/>
      <c r="AK94" s="21"/>
      <c r="AL94" s="27"/>
      <c r="AM94" s="21"/>
      <c r="AN94" s="21"/>
      <c r="AO94" s="11"/>
      <c r="AP94" s="10"/>
      <c r="AQ94" s="11"/>
      <c r="AR94" s="10"/>
      <c r="AS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</row>
    <row r="95" spans="1:56" s="193" customFormat="1" x14ac:dyDescent="0.25">
      <c r="A95" s="268"/>
      <c r="B95" s="257"/>
      <c r="C95" s="29"/>
      <c r="D95" s="29"/>
      <c r="E95" s="29"/>
      <c r="F95" s="29"/>
      <c r="G95" s="67"/>
      <c r="H95" s="112"/>
      <c r="I95" s="29"/>
      <c r="J95" s="29"/>
      <c r="K95" s="30"/>
      <c r="L95" s="101"/>
      <c r="M95" s="67"/>
      <c r="N95" s="30"/>
      <c r="O95" s="30"/>
      <c r="P95" s="112"/>
      <c r="Q95" s="29"/>
      <c r="R95" s="29"/>
      <c r="S95" s="29"/>
      <c r="T95" s="29"/>
      <c r="U95" s="6" t="s">
        <v>751</v>
      </c>
      <c r="V95" s="10">
        <v>42277</v>
      </c>
      <c r="W95" s="11">
        <v>11698</v>
      </c>
      <c r="X95" s="6" t="s">
        <v>207</v>
      </c>
      <c r="Y95" s="10">
        <v>42278</v>
      </c>
      <c r="Z95" s="10">
        <v>42369</v>
      </c>
      <c r="AA95" s="23">
        <f>AC95/AE94</f>
        <v>7.2973301919286874E-4</v>
      </c>
      <c r="AB95" s="21"/>
      <c r="AC95" s="24">
        <v>5806.92</v>
      </c>
      <c r="AD95" s="24"/>
      <c r="AE95" s="25">
        <f>AE94-AD95+AC95</f>
        <v>7963402.1599999992</v>
      </c>
      <c r="AF95" s="119"/>
      <c r="AG95" s="13"/>
      <c r="AH95" s="12">
        <f t="shared" si="1"/>
        <v>0</v>
      </c>
      <c r="AI95" s="21"/>
      <c r="AJ95" s="11"/>
      <c r="AK95" s="21"/>
      <c r="AL95" s="27"/>
      <c r="AM95" s="21"/>
      <c r="AN95" s="21"/>
      <c r="AO95" s="11"/>
      <c r="AP95" s="10"/>
      <c r="AQ95" s="11"/>
      <c r="AR95" s="10"/>
      <c r="AS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</row>
    <row r="96" spans="1:56" s="193" customFormat="1" x14ac:dyDescent="0.25">
      <c r="A96" s="269"/>
      <c r="B96" s="258"/>
      <c r="C96" s="35"/>
      <c r="D96" s="35"/>
      <c r="E96" s="35"/>
      <c r="F96" s="35"/>
      <c r="G96" s="73"/>
      <c r="H96" s="110"/>
      <c r="I96" s="35"/>
      <c r="J96" s="35"/>
      <c r="K96" s="36"/>
      <c r="L96" s="108"/>
      <c r="M96" s="73"/>
      <c r="N96" s="36"/>
      <c r="O96" s="36"/>
      <c r="P96" s="110"/>
      <c r="Q96" s="35"/>
      <c r="R96" s="35"/>
      <c r="S96" s="35"/>
      <c r="T96" s="35"/>
      <c r="U96" s="6" t="s">
        <v>752</v>
      </c>
      <c r="V96" s="10">
        <v>42368</v>
      </c>
      <c r="W96" s="11">
        <v>11731</v>
      </c>
      <c r="X96" s="6" t="s">
        <v>477</v>
      </c>
      <c r="Y96" s="10">
        <v>42370</v>
      </c>
      <c r="Z96" s="10">
        <v>42735</v>
      </c>
      <c r="AA96" s="23"/>
      <c r="AB96" s="21"/>
      <c r="AC96" s="24"/>
      <c r="AD96" s="24"/>
      <c r="AE96" s="25"/>
      <c r="AF96" s="119"/>
      <c r="AG96" s="14"/>
      <c r="AH96" s="12">
        <f t="shared" si="1"/>
        <v>0</v>
      </c>
      <c r="AI96" s="21"/>
      <c r="AJ96" s="11"/>
      <c r="AK96" s="21"/>
      <c r="AL96" s="27"/>
      <c r="AM96" s="21"/>
      <c r="AN96" s="21"/>
      <c r="AO96" s="11"/>
      <c r="AP96" s="10"/>
      <c r="AQ96" s="11"/>
      <c r="AR96" s="10"/>
      <c r="AS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</row>
    <row r="97" spans="1:56" s="193" customFormat="1" ht="20.25" customHeight="1" x14ac:dyDescent="0.25">
      <c r="A97" s="270">
        <v>12</v>
      </c>
      <c r="B97" s="256" t="s">
        <v>165</v>
      </c>
      <c r="C97" s="16" t="s">
        <v>376</v>
      </c>
      <c r="D97" s="16" t="s">
        <v>133</v>
      </c>
      <c r="E97" s="16" t="s">
        <v>123</v>
      </c>
      <c r="F97" s="16" t="s">
        <v>173</v>
      </c>
      <c r="G97" s="63">
        <v>10756</v>
      </c>
      <c r="H97" s="109" t="s">
        <v>190</v>
      </c>
      <c r="I97" s="16" t="s">
        <v>195</v>
      </c>
      <c r="J97" s="16" t="s">
        <v>380</v>
      </c>
      <c r="K97" s="17">
        <v>41085</v>
      </c>
      <c r="L97" s="105">
        <v>207531.72</v>
      </c>
      <c r="M97" s="63">
        <v>10842</v>
      </c>
      <c r="N97" s="17">
        <v>41091</v>
      </c>
      <c r="O97" s="17">
        <v>41274</v>
      </c>
      <c r="P97" s="109" t="s">
        <v>157</v>
      </c>
      <c r="Q97" s="16"/>
      <c r="R97" s="16"/>
      <c r="S97" s="16"/>
      <c r="T97" s="16" t="s">
        <v>160</v>
      </c>
      <c r="U97" s="6"/>
      <c r="V97" s="21"/>
      <c r="W97" s="11"/>
      <c r="X97" s="6"/>
      <c r="Y97" s="21"/>
      <c r="Z97" s="21"/>
      <c r="AA97" s="23"/>
      <c r="AB97" s="21"/>
      <c r="AC97" s="24"/>
      <c r="AD97" s="24"/>
      <c r="AE97" s="25">
        <f>L97</f>
        <v>207531.72</v>
      </c>
      <c r="AF97" s="70">
        <f>445241.84+289809.36+265658.58</f>
        <v>1000709.78</v>
      </c>
      <c r="AG97" s="7">
        <f>24150.78+24150.78+24150.78+24150.78</f>
        <v>96603.12</v>
      </c>
      <c r="AH97" s="12">
        <f t="shared" si="1"/>
        <v>1097312.8999999999</v>
      </c>
      <c r="AI97" s="21"/>
      <c r="AJ97" s="11"/>
      <c r="AK97" s="21"/>
      <c r="AL97" s="27"/>
      <c r="AM97" s="21"/>
      <c r="AN97" s="21"/>
      <c r="AO97" s="11"/>
      <c r="AP97" s="10"/>
      <c r="AQ97" s="11"/>
      <c r="AR97" s="10"/>
      <c r="AS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</row>
    <row r="98" spans="1:56" s="193" customFormat="1" x14ac:dyDescent="0.25">
      <c r="A98" s="268"/>
      <c r="B98" s="257"/>
      <c r="C98" s="29"/>
      <c r="D98" s="29"/>
      <c r="E98" s="29"/>
      <c r="F98" s="29"/>
      <c r="G98" s="67"/>
      <c r="H98" s="112"/>
      <c r="I98" s="29"/>
      <c r="J98" s="29"/>
      <c r="K98" s="30"/>
      <c r="L98" s="101"/>
      <c r="M98" s="67"/>
      <c r="N98" s="30"/>
      <c r="O98" s="30"/>
      <c r="P98" s="112"/>
      <c r="Q98" s="29"/>
      <c r="R98" s="29"/>
      <c r="S98" s="29"/>
      <c r="T98" s="29"/>
      <c r="U98" s="6" t="s">
        <v>145</v>
      </c>
      <c r="V98" s="10">
        <v>41099</v>
      </c>
      <c r="W98" s="11">
        <v>10844</v>
      </c>
      <c r="X98" s="6" t="s">
        <v>490</v>
      </c>
      <c r="Y98" s="10">
        <v>41091</v>
      </c>
      <c r="Z98" s="10">
        <v>41274</v>
      </c>
      <c r="AA98" s="23"/>
      <c r="AB98" s="23">
        <f>8/27</f>
        <v>0.29629629629629628</v>
      </c>
      <c r="AC98" s="24"/>
      <c r="AD98" s="24">
        <f>(1281.06*8)*6</f>
        <v>61490.879999999997</v>
      </c>
      <c r="AE98" s="25">
        <f>AE97-AD98+AC98</f>
        <v>146040.84</v>
      </c>
      <c r="AF98" s="135"/>
      <c r="AG98" s="8"/>
      <c r="AH98" s="12">
        <f t="shared" si="1"/>
        <v>0</v>
      </c>
      <c r="AI98" s="21"/>
      <c r="AJ98" s="11"/>
      <c r="AK98" s="21"/>
      <c r="AL98" s="27"/>
      <c r="AM98" s="21"/>
      <c r="AN98" s="21"/>
      <c r="AO98" s="11"/>
      <c r="AP98" s="10"/>
      <c r="AQ98" s="11"/>
      <c r="AR98" s="10"/>
      <c r="AS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</row>
    <row r="99" spans="1:56" s="193" customFormat="1" x14ac:dyDescent="0.25">
      <c r="A99" s="268"/>
      <c r="B99" s="257"/>
      <c r="C99" s="29"/>
      <c r="D99" s="29"/>
      <c r="E99" s="29"/>
      <c r="F99" s="29"/>
      <c r="G99" s="67"/>
      <c r="H99" s="112"/>
      <c r="I99" s="29"/>
      <c r="J99" s="29"/>
      <c r="K99" s="30"/>
      <c r="L99" s="101"/>
      <c r="M99" s="67"/>
      <c r="N99" s="30"/>
      <c r="O99" s="30"/>
      <c r="P99" s="112"/>
      <c r="Q99" s="29"/>
      <c r="R99" s="29"/>
      <c r="S99" s="29"/>
      <c r="T99" s="29"/>
      <c r="U99" s="6" t="s">
        <v>124</v>
      </c>
      <c r="V99" s="10">
        <v>41253</v>
      </c>
      <c r="W99" s="11">
        <v>10951</v>
      </c>
      <c r="X99" s="6" t="s">
        <v>477</v>
      </c>
      <c r="Y99" s="10">
        <v>41275</v>
      </c>
      <c r="Z99" s="10">
        <v>41639</v>
      </c>
      <c r="AA99" s="23"/>
      <c r="AB99" s="23"/>
      <c r="AC99" s="24"/>
      <c r="AD99" s="24"/>
      <c r="AE99" s="25">
        <f>24340.14*6+AE98</f>
        <v>292081.68</v>
      </c>
      <c r="AF99" s="135"/>
      <c r="AG99" s="8"/>
      <c r="AH99" s="12">
        <f t="shared" si="1"/>
        <v>0</v>
      </c>
      <c r="AI99" s="21"/>
      <c r="AJ99" s="11"/>
      <c r="AK99" s="21"/>
      <c r="AL99" s="27"/>
      <c r="AM99" s="21"/>
      <c r="AN99" s="21"/>
      <c r="AO99" s="11"/>
      <c r="AP99" s="10"/>
      <c r="AQ99" s="11"/>
      <c r="AR99" s="10"/>
      <c r="AS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</row>
    <row r="100" spans="1:56" s="193" customFormat="1" x14ac:dyDescent="0.25">
      <c r="A100" s="268"/>
      <c r="B100" s="257"/>
      <c r="C100" s="29"/>
      <c r="D100" s="29"/>
      <c r="E100" s="29"/>
      <c r="F100" s="29"/>
      <c r="G100" s="67"/>
      <c r="H100" s="112"/>
      <c r="I100" s="29"/>
      <c r="J100" s="29"/>
      <c r="K100" s="30"/>
      <c r="L100" s="101"/>
      <c r="M100" s="67"/>
      <c r="N100" s="30"/>
      <c r="O100" s="30"/>
      <c r="P100" s="112"/>
      <c r="Q100" s="29"/>
      <c r="R100" s="29"/>
      <c r="S100" s="29"/>
      <c r="T100" s="29"/>
      <c r="U100" s="6" t="s">
        <v>143</v>
      </c>
      <c r="V100" s="10">
        <v>41509</v>
      </c>
      <c r="W100" s="11">
        <v>11128</v>
      </c>
      <c r="X100" s="6" t="s">
        <v>493</v>
      </c>
      <c r="Y100" s="10">
        <v>41487</v>
      </c>
      <c r="Z100" s="10">
        <v>41639</v>
      </c>
      <c r="AA100" s="23">
        <f>AC100/L97</f>
        <v>6.517051947528793E-2</v>
      </c>
      <c r="AB100" s="23">
        <f>1/27</f>
        <v>3.7037037037037035E-2</v>
      </c>
      <c r="AC100" s="24">
        <v>13524.95</v>
      </c>
      <c r="AD100" s="24">
        <f>1281.06*5</f>
        <v>6405.2999999999993</v>
      </c>
      <c r="AE100" s="25">
        <f>AE99-AD100+AC100</f>
        <v>299201.33</v>
      </c>
      <c r="AF100" s="135"/>
      <c r="AG100" s="8"/>
      <c r="AH100" s="12">
        <f t="shared" si="1"/>
        <v>0</v>
      </c>
      <c r="AI100" s="21"/>
      <c r="AJ100" s="11"/>
      <c r="AK100" s="21"/>
      <c r="AL100" s="27"/>
      <c r="AM100" s="21"/>
      <c r="AN100" s="21"/>
      <c r="AO100" s="11"/>
      <c r="AP100" s="10"/>
      <c r="AQ100" s="11"/>
      <c r="AR100" s="10"/>
      <c r="AS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</row>
    <row r="101" spans="1:56" s="193" customFormat="1" x14ac:dyDescent="0.25">
      <c r="A101" s="268"/>
      <c r="B101" s="257"/>
      <c r="C101" s="29"/>
      <c r="D101" s="29"/>
      <c r="E101" s="29"/>
      <c r="F101" s="29"/>
      <c r="G101" s="67"/>
      <c r="H101" s="112"/>
      <c r="I101" s="29"/>
      <c r="J101" s="29"/>
      <c r="K101" s="30"/>
      <c r="L101" s="101"/>
      <c r="M101" s="67"/>
      <c r="N101" s="30"/>
      <c r="O101" s="30"/>
      <c r="P101" s="112"/>
      <c r="Q101" s="29"/>
      <c r="R101" s="29"/>
      <c r="S101" s="29"/>
      <c r="T101" s="29"/>
      <c r="U101" s="6" t="s">
        <v>126</v>
      </c>
      <c r="V101" s="10">
        <v>41631</v>
      </c>
      <c r="W101" s="11">
        <v>11219</v>
      </c>
      <c r="X101" s="6" t="s">
        <v>162</v>
      </c>
      <c r="Y101" s="10">
        <v>41640</v>
      </c>
      <c r="Z101" s="10">
        <v>42004</v>
      </c>
      <c r="AA101" s="23"/>
      <c r="AB101" s="21"/>
      <c r="AC101" s="24"/>
      <c r="AD101" s="24"/>
      <c r="AE101" s="107">
        <f>(24150.78*12)</f>
        <v>289809.36</v>
      </c>
      <c r="AF101" s="135"/>
      <c r="AG101" s="8"/>
      <c r="AH101" s="12">
        <f t="shared" si="1"/>
        <v>0</v>
      </c>
      <c r="AI101" s="21"/>
      <c r="AJ101" s="11"/>
      <c r="AK101" s="21"/>
      <c r="AL101" s="27"/>
      <c r="AM101" s="21"/>
      <c r="AN101" s="21"/>
      <c r="AO101" s="11"/>
      <c r="AP101" s="10"/>
      <c r="AQ101" s="11"/>
      <c r="AR101" s="10"/>
      <c r="AS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</row>
    <row r="102" spans="1:56" s="193" customFormat="1" x14ac:dyDescent="0.25">
      <c r="A102" s="268"/>
      <c r="B102" s="257"/>
      <c r="C102" s="29"/>
      <c r="D102" s="29"/>
      <c r="E102" s="29"/>
      <c r="F102" s="29"/>
      <c r="G102" s="67"/>
      <c r="H102" s="112"/>
      <c r="I102" s="29"/>
      <c r="J102" s="29"/>
      <c r="K102" s="30"/>
      <c r="L102" s="101"/>
      <c r="M102" s="67"/>
      <c r="N102" s="30"/>
      <c r="O102" s="30"/>
      <c r="P102" s="112"/>
      <c r="Q102" s="29"/>
      <c r="R102" s="29"/>
      <c r="S102" s="29"/>
      <c r="T102" s="29"/>
      <c r="U102" s="6" t="s">
        <v>181</v>
      </c>
      <c r="V102" s="10">
        <v>42003</v>
      </c>
      <c r="W102" s="11">
        <v>11485</v>
      </c>
      <c r="X102" s="6" t="s">
        <v>480</v>
      </c>
      <c r="Y102" s="10">
        <v>42005</v>
      </c>
      <c r="Z102" s="10">
        <v>42369</v>
      </c>
      <c r="AA102" s="23"/>
      <c r="AB102" s="21"/>
      <c r="AC102" s="24"/>
      <c r="AD102" s="24"/>
      <c r="AE102" s="107">
        <f>(24150.78*12)</f>
        <v>289809.36</v>
      </c>
      <c r="AF102" s="135"/>
      <c r="AG102" s="8"/>
      <c r="AH102" s="12">
        <f t="shared" si="1"/>
        <v>0</v>
      </c>
      <c r="AI102" s="21"/>
      <c r="AJ102" s="11"/>
      <c r="AK102" s="21"/>
      <c r="AL102" s="27"/>
      <c r="AM102" s="21"/>
      <c r="AN102" s="21"/>
      <c r="AO102" s="11"/>
      <c r="AP102" s="10"/>
      <c r="AQ102" s="11"/>
      <c r="AR102" s="10"/>
      <c r="AS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</row>
    <row r="103" spans="1:56" s="193" customFormat="1" x14ac:dyDescent="0.25">
      <c r="A103" s="269"/>
      <c r="B103" s="258"/>
      <c r="C103" s="35"/>
      <c r="D103" s="35"/>
      <c r="E103" s="35"/>
      <c r="F103" s="35"/>
      <c r="G103" s="73"/>
      <c r="H103" s="110"/>
      <c r="I103" s="35"/>
      <c r="J103" s="35"/>
      <c r="K103" s="36"/>
      <c r="L103" s="108"/>
      <c r="M103" s="73"/>
      <c r="N103" s="36"/>
      <c r="O103" s="36"/>
      <c r="P103" s="110"/>
      <c r="Q103" s="35"/>
      <c r="R103" s="35"/>
      <c r="S103" s="35"/>
      <c r="T103" s="35"/>
      <c r="U103" s="6" t="s">
        <v>227</v>
      </c>
      <c r="V103" s="10">
        <v>42359</v>
      </c>
      <c r="W103" s="11">
        <v>11731</v>
      </c>
      <c r="X103" s="6" t="s">
        <v>480</v>
      </c>
      <c r="Y103" s="10">
        <v>42370</v>
      </c>
      <c r="Z103" s="10">
        <v>42735</v>
      </c>
      <c r="AA103" s="23"/>
      <c r="AB103" s="21"/>
      <c r="AC103" s="24"/>
      <c r="AD103" s="24"/>
      <c r="AE103" s="107">
        <f>(24150.78*12)</f>
        <v>289809.36</v>
      </c>
      <c r="AF103" s="127"/>
      <c r="AG103" s="9"/>
      <c r="AH103" s="12">
        <f t="shared" si="1"/>
        <v>0</v>
      </c>
      <c r="AI103" s="21"/>
      <c r="AJ103" s="11"/>
      <c r="AK103" s="21"/>
      <c r="AL103" s="27"/>
      <c r="AM103" s="21"/>
      <c r="AN103" s="21"/>
      <c r="AO103" s="11"/>
      <c r="AP103" s="10"/>
      <c r="AQ103" s="11"/>
      <c r="AR103" s="10"/>
      <c r="AS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</row>
    <row r="104" spans="1:56" s="193" customFormat="1" ht="45" customHeight="1" x14ac:dyDescent="0.25">
      <c r="A104" s="270">
        <v>13</v>
      </c>
      <c r="B104" s="254" t="s">
        <v>546</v>
      </c>
      <c r="C104" s="16" t="s">
        <v>430</v>
      </c>
      <c r="D104" s="15" t="s">
        <v>133</v>
      </c>
      <c r="E104" s="16" t="s">
        <v>123</v>
      </c>
      <c r="F104" s="16" t="s">
        <v>547</v>
      </c>
      <c r="G104" s="15">
        <v>11192</v>
      </c>
      <c r="H104" s="16" t="s">
        <v>548</v>
      </c>
      <c r="I104" s="16" t="s">
        <v>202</v>
      </c>
      <c r="J104" s="16" t="s">
        <v>323</v>
      </c>
      <c r="K104" s="17">
        <v>41682</v>
      </c>
      <c r="L104" s="18">
        <v>64985</v>
      </c>
      <c r="M104" s="62">
        <v>11467</v>
      </c>
      <c r="N104" s="20">
        <v>41682</v>
      </c>
      <c r="O104" s="20">
        <v>42004</v>
      </c>
      <c r="P104" s="15">
        <v>1</v>
      </c>
      <c r="Q104" s="21"/>
      <c r="R104" s="21"/>
      <c r="S104" s="21"/>
      <c r="T104" s="16" t="s">
        <v>160</v>
      </c>
      <c r="U104" s="6"/>
      <c r="V104" s="21"/>
      <c r="W104" s="11"/>
      <c r="X104" s="6"/>
      <c r="Y104" s="10"/>
      <c r="Z104" s="10"/>
      <c r="AA104" s="23"/>
      <c r="AB104" s="21"/>
      <c r="AC104" s="24"/>
      <c r="AD104" s="24"/>
      <c r="AE104" s="25">
        <f>L104-AD104+AC104</f>
        <v>64985</v>
      </c>
      <c r="AF104" s="26">
        <f>53473.33</f>
        <v>53473.33</v>
      </c>
      <c r="AG104" s="26">
        <f>7760</f>
        <v>7760</v>
      </c>
      <c r="AH104" s="12">
        <f t="shared" ref="AH104:AH159" si="2">AF104+AG104</f>
        <v>61233.33</v>
      </c>
      <c r="AI104" s="21"/>
      <c r="AJ104" s="11"/>
      <c r="AK104" s="21"/>
      <c r="AL104" s="27"/>
      <c r="AM104" s="21"/>
      <c r="AN104" s="21"/>
      <c r="AO104" s="11"/>
      <c r="AP104" s="10"/>
      <c r="AQ104" s="11"/>
      <c r="AR104" s="10"/>
      <c r="AS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</row>
    <row r="105" spans="1:56" s="193" customFormat="1" ht="45" customHeight="1" x14ac:dyDescent="0.25">
      <c r="A105" s="269"/>
      <c r="B105" s="253"/>
      <c r="C105" s="35"/>
      <c r="D105" s="34"/>
      <c r="E105" s="35"/>
      <c r="F105" s="35"/>
      <c r="G105" s="34"/>
      <c r="H105" s="35"/>
      <c r="I105" s="35"/>
      <c r="J105" s="35"/>
      <c r="K105" s="36"/>
      <c r="L105" s="37"/>
      <c r="M105" s="72"/>
      <c r="N105" s="39"/>
      <c r="O105" s="39"/>
      <c r="P105" s="34"/>
      <c r="Q105" s="21"/>
      <c r="R105" s="21"/>
      <c r="S105" s="21"/>
      <c r="T105" s="35"/>
      <c r="U105" s="6" t="s">
        <v>141</v>
      </c>
      <c r="V105" s="10">
        <v>42003</v>
      </c>
      <c r="W105" s="11">
        <v>11491</v>
      </c>
      <c r="X105" s="6" t="s">
        <v>608</v>
      </c>
      <c r="Y105" s="10">
        <v>42005</v>
      </c>
      <c r="Z105" s="10">
        <v>42308</v>
      </c>
      <c r="AA105" s="23"/>
      <c r="AB105" s="21"/>
      <c r="AC105" s="24"/>
      <c r="AD105" s="24"/>
      <c r="AE105" s="25">
        <f>6150*10</f>
        <v>61500</v>
      </c>
      <c r="AF105" s="26"/>
      <c r="AG105" s="26"/>
      <c r="AH105" s="12">
        <f t="shared" si="2"/>
        <v>0</v>
      </c>
      <c r="AI105" s="21"/>
      <c r="AJ105" s="11"/>
      <c r="AK105" s="21"/>
      <c r="AL105" s="27"/>
      <c r="AM105" s="21"/>
      <c r="AN105" s="21"/>
      <c r="AO105" s="11"/>
      <c r="AP105" s="10"/>
      <c r="AQ105" s="11"/>
      <c r="AR105" s="10"/>
      <c r="AS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</row>
    <row r="106" spans="1:56" s="193" customFormat="1" ht="45" customHeight="1" x14ac:dyDescent="0.25">
      <c r="A106" s="270">
        <v>14</v>
      </c>
      <c r="B106" s="254" t="s">
        <v>245</v>
      </c>
      <c r="C106" s="16" t="s">
        <v>389</v>
      </c>
      <c r="D106" s="15" t="s">
        <v>394</v>
      </c>
      <c r="E106" s="16" t="s">
        <v>123</v>
      </c>
      <c r="F106" s="16" t="s">
        <v>247</v>
      </c>
      <c r="G106" s="15">
        <v>11274</v>
      </c>
      <c r="H106" s="16" t="s">
        <v>249</v>
      </c>
      <c r="I106" s="16" t="s">
        <v>257</v>
      </c>
      <c r="J106" s="16" t="s">
        <v>414</v>
      </c>
      <c r="K106" s="17">
        <v>41730</v>
      </c>
      <c r="L106" s="18">
        <v>7110</v>
      </c>
      <c r="M106" s="15">
        <v>11301</v>
      </c>
      <c r="N106" s="20">
        <v>41730</v>
      </c>
      <c r="O106" s="20">
        <v>42004</v>
      </c>
      <c r="P106" s="15">
        <v>1</v>
      </c>
      <c r="Q106" s="16"/>
      <c r="R106" s="16"/>
      <c r="S106" s="16"/>
      <c r="T106" s="16" t="s">
        <v>159</v>
      </c>
      <c r="U106" s="6" t="s">
        <v>141</v>
      </c>
      <c r="V106" s="10">
        <v>42003</v>
      </c>
      <c r="W106" s="11">
        <v>11483</v>
      </c>
      <c r="X106" s="6" t="s">
        <v>591</v>
      </c>
      <c r="Y106" s="10">
        <v>42005</v>
      </c>
      <c r="Z106" s="10">
        <v>42277</v>
      </c>
      <c r="AA106" s="23"/>
      <c r="AB106" s="21"/>
      <c r="AC106" s="24"/>
      <c r="AD106" s="24"/>
      <c r="AE106" s="25">
        <f>L106-AD106+AC106</f>
        <v>7110</v>
      </c>
      <c r="AF106" s="49">
        <f>7110</f>
        <v>7110</v>
      </c>
      <c r="AG106" s="26">
        <v>842.22</v>
      </c>
      <c r="AH106" s="12">
        <f t="shared" si="2"/>
        <v>7952.22</v>
      </c>
      <c r="AI106" s="21"/>
      <c r="AJ106" s="11"/>
      <c r="AK106" s="21"/>
      <c r="AL106" s="27"/>
      <c r="AM106" s="21"/>
      <c r="AN106" s="21"/>
      <c r="AO106" s="11"/>
      <c r="AP106" s="10"/>
      <c r="AQ106" s="11"/>
      <c r="AR106" s="10"/>
      <c r="AS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</row>
    <row r="107" spans="1:56" s="193" customFormat="1" ht="45" customHeight="1" x14ac:dyDescent="0.25">
      <c r="A107" s="268"/>
      <c r="B107" s="252"/>
      <c r="C107" s="29"/>
      <c r="D107" s="28"/>
      <c r="E107" s="29"/>
      <c r="F107" s="29"/>
      <c r="G107" s="28"/>
      <c r="H107" s="29"/>
      <c r="I107" s="29"/>
      <c r="J107" s="35"/>
      <c r="K107" s="36"/>
      <c r="L107" s="37"/>
      <c r="M107" s="34"/>
      <c r="N107" s="39"/>
      <c r="O107" s="39"/>
      <c r="P107" s="28"/>
      <c r="Q107" s="35"/>
      <c r="R107" s="35"/>
      <c r="S107" s="35"/>
      <c r="T107" s="29"/>
      <c r="U107" s="6" t="s">
        <v>425</v>
      </c>
      <c r="V107" s="10">
        <v>42237</v>
      </c>
      <c r="W107" s="11">
        <v>11628</v>
      </c>
      <c r="X107" s="6" t="s">
        <v>755</v>
      </c>
      <c r="Y107" s="10">
        <v>42095</v>
      </c>
      <c r="Z107" s="10">
        <v>42277</v>
      </c>
      <c r="AA107" s="23">
        <f>AC107/AE106</f>
        <v>6.6101265822784819E-2</v>
      </c>
      <c r="AB107" s="21"/>
      <c r="AC107" s="24">
        <v>469.98</v>
      </c>
      <c r="AD107" s="24"/>
      <c r="AE107" s="25">
        <f>AE106-AD107+AC107</f>
        <v>7579.98</v>
      </c>
      <c r="AF107" s="58"/>
      <c r="AG107" s="26"/>
      <c r="AH107" s="12">
        <f t="shared" si="2"/>
        <v>0</v>
      </c>
      <c r="AI107" s="21"/>
      <c r="AJ107" s="11"/>
      <c r="AK107" s="21"/>
      <c r="AL107" s="27"/>
      <c r="AM107" s="21"/>
      <c r="AN107" s="21"/>
      <c r="AO107" s="11"/>
      <c r="AP107" s="10"/>
      <c r="AQ107" s="11"/>
      <c r="AR107" s="10"/>
      <c r="AS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</row>
    <row r="108" spans="1:56" s="193" customFormat="1" ht="45" customHeight="1" x14ac:dyDescent="0.25">
      <c r="A108" s="269"/>
      <c r="B108" s="253"/>
      <c r="C108" s="35"/>
      <c r="D108" s="34"/>
      <c r="E108" s="35"/>
      <c r="F108" s="35"/>
      <c r="G108" s="34"/>
      <c r="H108" s="35"/>
      <c r="I108" s="35"/>
      <c r="J108" s="111"/>
      <c r="K108" s="176"/>
      <c r="L108" s="177"/>
      <c r="M108" s="178"/>
      <c r="N108" s="179"/>
      <c r="O108" s="179"/>
      <c r="P108" s="34"/>
      <c r="Q108" s="69"/>
      <c r="R108" s="69"/>
      <c r="S108" s="69"/>
      <c r="T108" s="35"/>
      <c r="U108" s="6" t="s">
        <v>124</v>
      </c>
      <c r="V108" s="10">
        <v>42270</v>
      </c>
      <c r="W108" s="11">
        <v>11648</v>
      </c>
      <c r="X108" s="6" t="s">
        <v>591</v>
      </c>
      <c r="Y108" s="10">
        <v>42278</v>
      </c>
      <c r="Z108" s="10">
        <v>42551</v>
      </c>
      <c r="AA108" s="23"/>
      <c r="AB108" s="21"/>
      <c r="AC108" s="24"/>
      <c r="AD108" s="24"/>
      <c r="AE108" s="25"/>
      <c r="AF108" s="50"/>
      <c r="AG108" s="26"/>
      <c r="AH108" s="12">
        <f t="shared" si="2"/>
        <v>0</v>
      </c>
      <c r="AI108" s="21"/>
      <c r="AJ108" s="11"/>
      <c r="AK108" s="21"/>
      <c r="AL108" s="27"/>
      <c r="AM108" s="21"/>
      <c r="AN108" s="21"/>
      <c r="AO108" s="11"/>
      <c r="AP108" s="10"/>
      <c r="AQ108" s="11"/>
      <c r="AR108" s="10"/>
      <c r="AS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</row>
    <row r="109" spans="1:56" s="193" customFormat="1" ht="31.5" customHeight="1" x14ac:dyDescent="0.25">
      <c r="A109" s="270">
        <v>15</v>
      </c>
      <c r="B109" s="254" t="s">
        <v>245</v>
      </c>
      <c r="C109" s="16" t="s">
        <v>389</v>
      </c>
      <c r="D109" s="15" t="s">
        <v>394</v>
      </c>
      <c r="E109" s="16" t="s">
        <v>123</v>
      </c>
      <c r="F109" s="16" t="s">
        <v>247</v>
      </c>
      <c r="G109" s="15">
        <v>11274</v>
      </c>
      <c r="H109" s="16" t="s">
        <v>250</v>
      </c>
      <c r="I109" s="16" t="s">
        <v>258</v>
      </c>
      <c r="J109" s="16" t="s">
        <v>411</v>
      </c>
      <c r="K109" s="17">
        <v>41730</v>
      </c>
      <c r="L109" s="18">
        <v>8001</v>
      </c>
      <c r="M109" s="15">
        <v>11286</v>
      </c>
      <c r="N109" s="20">
        <v>41730</v>
      </c>
      <c r="O109" s="20">
        <v>42004</v>
      </c>
      <c r="P109" s="15">
        <v>1</v>
      </c>
      <c r="Q109" s="16"/>
      <c r="R109" s="16"/>
      <c r="S109" s="16"/>
      <c r="T109" s="16" t="s">
        <v>159</v>
      </c>
      <c r="U109" s="6" t="s">
        <v>141</v>
      </c>
      <c r="V109" s="10">
        <v>42003</v>
      </c>
      <c r="W109" s="11">
        <v>11479</v>
      </c>
      <c r="X109" s="6" t="s">
        <v>591</v>
      </c>
      <c r="Y109" s="10">
        <v>42005</v>
      </c>
      <c r="Z109" s="10">
        <v>42277</v>
      </c>
      <c r="AA109" s="23"/>
      <c r="AB109" s="21"/>
      <c r="AC109" s="24"/>
      <c r="AD109" s="24"/>
      <c r="AE109" s="25">
        <f>L109-AD109+AC109</f>
        <v>8001</v>
      </c>
      <c r="AF109" s="26">
        <f>8001+11196.93</f>
        <v>19197.93</v>
      </c>
      <c r="AG109" s="26">
        <v>947.77</v>
      </c>
      <c r="AH109" s="12">
        <f t="shared" si="2"/>
        <v>20145.7</v>
      </c>
      <c r="AI109" s="21"/>
      <c r="AJ109" s="11"/>
      <c r="AK109" s="21"/>
      <c r="AL109" s="27"/>
      <c r="AM109" s="21"/>
      <c r="AN109" s="21"/>
      <c r="AO109" s="11"/>
      <c r="AP109" s="10"/>
      <c r="AQ109" s="11"/>
      <c r="AR109" s="10"/>
      <c r="AS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</row>
    <row r="110" spans="1:56" s="193" customFormat="1" ht="31.5" customHeight="1" x14ac:dyDescent="0.25">
      <c r="A110" s="268"/>
      <c r="B110" s="252"/>
      <c r="C110" s="29"/>
      <c r="D110" s="28"/>
      <c r="E110" s="29"/>
      <c r="F110" s="29"/>
      <c r="G110" s="28"/>
      <c r="H110" s="29"/>
      <c r="I110" s="29"/>
      <c r="J110" s="29"/>
      <c r="K110" s="30"/>
      <c r="L110" s="31"/>
      <c r="M110" s="28"/>
      <c r="N110" s="33"/>
      <c r="O110" s="33"/>
      <c r="P110" s="28"/>
      <c r="Q110" s="29"/>
      <c r="R110" s="29"/>
      <c r="S110" s="29"/>
      <c r="T110" s="29"/>
      <c r="U110" s="6" t="s">
        <v>425</v>
      </c>
      <c r="V110" s="10">
        <v>42257</v>
      </c>
      <c r="W110" s="11">
        <v>11650</v>
      </c>
      <c r="X110" s="6" t="s">
        <v>407</v>
      </c>
      <c r="Y110" s="10">
        <v>42005</v>
      </c>
      <c r="Z110" s="10">
        <v>42277</v>
      </c>
      <c r="AA110" s="23">
        <f>AC110/AE109</f>
        <v>6.6107986501687283E-2</v>
      </c>
      <c r="AB110" s="21"/>
      <c r="AC110" s="24">
        <v>528.92999999999995</v>
      </c>
      <c r="AD110" s="24"/>
      <c r="AE110" s="25">
        <f>AE109-AD110+AC110</f>
        <v>8529.93</v>
      </c>
      <c r="AF110" s="26"/>
      <c r="AG110" s="26"/>
      <c r="AH110" s="12">
        <f t="shared" si="2"/>
        <v>0</v>
      </c>
      <c r="AI110" s="21"/>
      <c r="AJ110" s="11"/>
      <c r="AK110" s="21"/>
      <c r="AL110" s="27"/>
      <c r="AM110" s="21"/>
      <c r="AN110" s="21"/>
      <c r="AO110" s="11"/>
      <c r="AP110" s="10"/>
      <c r="AQ110" s="11"/>
      <c r="AR110" s="10"/>
      <c r="AS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</row>
    <row r="111" spans="1:56" s="193" customFormat="1" ht="21" customHeight="1" x14ac:dyDescent="0.25">
      <c r="A111" s="269"/>
      <c r="B111" s="253"/>
      <c r="C111" s="35"/>
      <c r="D111" s="34"/>
      <c r="E111" s="35"/>
      <c r="F111" s="35"/>
      <c r="G111" s="34"/>
      <c r="H111" s="35"/>
      <c r="I111" s="35"/>
      <c r="J111" s="35"/>
      <c r="K111" s="36"/>
      <c r="L111" s="37"/>
      <c r="M111" s="34"/>
      <c r="N111" s="39"/>
      <c r="O111" s="39"/>
      <c r="P111" s="34"/>
      <c r="Q111" s="35"/>
      <c r="R111" s="35"/>
      <c r="S111" s="35"/>
      <c r="T111" s="35"/>
      <c r="U111" s="6" t="s">
        <v>124</v>
      </c>
      <c r="V111" s="10">
        <v>42270</v>
      </c>
      <c r="W111" s="11">
        <v>11649</v>
      </c>
      <c r="X111" s="6" t="s">
        <v>591</v>
      </c>
      <c r="Y111" s="10">
        <v>42278</v>
      </c>
      <c r="Z111" s="10">
        <v>42551</v>
      </c>
      <c r="AA111" s="23"/>
      <c r="AB111" s="21"/>
      <c r="AC111" s="24"/>
      <c r="AD111" s="24"/>
      <c r="AE111" s="25"/>
      <c r="AF111" s="26"/>
      <c r="AG111" s="26"/>
      <c r="AH111" s="12">
        <f t="shared" si="2"/>
        <v>0</v>
      </c>
      <c r="AI111" s="21"/>
      <c r="AJ111" s="11"/>
      <c r="AK111" s="21"/>
      <c r="AL111" s="27"/>
      <c r="AM111" s="21"/>
      <c r="AN111" s="21"/>
      <c r="AO111" s="11"/>
      <c r="AP111" s="10"/>
      <c r="AQ111" s="11"/>
      <c r="AR111" s="10"/>
      <c r="AS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</row>
    <row r="112" spans="1:56" s="193" customFormat="1" ht="21" customHeight="1" x14ac:dyDescent="0.25">
      <c r="A112" s="270">
        <v>16</v>
      </c>
      <c r="B112" s="254" t="s">
        <v>245</v>
      </c>
      <c r="C112" s="16" t="s">
        <v>389</v>
      </c>
      <c r="D112" s="15" t="s">
        <v>133</v>
      </c>
      <c r="E112" s="16" t="s">
        <v>123</v>
      </c>
      <c r="F112" s="16" t="s">
        <v>248</v>
      </c>
      <c r="G112" s="15">
        <v>11274</v>
      </c>
      <c r="H112" s="16" t="s">
        <v>251</v>
      </c>
      <c r="I112" s="16" t="s">
        <v>259</v>
      </c>
      <c r="J112" s="16" t="s">
        <v>408</v>
      </c>
      <c r="K112" s="17">
        <v>41730</v>
      </c>
      <c r="L112" s="18">
        <v>16200</v>
      </c>
      <c r="M112" s="15">
        <v>11286</v>
      </c>
      <c r="N112" s="20">
        <v>41730</v>
      </c>
      <c r="O112" s="20">
        <v>42004</v>
      </c>
      <c r="P112" s="15">
        <v>1</v>
      </c>
      <c r="Q112" s="16"/>
      <c r="R112" s="16"/>
      <c r="S112" s="16"/>
      <c r="T112" s="16" t="s">
        <v>159</v>
      </c>
      <c r="U112" s="6"/>
      <c r="V112" s="10"/>
      <c r="W112" s="11"/>
      <c r="X112" s="6"/>
      <c r="Y112" s="10"/>
      <c r="Z112" s="10"/>
      <c r="AA112" s="23"/>
      <c r="AB112" s="21"/>
      <c r="AC112" s="24"/>
      <c r="AD112" s="24"/>
      <c r="AE112" s="25">
        <f>L112-AD112+AC112</f>
        <v>16200</v>
      </c>
      <c r="AF112" s="26">
        <v>16200</v>
      </c>
      <c r="AG112" s="56">
        <f>1918.99</f>
        <v>1918.99</v>
      </c>
      <c r="AH112" s="12">
        <f t="shared" si="2"/>
        <v>18118.990000000002</v>
      </c>
      <c r="AI112" s="21"/>
      <c r="AJ112" s="11"/>
      <c r="AK112" s="21"/>
      <c r="AL112" s="27"/>
      <c r="AM112" s="21"/>
      <c r="AN112" s="21"/>
      <c r="AO112" s="11"/>
      <c r="AP112" s="10"/>
      <c r="AQ112" s="11"/>
      <c r="AR112" s="10"/>
      <c r="AS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</row>
    <row r="113" spans="1:56" s="193" customFormat="1" ht="21" customHeight="1" x14ac:dyDescent="0.25">
      <c r="A113" s="268"/>
      <c r="B113" s="252"/>
      <c r="C113" s="29"/>
      <c r="D113" s="28"/>
      <c r="E113" s="29"/>
      <c r="F113" s="29"/>
      <c r="G113" s="28"/>
      <c r="H113" s="29"/>
      <c r="I113" s="29"/>
      <c r="J113" s="29"/>
      <c r="K113" s="30"/>
      <c r="L113" s="31"/>
      <c r="M113" s="28"/>
      <c r="N113" s="33"/>
      <c r="O113" s="33"/>
      <c r="P113" s="28"/>
      <c r="Q113" s="35"/>
      <c r="R113" s="35"/>
      <c r="S113" s="35"/>
      <c r="T113" s="29"/>
      <c r="U113" s="6" t="s">
        <v>141</v>
      </c>
      <c r="V113" s="10">
        <v>42003</v>
      </c>
      <c r="W113" s="11">
        <v>11485</v>
      </c>
      <c r="X113" s="6" t="s">
        <v>591</v>
      </c>
      <c r="Y113" s="10">
        <v>42005</v>
      </c>
      <c r="Z113" s="10">
        <v>42277</v>
      </c>
      <c r="AA113" s="23"/>
      <c r="AB113" s="21"/>
      <c r="AC113" s="24"/>
      <c r="AD113" s="24"/>
      <c r="AE113" s="25"/>
      <c r="AF113" s="26"/>
      <c r="AG113" s="56"/>
      <c r="AH113" s="12">
        <f t="shared" si="2"/>
        <v>0</v>
      </c>
      <c r="AI113" s="21"/>
      <c r="AJ113" s="11"/>
      <c r="AK113" s="21"/>
      <c r="AL113" s="27"/>
      <c r="AM113" s="21"/>
      <c r="AN113" s="21"/>
      <c r="AO113" s="11"/>
      <c r="AP113" s="10"/>
      <c r="AQ113" s="11"/>
      <c r="AR113" s="10"/>
      <c r="AS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</row>
    <row r="114" spans="1:56" s="193" customFormat="1" ht="21" customHeight="1" x14ac:dyDescent="0.25">
      <c r="A114" s="268"/>
      <c r="B114" s="252"/>
      <c r="C114" s="29"/>
      <c r="D114" s="28"/>
      <c r="E114" s="29"/>
      <c r="F114" s="29"/>
      <c r="G114" s="28"/>
      <c r="H114" s="29"/>
      <c r="I114" s="29"/>
      <c r="J114" s="29"/>
      <c r="K114" s="30"/>
      <c r="L114" s="31"/>
      <c r="M114" s="28"/>
      <c r="N114" s="33"/>
      <c r="O114" s="33"/>
      <c r="P114" s="28"/>
      <c r="Q114" s="51"/>
      <c r="R114" s="51"/>
      <c r="S114" s="51"/>
      <c r="T114" s="29"/>
      <c r="U114" s="6" t="s">
        <v>406</v>
      </c>
      <c r="V114" s="10">
        <v>42257</v>
      </c>
      <c r="W114" s="11">
        <v>11650</v>
      </c>
      <c r="X114" s="6" t="s">
        <v>407</v>
      </c>
      <c r="Y114" s="10">
        <v>42095</v>
      </c>
      <c r="Z114" s="10">
        <v>42277</v>
      </c>
      <c r="AA114" s="23">
        <f>AC114/AE112</f>
        <v>4.4070370370370371E-2</v>
      </c>
      <c r="AB114" s="21"/>
      <c r="AC114" s="24">
        <v>713.94</v>
      </c>
      <c r="AD114" s="24"/>
      <c r="AE114" s="25">
        <f>AE112-AD114+AC114</f>
        <v>16913.939999999999</v>
      </c>
      <c r="AF114" s="26"/>
      <c r="AG114" s="56"/>
      <c r="AH114" s="12">
        <f t="shared" si="2"/>
        <v>0</v>
      </c>
      <c r="AI114" s="21"/>
      <c r="AJ114" s="11"/>
      <c r="AK114" s="21"/>
      <c r="AL114" s="27"/>
      <c r="AM114" s="21"/>
      <c r="AN114" s="21"/>
      <c r="AO114" s="11"/>
      <c r="AP114" s="10"/>
      <c r="AQ114" s="11"/>
      <c r="AR114" s="10"/>
      <c r="AS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</row>
    <row r="115" spans="1:56" s="193" customFormat="1" ht="21" customHeight="1" x14ac:dyDescent="0.25">
      <c r="A115" s="268"/>
      <c r="B115" s="252"/>
      <c r="C115" s="29"/>
      <c r="D115" s="28"/>
      <c r="E115" s="29"/>
      <c r="F115" s="29"/>
      <c r="G115" s="28"/>
      <c r="H115" s="29"/>
      <c r="I115" s="29"/>
      <c r="J115" s="29"/>
      <c r="K115" s="30"/>
      <c r="L115" s="31"/>
      <c r="M115" s="28"/>
      <c r="N115" s="33"/>
      <c r="O115" s="33"/>
      <c r="P115" s="28"/>
      <c r="Q115" s="51"/>
      <c r="R115" s="51"/>
      <c r="S115" s="51"/>
      <c r="T115" s="29"/>
      <c r="U115" s="6" t="s">
        <v>124</v>
      </c>
      <c r="V115" s="10">
        <v>42272</v>
      </c>
      <c r="W115" s="11">
        <v>11680</v>
      </c>
      <c r="X115" s="6" t="s">
        <v>591</v>
      </c>
      <c r="Y115" s="10">
        <v>42644</v>
      </c>
      <c r="Z115" s="10">
        <v>42551</v>
      </c>
      <c r="AA115" s="23"/>
      <c r="AB115" s="21"/>
      <c r="AC115" s="24"/>
      <c r="AD115" s="24"/>
      <c r="AE115" s="25">
        <f>1918.99*9</f>
        <v>17270.91</v>
      </c>
      <c r="AF115" s="26"/>
      <c r="AG115" s="56"/>
      <c r="AH115" s="12">
        <f t="shared" si="2"/>
        <v>0</v>
      </c>
      <c r="AI115" s="21"/>
      <c r="AJ115" s="11"/>
      <c r="AK115" s="21"/>
      <c r="AL115" s="27"/>
      <c r="AM115" s="21"/>
      <c r="AN115" s="21"/>
      <c r="AO115" s="11"/>
      <c r="AP115" s="10"/>
      <c r="AQ115" s="11"/>
      <c r="AR115" s="10"/>
      <c r="AS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</row>
    <row r="116" spans="1:56" s="193" customFormat="1" ht="21" customHeight="1" x14ac:dyDescent="0.25">
      <c r="A116" s="269"/>
      <c r="B116" s="253"/>
      <c r="C116" s="35"/>
      <c r="D116" s="34"/>
      <c r="E116" s="35"/>
      <c r="F116" s="35"/>
      <c r="G116" s="34"/>
      <c r="H116" s="35"/>
      <c r="I116" s="35"/>
      <c r="J116" s="35"/>
      <c r="K116" s="36"/>
      <c r="L116" s="37"/>
      <c r="M116" s="34"/>
      <c r="N116" s="39"/>
      <c r="O116" s="39"/>
      <c r="P116" s="34"/>
      <c r="Q116" s="51"/>
      <c r="R116" s="51"/>
      <c r="S116" s="51"/>
      <c r="T116" s="35"/>
      <c r="U116" s="6"/>
      <c r="V116" s="10"/>
      <c r="W116" s="11"/>
      <c r="X116" s="6"/>
      <c r="Y116" s="10"/>
      <c r="Z116" s="10"/>
      <c r="AA116" s="23"/>
      <c r="AB116" s="21"/>
      <c r="AC116" s="24"/>
      <c r="AD116" s="24"/>
      <c r="AE116" s="25"/>
      <c r="AF116" s="26"/>
      <c r="AG116" s="56"/>
      <c r="AH116" s="12">
        <f t="shared" si="2"/>
        <v>0</v>
      </c>
      <c r="AI116" s="21"/>
      <c r="AJ116" s="11"/>
      <c r="AK116" s="21"/>
      <c r="AL116" s="27"/>
      <c r="AM116" s="21"/>
      <c r="AN116" s="21"/>
      <c r="AO116" s="11"/>
      <c r="AP116" s="10"/>
      <c r="AQ116" s="11"/>
      <c r="AR116" s="10"/>
      <c r="AS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</row>
    <row r="117" spans="1:56" s="193" customFormat="1" ht="45" customHeight="1" x14ac:dyDescent="0.25">
      <c r="A117" s="270">
        <v>17</v>
      </c>
      <c r="B117" s="254" t="s">
        <v>245</v>
      </c>
      <c r="C117" s="16" t="s">
        <v>389</v>
      </c>
      <c r="D117" s="15" t="s">
        <v>135</v>
      </c>
      <c r="E117" s="16" t="s">
        <v>123</v>
      </c>
      <c r="F117" s="16" t="s">
        <v>248</v>
      </c>
      <c r="G117" s="15">
        <v>11274</v>
      </c>
      <c r="H117" s="16" t="s">
        <v>252</v>
      </c>
      <c r="I117" s="16" t="s">
        <v>446</v>
      </c>
      <c r="J117" s="16" t="s">
        <v>338</v>
      </c>
      <c r="K117" s="17">
        <v>41730</v>
      </c>
      <c r="L117" s="49">
        <v>17955</v>
      </c>
      <c r="M117" s="15">
        <v>11301</v>
      </c>
      <c r="N117" s="20">
        <v>41730</v>
      </c>
      <c r="O117" s="20">
        <v>42004</v>
      </c>
      <c r="P117" s="15">
        <v>1</v>
      </c>
      <c r="Q117" s="21"/>
      <c r="R117" s="21"/>
      <c r="S117" s="21"/>
      <c r="T117" s="16" t="s">
        <v>159</v>
      </c>
      <c r="U117" s="6"/>
      <c r="V117" s="21"/>
      <c r="W117" s="11"/>
      <c r="X117" s="6"/>
      <c r="Y117" s="10"/>
      <c r="Z117" s="10"/>
      <c r="AA117" s="23"/>
      <c r="AB117" s="21"/>
      <c r="AC117" s="24"/>
      <c r="AD117" s="24"/>
      <c r="AE117" s="25">
        <f>L117-AD117+AC117</f>
        <v>17955</v>
      </c>
      <c r="AF117" s="107">
        <f>5985+1995+1995+1995+1995+1995+1995+24983.07</f>
        <v>42938.07</v>
      </c>
      <c r="AG117" s="12">
        <f>2084.23+2084.23+2084.23+2084.23+2084.23</f>
        <v>10421.15</v>
      </c>
      <c r="AH117" s="12">
        <f t="shared" si="2"/>
        <v>53359.22</v>
      </c>
      <c r="AI117" s="21"/>
      <c r="AJ117" s="11"/>
      <c r="AK117" s="21"/>
      <c r="AL117" s="27"/>
      <c r="AM117" s="21"/>
      <c r="AN117" s="21"/>
      <c r="AO117" s="11"/>
      <c r="AP117" s="10"/>
      <c r="AQ117" s="11"/>
      <c r="AR117" s="10"/>
      <c r="AS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</row>
    <row r="118" spans="1:56" s="193" customFormat="1" ht="45" customHeight="1" x14ac:dyDescent="0.25">
      <c r="A118" s="268"/>
      <c r="B118" s="252"/>
      <c r="C118" s="29"/>
      <c r="D118" s="28"/>
      <c r="E118" s="29"/>
      <c r="F118" s="29"/>
      <c r="G118" s="28"/>
      <c r="H118" s="29"/>
      <c r="I118" s="29"/>
      <c r="J118" s="29"/>
      <c r="K118" s="30"/>
      <c r="L118" s="58"/>
      <c r="M118" s="28"/>
      <c r="N118" s="33"/>
      <c r="O118" s="33"/>
      <c r="P118" s="28"/>
      <c r="Q118" s="21"/>
      <c r="R118" s="21"/>
      <c r="S118" s="21"/>
      <c r="T118" s="29"/>
      <c r="U118" s="6" t="s">
        <v>240</v>
      </c>
      <c r="V118" s="10">
        <v>42003</v>
      </c>
      <c r="W118" s="11">
        <v>11485</v>
      </c>
      <c r="X118" s="6" t="s">
        <v>591</v>
      </c>
      <c r="Y118" s="10">
        <v>42005</v>
      </c>
      <c r="Z118" s="10">
        <v>42277</v>
      </c>
      <c r="AA118" s="23"/>
      <c r="AB118" s="21"/>
      <c r="AC118" s="24"/>
      <c r="AD118" s="24"/>
      <c r="AE118" s="127">
        <f>1995*9</f>
        <v>17955</v>
      </c>
      <c r="AF118" s="107"/>
      <c r="AG118" s="13"/>
      <c r="AH118" s="12">
        <f t="shared" si="2"/>
        <v>0</v>
      </c>
      <c r="AI118" s="21"/>
      <c r="AJ118" s="11"/>
      <c r="AK118" s="21"/>
      <c r="AL118" s="27"/>
      <c r="AM118" s="21"/>
      <c r="AN118" s="21"/>
      <c r="AO118" s="11"/>
      <c r="AP118" s="10"/>
      <c r="AQ118" s="11"/>
      <c r="AR118" s="10"/>
      <c r="AS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</row>
    <row r="119" spans="1:56" s="193" customFormat="1" ht="45" customHeight="1" x14ac:dyDescent="0.25">
      <c r="A119" s="268"/>
      <c r="B119" s="252"/>
      <c r="C119" s="29"/>
      <c r="D119" s="28"/>
      <c r="E119" s="29"/>
      <c r="F119" s="29"/>
      <c r="G119" s="28"/>
      <c r="H119" s="29"/>
      <c r="I119" s="29"/>
      <c r="J119" s="29"/>
      <c r="K119" s="30"/>
      <c r="L119" s="58"/>
      <c r="M119" s="28"/>
      <c r="N119" s="33"/>
      <c r="O119" s="33"/>
      <c r="P119" s="28"/>
      <c r="Q119" s="21"/>
      <c r="R119" s="21"/>
      <c r="S119" s="21"/>
      <c r="T119" s="29"/>
      <c r="U119" s="6" t="s">
        <v>425</v>
      </c>
      <c r="V119" s="10">
        <v>42257</v>
      </c>
      <c r="W119" s="11"/>
      <c r="X119" s="6" t="s">
        <v>407</v>
      </c>
      <c r="Y119" s="10">
        <v>42095</v>
      </c>
      <c r="Z119" s="10">
        <v>42277</v>
      </c>
      <c r="AA119" s="23">
        <f>AC119/AE117</f>
        <v>4.3184628237259812E-2</v>
      </c>
      <c r="AB119" s="21"/>
      <c r="AC119" s="24">
        <f>129.23*6</f>
        <v>775.37999999999988</v>
      </c>
      <c r="AD119" s="24"/>
      <c r="AE119" s="127">
        <f>AE118-AD119+AC119</f>
        <v>18730.38</v>
      </c>
      <c r="AF119" s="107"/>
      <c r="AG119" s="13"/>
      <c r="AH119" s="12">
        <f t="shared" si="2"/>
        <v>0</v>
      </c>
      <c r="AI119" s="21"/>
      <c r="AJ119" s="11"/>
      <c r="AK119" s="21"/>
      <c r="AL119" s="27"/>
      <c r="AM119" s="21"/>
      <c r="AN119" s="21"/>
      <c r="AO119" s="11"/>
      <c r="AP119" s="10"/>
      <c r="AQ119" s="11"/>
      <c r="AR119" s="10"/>
      <c r="AS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</row>
    <row r="120" spans="1:56" s="193" customFormat="1" ht="45" customHeight="1" x14ac:dyDescent="0.25">
      <c r="A120" s="269"/>
      <c r="B120" s="253"/>
      <c r="C120" s="35"/>
      <c r="D120" s="34"/>
      <c r="E120" s="35"/>
      <c r="F120" s="35"/>
      <c r="G120" s="34"/>
      <c r="H120" s="35"/>
      <c r="I120" s="35"/>
      <c r="J120" s="35"/>
      <c r="K120" s="36"/>
      <c r="L120" s="50"/>
      <c r="M120" s="34"/>
      <c r="N120" s="39"/>
      <c r="O120" s="39"/>
      <c r="P120" s="34"/>
      <c r="Q120" s="21"/>
      <c r="R120" s="21"/>
      <c r="S120" s="21"/>
      <c r="T120" s="35"/>
      <c r="U120" s="6" t="s">
        <v>377</v>
      </c>
      <c r="V120" s="10">
        <v>42272</v>
      </c>
      <c r="W120" s="11">
        <v>11680</v>
      </c>
      <c r="X120" s="6" t="s">
        <v>591</v>
      </c>
      <c r="Y120" s="10">
        <v>42278</v>
      </c>
      <c r="Z120" s="10">
        <v>42551</v>
      </c>
      <c r="AA120" s="23"/>
      <c r="AB120" s="21"/>
      <c r="AC120" s="24"/>
      <c r="AD120" s="24"/>
      <c r="AE120" s="127"/>
      <c r="AF120" s="107"/>
      <c r="AG120" s="14"/>
      <c r="AH120" s="12">
        <f t="shared" si="2"/>
        <v>0</v>
      </c>
      <c r="AI120" s="21"/>
      <c r="AJ120" s="11"/>
      <c r="AK120" s="21"/>
      <c r="AL120" s="27"/>
      <c r="AM120" s="21"/>
      <c r="AN120" s="21"/>
      <c r="AO120" s="11"/>
      <c r="AP120" s="10"/>
      <c r="AQ120" s="11"/>
      <c r="AR120" s="10"/>
      <c r="AS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</row>
    <row r="121" spans="1:56" s="193" customFormat="1" ht="28.5" customHeight="1" x14ac:dyDescent="0.25">
      <c r="A121" s="270">
        <v>18</v>
      </c>
      <c r="B121" s="254" t="s">
        <v>245</v>
      </c>
      <c r="C121" s="16" t="s">
        <v>389</v>
      </c>
      <c r="D121" s="15" t="s">
        <v>135</v>
      </c>
      <c r="E121" s="16" t="s">
        <v>123</v>
      </c>
      <c r="F121" s="16" t="s">
        <v>248</v>
      </c>
      <c r="G121" s="15">
        <v>11274</v>
      </c>
      <c r="H121" s="16" t="s">
        <v>253</v>
      </c>
      <c r="I121" s="16" t="s">
        <v>260</v>
      </c>
      <c r="J121" s="16" t="s">
        <v>415</v>
      </c>
      <c r="K121" s="17">
        <v>41730</v>
      </c>
      <c r="L121" s="18">
        <v>16200</v>
      </c>
      <c r="M121" s="15">
        <v>11301</v>
      </c>
      <c r="N121" s="20">
        <v>41730</v>
      </c>
      <c r="O121" s="20">
        <v>42004</v>
      </c>
      <c r="P121" s="15">
        <v>1</v>
      </c>
      <c r="Q121" s="16"/>
      <c r="R121" s="16"/>
      <c r="S121" s="16"/>
      <c r="T121" s="16" t="s">
        <v>159</v>
      </c>
      <c r="U121" s="6" t="s">
        <v>141</v>
      </c>
      <c r="V121" s="10">
        <v>42003</v>
      </c>
      <c r="W121" s="11">
        <v>11484</v>
      </c>
      <c r="X121" s="6" t="s">
        <v>591</v>
      </c>
      <c r="Y121" s="10">
        <v>42005</v>
      </c>
      <c r="Z121" s="10">
        <v>42277</v>
      </c>
      <c r="AA121" s="23"/>
      <c r="AB121" s="21"/>
      <c r="AC121" s="24"/>
      <c r="AD121" s="24"/>
      <c r="AE121" s="25">
        <f>L121-AD121+AC121</f>
        <v>16200</v>
      </c>
      <c r="AF121" s="26">
        <f>16200+20870.91</f>
        <v>37070.910000000003</v>
      </c>
      <c r="AG121" s="26">
        <v>1918.99</v>
      </c>
      <c r="AH121" s="12">
        <f t="shared" si="2"/>
        <v>38989.9</v>
      </c>
      <c r="AI121" s="21"/>
      <c r="AJ121" s="11"/>
      <c r="AK121" s="21"/>
      <c r="AL121" s="27"/>
      <c r="AM121" s="21"/>
      <c r="AN121" s="21"/>
      <c r="AO121" s="11"/>
      <c r="AP121" s="10"/>
      <c r="AQ121" s="11"/>
      <c r="AR121" s="10"/>
      <c r="AS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</row>
    <row r="122" spans="1:56" s="193" customFormat="1" ht="28.5" customHeight="1" x14ac:dyDescent="0.25">
      <c r="A122" s="268"/>
      <c r="B122" s="252"/>
      <c r="C122" s="29"/>
      <c r="D122" s="28"/>
      <c r="E122" s="29"/>
      <c r="F122" s="29"/>
      <c r="G122" s="28"/>
      <c r="H122" s="29"/>
      <c r="I122" s="29"/>
      <c r="J122" s="29"/>
      <c r="K122" s="30"/>
      <c r="L122" s="31"/>
      <c r="M122" s="28"/>
      <c r="N122" s="33"/>
      <c r="O122" s="33"/>
      <c r="P122" s="28"/>
      <c r="Q122" s="29"/>
      <c r="R122" s="29"/>
      <c r="S122" s="29"/>
      <c r="T122" s="29"/>
      <c r="U122" s="6" t="s">
        <v>428</v>
      </c>
      <c r="V122" s="10">
        <v>42257</v>
      </c>
      <c r="W122" s="11" t="s">
        <v>734</v>
      </c>
      <c r="X122" s="6" t="s">
        <v>407</v>
      </c>
      <c r="Y122" s="10">
        <v>42005</v>
      </c>
      <c r="Z122" s="10">
        <v>42277</v>
      </c>
      <c r="AA122" s="23">
        <f>AC122/AE121</f>
        <v>4.4070370370370371E-2</v>
      </c>
      <c r="AB122" s="21"/>
      <c r="AC122" s="24">
        <v>713.94</v>
      </c>
      <c r="AD122" s="24"/>
      <c r="AE122" s="25">
        <f>AE121-AD122+AC122</f>
        <v>16913.939999999999</v>
      </c>
      <c r="AF122" s="26"/>
      <c r="AG122" s="26"/>
      <c r="AH122" s="12">
        <f t="shared" si="2"/>
        <v>0</v>
      </c>
      <c r="AI122" s="21"/>
      <c r="AJ122" s="11"/>
      <c r="AK122" s="21"/>
      <c r="AL122" s="27"/>
      <c r="AM122" s="21"/>
      <c r="AN122" s="21"/>
      <c r="AO122" s="11"/>
      <c r="AP122" s="10"/>
      <c r="AQ122" s="11"/>
      <c r="AR122" s="10"/>
      <c r="AS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</row>
    <row r="123" spans="1:56" s="193" customFormat="1" ht="28.5" customHeight="1" x14ac:dyDescent="0.25">
      <c r="A123" s="268"/>
      <c r="B123" s="252"/>
      <c r="C123" s="29"/>
      <c r="D123" s="28"/>
      <c r="E123" s="29"/>
      <c r="F123" s="29"/>
      <c r="G123" s="28"/>
      <c r="H123" s="29"/>
      <c r="I123" s="29"/>
      <c r="J123" s="29"/>
      <c r="K123" s="30"/>
      <c r="L123" s="31"/>
      <c r="M123" s="28"/>
      <c r="N123" s="33"/>
      <c r="O123" s="33"/>
      <c r="P123" s="28"/>
      <c r="Q123" s="29"/>
      <c r="R123" s="29"/>
      <c r="S123" s="29"/>
      <c r="T123" s="29"/>
      <c r="U123" s="6" t="s">
        <v>377</v>
      </c>
      <c r="V123" s="10">
        <v>42272</v>
      </c>
      <c r="W123" s="11">
        <v>11680</v>
      </c>
      <c r="X123" s="6" t="s">
        <v>591</v>
      </c>
      <c r="Y123" s="10">
        <v>42278</v>
      </c>
      <c r="Z123" s="10">
        <v>42185</v>
      </c>
      <c r="AA123" s="23"/>
      <c r="AB123" s="21"/>
      <c r="AC123" s="24"/>
      <c r="AD123" s="24"/>
      <c r="AE123" s="25">
        <f>1918.99*9</f>
        <v>17270.91</v>
      </c>
      <c r="AF123" s="26"/>
      <c r="AG123" s="26"/>
      <c r="AH123" s="12">
        <f t="shared" si="2"/>
        <v>0</v>
      </c>
      <c r="AI123" s="21"/>
      <c r="AJ123" s="11"/>
      <c r="AK123" s="21"/>
      <c r="AL123" s="27"/>
      <c r="AM123" s="21"/>
      <c r="AN123" s="21"/>
      <c r="AO123" s="11"/>
      <c r="AP123" s="10"/>
      <c r="AQ123" s="11"/>
      <c r="AR123" s="10"/>
      <c r="AS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</row>
    <row r="124" spans="1:56" s="193" customFormat="1" ht="28.5" customHeight="1" x14ac:dyDescent="0.25">
      <c r="A124" s="269"/>
      <c r="B124" s="253"/>
      <c r="C124" s="35"/>
      <c r="D124" s="28"/>
      <c r="E124" s="35"/>
      <c r="F124" s="35"/>
      <c r="G124" s="34"/>
      <c r="H124" s="35"/>
      <c r="I124" s="35"/>
      <c r="J124" s="35"/>
      <c r="K124" s="36"/>
      <c r="L124" s="37"/>
      <c r="M124" s="34"/>
      <c r="N124" s="39"/>
      <c r="O124" s="39"/>
      <c r="P124" s="34"/>
      <c r="Q124" s="35"/>
      <c r="R124" s="35"/>
      <c r="S124" s="35"/>
      <c r="T124" s="35"/>
      <c r="U124" s="6"/>
      <c r="V124" s="10"/>
      <c r="W124" s="11"/>
      <c r="X124" s="6"/>
      <c r="Y124" s="10"/>
      <c r="Z124" s="10"/>
      <c r="AA124" s="23"/>
      <c r="AB124" s="21"/>
      <c r="AC124" s="24"/>
      <c r="AD124" s="24"/>
      <c r="AE124" s="25"/>
      <c r="AF124" s="26"/>
      <c r="AG124" s="26"/>
      <c r="AH124" s="12">
        <f t="shared" si="2"/>
        <v>0</v>
      </c>
      <c r="AI124" s="21"/>
      <c r="AJ124" s="11"/>
      <c r="AK124" s="21"/>
      <c r="AL124" s="27"/>
      <c r="AM124" s="21"/>
      <c r="AN124" s="21"/>
      <c r="AO124" s="11"/>
      <c r="AP124" s="10"/>
      <c r="AQ124" s="11"/>
      <c r="AR124" s="10"/>
      <c r="AS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</row>
    <row r="125" spans="1:56" s="193" customFormat="1" ht="34.5" customHeight="1" x14ac:dyDescent="0.25">
      <c r="A125" s="270">
        <v>19</v>
      </c>
      <c r="B125" s="254" t="s">
        <v>245</v>
      </c>
      <c r="C125" s="16" t="s">
        <v>389</v>
      </c>
      <c r="D125" s="15" t="s">
        <v>135</v>
      </c>
      <c r="E125" s="16" t="s">
        <v>123</v>
      </c>
      <c r="F125" s="16" t="s">
        <v>248</v>
      </c>
      <c r="G125" s="15">
        <v>11274</v>
      </c>
      <c r="H125" s="16" t="s">
        <v>254</v>
      </c>
      <c r="I125" s="16" t="s">
        <v>261</v>
      </c>
      <c r="J125" s="16" t="s">
        <v>416</v>
      </c>
      <c r="K125" s="17">
        <v>41730</v>
      </c>
      <c r="L125" s="18">
        <v>15750</v>
      </c>
      <c r="M125" s="15">
        <v>11301</v>
      </c>
      <c r="N125" s="20">
        <v>41730</v>
      </c>
      <c r="O125" s="20">
        <v>42004</v>
      </c>
      <c r="P125" s="15">
        <v>1</v>
      </c>
      <c r="Q125" s="16"/>
      <c r="R125" s="16"/>
      <c r="S125" s="16"/>
      <c r="T125" s="16" t="s">
        <v>159</v>
      </c>
      <c r="U125" s="6" t="s">
        <v>141</v>
      </c>
      <c r="V125" s="10">
        <v>42003</v>
      </c>
      <c r="W125" s="11">
        <v>11479</v>
      </c>
      <c r="X125" s="6" t="s">
        <v>591</v>
      </c>
      <c r="Y125" s="10">
        <v>42005</v>
      </c>
      <c r="Z125" s="10">
        <v>42277</v>
      </c>
      <c r="AA125" s="23"/>
      <c r="AB125" s="21"/>
      <c r="AC125" s="24"/>
      <c r="AD125" s="24"/>
      <c r="AE125" s="26">
        <v>15750</v>
      </c>
      <c r="AF125" s="26">
        <f>15750+22041.12</f>
        <v>37791.119999999995</v>
      </c>
      <c r="AG125" s="26">
        <v>1865.68</v>
      </c>
      <c r="AH125" s="12">
        <f t="shared" si="2"/>
        <v>39656.799999999996</v>
      </c>
      <c r="AI125" s="21"/>
      <c r="AJ125" s="11"/>
      <c r="AK125" s="21"/>
      <c r="AL125" s="27"/>
      <c r="AM125" s="21"/>
      <c r="AN125" s="21"/>
      <c r="AO125" s="11"/>
      <c r="AP125" s="10"/>
      <c r="AQ125" s="11"/>
      <c r="AR125" s="10"/>
      <c r="AS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</row>
    <row r="126" spans="1:56" s="193" customFormat="1" ht="34.5" customHeight="1" x14ac:dyDescent="0.25">
      <c r="A126" s="268"/>
      <c r="B126" s="252"/>
      <c r="C126" s="29"/>
      <c r="D126" s="28"/>
      <c r="E126" s="29"/>
      <c r="F126" s="29"/>
      <c r="G126" s="28"/>
      <c r="H126" s="29"/>
      <c r="I126" s="29"/>
      <c r="J126" s="29"/>
      <c r="K126" s="30"/>
      <c r="L126" s="31"/>
      <c r="M126" s="28"/>
      <c r="N126" s="33"/>
      <c r="O126" s="33"/>
      <c r="P126" s="28"/>
      <c r="Q126" s="29"/>
      <c r="R126" s="29"/>
      <c r="S126" s="29"/>
      <c r="T126" s="29"/>
      <c r="U126" s="6" t="s">
        <v>428</v>
      </c>
      <c r="V126" s="10">
        <v>42257</v>
      </c>
      <c r="W126" s="11" t="s">
        <v>734</v>
      </c>
      <c r="X126" s="6" t="s">
        <v>407</v>
      </c>
      <c r="Y126" s="10">
        <v>42005</v>
      </c>
      <c r="Z126" s="10">
        <v>42277</v>
      </c>
      <c r="AA126" s="23">
        <f>AC126/AE125</f>
        <v>4.4068571428571429E-2</v>
      </c>
      <c r="AB126" s="21"/>
      <c r="AC126" s="24">
        <v>694.08</v>
      </c>
      <c r="AD126" s="24"/>
      <c r="AE126" s="26">
        <f>AE125-AD126+AC126</f>
        <v>16444.080000000002</v>
      </c>
      <c r="AF126" s="56"/>
      <c r="AG126" s="26"/>
      <c r="AH126" s="12">
        <f t="shared" si="2"/>
        <v>0</v>
      </c>
      <c r="AI126" s="21"/>
      <c r="AJ126" s="11"/>
      <c r="AK126" s="21"/>
      <c r="AL126" s="27"/>
      <c r="AM126" s="21"/>
      <c r="AN126" s="21"/>
      <c r="AO126" s="11"/>
      <c r="AP126" s="10"/>
      <c r="AQ126" s="11"/>
      <c r="AR126" s="10"/>
      <c r="AS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</row>
    <row r="127" spans="1:56" s="193" customFormat="1" ht="31.5" customHeight="1" x14ac:dyDescent="0.25">
      <c r="A127" s="269"/>
      <c r="B127" s="253"/>
      <c r="C127" s="35"/>
      <c r="D127" s="28"/>
      <c r="E127" s="35"/>
      <c r="F127" s="35"/>
      <c r="G127" s="34"/>
      <c r="H127" s="35"/>
      <c r="I127" s="35"/>
      <c r="J127" s="35"/>
      <c r="K127" s="36"/>
      <c r="L127" s="37"/>
      <c r="M127" s="34"/>
      <c r="N127" s="39"/>
      <c r="O127" s="39"/>
      <c r="P127" s="34"/>
      <c r="Q127" s="35"/>
      <c r="R127" s="35"/>
      <c r="S127" s="35"/>
      <c r="T127" s="35"/>
      <c r="U127" s="6" t="s">
        <v>377</v>
      </c>
      <c r="V127" s="10">
        <v>42272</v>
      </c>
      <c r="W127" s="11">
        <v>11680</v>
      </c>
      <c r="X127" s="6" t="s">
        <v>591</v>
      </c>
      <c r="Y127" s="10">
        <v>42278</v>
      </c>
      <c r="Z127" s="10">
        <v>42185</v>
      </c>
      <c r="AA127" s="23"/>
      <c r="AB127" s="21"/>
      <c r="AC127" s="24"/>
      <c r="AD127" s="24"/>
      <c r="AE127" s="26">
        <f>1865.68*9</f>
        <v>16791.12</v>
      </c>
      <c r="AF127" s="56"/>
      <c r="AG127" s="26"/>
      <c r="AH127" s="12">
        <f t="shared" si="2"/>
        <v>0</v>
      </c>
      <c r="AI127" s="21"/>
      <c r="AJ127" s="11"/>
      <c r="AK127" s="21"/>
      <c r="AL127" s="27"/>
      <c r="AM127" s="21"/>
      <c r="AN127" s="21"/>
      <c r="AO127" s="11"/>
      <c r="AP127" s="10"/>
      <c r="AQ127" s="11"/>
      <c r="AR127" s="10"/>
      <c r="AS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</row>
    <row r="128" spans="1:56" s="193" customFormat="1" ht="24" customHeight="1" x14ac:dyDescent="0.25">
      <c r="A128" s="270">
        <v>20</v>
      </c>
      <c r="B128" s="254" t="s">
        <v>245</v>
      </c>
      <c r="C128" s="16" t="s">
        <v>389</v>
      </c>
      <c r="D128" s="15" t="s">
        <v>135</v>
      </c>
      <c r="E128" s="16" t="s">
        <v>123</v>
      </c>
      <c r="F128" s="16" t="s">
        <v>248</v>
      </c>
      <c r="G128" s="15">
        <v>11274</v>
      </c>
      <c r="H128" s="16" t="s">
        <v>255</v>
      </c>
      <c r="I128" s="16" t="s">
        <v>476</v>
      </c>
      <c r="J128" s="16" t="s">
        <v>409</v>
      </c>
      <c r="K128" s="17">
        <v>41730</v>
      </c>
      <c r="L128" s="18">
        <v>17946</v>
      </c>
      <c r="M128" s="15">
        <v>11301</v>
      </c>
      <c r="N128" s="20">
        <v>41730</v>
      </c>
      <c r="O128" s="20">
        <v>42004</v>
      </c>
      <c r="P128" s="15">
        <v>1</v>
      </c>
      <c r="Q128" s="16"/>
      <c r="R128" s="16"/>
      <c r="S128" s="16"/>
      <c r="T128" s="16" t="s">
        <v>159</v>
      </c>
      <c r="U128" s="6" t="s">
        <v>141</v>
      </c>
      <c r="V128" s="10">
        <v>42003</v>
      </c>
      <c r="W128" s="11">
        <v>11483</v>
      </c>
      <c r="X128" s="6" t="s">
        <v>591</v>
      </c>
      <c r="Y128" s="10">
        <v>42005</v>
      </c>
      <c r="Z128" s="10">
        <v>42277</v>
      </c>
      <c r="AA128" s="23"/>
      <c r="AB128" s="21"/>
      <c r="AC128" s="24"/>
      <c r="AD128" s="24"/>
      <c r="AE128" s="26">
        <f>(1994*9)</f>
        <v>17946</v>
      </c>
      <c r="AF128" s="56">
        <f>17946+25114.29</f>
        <v>43060.29</v>
      </c>
      <c r="AG128" s="26">
        <v>2125.81</v>
      </c>
      <c r="AH128" s="12">
        <f t="shared" si="2"/>
        <v>45186.1</v>
      </c>
      <c r="AI128" s="21"/>
      <c r="AJ128" s="11"/>
      <c r="AK128" s="21"/>
      <c r="AL128" s="27"/>
      <c r="AM128" s="21"/>
      <c r="AN128" s="21"/>
      <c r="AO128" s="11"/>
      <c r="AP128" s="10"/>
      <c r="AQ128" s="11"/>
      <c r="AR128" s="10"/>
      <c r="AS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</row>
    <row r="129" spans="1:56" s="193" customFormat="1" ht="24" customHeight="1" x14ac:dyDescent="0.25">
      <c r="A129" s="268"/>
      <c r="B129" s="252"/>
      <c r="C129" s="29"/>
      <c r="D129" s="28"/>
      <c r="E129" s="29"/>
      <c r="F129" s="29"/>
      <c r="G129" s="28"/>
      <c r="H129" s="29"/>
      <c r="I129" s="29"/>
      <c r="J129" s="29"/>
      <c r="K129" s="30"/>
      <c r="L129" s="31"/>
      <c r="M129" s="28"/>
      <c r="N129" s="33"/>
      <c r="O129" s="33"/>
      <c r="P129" s="28"/>
      <c r="Q129" s="29"/>
      <c r="R129" s="29"/>
      <c r="S129" s="29"/>
      <c r="T129" s="29"/>
      <c r="U129" s="6" t="s">
        <v>428</v>
      </c>
      <c r="V129" s="10">
        <v>42257</v>
      </c>
      <c r="W129" s="11">
        <v>11650</v>
      </c>
      <c r="X129" s="6" t="s">
        <v>407</v>
      </c>
      <c r="Y129" s="10">
        <v>42005</v>
      </c>
      <c r="Z129" s="10">
        <v>42277</v>
      </c>
      <c r="AA129" s="23">
        <f>AC129/AE128</f>
        <v>4.4068873286526249E-2</v>
      </c>
      <c r="AB129" s="21"/>
      <c r="AC129" s="24">
        <v>790.86</v>
      </c>
      <c r="AD129" s="24"/>
      <c r="AE129" s="26">
        <f>AE128-AD129+AC129</f>
        <v>18736.86</v>
      </c>
      <c r="AF129" s="57"/>
      <c r="AG129" s="26"/>
      <c r="AH129" s="12">
        <f t="shared" si="2"/>
        <v>0</v>
      </c>
      <c r="AI129" s="21"/>
      <c r="AJ129" s="11"/>
      <c r="AK129" s="21"/>
      <c r="AL129" s="27"/>
      <c r="AM129" s="21"/>
      <c r="AN129" s="21"/>
      <c r="AO129" s="11"/>
      <c r="AP129" s="10"/>
      <c r="AQ129" s="11"/>
      <c r="AR129" s="10"/>
      <c r="AS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</row>
    <row r="130" spans="1:56" s="193" customFormat="1" ht="24" customHeight="1" x14ac:dyDescent="0.25">
      <c r="A130" s="268"/>
      <c r="B130" s="252"/>
      <c r="C130" s="29"/>
      <c r="D130" s="28"/>
      <c r="E130" s="29"/>
      <c r="F130" s="29"/>
      <c r="G130" s="28"/>
      <c r="H130" s="29"/>
      <c r="I130" s="29"/>
      <c r="J130" s="29"/>
      <c r="K130" s="30"/>
      <c r="L130" s="31"/>
      <c r="M130" s="28"/>
      <c r="N130" s="33"/>
      <c r="O130" s="33"/>
      <c r="P130" s="28"/>
      <c r="Q130" s="29"/>
      <c r="R130" s="29"/>
      <c r="S130" s="29"/>
      <c r="T130" s="29"/>
      <c r="U130" s="6" t="s">
        <v>377</v>
      </c>
      <c r="V130" s="10">
        <v>42272</v>
      </c>
      <c r="W130" s="11">
        <v>11680</v>
      </c>
      <c r="X130" s="6" t="s">
        <v>591</v>
      </c>
      <c r="Y130" s="10">
        <v>42278</v>
      </c>
      <c r="Z130" s="10">
        <v>42551</v>
      </c>
      <c r="AA130" s="23"/>
      <c r="AB130" s="21"/>
      <c r="AC130" s="24"/>
      <c r="AD130" s="24"/>
      <c r="AE130" s="26">
        <f>2125.81*9</f>
        <v>19132.29</v>
      </c>
      <c r="AF130" s="57"/>
      <c r="AG130" s="26"/>
      <c r="AH130" s="12">
        <f t="shared" si="2"/>
        <v>0</v>
      </c>
      <c r="AI130" s="21"/>
      <c r="AJ130" s="11"/>
      <c r="AK130" s="21"/>
      <c r="AL130" s="27"/>
      <c r="AM130" s="21"/>
      <c r="AN130" s="21"/>
      <c r="AO130" s="11"/>
      <c r="AP130" s="10"/>
      <c r="AQ130" s="11"/>
      <c r="AR130" s="10"/>
      <c r="AS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</row>
    <row r="131" spans="1:56" s="193" customFormat="1" ht="21" customHeight="1" x14ac:dyDescent="0.25">
      <c r="A131" s="268"/>
      <c r="B131" s="252"/>
      <c r="C131" s="29"/>
      <c r="D131" s="28"/>
      <c r="E131" s="29"/>
      <c r="F131" s="29"/>
      <c r="G131" s="28"/>
      <c r="H131" s="29"/>
      <c r="I131" s="29"/>
      <c r="J131" s="29"/>
      <c r="K131" s="30"/>
      <c r="L131" s="31"/>
      <c r="M131" s="28"/>
      <c r="N131" s="33"/>
      <c r="O131" s="33"/>
      <c r="P131" s="28"/>
      <c r="Q131" s="29"/>
      <c r="R131" s="29"/>
      <c r="S131" s="29"/>
      <c r="T131" s="35"/>
      <c r="U131" s="6"/>
      <c r="V131" s="10"/>
      <c r="W131" s="11"/>
      <c r="X131" s="6"/>
      <c r="Y131" s="10"/>
      <c r="Z131" s="10"/>
      <c r="AA131" s="23"/>
      <c r="AB131" s="21"/>
      <c r="AC131" s="24"/>
      <c r="AD131" s="24"/>
      <c r="AE131" s="26"/>
      <c r="AF131" s="59"/>
      <c r="AG131" s="26"/>
      <c r="AH131" s="12">
        <f t="shared" si="2"/>
        <v>0</v>
      </c>
      <c r="AI131" s="21"/>
      <c r="AJ131" s="11"/>
      <c r="AK131" s="21"/>
      <c r="AL131" s="27"/>
      <c r="AM131" s="21"/>
      <c r="AN131" s="21"/>
      <c r="AO131" s="11"/>
      <c r="AP131" s="10"/>
      <c r="AQ131" s="11"/>
      <c r="AR131" s="10"/>
      <c r="AS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</row>
    <row r="132" spans="1:56" s="193" customFormat="1" ht="25.5" customHeight="1" x14ac:dyDescent="0.25">
      <c r="A132" s="270">
        <v>21</v>
      </c>
      <c r="B132" s="254" t="s">
        <v>245</v>
      </c>
      <c r="C132" s="16" t="s">
        <v>389</v>
      </c>
      <c r="D132" s="15" t="s">
        <v>135</v>
      </c>
      <c r="E132" s="16" t="s">
        <v>123</v>
      </c>
      <c r="F132" s="16" t="s">
        <v>248</v>
      </c>
      <c r="G132" s="62">
        <v>11274</v>
      </c>
      <c r="H132" s="16" t="s">
        <v>467</v>
      </c>
      <c r="I132" s="16" t="s">
        <v>412</v>
      </c>
      <c r="J132" s="16" t="s">
        <v>413</v>
      </c>
      <c r="K132" s="17">
        <v>41743</v>
      </c>
      <c r="L132" s="18">
        <v>14563.39</v>
      </c>
      <c r="M132" s="62">
        <v>11322</v>
      </c>
      <c r="N132" s="20">
        <v>41743</v>
      </c>
      <c r="O132" s="20">
        <v>42004</v>
      </c>
      <c r="P132" s="15">
        <v>1</v>
      </c>
      <c r="Q132" s="16"/>
      <c r="R132" s="16"/>
      <c r="S132" s="16"/>
      <c r="T132" s="16" t="s">
        <v>159</v>
      </c>
      <c r="U132" s="6" t="s">
        <v>141</v>
      </c>
      <c r="V132" s="10">
        <v>42003</v>
      </c>
      <c r="W132" s="11">
        <v>11484</v>
      </c>
      <c r="X132" s="6" t="s">
        <v>593</v>
      </c>
      <c r="Y132" s="10">
        <v>42005</v>
      </c>
      <c r="Z132" s="10">
        <v>42264</v>
      </c>
      <c r="AA132" s="23"/>
      <c r="AB132" s="21"/>
      <c r="AC132" s="24"/>
      <c r="AD132" s="24"/>
      <c r="AE132" s="25">
        <f>L132-AD132+AC132</f>
        <v>14563.39</v>
      </c>
      <c r="AF132" s="26">
        <f>14563.39+21362.77</f>
        <v>35926.160000000003</v>
      </c>
      <c r="AG132" s="26">
        <v>1812.38</v>
      </c>
      <c r="AH132" s="12">
        <f t="shared" si="2"/>
        <v>37738.54</v>
      </c>
      <c r="AI132" s="21"/>
      <c r="AJ132" s="11"/>
      <c r="AK132" s="21"/>
      <c r="AL132" s="27"/>
      <c r="AM132" s="21"/>
      <c r="AN132" s="21"/>
      <c r="AO132" s="11"/>
      <c r="AP132" s="10"/>
      <c r="AQ132" s="11"/>
      <c r="AR132" s="10"/>
      <c r="AS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</row>
    <row r="133" spans="1:56" s="193" customFormat="1" ht="25.5" customHeight="1" x14ac:dyDescent="0.25">
      <c r="A133" s="268"/>
      <c r="B133" s="252"/>
      <c r="C133" s="29"/>
      <c r="D133" s="28"/>
      <c r="E133" s="29"/>
      <c r="F133" s="29"/>
      <c r="G133" s="66"/>
      <c r="H133" s="29"/>
      <c r="I133" s="29"/>
      <c r="J133" s="29"/>
      <c r="K133" s="30"/>
      <c r="L133" s="31"/>
      <c r="M133" s="66"/>
      <c r="N133" s="33"/>
      <c r="O133" s="33"/>
      <c r="P133" s="28"/>
      <c r="Q133" s="29"/>
      <c r="R133" s="29"/>
      <c r="S133" s="29"/>
      <c r="T133" s="29"/>
      <c r="U133" s="6" t="s">
        <v>428</v>
      </c>
      <c r="V133" s="10">
        <v>42249</v>
      </c>
      <c r="W133" s="11"/>
      <c r="X133" s="6" t="s">
        <v>407</v>
      </c>
      <c r="Y133" s="10"/>
      <c r="Z133" s="10"/>
      <c r="AA133" s="23">
        <f>AC133/AE132</f>
        <v>3.9611656351989474E-2</v>
      </c>
      <c r="AB133" s="21"/>
      <c r="AC133" s="24">
        <v>576.88</v>
      </c>
      <c r="AD133" s="24"/>
      <c r="AE133" s="25">
        <f>AE132-AD133+AC133</f>
        <v>15140.269999999999</v>
      </c>
      <c r="AF133" s="56"/>
      <c r="AG133" s="56"/>
      <c r="AH133" s="12">
        <f t="shared" si="2"/>
        <v>0</v>
      </c>
      <c r="AI133" s="21"/>
      <c r="AJ133" s="11"/>
      <c r="AK133" s="21"/>
      <c r="AL133" s="27"/>
      <c r="AM133" s="21"/>
      <c r="AN133" s="21"/>
      <c r="AO133" s="11"/>
      <c r="AP133" s="10"/>
      <c r="AQ133" s="11"/>
      <c r="AR133" s="10"/>
      <c r="AS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</row>
    <row r="134" spans="1:56" s="193" customFormat="1" ht="22.5" customHeight="1" x14ac:dyDescent="0.25">
      <c r="A134" s="269"/>
      <c r="B134" s="253"/>
      <c r="C134" s="35"/>
      <c r="D134" s="34"/>
      <c r="E134" s="35"/>
      <c r="F134" s="35"/>
      <c r="G134" s="72"/>
      <c r="H134" s="35"/>
      <c r="I134" s="35"/>
      <c r="J134" s="35"/>
      <c r="K134" s="36"/>
      <c r="L134" s="37"/>
      <c r="M134" s="72"/>
      <c r="N134" s="39"/>
      <c r="O134" s="39"/>
      <c r="P134" s="34"/>
      <c r="Q134" s="35"/>
      <c r="R134" s="35"/>
      <c r="S134" s="35"/>
      <c r="T134" s="35"/>
      <c r="U134" s="6" t="s">
        <v>124</v>
      </c>
      <c r="V134" s="10">
        <v>42257</v>
      </c>
      <c r="W134" s="11">
        <v>11650</v>
      </c>
      <c r="X134" s="6" t="s">
        <v>593</v>
      </c>
      <c r="Y134" s="10">
        <v>42265</v>
      </c>
      <c r="Z134" s="10">
        <v>42525</v>
      </c>
      <c r="AA134" s="23"/>
      <c r="AB134" s="21"/>
      <c r="AC134" s="24"/>
      <c r="AD134" s="24"/>
      <c r="AE134" s="25">
        <f>(1812.38*8)+(60.41*17)</f>
        <v>15526.01</v>
      </c>
      <c r="AF134" s="56"/>
      <c r="AG134" s="56"/>
      <c r="AH134" s="12">
        <f t="shared" si="2"/>
        <v>0</v>
      </c>
      <c r="AI134" s="21"/>
      <c r="AJ134" s="11"/>
      <c r="AK134" s="21"/>
      <c r="AL134" s="27"/>
      <c r="AM134" s="21"/>
      <c r="AN134" s="21"/>
      <c r="AO134" s="11"/>
      <c r="AP134" s="10"/>
      <c r="AQ134" s="11"/>
      <c r="AR134" s="10"/>
      <c r="AS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</row>
    <row r="135" spans="1:56" s="193" customFormat="1" ht="30" customHeight="1" x14ac:dyDescent="0.25">
      <c r="A135" s="270">
        <v>22</v>
      </c>
      <c r="B135" s="256" t="s">
        <v>165</v>
      </c>
      <c r="C135" s="16" t="s">
        <v>376</v>
      </c>
      <c r="D135" s="16" t="s">
        <v>134</v>
      </c>
      <c r="E135" s="16" t="s">
        <v>123</v>
      </c>
      <c r="F135" s="16" t="s">
        <v>174</v>
      </c>
      <c r="G135" s="63">
        <v>10756</v>
      </c>
      <c r="H135" s="109" t="s">
        <v>331</v>
      </c>
      <c r="I135" s="16" t="s">
        <v>195</v>
      </c>
      <c r="J135" s="16" t="s">
        <v>380</v>
      </c>
      <c r="K135" s="17">
        <v>41276</v>
      </c>
      <c r="L135" s="180">
        <v>451294.44</v>
      </c>
      <c r="M135" s="62">
        <v>10972</v>
      </c>
      <c r="N135" s="20">
        <v>41276</v>
      </c>
      <c r="O135" s="20">
        <v>41639</v>
      </c>
      <c r="P135" s="16">
        <v>1</v>
      </c>
      <c r="Q135" s="16"/>
      <c r="R135" s="16"/>
      <c r="S135" s="16"/>
      <c r="T135" s="16" t="s">
        <v>160</v>
      </c>
      <c r="U135" s="6"/>
      <c r="V135" s="21"/>
      <c r="W135" s="11"/>
      <c r="X135" s="6"/>
      <c r="Y135" s="21"/>
      <c r="Z135" s="21"/>
      <c r="AA135" s="23"/>
      <c r="AB135" s="21"/>
      <c r="AC135" s="24"/>
      <c r="AD135" s="24"/>
      <c r="AE135" s="25">
        <f>L135</f>
        <v>451294.44</v>
      </c>
      <c r="AF135" s="181">
        <f>458377.8+457881.42+403884.37</f>
        <v>1320143.5899999999</v>
      </c>
      <c r="AG135" s="182">
        <f>32640.18+31204.47+31204.47+28333.05+2871.42</f>
        <v>126253.59</v>
      </c>
      <c r="AH135" s="12">
        <f t="shared" si="2"/>
        <v>1446397.18</v>
      </c>
      <c r="AI135" s="21"/>
      <c r="AJ135" s="11"/>
      <c r="AK135" s="21"/>
      <c r="AL135" s="27"/>
      <c r="AM135" s="21"/>
      <c r="AN135" s="21"/>
      <c r="AO135" s="11"/>
      <c r="AP135" s="10"/>
      <c r="AQ135" s="11"/>
      <c r="AR135" s="10"/>
      <c r="AS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</row>
    <row r="136" spans="1:56" s="193" customFormat="1" x14ac:dyDescent="0.25">
      <c r="A136" s="268"/>
      <c r="B136" s="257"/>
      <c r="C136" s="29"/>
      <c r="D136" s="29"/>
      <c r="E136" s="29"/>
      <c r="F136" s="29"/>
      <c r="G136" s="67"/>
      <c r="H136" s="112"/>
      <c r="I136" s="29"/>
      <c r="J136" s="29"/>
      <c r="K136" s="30"/>
      <c r="L136" s="183"/>
      <c r="M136" s="66"/>
      <c r="N136" s="33"/>
      <c r="O136" s="33"/>
      <c r="P136" s="29"/>
      <c r="Q136" s="29"/>
      <c r="R136" s="29"/>
      <c r="S136" s="29"/>
      <c r="T136" s="29"/>
      <c r="U136" s="6" t="s">
        <v>141</v>
      </c>
      <c r="V136" s="10">
        <v>41334</v>
      </c>
      <c r="W136" s="122">
        <v>11055</v>
      </c>
      <c r="X136" s="6" t="s">
        <v>489</v>
      </c>
      <c r="Y136" s="10">
        <v>41334</v>
      </c>
      <c r="Z136" s="10">
        <v>41639</v>
      </c>
      <c r="AA136" s="23">
        <f>AC136/L135</f>
        <v>3.0049339850054431E-2</v>
      </c>
      <c r="AB136" s="23">
        <f>AD136/L135</f>
        <v>2.9660680065103393E-2</v>
      </c>
      <c r="AC136" s="24">
        <f>1356.11*10</f>
        <v>13561.099999999999</v>
      </c>
      <c r="AD136" s="24">
        <f>1338.57*10</f>
        <v>13385.699999999999</v>
      </c>
      <c r="AE136" s="25">
        <f>L135+AC136-AD136</f>
        <v>451469.83999999997</v>
      </c>
      <c r="AF136" s="184"/>
      <c r="AG136" s="185"/>
      <c r="AH136" s="12">
        <f t="shared" si="2"/>
        <v>0</v>
      </c>
      <c r="AI136" s="21"/>
      <c r="AJ136" s="11"/>
      <c r="AK136" s="21"/>
      <c r="AL136" s="27"/>
      <c r="AM136" s="21"/>
      <c r="AN136" s="21"/>
      <c r="AO136" s="11"/>
      <c r="AP136" s="10"/>
      <c r="AQ136" s="11"/>
      <c r="AR136" s="10"/>
      <c r="AS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</row>
    <row r="137" spans="1:56" s="193" customFormat="1" x14ac:dyDescent="0.25">
      <c r="A137" s="268"/>
      <c r="B137" s="257"/>
      <c r="C137" s="29"/>
      <c r="D137" s="29"/>
      <c r="E137" s="29"/>
      <c r="F137" s="29"/>
      <c r="G137" s="67"/>
      <c r="H137" s="112"/>
      <c r="I137" s="29"/>
      <c r="J137" s="29"/>
      <c r="K137" s="30"/>
      <c r="L137" s="183"/>
      <c r="M137" s="66"/>
      <c r="N137" s="33"/>
      <c r="O137" s="33"/>
      <c r="P137" s="29"/>
      <c r="Q137" s="29"/>
      <c r="R137" s="29"/>
      <c r="S137" s="29"/>
      <c r="T137" s="29"/>
      <c r="U137" s="6" t="s">
        <v>124</v>
      </c>
      <c r="V137" s="10">
        <v>41365</v>
      </c>
      <c r="W137" s="122">
        <v>11055</v>
      </c>
      <c r="X137" s="6" t="s">
        <v>489</v>
      </c>
      <c r="Y137" s="10">
        <v>41365</v>
      </c>
      <c r="Z137" s="10">
        <v>41639</v>
      </c>
      <c r="AA137" s="23">
        <f>AC137/AE136</f>
        <v>2.6507617873211643E-2</v>
      </c>
      <c r="AB137" s="23">
        <f>AD137/AE136</f>
        <v>2.6684240967237146E-2</v>
      </c>
      <c r="AC137" s="24">
        <f>1329.71*9</f>
        <v>11967.39</v>
      </c>
      <c r="AD137" s="24">
        <f>1338.57*9</f>
        <v>12047.13</v>
      </c>
      <c r="AE137" s="25">
        <f>AE136+AC137-AD137</f>
        <v>451390.1</v>
      </c>
      <c r="AF137" s="184"/>
      <c r="AG137" s="185"/>
      <c r="AH137" s="12">
        <f t="shared" si="2"/>
        <v>0</v>
      </c>
      <c r="AI137" s="21"/>
      <c r="AJ137" s="11"/>
      <c r="AK137" s="21"/>
      <c r="AL137" s="27"/>
      <c r="AM137" s="21"/>
      <c r="AN137" s="21"/>
      <c r="AO137" s="11"/>
      <c r="AP137" s="10"/>
      <c r="AQ137" s="11"/>
      <c r="AR137" s="10"/>
      <c r="AS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</row>
    <row r="138" spans="1:56" s="193" customFormat="1" x14ac:dyDescent="0.25">
      <c r="A138" s="268"/>
      <c r="B138" s="257"/>
      <c r="C138" s="29"/>
      <c r="D138" s="29"/>
      <c r="E138" s="29"/>
      <c r="F138" s="29"/>
      <c r="G138" s="67"/>
      <c r="H138" s="112"/>
      <c r="I138" s="29"/>
      <c r="J138" s="29"/>
      <c r="K138" s="30"/>
      <c r="L138" s="183"/>
      <c r="M138" s="66"/>
      <c r="N138" s="33"/>
      <c r="O138" s="33"/>
      <c r="P138" s="29"/>
      <c r="Q138" s="29"/>
      <c r="R138" s="29"/>
      <c r="S138" s="29"/>
      <c r="T138" s="29"/>
      <c r="U138" s="6" t="s">
        <v>143</v>
      </c>
      <c r="V138" s="10">
        <v>41410</v>
      </c>
      <c r="W138" s="122">
        <v>11065</v>
      </c>
      <c r="X138" s="6" t="s">
        <v>490</v>
      </c>
      <c r="Y138" s="10">
        <v>41410</v>
      </c>
      <c r="Z138" s="10">
        <v>41639</v>
      </c>
      <c r="AA138" s="23"/>
      <c r="AB138" s="23">
        <f>AD138/AE137</f>
        <v>2.2580690183502033E-2</v>
      </c>
      <c r="AC138" s="24"/>
      <c r="AD138" s="24">
        <v>10192.700000000001</v>
      </c>
      <c r="AE138" s="25">
        <f>AE137-AD138</f>
        <v>441197.39999999997</v>
      </c>
      <c r="AF138" s="184"/>
      <c r="AG138" s="185"/>
      <c r="AH138" s="12">
        <f t="shared" si="2"/>
        <v>0</v>
      </c>
      <c r="AI138" s="21"/>
      <c r="AJ138" s="11"/>
      <c r="AK138" s="21"/>
      <c r="AL138" s="27"/>
      <c r="AM138" s="21"/>
      <c r="AN138" s="21"/>
      <c r="AO138" s="11"/>
      <c r="AP138" s="10"/>
      <c r="AQ138" s="11"/>
      <c r="AR138" s="10"/>
      <c r="AS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</row>
    <row r="139" spans="1:56" s="193" customFormat="1" x14ac:dyDescent="0.25">
      <c r="A139" s="268"/>
      <c r="B139" s="257"/>
      <c r="C139" s="29"/>
      <c r="D139" s="29"/>
      <c r="E139" s="29"/>
      <c r="F139" s="29"/>
      <c r="G139" s="67"/>
      <c r="H139" s="112"/>
      <c r="I139" s="29"/>
      <c r="J139" s="29"/>
      <c r="K139" s="30"/>
      <c r="L139" s="183"/>
      <c r="M139" s="66"/>
      <c r="N139" s="33"/>
      <c r="O139" s="33"/>
      <c r="P139" s="29"/>
      <c r="Q139" s="29"/>
      <c r="R139" s="29"/>
      <c r="S139" s="29"/>
      <c r="T139" s="29"/>
      <c r="U139" s="6" t="s">
        <v>126</v>
      </c>
      <c r="V139" s="10">
        <v>41509</v>
      </c>
      <c r="W139" s="122">
        <v>11130</v>
      </c>
      <c r="X139" s="6" t="s">
        <v>491</v>
      </c>
      <c r="Y139" s="10">
        <v>41487</v>
      </c>
      <c r="Z139" s="10">
        <v>41639</v>
      </c>
      <c r="AA139" s="23">
        <f>AC139/L135</f>
        <v>5.3093829385533753E-2</v>
      </c>
      <c r="AB139" s="23">
        <f>1/28</f>
        <v>3.5714285714285712E-2</v>
      </c>
      <c r="AC139" s="24">
        <v>23960.95</v>
      </c>
      <c r="AD139" s="24">
        <f>(1356.11*5)</f>
        <v>6780.5499999999993</v>
      </c>
      <c r="AE139" s="25">
        <f>AE138-AD139+AC139</f>
        <v>458377.8</v>
      </c>
      <c r="AF139" s="184"/>
      <c r="AG139" s="185"/>
      <c r="AH139" s="12">
        <f t="shared" si="2"/>
        <v>0</v>
      </c>
      <c r="AI139" s="21"/>
      <c r="AJ139" s="11"/>
      <c r="AK139" s="21"/>
      <c r="AL139" s="27"/>
      <c r="AM139" s="21"/>
      <c r="AN139" s="21"/>
      <c r="AO139" s="11"/>
      <c r="AP139" s="10"/>
      <c r="AQ139" s="11"/>
      <c r="AR139" s="10"/>
      <c r="AS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</row>
    <row r="140" spans="1:56" s="193" customFormat="1" x14ac:dyDescent="0.25">
      <c r="A140" s="268"/>
      <c r="B140" s="257"/>
      <c r="C140" s="29"/>
      <c r="D140" s="29"/>
      <c r="E140" s="29"/>
      <c r="F140" s="29"/>
      <c r="G140" s="67"/>
      <c r="H140" s="112"/>
      <c r="I140" s="29"/>
      <c r="J140" s="29"/>
      <c r="K140" s="30"/>
      <c r="L140" s="183"/>
      <c r="M140" s="66"/>
      <c r="N140" s="33"/>
      <c r="O140" s="33"/>
      <c r="P140" s="29"/>
      <c r="Q140" s="29"/>
      <c r="R140" s="29"/>
      <c r="S140" s="29"/>
      <c r="T140" s="29"/>
      <c r="U140" s="6" t="s">
        <v>181</v>
      </c>
      <c r="V140" s="10">
        <v>41631</v>
      </c>
      <c r="W140" s="122">
        <v>11219</v>
      </c>
      <c r="X140" s="6" t="s">
        <v>492</v>
      </c>
      <c r="Y140" s="123">
        <v>41640</v>
      </c>
      <c r="Z140" s="123">
        <v>42004</v>
      </c>
      <c r="AA140" s="23">
        <f>AC140/AE139</f>
        <v>3.3622178037418043E-2</v>
      </c>
      <c r="AB140" s="21"/>
      <c r="AC140" s="24">
        <f>1401.06*11</f>
        <v>15411.66</v>
      </c>
      <c r="AD140" s="24"/>
      <c r="AE140" s="25">
        <f>AE139+AC140</f>
        <v>473789.45999999996</v>
      </c>
      <c r="AF140" s="184"/>
      <c r="AG140" s="185"/>
      <c r="AH140" s="12">
        <f t="shared" si="2"/>
        <v>0</v>
      </c>
      <c r="AI140" s="21"/>
      <c r="AJ140" s="11"/>
      <c r="AK140" s="21"/>
      <c r="AL140" s="27"/>
      <c r="AM140" s="21"/>
      <c r="AN140" s="21"/>
      <c r="AO140" s="11"/>
      <c r="AP140" s="10"/>
      <c r="AQ140" s="11"/>
      <c r="AR140" s="10"/>
      <c r="AS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</row>
    <row r="141" spans="1:56" s="193" customFormat="1" x14ac:dyDescent="0.25">
      <c r="A141" s="268"/>
      <c r="B141" s="257"/>
      <c r="C141" s="29"/>
      <c r="D141" s="29"/>
      <c r="E141" s="29"/>
      <c r="F141" s="29"/>
      <c r="G141" s="67"/>
      <c r="H141" s="112"/>
      <c r="I141" s="29"/>
      <c r="J141" s="29"/>
      <c r="K141" s="30"/>
      <c r="L141" s="183"/>
      <c r="M141" s="66"/>
      <c r="N141" s="33"/>
      <c r="O141" s="33"/>
      <c r="P141" s="29"/>
      <c r="Q141" s="29"/>
      <c r="R141" s="29"/>
      <c r="S141" s="29"/>
      <c r="T141" s="29"/>
      <c r="U141" s="6" t="s">
        <v>227</v>
      </c>
      <c r="V141" s="10">
        <v>42003</v>
      </c>
      <c r="W141" s="122">
        <v>11485</v>
      </c>
      <c r="X141" s="6" t="s">
        <v>477</v>
      </c>
      <c r="Y141" s="123">
        <v>42005</v>
      </c>
      <c r="Z141" s="123">
        <v>42369</v>
      </c>
      <c r="AA141" s="23"/>
      <c r="AB141" s="21"/>
      <c r="AC141" s="24"/>
      <c r="AD141" s="24"/>
      <c r="AE141" s="25">
        <f>(38273.54*12)</f>
        <v>459282.48</v>
      </c>
      <c r="AF141" s="184"/>
      <c r="AG141" s="185"/>
      <c r="AH141" s="12">
        <f t="shared" si="2"/>
        <v>0</v>
      </c>
      <c r="AI141" s="21"/>
      <c r="AJ141" s="11"/>
      <c r="AK141" s="21"/>
      <c r="AL141" s="27"/>
      <c r="AM141" s="21"/>
      <c r="AN141" s="21"/>
      <c r="AO141" s="11"/>
      <c r="AP141" s="10"/>
      <c r="AQ141" s="11"/>
      <c r="AR141" s="10"/>
      <c r="AS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</row>
    <row r="142" spans="1:56" s="193" customFormat="1" x14ac:dyDescent="0.25">
      <c r="A142" s="268"/>
      <c r="B142" s="257"/>
      <c r="C142" s="29"/>
      <c r="D142" s="29"/>
      <c r="E142" s="29"/>
      <c r="F142" s="29"/>
      <c r="G142" s="67"/>
      <c r="H142" s="112"/>
      <c r="I142" s="29"/>
      <c r="J142" s="29"/>
      <c r="K142" s="30"/>
      <c r="L142" s="183"/>
      <c r="M142" s="66"/>
      <c r="N142" s="33"/>
      <c r="O142" s="33"/>
      <c r="P142" s="29"/>
      <c r="Q142" s="29"/>
      <c r="R142" s="29"/>
      <c r="S142" s="29"/>
      <c r="T142" s="29"/>
      <c r="U142" s="6" t="s">
        <v>229</v>
      </c>
      <c r="V142" s="10">
        <v>42359</v>
      </c>
      <c r="W142" s="122">
        <v>11731</v>
      </c>
      <c r="X142" s="6" t="s">
        <v>477</v>
      </c>
      <c r="Y142" s="123">
        <v>42370</v>
      </c>
      <c r="Z142" s="123">
        <v>42735</v>
      </c>
      <c r="AA142" s="23"/>
      <c r="AB142" s="21"/>
      <c r="AC142" s="24"/>
      <c r="AD142" s="24"/>
      <c r="AE142" s="25">
        <f>(38273.54*12)</f>
        <v>459282.48</v>
      </c>
      <c r="AF142" s="186"/>
      <c r="AG142" s="187"/>
      <c r="AH142" s="12">
        <f t="shared" si="2"/>
        <v>0</v>
      </c>
      <c r="AI142" s="21"/>
      <c r="AJ142" s="11"/>
      <c r="AK142" s="21"/>
      <c r="AL142" s="27"/>
      <c r="AM142" s="21"/>
      <c r="AN142" s="21"/>
      <c r="AO142" s="11"/>
      <c r="AP142" s="10"/>
      <c r="AQ142" s="11"/>
      <c r="AR142" s="10"/>
      <c r="AS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</row>
    <row r="143" spans="1:56" s="193" customFormat="1" ht="32.25" customHeight="1" x14ac:dyDescent="0.25">
      <c r="A143" s="270">
        <v>23</v>
      </c>
      <c r="B143" s="256" t="s">
        <v>166</v>
      </c>
      <c r="C143" s="16" t="s">
        <v>376</v>
      </c>
      <c r="D143" s="16" t="s">
        <v>134</v>
      </c>
      <c r="E143" s="16" t="s">
        <v>171</v>
      </c>
      <c r="F143" s="16" t="s">
        <v>177</v>
      </c>
      <c r="G143" s="63">
        <v>10756</v>
      </c>
      <c r="H143" s="109" t="s">
        <v>332</v>
      </c>
      <c r="I143" s="16" t="s">
        <v>198</v>
      </c>
      <c r="J143" s="16" t="s">
        <v>380</v>
      </c>
      <c r="K143" s="17">
        <v>41337</v>
      </c>
      <c r="L143" s="105">
        <v>114179.64</v>
      </c>
      <c r="M143" s="63">
        <v>11224</v>
      </c>
      <c r="N143" s="17">
        <v>41337</v>
      </c>
      <c r="O143" s="17">
        <v>41639</v>
      </c>
      <c r="P143" s="109" t="s">
        <v>157</v>
      </c>
      <c r="Q143" s="16"/>
      <c r="R143" s="16"/>
      <c r="S143" s="16"/>
      <c r="T143" s="16" t="s">
        <v>160</v>
      </c>
      <c r="U143" s="6"/>
      <c r="V143" s="21"/>
      <c r="W143" s="11"/>
      <c r="X143" s="6"/>
      <c r="Y143" s="21"/>
      <c r="Z143" s="21"/>
      <c r="AA143" s="23"/>
      <c r="AB143" s="21"/>
      <c r="AC143" s="24"/>
      <c r="AD143" s="24"/>
      <c r="AE143" s="25">
        <f>11529.54*9+10413.78</f>
        <v>114179.64000000001</v>
      </c>
      <c r="AF143" s="82">
        <f>119585.31+132829.29+132829.29</f>
        <v>385243.89</v>
      </c>
      <c r="AG143" s="12">
        <f>12075.39+12075.39+12075.39+12075.39</f>
        <v>48301.56</v>
      </c>
      <c r="AH143" s="12">
        <f t="shared" si="2"/>
        <v>433545.45</v>
      </c>
      <c r="AI143" s="21"/>
      <c r="AJ143" s="11"/>
      <c r="AK143" s="21"/>
      <c r="AL143" s="27"/>
      <c r="AM143" s="21"/>
      <c r="AN143" s="21"/>
      <c r="AO143" s="11"/>
      <c r="AP143" s="10"/>
      <c r="AQ143" s="11"/>
      <c r="AR143" s="10"/>
      <c r="AS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</row>
    <row r="144" spans="1:56" s="193" customFormat="1" x14ac:dyDescent="0.25">
      <c r="A144" s="268"/>
      <c r="B144" s="257"/>
      <c r="C144" s="29"/>
      <c r="D144" s="29"/>
      <c r="E144" s="29"/>
      <c r="F144" s="29"/>
      <c r="G144" s="67"/>
      <c r="H144" s="112"/>
      <c r="I144" s="29"/>
      <c r="J144" s="29"/>
      <c r="K144" s="30"/>
      <c r="L144" s="101"/>
      <c r="M144" s="67"/>
      <c r="N144" s="30"/>
      <c r="O144" s="30"/>
      <c r="P144" s="112"/>
      <c r="Q144" s="29"/>
      <c r="R144" s="29"/>
      <c r="S144" s="29"/>
      <c r="T144" s="29"/>
      <c r="U144" s="6" t="s">
        <v>145</v>
      </c>
      <c r="V144" s="10">
        <v>41509</v>
      </c>
      <c r="W144" s="11">
        <v>11130</v>
      </c>
      <c r="X144" s="6" t="s">
        <v>206</v>
      </c>
      <c r="Y144" s="10">
        <v>41337</v>
      </c>
      <c r="Z144" s="10">
        <v>41639</v>
      </c>
      <c r="AA144" s="23">
        <f>AC144/L143</f>
        <v>4.7343554420034954E-2</v>
      </c>
      <c r="AB144" s="21"/>
      <c r="AC144" s="24">
        <f>545.85*9+493.02</f>
        <v>5405.67</v>
      </c>
      <c r="AD144" s="24"/>
      <c r="AE144" s="25">
        <f>AC144+L143</f>
        <v>119585.31</v>
      </c>
      <c r="AF144" s="119"/>
      <c r="AG144" s="13"/>
      <c r="AH144" s="12">
        <f t="shared" si="2"/>
        <v>0</v>
      </c>
      <c r="AI144" s="21"/>
      <c r="AJ144" s="11"/>
      <c r="AK144" s="21"/>
      <c r="AL144" s="27"/>
      <c r="AM144" s="21"/>
      <c r="AN144" s="21"/>
      <c r="AO144" s="11"/>
      <c r="AP144" s="10"/>
      <c r="AQ144" s="11"/>
      <c r="AR144" s="10"/>
      <c r="AS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</row>
    <row r="145" spans="1:56" s="193" customFormat="1" x14ac:dyDescent="0.25">
      <c r="A145" s="268"/>
      <c r="B145" s="257"/>
      <c r="C145" s="29"/>
      <c r="D145" s="29"/>
      <c r="E145" s="29"/>
      <c r="F145" s="29"/>
      <c r="G145" s="67"/>
      <c r="H145" s="112"/>
      <c r="I145" s="29"/>
      <c r="J145" s="29"/>
      <c r="K145" s="30"/>
      <c r="L145" s="101"/>
      <c r="M145" s="67"/>
      <c r="N145" s="30"/>
      <c r="O145" s="30"/>
      <c r="P145" s="112"/>
      <c r="Q145" s="29"/>
      <c r="R145" s="29"/>
      <c r="S145" s="29"/>
      <c r="T145" s="29"/>
      <c r="U145" s="6" t="s">
        <v>124</v>
      </c>
      <c r="V145" s="10">
        <v>41631</v>
      </c>
      <c r="W145" s="11">
        <v>11219</v>
      </c>
      <c r="X145" s="6" t="s">
        <v>551</v>
      </c>
      <c r="Y145" s="10">
        <v>41640</v>
      </c>
      <c r="Z145" s="10">
        <v>42004</v>
      </c>
      <c r="AA145" s="23"/>
      <c r="AB145" s="21"/>
      <c r="AC145" s="24"/>
      <c r="AD145" s="24"/>
      <c r="AE145" s="25">
        <f>12075.39*2+1168.59+AE144</f>
        <v>144904.68</v>
      </c>
      <c r="AF145" s="119"/>
      <c r="AG145" s="13"/>
      <c r="AH145" s="12">
        <f t="shared" si="2"/>
        <v>0</v>
      </c>
      <c r="AI145" s="21"/>
      <c r="AJ145" s="11"/>
      <c r="AK145" s="21"/>
      <c r="AL145" s="27"/>
      <c r="AM145" s="21"/>
      <c r="AN145" s="21"/>
      <c r="AO145" s="11"/>
      <c r="AP145" s="10"/>
      <c r="AQ145" s="11"/>
      <c r="AR145" s="10"/>
      <c r="AS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</row>
    <row r="146" spans="1:56" s="193" customFormat="1" x14ac:dyDescent="0.25">
      <c r="A146" s="268"/>
      <c r="B146" s="257"/>
      <c r="C146" s="29"/>
      <c r="D146" s="29"/>
      <c r="E146" s="29"/>
      <c r="F146" s="29"/>
      <c r="G146" s="67"/>
      <c r="H146" s="112"/>
      <c r="I146" s="29"/>
      <c r="J146" s="29"/>
      <c r="K146" s="30"/>
      <c r="L146" s="101"/>
      <c r="M146" s="67"/>
      <c r="N146" s="30"/>
      <c r="O146" s="30"/>
      <c r="P146" s="112"/>
      <c r="Q146" s="29"/>
      <c r="R146" s="29"/>
      <c r="S146" s="29"/>
      <c r="T146" s="29"/>
      <c r="U146" s="6" t="s">
        <v>143</v>
      </c>
      <c r="V146" s="10">
        <v>42003</v>
      </c>
      <c r="W146" s="11">
        <v>11487</v>
      </c>
      <c r="X146" s="6" t="s">
        <v>534</v>
      </c>
      <c r="Y146" s="10">
        <v>42005</v>
      </c>
      <c r="Z146" s="10">
        <v>42369</v>
      </c>
      <c r="AA146" s="23"/>
      <c r="AB146" s="21"/>
      <c r="AC146" s="24"/>
      <c r="AD146" s="24"/>
      <c r="AE146" s="25">
        <f>12075.39*12</f>
        <v>144904.68</v>
      </c>
      <c r="AF146" s="119"/>
      <c r="AG146" s="13"/>
      <c r="AH146" s="12">
        <f t="shared" si="2"/>
        <v>0</v>
      </c>
      <c r="AI146" s="21"/>
      <c r="AJ146" s="11"/>
      <c r="AK146" s="21"/>
      <c r="AL146" s="27"/>
      <c r="AM146" s="21"/>
      <c r="AN146" s="21"/>
      <c r="AO146" s="11"/>
      <c r="AP146" s="10"/>
      <c r="AQ146" s="11"/>
      <c r="AR146" s="10"/>
      <c r="AS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</row>
    <row r="147" spans="1:56" s="193" customFormat="1" x14ac:dyDescent="0.25">
      <c r="A147" s="269"/>
      <c r="B147" s="258"/>
      <c r="C147" s="35"/>
      <c r="D147" s="35"/>
      <c r="E147" s="35"/>
      <c r="F147" s="35"/>
      <c r="G147" s="73"/>
      <c r="H147" s="110"/>
      <c r="I147" s="35"/>
      <c r="J147" s="35"/>
      <c r="K147" s="36"/>
      <c r="L147" s="108"/>
      <c r="M147" s="73"/>
      <c r="N147" s="36"/>
      <c r="O147" s="36"/>
      <c r="P147" s="110"/>
      <c r="Q147" s="35"/>
      <c r="R147" s="35"/>
      <c r="S147" s="35"/>
      <c r="T147" s="35"/>
      <c r="U147" s="6" t="s">
        <v>126</v>
      </c>
      <c r="V147" s="10">
        <v>42359</v>
      </c>
      <c r="W147" s="11">
        <v>11731</v>
      </c>
      <c r="X147" s="6" t="s">
        <v>534</v>
      </c>
      <c r="Y147" s="10">
        <v>42005</v>
      </c>
      <c r="Z147" s="10">
        <v>42735</v>
      </c>
      <c r="AA147" s="23"/>
      <c r="AB147" s="21"/>
      <c r="AC147" s="24"/>
      <c r="AD147" s="24"/>
      <c r="AE147" s="25">
        <f>12075.39*12</f>
        <v>144904.68</v>
      </c>
      <c r="AF147" s="92"/>
      <c r="AG147" s="14"/>
      <c r="AH147" s="12">
        <f t="shared" si="2"/>
        <v>0</v>
      </c>
      <c r="AI147" s="21"/>
      <c r="AJ147" s="11"/>
      <c r="AK147" s="21"/>
      <c r="AL147" s="27"/>
      <c r="AM147" s="21"/>
      <c r="AN147" s="21"/>
      <c r="AO147" s="11"/>
      <c r="AP147" s="10"/>
      <c r="AQ147" s="11"/>
      <c r="AR147" s="10"/>
      <c r="AS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</row>
    <row r="148" spans="1:56" s="193" customFormat="1" ht="20.25" customHeight="1" x14ac:dyDescent="0.25">
      <c r="A148" s="271">
        <v>24</v>
      </c>
      <c r="B148" s="259" t="s">
        <v>168</v>
      </c>
      <c r="C148" s="44" t="s">
        <v>429</v>
      </c>
      <c r="D148" s="44" t="s">
        <v>134</v>
      </c>
      <c r="E148" s="44" t="s">
        <v>123</v>
      </c>
      <c r="F148" s="44" t="s">
        <v>178</v>
      </c>
      <c r="G148" s="188">
        <v>10888</v>
      </c>
      <c r="H148" s="116" t="s">
        <v>494</v>
      </c>
      <c r="I148" s="44" t="s">
        <v>200</v>
      </c>
      <c r="J148" s="44" t="s">
        <v>340</v>
      </c>
      <c r="K148" s="45">
        <v>41365</v>
      </c>
      <c r="L148" s="189">
        <v>18900</v>
      </c>
      <c r="M148" s="188">
        <v>11055</v>
      </c>
      <c r="N148" s="48">
        <v>41365</v>
      </c>
      <c r="O148" s="48">
        <v>41639</v>
      </c>
      <c r="P148" s="151" t="s">
        <v>157</v>
      </c>
      <c r="Q148" s="44"/>
      <c r="R148" s="44"/>
      <c r="S148" s="44"/>
      <c r="T148" s="151" t="s">
        <v>160</v>
      </c>
      <c r="U148" s="6"/>
      <c r="V148" s="21"/>
      <c r="W148" s="11"/>
      <c r="X148" s="6"/>
      <c r="Y148" s="21"/>
      <c r="Z148" s="21"/>
      <c r="AA148" s="23"/>
      <c r="AB148" s="21"/>
      <c r="AC148" s="24"/>
      <c r="AD148" s="24"/>
      <c r="AE148" s="25"/>
      <c r="AF148" s="190">
        <f>14190.4+7728+15624</f>
        <v>37542.400000000001</v>
      </c>
      <c r="AG148" s="191">
        <f>15288+21840</f>
        <v>37128</v>
      </c>
      <c r="AH148" s="12">
        <f t="shared" si="2"/>
        <v>74670.399999999994</v>
      </c>
      <c r="AI148" s="21"/>
      <c r="AJ148" s="11"/>
      <c r="AK148" s="21"/>
      <c r="AL148" s="27"/>
      <c r="AM148" s="21"/>
      <c r="AN148" s="21"/>
      <c r="AO148" s="11"/>
      <c r="AP148" s="10"/>
      <c r="AQ148" s="11"/>
      <c r="AR148" s="10"/>
      <c r="AS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</row>
    <row r="149" spans="1:56" s="193" customFormat="1" ht="21" customHeight="1" x14ac:dyDescent="0.25">
      <c r="A149" s="271"/>
      <c r="B149" s="259"/>
      <c r="C149" s="44"/>
      <c r="D149" s="44"/>
      <c r="E149" s="44"/>
      <c r="F149" s="44"/>
      <c r="G149" s="43"/>
      <c r="H149" s="116"/>
      <c r="I149" s="44"/>
      <c r="J149" s="44"/>
      <c r="K149" s="44"/>
      <c r="L149" s="189"/>
      <c r="M149" s="188"/>
      <c r="N149" s="48"/>
      <c r="O149" s="48"/>
      <c r="P149" s="151"/>
      <c r="Q149" s="44"/>
      <c r="R149" s="44"/>
      <c r="S149" s="44"/>
      <c r="T149" s="151"/>
      <c r="U149" s="6" t="s">
        <v>141</v>
      </c>
      <c r="V149" s="10">
        <v>41514</v>
      </c>
      <c r="W149" s="122">
        <v>11139</v>
      </c>
      <c r="X149" s="6" t="s">
        <v>488</v>
      </c>
      <c r="Y149" s="10">
        <v>41514</v>
      </c>
      <c r="Z149" s="10">
        <v>41639</v>
      </c>
      <c r="AA149" s="23">
        <f>AC149/L148</f>
        <v>3.6698412698412702E-2</v>
      </c>
      <c r="AB149" s="21"/>
      <c r="AC149" s="24">
        <v>693.6</v>
      </c>
      <c r="AD149" s="24"/>
      <c r="AE149" s="25">
        <f>AC149+L148</f>
        <v>19593.599999999999</v>
      </c>
      <c r="AF149" s="190"/>
      <c r="AG149" s="191"/>
      <c r="AH149" s="12">
        <f t="shared" si="2"/>
        <v>0</v>
      </c>
      <c r="AI149" s="21"/>
      <c r="AJ149" s="11"/>
      <c r="AK149" s="21"/>
      <c r="AL149" s="27"/>
      <c r="AM149" s="21"/>
      <c r="AN149" s="21"/>
      <c r="AO149" s="11"/>
      <c r="AP149" s="10"/>
      <c r="AQ149" s="11"/>
      <c r="AR149" s="10"/>
      <c r="AS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</row>
    <row r="150" spans="1:56" s="193" customFormat="1" ht="33" customHeight="1" x14ac:dyDescent="0.25">
      <c r="A150" s="271"/>
      <c r="B150" s="259"/>
      <c r="C150" s="44"/>
      <c r="D150" s="44"/>
      <c r="E150" s="44"/>
      <c r="F150" s="44"/>
      <c r="G150" s="43"/>
      <c r="H150" s="116"/>
      <c r="I150" s="44"/>
      <c r="J150" s="44"/>
      <c r="K150" s="44"/>
      <c r="L150" s="189"/>
      <c r="M150" s="188"/>
      <c r="N150" s="48"/>
      <c r="O150" s="48"/>
      <c r="P150" s="151"/>
      <c r="Q150" s="44"/>
      <c r="R150" s="44"/>
      <c r="S150" s="44"/>
      <c r="T150" s="151"/>
      <c r="U150" s="6" t="s">
        <v>124</v>
      </c>
      <c r="V150" s="10">
        <v>41631</v>
      </c>
      <c r="W150" s="122">
        <v>11513</v>
      </c>
      <c r="X150" s="6" t="s">
        <v>513</v>
      </c>
      <c r="Y150" s="123">
        <v>41640</v>
      </c>
      <c r="Z150" s="123">
        <v>42004</v>
      </c>
      <c r="AA150" s="23"/>
      <c r="AB150" s="23">
        <f>AD150/AE149</f>
        <v>5.1445369916707499E-2</v>
      </c>
      <c r="AC150" s="24">
        <f>(2100+168)*12-AE149</f>
        <v>7622.4000000000015</v>
      </c>
      <c r="AD150" s="24">
        <v>1008</v>
      </c>
      <c r="AE150" s="25">
        <f>AE149+AC150-AD150</f>
        <v>26208</v>
      </c>
      <c r="AF150" s="190"/>
      <c r="AG150" s="191"/>
      <c r="AH150" s="12">
        <f t="shared" si="2"/>
        <v>0</v>
      </c>
      <c r="AI150" s="21"/>
      <c r="AJ150" s="11"/>
      <c r="AK150" s="21"/>
      <c r="AL150" s="27"/>
      <c r="AM150" s="21"/>
      <c r="AN150" s="21"/>
      <c r="AO150" s="11"/>
      <c r="AP150" s="10"/>
      <c r="AQ150" s="11"/>
      <c r="AR150" s="10"/>
      <c r="AS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</row>
    <row r="151" spans="1:56" s="193" customFormat="1" ht="33" customHeight="1" x14ac:dyDescent="0.25">
      <c r="A151" s="271"/>
      <c r="B151" s="259"/>
      <c r="C151" s="44"/>
      <c r="D151" s="44"/>
      <c r="E151" s="44"/>
      <c r="F151" s="44"/>
      <c r="G151" s="43"/>
      <c r="H151" s="116"/>
      <c r="I151" s="44"/>
      <c r="J151" s="44"/>
      <c r="K151" s="44"/>
      <c r="L151" s="189"/>
      <c r="M151" s="188"/>
      <c r="N151" s="48"/>
      <c r="O151" s="48"/>
      <c r="P151" s="151"/>
      <c r="Q151" s="44"/>
      <c r="R151" s="44"/>
      <c r="S151" s="44"/>
      <c r="T151" s="151"/>
      <c r="U151" s="6" t="s">
        <v>143</v>
      </c>
      <c r="V151" s="10">
        <v>42003</v>
      </c>
      <c r="W151" s="122">
        <v>11490</v>
      </c>
      <c r="X151" s="6" t="s">
        <v>477</v>
      </c>
      <c r="Y151" s="123">
        <v>42005</v>
      </c>
      <c r="Z151" s="123">
        <v>42369</v>
      </c>
      <c r="AA151" s="23"/>
      <c r="AB151" s="23"/>
      <c r="AC151" s="24"/>
      <c r="AD151" s="24"/>
      <c r="AE151" s="25"/>
      <c r="AF151" s="190"/>
      <c r="AG151" s="191"/>
      <c r="AH151" s="12">
        <f t="shared" si="2"/>
        <v>0</v>
      </c>
      <c r="AI151" s="21"/>
      <c r="AJ151" s="11"/>
      <c r="AK151" s="21"/>
      <c r="AL151" s="27"/>
      <c r="AM151" s="21"/>
      <c r="AN151" s="21"/>
      <c r="AO151" s="11"/>
      <c r="AP151" s="10"/>
      <c r="AQ151" s="11"/>
      <c r="AR151" s="10"/>
      <c r="AS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</row>
    <row r="152" spans="1:56" s="193" customFormat="1" x14ac:dyDescent="0.25">
      <c r="A152" s="271"/>
      <c r="B152" s="259"/>
      <c r="C152" s="44"/>
      <c r="D152" s="44"/>
      <c r="E152" s="44"/>
      <c r="F152" s="44"/>
      <c r="G152" s="43"/>
      <c r="H152" s="116"/>
      <c r="I152" s="44"/>
      <c r="J152" s="44"/>
      <c r="K152" s="44"/>
      <c r="L152" s="189"/>
      <c r="M152" s="188"/>
      <c r="N152" s="48"/>
      <c r="O152" s="48"/>
      <c r="P152" s="151"/>
      <c r="Q152" s="44"/>
      <c r="R152" s="44"/>
      <c r="S152" s="44"/>
      <c r="T152" s="151"/>
      <c r="U152" s="6" t="s">
        <v>126</v>
      </c>
      <c r="V152" s="10">
        <v>42370</v>
      </c>
      <c r="W152" s="122"/>
      <c r="X152" s="6" t="s">
        <v>506</v>
      </c>
      <c r="Y152" s="123">
        <v>42370</v>
      </c>
      <c r="Z152" s="123">
        <v>42460</v>
      </c>
      <c r="AA152" s="23"/>
      <c r="AB152" s="23"/>
      <c r="AC152" s="24"/>
      <c r="AD152" s="24"/>
      <c r="AE152" s="25"/>
      <c r="AF152" s="190"/>
      <c r="AG152" s="191"/>
      <c r="AH152" s="12">
        <f t="shared" si="2"/>
        <v>0</v>
      </c>
      <c r="AI152" s="21"/>
      <c r="AJ152" s="11"/>
      <c r="AK152" s="21"/>
      <c r="AL152" s="27"/>
      <c r="AM152" s="21"/>
      <c r="AN152" s="21"/>
      <c r="AO152" s="11"/>
      <c r="AP152" s="10"/>
      <c r="AQ152" s="11"/>
      <c r="AR152" s="10"/>
      <c r="AS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</row>
    <row r="153" spans="1:56" s="193" customFormat="1" ht="22.5" customHeight="1" x14ac:dyDescent="0.25">
      <c r="A153" s="271">
        <v>25</v>
      </c>
      <c r="B153" s="255" t="s">
        <v>166</v>
      </c>
      <c r="C153" s="44" t="s">
        <v>376</v>
      </c>
      <c r="D153" s="44" t="s">
        <v>134</v>
      </c>
      <c r="E153" s="44" t="s">
        <v>123</v>
      </c>
      <c r="F153" s="44" t="s">
        <v>179</v>
      </c>
      <c r="G153" s="118">
        <v>10828</v>
      </c>
      <c r="H153" s="116" t="s">
        <v>191</v>
      </c>
      <c r="I153" s="44" t="s">
        <v>201</v>
      </c>
      <c r="J153" s="44" t="s">
        <v>375</v>
      </c>
      <c r="K153" s="45">
        <v>41435</v>
      </c>
      <c r="L153" s="130">
        <v>50687.34</v>
      </c>
      <c r="M153" s="118">
        <v>11073</v>
      </c>
      <c r="N153" s="45">
        <v>41435</v>
      </c>
      <c r="O153" s="45">
        <v>41639</v>
      </c>
      <c r="P153" s="116" t="s">
        <v>157</v>
      </c>
      <c r="Q153" s="44"/>
      <c r="R153" s="44"/>
      <c r="S153" s="44"/>
      <c r="T153" s="44" t="s">
        <v>160</v>
      </c>
      <c r="U153" s="21"/>
      <c r="V153" s="21"/>
      <c r="W153" s="11"/>
      <c r="X153" s="6"/>
      <c r="Y153" s="21"/>
      <c r="Z153" s="21"/>
      <c r="AA153" s="23"/>
      <c r="AB153" s="21"/>
      <c r="AC153" s="24"/>
      <c r="AD153" s="24"/>
      <c r="AE153" s="25">
        <f>L153</f>
        <v>50687.34</v>
      </c>
      <c r="AF153" s="82">
        <f>50687.34+86883.26+97426.8</f>
        <v>234997.39999999997</v>
      </c>
      <c r="AG153" s="12">
        <f>8777.19+877.15+8777.17+8777.17</f>
        <v>27208.68</v>
      </c>
      <c r="AH153" s="12">
        <f t="shared" si="2"/>
        <v>262206.07999999996</v>
      </c>
      <c r="AI153" s="21"/>
      <c r="AJ153" s="11"/>
      <c r="AK153" s="21"/>
      <c r="AL153" s="27"/>
      <c r="AM153" s="21"/>
      <c r="AN153" s="21"/>
      <c r="AO153" s="11"/>
      <c r="AP153" s="10"/>
      <c r="AQ153" s="11"/>
      <c r="AR153" s="10"/>
      <c r="AS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</row>
    <row r="154" spans="1:56" s="193" customFormat="1" ht="29.25" customHeight="1" x14ac:dyDescent="0.25">
      <c r="A154" s="271"/>
      <c r="B154" s="255"/>
      <c r="C154" s="44"/>
      <c r="D154" s="44"/>
      <c r="E154" s="44"/>
      <c r="F154" s="44"/>
      <c r="G154" s="118"/>
      <c r="H154" s="116"/>
      <c r="I154" s="44"/>
      <c r="J154" s="44"/>
      <c r="K154" s="45"/>
      <c r="L154" s="130"/>
      <c r="M154" s="118"/>
      <c r="N154" s="45"/>
      <c r="O154" s="45"/>
      <c r="P154" s="116"/>
      <c r="Q154" s="44"/>
      <c r="R154" s="44"/>
      <c r="S154" s="44"/>
      <c r="T154" s="44"/>
      <c r="U154" s="21" t="s">
        <v>240</v>
      </c>
      <c r="V154" s="10">
        <v>41627</v>
      </c>
      <c r="W154" s="11">
        <v>11227</v>
      </c>
      <c r="X154" s="6" t="s">
        <v>512</v>
      </c>
      <c r="Y154" s="10">
        <v>41640</v>
      </c>
      <c r="Z154" s="10">
        <v>42004</v>
      </c>
      <c r="AA154" s="23"/>
      <c r="AB154" s="21"/>
      <c r="AC154" s="24"/>
      <c r="AD154" s="24"/>
      <c r="AE154" s="25">
        <f>(7565.26*5)+2269.48+AE153</f>
        <v>90783.12</v>
      </c>
      <c r="AF154" s="119"/>
      <c r="AG154" s="13"/>
      <c r="AH154" s="12">
        <f t="shared" si="2"/>
        <v>0</v>
      </c>
      <c r="AI154" s="21"/>
      <c r="AJ154" s="11"/>
      <c r="AK154" s="21"/>
      <c r="AL154" s="27"/>
      <c r="AM154" s="21"/>
      <c r="AN154" s="21"/>
      <c r="AO154" s="11"/>
      <c r="AP154" s="10"/>
      <c r="AQ154" s="11"/>
      <c r="AR154" s="10"/>
      <c r="AS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</row>
    <row r="155" spans="1:56" s="193" customFormat="1" ht="29.25" customHeight="1" x14ac:dyDescent="0.25">
      <c r="A155" s="271"/>
      <c r="B155" s="255"/>
      <c r="C155" s="44"/>
      <c r="D155" s="44"/>
      <c r="E155" s="44"/>
      <c r="F155" s="44"/>
      <c r="G155" s="118"/>
      <c r="H155" s="116"/>
      <c r="I155" s="44"/>
      <c r="J155" s="44"/>
      <c r="K155" s="45"/>
      <c r="L155" s="130"/>
      <c r="M155" s="118"/>
      <c r="N155" s="45"/>
      <c r="O155" s="45"/>
      <c r="P155" s="116"/>
      <c r="Q155" s="44"/>
      <c r="R155" s="44"/>
      <c r="S155" s="44"/>
      <c r="T155" s="44"/>
      <c r="U155" s="21" t="s">
        <v>377</v>
      </c>
      <c r="V155" s="10">
        <v>41635</v>
      </c>
      <c r="W155" s="11">
        <v>11302</v>
      </c>
      <c r="X155" s="6" t="s">
        <v>605</v>
      </c>
      <c r="Y155" s="10">
        <v>41640</v>
      </c>
      <c r="Z155" s="10">
        <v>42004</v>
      </c>
      <c r="AA155" s="23">
        <f>AC155/AE154</f>
        <v>0.14358627462902798</v>
      </c>
      <c r="AB155" s="21"/>
      <c r="AC155" s="24">
        <f>697.07*18+487.95</f>
        <v>13035.210000000001</v>
      </c>
      <c r="AD155" s="24"/>
      <c r="AE155" s="25">
        <f>AE154+AC155-AD155</f>
        <v>103818.33</v>
      </c>
      <c r="AF155" s="119"/>
      <c r="AG155" s="13"/>
      <c r="AH155" s="12">
        <f t="shared" si="2"/>
        <v>0</v>
      </c>
      <c r="AI155" s="21"/>
      <c r="AJ155" s="11"/>
      <c r="AK155" s="21"/>
      <c r="AL155" s="27"/>
      <c r="AM155" s="21"/>
      <c r="AN155" s="21"/>
      <c r="AO155" s="11"/>
      <c r="AP155" s="10"/>
      <c r="AQ155" s="11"/>
      <c r="AR155" s="10"/>
      <c r="AS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</row>
    <row r="156" spans="1:56" s="193" customFormat="1" ht="29.25" customHeight="1" x14ac:dyDescent="0.25">
      <c r="A156" s="271"/>
      <c r="B156" s="255"/>
      <c r="C156" s="44"/>
      <c r="D156" s="44"/>
      <c r="E156" s="44"/>
      <c r="F156" s="44"/>
      <c r="G156" s="118"/>
      <c r="H156" s="116"/>
      <c r="I156" s="44"/>
      <c r="J156" s="44"/>
      <c r="K156" s="45"/>
      <c r="L156" s="130"/>
      <c r="M156" s="118"/>
      <c r="N156" s="45"/>
      <c r="O156" s="45"/>
      <c r="P156" s="116"/>
      <c r="Q156" s="44"/>
      <c r="R156" s="44"/>
      <c r="S156" s="44"/>
      <c r="T156" s="44"/>
      <c r="U156" s="21" t="s">
        <v>378</v>
      </c>
      <c r="V156" s="10">
        <v>41757</v>
      </c>
      <c r="W156" s="11">
        <v>11304</v>
      </c>
      <c r="X156" s="6" t="s">
        <v>605</v>
      </c>
      <c r="Y156" s="10">
        <v>41640</v>
      </c>
      <c r="Z156" s="10">
        <v>42004</v>
      </c>
      <c r="AA156" s="23">
        <f>AC156/AE155</f>
        <v>5.9508566550820069E-2</v>
      </c>
      <c r="AB156" s="21"/>
      <c r="AC156" s="24">
        <f>514.84*12</f>
        <v>6178.08</v>
      </c>
      <c r="AD156" s="24"/>
      <c r="AE156" s="25">
        <f>AE155+AC156-AD156</f>
        <v>109996.41</v>
      </c>
      <c r="AF156" s="119"/>
      <c r="AG156" s="13"/>
      <c r="AH156" s="12">
        <f t="shared" si="2"/>
        <v>0</v>
      </c>
      <c r="AI156" s="21"/>
      <c r="AJ156" s="11"/>
      <c r="AK156" s="21"/>
      <c r="AL156" s="27"/>
      <c r="AM156" s="21"/>
      <c r="AN156" s="21"/>
      <c r="AO156" s="11"/>
      <c r="AP156" s="10"/>
      <c r="AQ156" s="11"/>
      <c r="AR156" s="10"/>
      <c r="AS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</row>
    <row r="157" spans="1:56" s="193" customFormat="1" ht="29.25" customHeight="1" x14ac:dyDescent="0.25">
      <c r="A157" s="271"/>
      <c r="B157" s="255"/>
      <c r="C157" s="44"/>
      <c r="D157" s="44"/>
      <c r="E157" s="44"/>
      <c r="F157" s="44"/>
      <c r="G157" s="118"/>
      <c r="H157" s="116"/>
      <c r="I157" s="44"/>
      <c r="J157" s="44"/>
      <c r="K157" s="45"/>
      <c r="L157" s="130"/>
      <c r="M157" s="118"/>
      <c r="N157" s="45"/>
      <c r="O157" s="45"/>
      <c r="P157" s="116"/>
      <c r="Q157" s="44"/>
      <c r="R157" s="44"/>
      <c r="S157" s="44"/>
      <c r="T157" s="44"/>
      <c r="U157" s="21" t="s">
        <v>536</v>
      </c>
      <c r="V157" s="10">
        <v>41999</v>
      </c>
      <c r="W157" s="11">
        <v>11478</v>
      </c>
      <c r="X157" s="6" t="s">
        <v>512</v>
      </c>
      <c r="Y157" s="10">
        <v>42005</v>
      </c>
      <c r="Z157" s="10">
        <v>42369</v>
      </c>
      <c r="AA157" s="23"/>
      <c r="AB157" s="21"/>
      <c r="AC157" s="24">
        <f>8777.17*12</f>
        <v>105326.04000000001</v>
      </c>
      <c r="AD157" s="24"/>
      <c r="AE157" s="107">
        <f>8777.17*12</f>
        <v>105326.04000000001</v>
      </c>
      <c r="AF157" s="119"/>
      <c r="AG157" s="13"/>
      <c r="AH157" s="12">
        <f t="shared" si="2"/>
        <v>0</v>
      </c>
      <c r="AI157" s="21"/>
      <c r="AJ157" s="11"/>
      <c r="AK157" s="21"/>
      <c r="AL157" s="27"/>
      <c r="AM157" s="21"/>
      <c r="AN157" s="21"/>
      <c r="AO157" s="11"/>
      <c r="AP157" s="10"/>
      <c r="AQ157" s="11"/>
      <c r="AR157" s="10"/>
      <c r="AS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</row>
    <row r="158" spans="1:56" s="193" customFormat="1" ht="29.25" customHeight="1" x14ac:dyDescent="0.25">
      <c r="A158" s="271"/>
      <c r="B158" s="255"/>
      <c r="C158" s="44"/>
      <c r="D158" s="44"/>
      <c r="E158" s="44"/>
      <c r="F158" s="44"/>
      <c r="G158" s="118"/>
      <c r="H158" s="116"/>
      <c r="I158" s="44"/>
      <c r="J158" s="44"/>
      <c r="K158" s="45"/>
      <c r="L158" s="130"/>
      <c r="M158" s="118"/>
      <c r="N158" s="45"/>
      <c r="O158" s="45"/>
      <c r="P158" s="116"/>
      <c r="Q158" s="44"/>
      <c r="R158" s="44"/>
      <c r="S158" s="44"/>
      <c r="T158" s="44"/>
      <c r="U158" s="21" t="s">
        <v>676</v>
      </c>
      <c r="V158" s="10">
        <v>42368</v>
      </c>
      <c r="W158" s="11">
        <v>11731</v>
      </c>
      <c r="X158" s="6" t="s">
        <v>512</v>
      </c>
      <c r="Y158" s="10">
        <v>42370</v>
      </c>
      <c r="Z158" s="10">
        <v>42735</v>
      </c>
      <c r="AA158" s="23"/>
      <c r="AB158" s="21"/>
      <c r="AC158" s="24">
        <f>8777.17*12</f>
        <v>105326.04000000001</v>
      </c>
      <c r="AD158" s="24"/>
      <c r="AE158" s="107">
        <f>8777.17*12</f>
        <v>105326.04000000001</v>
      </c>
      <c r="AF158" s="92"/>
      <c r="AG158" s="14"/>
      <c r="AH158" s="12">
        <f t="shared" si="2"/>
        <v>0</v>
      </c>
      <c r="AI158" s="21"/>
      <c r="AJ158" s="11"/>
      <c r="AK158" s="21"/>
      <c r="AL158" s="27"/>
      <c r="AM158" s="21"/>
      <c r="AN158" s="21"/>
      <c r="AO158" s="11"/>
      <c r="AP158" s="10"/>
      <c r="AQ158" s="11"/>
      <c r="AR158" s="10"/>
      <c r="AS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</row>
    <row r="159" spans="1:56" s="193" customFormat="1" ht="45" customHeight="1" x14ac:dyDescent="0.25">
      <c r="A159" s="271">
        <v>26</v>
      </c>
      <c r="B159" s="259" t="s">
        <v>262</v>
      </c>
      <c r="C159" s="44" t="s">
        <v>396</v>
      </c>
      <c r="D159" s="44" t="s">
        <v>134</v>
      </c>
      <c r="E159" s="44" t="s">
        <v>123</v>
      </c>
      <c r="F159" s="44" t="s">
        <v>264</v>
      </c>
      <c r="G159" s="43">
        <v>11221</v>
      </c>
      <c r="H159" s="44" t="s">
        <v>720</v>
      </c>
      <c r="I159" s="44" t="s">
        <v>149</v>
      </c>
      <c r="J159" s="44" t="s">
        <v>422</v>
      </c>
      <c r="K159" s="45">
        <v>41661</v>
      </c>
      <c r="L159" s="46">
        <v>200000</v>
      </c>
      <c r="M159" s="47">
        <v>11235</v>
      </c>
      <c r="N159" s="48">
        <v>41661</v>
      </c>
      <c r="O159" s="48">
        <v>42004</v>
      </c>
      <c r="P159" s="15">
        <v>1</v>
      </c>
      <c r="Q159" s="44"/>
      <c r="R159" s="44"/>
      <c r="S159" s="44"/>
      <c r="T159" s="15" t="s">
        <v>204</v>
      </c>
      <c r="U159" s="21"/>
      <c r="V159" s="21"/>
      <c r="W159" s="11"/>
      <c r="X159" s="22"/>
      <c r="Y159" s="21"/>
      <c r="Z159" s="21"/>
      <c r="AA159" s="23"/>
      <c r="AB159" s="21"/>
      <c r="AC159" s="24"/>
      <c r="AD159" s="24"/>
      <c r="AE159" s="25">
        <f>L159-AD159+AC159</f>
        <v>200000</v>
      </c>
      <c r="AF159" s="107">
        <f>15860+21975+13410+8730+240760</f>
        <v>300735</v>
      </c>
      <c r="AG159" s="107">
        <f>50080+17905+10330+23950</f>
        <v>102265</v>
      </c>
      <c r="AH159" s="12">
        <f t="shared" si="2"/>
        <v>403000</v>
      </c>
      <c r="AI159" s="21"/>
      <c r="AJ159" s="11"/>
      <c r="AK159" s="21"/>
      <c r="AL159" s="27"/>
      <c r="AM159" s="21"/>
      <c r="AN159" s="21"/>
      <c r="AO159" s="11"/>
      <c r="AP159" s="10"/>
      <c r="AQ159" s="11"/>
      <c r="AR159" s="10"/>
      <c r="AS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</row>
    <row r="160" spans="1:56" s="193" customFormat="1" ht="29.25" customHeight="1" x14ac:dyDescent="0.25">
      <c r="A160" s="271"/>
      <c r="B160" s="259"/>
      <c r="C160" s="44"/>
      <c r="D160" s="44"/>
      <c r="E160" s="44"/>
      <c r="F160" s="44"/>
      <c r="G160" s="43"/>
      <c r="H160" s="44"/>
      <c r="I160" s="44"/>
      <c r="J160" s="44"/>
      <c r="K160" s="45"/>
      <c r="L160" s="46"/>
      <c r="M160" s="47"/>
      <c r="N160" s="48"/>
      <c r="O160" s="48"/>
      <c r="P160" s="28"/>
      <c r="Q160" s="44"/>
      <c r="R160" s="44"/>
      <c r="S160" s="44"/>
      <c r="T160" s="28"/>
      <c r="U160" s="21" t="s">
        <v>431</v>
      </c>
      <c r="V160" s="10">
        <v>42003</v>
      </c>
      <c r="W160" s="11">
        <v>11488</v>
      </c>
      <c r="X160" s="22" t="s">
        <v>590</v>
      </c>
      <c r="Y160" s="10">
        <v>42005</v>
      </c>
      <c r="Z160" s="10">
        <v>42348</v>
      </c>
      <c r="AA160" s="23"/>
      <c r="AB160" s="21"/>
      <c r="AC160" s="24"/>
      <c r="AD160" s="24"/>
      <c r="AE160" s="25"/>
      <c r="AF160" s="107"/>
      <c r="AG160" s="107"/>
      <c r="AH160" s="12">
        <f t="shared" ref="AH160:AH176" si="3">AF160+AG160</f>
        <v>0</v>
      </c>
      <c r="AI160" s="21"/>
      <c r="AJ160" s="11"/>
      <c r="AK160" s="21"/>
      <c r="AL160" s="27"/>
      <c r="AM160" s="21"/>
      <c r="AN160" s="21"/>
      <c r="AO160" s="11"/>
      <c r="AP160" s="10"/>
      <c r="AQ160" s="11"/>
      <c r="AR160" s="10"/>
      <c r="AS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</row>
    <row r="161" spans="1:56" s="193" customFormat="1" ht="29.25" customHeight="1" x14ac:dyDescent="0.25">
      <c r="A161" s="271"/>
      <c r="B161" s="259"/>
      <c r="C161" s="44"/>
      <c r="D161" s="44"/>
      <c r="E161" s="44"/>
      <c r="F161" s="44"/>
      <c r="G161" s="43"/>
      <c r="H161" s="44"/>
      <c r="I161" s="44"/>
      <c r="J161" s="44"/>
      <c r="K161" s="45"/>
      <c r="L161" s="46"/>
      <c r="M161" s="47"/>
      <c r="N161" s="48"/>
      <c r="O161" s="48"/>
      <c r="P161" s="28"/>
      <c r="Q161" s="44"/>
      <c r="R161" s="44"/>
      <c r="S161" s="44"/>
      <c r="T161" s="28"/>
      <c r="U161" s="21" t="s">
        <v>142</v>
      </c>
      <c r="V161" s="10">
        <v>42167</v>
      </c>
      <c r="W161" s="11">
        <v>11576</v>
      </c>
      <c r="X161" s="22" t="s">
        <v>163</v>
      </c>
      <c r="Y161" s="10">
        <v>42167</v>
      </c>
      <c r="Z161" s="10">
        <v>42348</v>
      </c>
      <c r="AA161" s="23">
        <f>AC161/AE159</f>
        <v>0.25</v>
      </c>
      <c r="AB161" s="21"/>
      <c r="AC161" s="24">
        <v>50000</v>
      </c>
      <c r="AD161" s="24"/>
      <c r="AE161" s="25">
        <f>AE159-AD161+AC161</f>
        <v>250000</v>
      </c>
      <c r="AF161" s="107"/>
      <c r="AG161" s="107"/>
      <c r="AH161" s="12">
        <f t="shared" si="3"/>
        <v>0</v>
      </c>
      <c r="AI161" s="21"/>
      <c r="AJ161" s="11"/>
      <c r="AK161" s="21"/>
      <c r="AL161" s="27"/>
      <c r="AM161" s="21"/>
      <c r="AN161" s="21"/>
      <c r="AO161" s="11"/>
      <c r="AP161" s="10"/>
      <c r="AQ161" s="11"/>
      <c r="AR161" s="10"/>
      <c r="AS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</row>
    <row r="162" spans="1:56" s="193" customFormat="1" ht="29.25" customHeight="1" x14ac:dyDescent="0.25">
      <c r="A162" s="271"/>
      <c r="B162" s="259"/>
      <c r="C162" s="44"/>
      <c r="D162" s="44"/>
      <c r="E162" s="44"/>
      <c r="F162" s="44"/>
      <c r="G162" s="43"/>
      <c r="H162" s="44"/>
      <c r="I162" s="44"/>
      <c r="J162" s="44"/>
      <c r="K162" s="45"/>
      <c r="L162" s="46"/>
      <c r="M162" s="47"/>
      <c r="N162" s="48"/>
      <c r="O162" s="48"/>
      <c r="P162" s="34"/>
      <c r="Q162" s="44"/>
      <c r="R162" s="44"/>
      <c r="S162" s="44"/>
      <c r="T162" s="28"/>
      <c r="U162" s="21" t="s">
        <v>125</v>
      </c>
      <c r="V162" s="10">
        <v>42339</v>
      </c>
      <c r="W162" s="11">
        <v>11741</v>
      </c>
      <c r="X162" s="22" t="s">
        <v>551</v>
      </c>
      <c r="Y162" s="10">
        <v>42349</v>
      </c>
      <c r="Z162" s="10">
        <v>42714</v>
      </c>
      <c r="AA162" s="23"/>
      <c r="AB162" s="21"/>
      <c r="AC162" s="24"/>
      <c r="AD162" s="24"/>
      <c r="AE162" s="25"/>
      <c r="AF162" s="107"/>
      <c r="AG162" s="107"/>
      <c r="AH162" s="12">
        <f t="shared" si="3"/>
        <v>0</v>
      </c>
      <c r="AI162" s="21"/>
      <c r="AJ162" s="11"/>
      <c r="AK162" s="21"/>
      <c r="AL162" s="27"/>
      <c r="AM162" s="21"/>
      <c r="AN162" s="21"/>
      <c r="AO162" s="11"/>
      <c r="AP162" s="10"/>
      <c r="AQ162" s="11"/>
      <c r="AR162" s="10"/>
      <c r="AS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</row>
    <row r="163" spans="1:56" s="193" customFormat="1" ht="29.25" customHeight="1" x14ac:dyDescent="0.25">
      <c r="A163" s="271"/>
      <c r="B163" s="259"/>
      <c r="C163" s="44"/>
      <c r="D163" s="44"/>
      <c r="E163" s="44"/>
      <c r="F163" s="44"/>
      <c r="G163" s="43"/>
      <c r="H163" s="44"/>
      <c r="I163" s="44"/>
      <c r="J163" s="44"/>
      <c r="K163" s="45"/>
      <c r="L163" s="46"/>
      <c r="M163" s="47"/>
      <c r="N163" s="48"/>
      <c r="O163" s="48"/>
      <c r="P163" s="15">
        <v>16</v>
      </c>
      <c r="Q163" s="44"/>
      <c r="R163" s="44"/>
      <c r="S163" s="44"/>
      <c r="T163" s="28"/>
      <c r="U163" s="21" t="s">
        <v>188</v>
      </c>
      <c r="V163" s="10">
        <v>42471</v>
      </c>
      <c r="W163" s="11"/>
      <c r="X163" s="192" t="s">
        <v>829</v>
      </c>
      <c r="Y163" s="10">
        <v>42349</v>
      </c>
      <c r="Z163" s="10">
        <v>42714</v>
      </c>
      <c r="AA163" s="23"/>
      <c r="AB163" s="21"/>
      <c r="AC163" s="24"/>
      <c r="AD163" s="24"/>
      <c r="AE163" s="25"/>
      <c r="AF163" s="107"/>
      <c r="AG163" s="107">
        <f>23640+8395</f>
        <v>32035</v>
      </c>
      <c r="AH163" s="12">
        <f t="shared" si="3"/>
        <v>32035</v>
      </c>
      <c r="AI163" s="21"/>
      <c r="AJ163" s="11"/>
      <c r="AK163" s="21"/>
      <c r="AL163" s="27"/>
      <c r="AM163" s="21"/>
      <c r="AN163" s="21"/>
      <c r="AO163" s="11"/>
      <c r="AP163" s="10"/>
      <c r="AQ163" s="11"/>
      <c r="AR163" s="10"/>
      <c r="AS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</row>
    <row r="164" spans="1:56" s="193" customFormat="1" ht="29.25" customHeight="1" x14ac:dyDescent="0.25">
      <c r="A164" s="271"/>
      <c r="B164" s="259"/>
      <c r="C164" s="44"/>
      <c r="D164" s="44"/>
      <c r="E164" s="44"/>
      <c r="F164" s="44"/>
      <c r="G164" s="43"/>
      <c r="H164" s="44"/>
      <c r="I164" s="44"/>
      <c r="J164" s="44"/>
      <c r="K164" s="45"/>
      <c r="L164" s="46"/>
      <c r="M164" s="47"/>
      <c r="N164" s="48"/>
      <c r="O164" s="48"/>
      <c r="P164" s="34"/>
      <c r="Q164" s="44"/>
      <c r="R164" s="44"/>
      <c r="S164" s="44"/>
      <c r="T164" s="28"/>
      <c r="U164" s="21"/>
      <c r="V164" s="21"/>
      <c r="W164" s="11"/>
      <c r="X164" s="22"/>
      <c r="Y164" s="21"/>
      <c r="Z164" s="21"/>
      <c r="AA164" s="23"/>
      <c r="AB164" s="21"/>
      <c r="AC164" s="24"/>
      <c r="AD164" s="24"/>
      <c r="AE164" s="25"/>
      <c r="AF164" s="107"/>
      <c r="AG164" s="107"/>
      <c r="AH164" s="12">
        <f t="shared" si="3"/>
        <v>0</v>
      </c>
      <c r="AI164" s="21"/>
      <c r="AJ164" s="11"/>
      <c r="AK164" s="21"/>
      <c r="AL164" s="27"/>
      <c r="AM164" s="21"/>
      <c r="AN164" s="21"/>
      <c r="AO164" s="11"/>
      <c r="AP164" s="10"/>
      <c r="AQ164" s="11"/>
      <c r="AR164" s="10"/>
      <c r="AS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</row>
    <row r="165" spans="1:56" ht="31.5" customHeight="1" x14ac:dyDescent="0.25">
      <c r="A165" s="270">
        <v>27</v>
      </c>
      <c r="B165" s="254" t="s">
        <v>454</v>
      </c>
      <c r="C165" s="16" t="s">
        <v>515</v>
      </c>
      <c r="D165" s="16" t="s">
        <v>134</v>
      </c>
      <c r="E165" s="16" t="s">
        <v>123</v>
      </c>
      <c r="F165" s="16" t="s">
        <v>516</v>
      </c>
      <c r="G165" s="15">
        <v>11370</v>
      </c>
      <c r="H165" s="16" t="s">
        <v>517</v>
      </c>
      <c r="I165" s="16" t="s">
        <v>518</v>
      </c>
      <c r="J165" s="16" t="s">
        <v>463</v>
      </c>
      <c r="K165" s="17">
        <v>41876</v>
      </c>
      <c r="L165" s="18">
        <v>35048.199999999997</v>
      </c>
      <c r="M165" s="19">
        <v>11390</v>
      </c>
      <c r="N165" s="20">
        <v>41876</v>
      </c>
      <c r="O165" s="20">
        <v>42004</v>
      </c>
      <c r="P165" s="15">
        <v>1</v>
      </c>
      <c r="Q165" s="21"/>
      <c r="R165" s="21"/>
      <c r="S165" s="21"/>
      <c r="T165" s="15" t="s">
        <v>159</v>
      </c>
      <c r="U165" s="21"/>
      <c r="V165" s="10"/>
      <c r="W165" s="11"/>
      <c r="X165" s="22"/>
      <c r="Y165" s="10"/>
      <c r="Z165" s="10"/>
      <c r="AA165" s="23"/>
      <c r="AB165" s="21"/>
      <c r="AC165" s="24"/>
      <c r="AD165" s="24"/>
      <c r="AE165" s="25">
        <f>L165-AD165+AC165</f>
        <v>35048.199999999997</v>
      </c>
      <c r="AF165" s="26">
        <f>8390.09+59807.48</f>
        <v>68197.570000000007</v>
      </c>
      <c r="AG165" s="26">
        <v>5884.09</v>
      </c>
      <c r="AH165" s="12">
        <f t="shared" si="3"/>
        <v>74081.66</v>
      </c>
      <c r="AI165" s="21"/>
      <c r="AJ165" s="11"/>
      <c r="AK165" s="21"/>
      <c r="AL165" s="27"/>
      <c r="AM165" s="21"/>
      <c r="AN165" s="21"/>
      <c r="AO165" s="11"/>
      <c r="AP165" s="10"/>
      <c r="AQ165" s="11"/>
      <c r="AR165" s="10"/>
      <c r="AS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</row>
    <row r="166" spans="1:56" ht="31.5" customHeight="1" x14ac:dyDescent="0.25">
      <c r="A166" s="268"/>
      <c r="B166" s="252"/>
      <c r="C166" s="29"/>
      <c r="D166" s="29"/>
      <c r="E166" s="29"/>
      <c r="F166" s="29"/>
      <c r="G166" s="28"/>
      <c r="H166" s="29"/>
      <c r="I166" s="29"/>
      <c r="J166" s="29"/>
      <c r="K166" s="30"/>
      <c r="L166" s="31"/>
      <c r="M166" s="32"/>
      <c r="N166" s="33"/>
      <c r="O166" s="33"/>
      <c r="P166" s="28"/>
      <c r="Q166" s="21"/>
      <c r="R166" s="21"/>
      <c r="S166" s="21"/>
      <c r="T166" s="28"/>
      <c r="U166" s="21" t="s">
        <v>240</v>
      </c>
      <c r="V166" s="10">
        <v>42003</v>
      </c>
      <c r="W166" s="11">
        <v>11487</v>
      </c>
      <c r="X166" s="22" t="s">
        <v>777</v>
      </c>
      <c r="Y166" s="10">
        <v>42005</v>
      </c>
      <c r="Z166" s="10">
        <v>42131</v>
      </c>
      <c r="AA166" s="23"/>
      <c r="AB166" s="21"/>
      <c r="AC166" s="24"/>
      <c r="AD166" s="24"/>
      <c r="AE166" s="25">
        <f>(7009.64*4)+1635.55</f>
        <v>29674.11</v>
      </c>
      <c r="AF166" s="26"/>
      <c r="AG166" s="26"/>
      <c r="AH166" s="12">
        <f t="shared" si="3"/>
        <v>0</v>
      </c>
      <c r="AI166" s="21"/>
      <c r="AJ166" s="11"/>
      <c r="AK166" s="21"/>
      <c r="AL166" s="27"/>
      <c r="AM166" s="21"/>
      <c r="AN166" s="21"/>
      <c r="AO166" s="11"/>
      <c r="AP166" s="10"/>
      <c r="AQ166" s="11"/>
      <c r="AR166" s="10"/>
      <c r="AS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</row>
    <row r="167" spans="1:56" ht="31.5" customHeight="1" x14ac:dyDescent="0.25">
      <c r="A167" s="268"/>
      <c r="B167" s="252"/>
      <c r="C167" s="29"/>
      <c r="D167" s="29"/>
      <c r="E167" s="29"/>
      <c r="F167" s="29"/>
      <c r="G167" s="28"/>
      <c r="H167" s="29"/>
      <c r="I167" s="29"/>
      <c r="J167" s="29"/>
      <c r="K167" s="30"/>
      <c r="L167" s="31"/>
      <c r="M167" s="32"/>
      <c r="N167" s="33"/>
      <c r="O167" s="33"/>
      <c r="P167" s="28"/>
      <c r="Q167" s="21"/>
      <c r="R167" s="21"/>
      <c r="S167" s="21"/>
      <c r="T167" s="28"/>
      <c r="U167" s="21"/>
      <c r="V167" s="10"/>
      <c r="W167" s="11"/>
      <c r="X167" s="22"/>
      <c r="Y167" s="10"/>
      <c r="Z167" s="10"/>
      <c r="AA167" s="23"/>
      <c r="AB167" s="21"/>
      <c r="AC167" s="24"/>
      <c r="AD167" s="24"/>
      <c r="AE167" s="25"/>
      <c r="AF167" s="26"/>
      <c r="AG167" s="26"/>
      <c r="AH167" s="12">
        <f t="shared" si="3"/>
        <v>0</v>
      </c>
      <c r="AI167" s="21"/>
      <c r="AJ167" s="11"/>
      <c r="AK167" s="21"/>
      <c r="AL167" s="27"/>
      <c r="AM167" s="21"/>
      <c r="AN167" s="21"/>
      <c r="AO167" s="11"/>
      <c r="AP167" s="10"/>
      <c r="AQ167" s="11"/>
      <c r="AR167" s="10"/>
      <c r="AS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</row>
    <row r="168" spans="1:56" ht="45" customHeight="1" x14ac:dyDescent="0.25">
      <c r="A168" s="269"/>
      <c r="B168" s="253"/>
      <c r="C168" s="35"/>
      <c r="D168" s="35"/>
      <c r="E168" s="35"/>
      <c r="F168" s="35"/>
      <c r="G168" s="34"/>
      <c r="H168" s="35"/>
      <c r="I168" s="35"/>
      <c r="J168" s="35"/>
      <c r="K168" s="36"/>
      <c r="L168" s="37"/>
      <c r="M168" s="38"/>
      <c r="N168" s="39"/>
      <c r="O168" s="39"/>
      <c r="P168" s="34"/>
      <c r="Q168" s="21"/>
      <c r="R168" s="21"/>
      <c r="S168" s="21"/>
      <c r="T168" s="34"/>
      <c r="U168" s="21"/>
      <c r="V168" s="10"/>
      <c r="W168" s="11"/>
      <c r="X168" s="22"/>
      <c r="Y168" s="10"/>
      <c r="Z168" s="10"/>
      <c r="AA168" s="23"/>
      <c r="AB168" s="21"/>
      <c r="AC168" s="24"/>
      <c r="AD168" s="24"/>
      <c r="AE168" s="25"/>
      <c r="AF168" s="26"/>
      <c r="AG168" s="26"/>
      <c r="AH168" s="12">
        <f t="shared" si="3"/>
        <v>0</v>
      </c>
      <c r="AI168" s="21"/>
      <c r="AJ168" s="11"/>
      <c r="AK168" s="21"/>
      <c r="AL168" s="27"/>
      <c r="AM168" s="21"/>
      <c r="AN168" s="21"/>
      <c r="AO168" s="11"/>
      <c r="AP168" s="10"/>
      <c r="AQ168" s="11"/>
      <c r="AR168" s="10"/>
      <c r="AS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</row>
    <row r="169" spans="1:56" ht="45" customHeight="1" x14ac:dyDescent="0.25">
      <c r="A169" s="270">
        <v>28</v>
      </c>
      <c r="B169" s="254" t="s">
        <v>263</v>
      </c>
      <c r="C169" s="16" t="s">
        <v>392</v>
      </c>
      <c r="D169" s="16" t="s">
        <v>134</v>
      </c>
      <c r="E169" s="16" t="s">
        <v>123</v>
      </c>
      <c r="F169" s="16" t="s">
        <v>266</v>
      </c>
      <c r="G169" s="15">
        <v>11298</v>
      </c>
      <c r="H169" s="16" t="s">
        <v>268</v>
      </c>
      <c r="I169" s="16" t="s">
        <v>146</v>
      </c>
      <c r="J169" s="16" t="s">
        <v>470</v>
      </c>
      <c r="K169" s="17">
        <v>41743</v>
      </c>
      <c r="L169" s="18">
        <v>102718.23</v>
      </c>
      <c r="M169" s="40">
        <v>11301</v>
      </c>
      <c r="N169" s="20">
        <v>41743</v>
      </c>
      <c r="O169" s="20">
        <v>42004</v>
      </c>
      <c r="P169" s="15">
        <v>1</v>
      </c>
      <c r="Q169" s="21"/>
      <c r="R169" s="21"/>
      <c r="S169" s="21"/>
      <c r="T169" s="15" t="s">
        <v>159</v>
      </c>
      <c r="U169" s="21"/>
      <c r="V169" s="21"/>
      <c r="W169" s="11"/>
      <c r="X169" s="22"/>
      <c r="Y169" s="21"/>
      <c r="Z169" s="21"/>
      <c r="AA169" s="23"/>
      <c r="AB169" s="21"/>
      <c r="AC169" s="24"/>
      <c r="AD169" s="24"/>
      <c r="AE169" s="25">
        <f>L169-AD169+AC169</f>
        <v>102718.23</v>
      </c>
      <c r="AF169" s="26">
        <f>59760.79+31300+68562.56</f>
        <v>159623.35</v>
      </c>
      <c r="AG169" s="26">
        <f>4110.71</f>
        <v>4110.71</v>
      </c>
      <c r="AH169" s="12">
        <f t="shared" si="3"/>
        <v>163734.06</v>
      </c>
      <c r="AI169" s="21"/>
      <c r="AJ169" s="11"/>
      <c r="AK169" s="21"/>
      <c r="AL169" s="27"/>
      <c r="AM169" s="21"/>
      <c r="AN169" s="21"/>
      <c r="AO169" s="11"/>
      <c r="AP169" s="10"/>
      <c r="AQ169" s="11"/>
      <c r="AR169" s="10"/>
      <c r="AS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</row>
    <row r="170" spans="1:56" ht="45" customHeight="1" x14ac:dyDescent="0.25">
      <c r="A170" s="268"/>
      <c r="B170" s="252"/>
      <c r="C170" s="29"/>
      <c r="D170" s="29"/>
      <c r="E170" s="29"/>
      <c r="F170" s="29"/>
      <c r="G170" s="28"/>
      <c r="H170" s="29"/>
      <c r="I170" s="29"/>
      <c r="J170" s="29"/>
      <c r="K170" s="30"/>
      <c r="L170" s="31"/>
      <c r="M170" s="41"/>
      <c r="N170" s="33"/>
      <c r="O170" s="33"/>
      <c r="P170" s="28"/>
      <c r="Q170" s="21"/>
      <c r="R170" s="21"/>
      <c r="S170" s="21"/>
      <c r="T170" s="28"/>
      <c r="U170" s="21" t="s">
        <v>141</v>
      </c>
      <c r="V170" s="10">
        <v>41989</v>
      </c>
      <c r="W170" s="11">
        <v>11569</v>
      </c>
      <c r="X170" s="22" t="s">
        <v>163</v>
      </c>
      <c r="Y170" s="10">
        <v>42005</v>
      </c>
      <c r="Z170" s="10">
        <v>42264</v>
      </c>
      <c r="AA170" s="23">
        <f>AC170/AE169</f>
        <v>2.8335768636200215E-2</v>
      </c>
      <c r="AB170" s="21"/>
      <c r="AC170" s="24">
        <v>2910.6</v>
      </c>
      <c r="AD170" s="24"/>
      <c r="AE170" s="25">
        <f>AE169-AD170+AC170</f>
        <v>105628.83</v>
      </c>
      <c r="AF170" s="26"/>
      <c r="AG170" s="26"/>
      <c r="AH170" s="12">
        <f t="shared" si="3"/>
        <v>0</v>
      </c>
      <c r="AI170" s="21"/>
      <c r="AJ170" s="11"/>
      <c r="AK170" s="21"/>
      <c r="AL170" s="27"/>
      <c r="AM170" s="21"/>
      <c r="AN170" s="21"/>
      <c r="AO170" s="11"/>
      <c r="AP170" s="10"/>
      <c r="AQ170" s="11"/>
      <c r="AR170" s="10"/>
      <c r="AS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</row>
    <row r="171" spans="1:56" ht="45" customHeight="1" x14ac:dyDescent="0.25">
      <c r="A171" s="268"/>
      <c r="B171" s="252"/>
      <c r="C171" s="29"/>
      <c r="D171" s="29"/>
      <c r="E171" s="29"/>
      <c r="F171" s="29"/>
      <c r="G171" s="28"/>
      <c r="H171" s="29"/>
      <c r="I171" s="29"/>
      <c r="J171" s="29"/>
      <c r="K171" s="30"/>
      <c r="L171" s="31"/>
      <c r="M171" s="41"/>
      <c r="N171" s="33"/>
      <c r="O171" s="33"/>
      <c r="P171" s="28"/>
      <c r="Q171" s="21"/>
      <c r="R171" s="21"/>
      <c r="S171" s="21"/>
      <c r="T171" s="28"/>
      <c r="U171" s="21" t="s">
        <v>124</v>
      </c>
      <c r="V171" s="10">
        <v>42003</v>
      </c>
      <c r="W171" s="11">
        <v>11542</v>
      </c>
      <c r="X171" s="22" t="s">
        <v>162</v>
      </c>
      <c r="Y171" s="10">
        <v>42005</v>
      </c>
      <c r="Z171" s="10">
        <v>42264</v>
      </c>
      <c r="AA171" s="23"/>
      <c r="AB171" s="21"/>
      <c r="AC171" s="24"/>
      <c r="AD171" s="24"/>
      <c r="AE171" s="25">
        <f>AE170</f>
        <v>105628.83</v>
      </c>
      <c r="AF171" s="26"/>
      <c r="AG171" s="26"/>
      <c r="AH171" s="12">
        <f t="shared" si="3"/>
        <v>0</v>
      </c>
      <c r="AI171" s="21"/>
      <c r="AJ171" s="11"/>
      <c r="AK171" s="21"/>
      <c r="AL171" s="27"/>
      <c r="AM171" s="21"/>
      <c r="AN171" s="21"/>
      <c r="AO171" s="11"/>
      <c r="AP171" s="10"/>
      <c r="AQ171" s="11"/>
      <c r="AR171" s="10"/>
      <c r="AS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</row>
    <row r="172" spans="1:56" ht="45" customHeight="1" x14ac:dyDescent="0.25">
      <c r="A172" s="269"/>
      <c r="B172" s="253"/>
      <c r="C172" s="35"/>
      <c r="D172" s="35"/>
      <c r="E172" s="35"/>
      <c r="F172" s="35"/>
      <c r="G172" s="34"/>
      <c r="H172" s="35"/>
      <c r="I172" s="35"/>
      <c r="J172" s="35"/>
      <c r="K172" s="36"/>
      <c r="L172" s="37"/>
      <c r="M172" s="42"/>
      <c r="N172" s="39"/>
      <c r="O172" s="39"/>
      <c r="P172" s="34"/>
      <c r="Q172" s="21"/>
      <c r="R172" s="21"/>
      <c r="S172" s="21"/>
      <c r="T172" s="34"/>
      <c r="U172" s="21" t="s">
        <v>143</v>
      </c>
      <c r="V172" s="10">
        <v>42262</v>
      </c>
      <c r="W172" s="11">
        <v>11666</v>
      </c>
      <c r="X172" s="22" t="s">
        <v>754</v>
      </c>
      <c r="Y172" s="10">
        <v>42265</v>
      </c>
      <c r="Z172" s="10">
        <v>42369</v>
      </c>
      <c r="AA172" s="23"/>
      <c r="AB172" s="21"/>
      <c r="AC172" s="24"/>
      <c r="AD172" s="24"/>
      <c r="AE172" s="25">
        <f>(12428.8*3)+(414.29*13)+AE170+AE171</f>
        <v>253929.83000000002</v>
      </c>
      <c r="AF172" s="26"/>
      <c r="AG172" s="26"/>
      <c r="AH172" s="12">
        <f t="shared" si="3"/>
        <v>0</v>
      </c>
      <c r="AI172" s="21"/>
      <c r="AJ172" s="11"/>
      <c r="AK172" s="21"/>
      <c r="AL172" s="27"/>
      <c r="AM172" s="21"/>
      <c r="AN172" s="21"/>
      <c r="AO172" s="11"/>
      <c r="AP172" s="10"/>
      <c r="AQ172" s="11"/>
      <c r="AR172" s="10"/>
      <c r="AS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</row>
    <row r="173" spans="1:56" ht="45" customHeight="1" x14ac:dyDescent="0.25">
      <c r="A173" s="271">
        <v>29</v>
      </c>
      <c r="B173" s="259" t="s">
        <v>263</v>
      </c>
      <c r="C173" s="44" t="s">
        <v>392</v>
      </c>
      <c r="D173" s="44" t="s">
        <v>134</v>
      </c>
      <c r="E173" s="44" t="s">
        <v>123</v>
      </c>
      <c r="F173" s="44" t="s">
        <v>266</v>
      </c>
      <c r="G173" s="43">
        <v>11298</v>
      </c>
      <c r="H173" s="44" t="s">
        <v>269</v>
      </c>
      <c r="I173" s="44" t="s">
        <v>277</v>
      </c>
      <c r="J173" s="44" t="s">
        <v>465</v>
      </c>
      <c r="K173" s="45">
        <v>41743</v>
      </c>
      <c r="L173" s="46">
        <v>77459.8</v>
      </c>
      <c r="M173" s="47">
        <v>11301</v>
      </c>
      <c r="N173" s="48">
        <v>41743</v>
      </c>
      <c r="O173" s="48">
        <v>42004</v>
      </c>
      <c r="P173" s="15">
        <v>1</v>
      </c>
      <c r="Q173" s="16"/>
      <c r="R173" s="16"/>
      <c r="S173" s="16"/>
      <c r="T173" s="43" t="s">
        <v>159</v>
      </c>
      <c r="U173" s="21"/>
      <c r="V173" s="21"/>
      <c r="W173" s="11"/>
      <c r="X173" s="22"/>
      <c r="Y173" s="21"/>
      <c r="Z173" s="21"/>
      <c r="AA173" s="23"/>
      <c r="AB173" s="21"/>
      <c r="AC173" s="24"/>
      <c r="AD173" s="24"/>
      <c r="AE173" s="25"/>
      <c r="AF173" s="26">
        <f>71253.7+23525.64</f>
        <v>94779.34</v>
      </c>
      <c r="AG173" s="49">
        <f>9425.6</f>
        <v>9425.6</v>
      </c>
      <c r="AH173" s="12">
        <f t="shared" si="3"/>
        <v>104204.94</v>
      </c>
      <c r="AI173" s="21"/>
      <c r="AJ173" s="11"/>
      <c r="AK173" s="21"/>
      <c r="AL173" s="27"/>
      <c r="AM173" s="21"/>
      <c r="AN173" s="21"/>
      <c r="AO173" s="11"/>
      <c r="AP173" s="10"/>
      <c r="AQ173" s="11"/>
      <c r="AR173" s="10"/>
      <c r="AS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</row>
    <row r="174" spans="1:56" ht="45" customHeight="1" x14ac:dyDescent="0.25">
      <c r="A174" s="271"/>
      <c r="B174" s="259"/>
      <c r="C174" s="44"/>
      <c r="D174" s="44"/>
      <c r="E174" s="44"/>
      <c r="F174" s="44"/>
      <c r="G174" s="43"/>
      <c r="H174" s="44"/>
      <c r="I174" s="44"/>
      <c r="J174" s="44"/>
      <c r="K174" s="45"/>
      <c r="L174" s="46"/>
      <c r="M174" s="47"/>
      <c r="N174" s="48"/>
      <c r="O174" s="48"/>
      <c r="P174" s="34"/>
      <c r="Q174" s="29"/>
      <c r="R174" s="29"/>
      <c r="S174" s="29"/>
      <c r="T174" s="43"/>
      <c r="U174" s="21" t="s">
        <v>141</v>
      </c>
      <c r="V174" s="10">
        <v>41947</v>
      </c>
      <c r="W174" s="11">
        <v>11433</v>
      </c>
      <c r="X174" s="22" t="s">
        <v>344</v>
      </c>
      <c r="Y174" s="10">
        <v>41743</v>
      </c>
      <c r="Z174" s="10">
        <v>42004</v>
      </c>
      <c r="AA174" s="23">
        <f>AC174/L173</f>
        <v>0.25</v>
      </c>
      <c r="AB174" s="21"/>
      <c r="AC174" s="24">
        <v>19364.95</v>
      </c>
      <c r="AD174" s="24"/>
      <c r="AE174" s="25">
        <f>L173-AD174+AC174</f>
        <v>96824.75</v>
      </c>
      <c r="AF174" s="26"/>
      <c r="AG174" s="50"/>
      <c r="AH174" s="12">
        <f t="shared" si="3"/>
        <v>0</v>
      </c>
      <c r="AI174" s="21"/>
      <c r="AJ174" s="11"/>
      <c r="AK174" s="21"/>
      <c r="AL174" s="27"/>
      <c r="AM174" s="21"/>
      <c r="AN174" s="21"/>
      <c r="AO174" s="11"/>
      <c r="AP174" s="10"/>
      <c r="AQ174" s="11"/>
      <c r="AR174" s="10"/>
      <c r="AS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</row>
    <row r="175" spans="1:56" ht="25.5" customHeight="1" x14ac:dyDescent="0.25">
      <c r="A175" s="271"/>
      <c r="B175" s="259"/>
      <c r="C175" s="44"/>
      <c r="D175" s="44"/>
      <c r="E175" s="44"/>
      <c r="F175" s="44"/>
      <c r="G175" s="43"/>
      <c r="H175" s="44"/>
      <c r="I175" s="44"/>
      <c r="J175" s="44"/>
      <c r="K175" s="45"/>
      <c r="L175" s="46"/>
      <c r="M175" s="47"/>
      <c r="N175" s="48"/>
      <c r="O175" s="48"/>
      <c r="P175" s="27">
        <v>16</v>
      </c>
      <c r="Q175" s="35"/>
      <c r="R175" s="35"/>
      <c r="S175" s="35"/>
      <c r="T175" s="43"/>
      <c r="U175" s="21" t="s">
        <v>124</v>
      </c>
      <c r="V175" s="10">
        <v>42003</v>
      </c>
      <c r="W175" s="11">
        <v>11495</v>
      </c>
      <c r="X175" s="22" t="s">
        <v>598</v>
      </c>
      <c r="Y175" s="10">
        <v>42005</v>
      </c>
      <c r="Z175" s="10">
        <v>42264</v>
      </c>
      <c r="AA175" s="23"/>
      <c r="AB175" s="21"/>
      <c r="AC175" s="24"/>
      <c r="AD175" s="24"/>
      <c r="AE175" s="25"/>
      <c r="AF175" s="26">
        <f>11705.28+63480.32</f>
        <v>75185.600000000006</v>
      </c>
      <c r="AG175" s="26">
        <v>0</v>
      </c>
      <c r="AH175" s="12">
        <f t="shared" si="3"/>
        <v>75185.600000000006</v>
      </c>
      <c r="AI175" s="21"/>
      <c r="AJ175" s="11"/>
      <c r="AK175" s="21"/>
      <c r="AL175" s="27"/>
      <c r="AM175" s="21"/>
      <c r="AN175" s="21"/>
      <c r="AO175" s="11"/>
      <c r="AP175" s="10"/>
      <c r="AQ175" s="11"/>
      <c r="AR175" s="10"/>
      <c r="AS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</row>
    <row r="176" spans="1:56" s="193" customFormat="1" ht="25.5" customHeight="1" x14ac:dyDescent="0.25">
      <c r="A176" s="271">
        <v>30</v>
      </c>
      <c r="B176" s="259" t="s">
        <v>263</v>
      </c>
      <c r="C176" s="44" t="s">
        <v>392</v>
      </c>
      <c r="D176" s="44" t="s">
        <v>134</v>
      </c>
      <c r="E176" s="44" t="s">
        <v>123</v>
      </c>
      <c r="F176" s="44" t="s">
        <v>266</v>
      </c>
      <c r="G176" s="43">
        <v>11298</v>
      </c>
      <c r="H176" s="44" t="s">
        <v>270</v>
      </c>
      <c r="I176" s="44" t="s">
        <v>278</v>
      </c>
      <c r="J176" s="44" t="s">
        <v>474</v>
      </c>
      <c r="K176" s="45">
        <v>41743</v>
      </c>
      <c r="L176" s="46">
        <v>116294.89</v>
      </c>
      <c r="M176" s="47">
        <v>11301</v>
      </c>
      <c r="N176" s="48">
        <v>41743</v>
      </c>
      <c r="O176" s="48">
        <v>42004</v>
      </c>
      <c r="P176" s="27">
        <v>1</v>
      </c>
      <c r="Q176" s="16"/>
      <c r="R176" s="16"/>
      <c r="S176" s="16"/>
      <c r="T176" s="43" t="s">
        <v>159</v>
      </c>
      <c r="U176" s="21"/>
      <c r="V176" s="10"/>
      <c r="W176" s="11"/>
      <c r="X176" s="22"/>
      <c r="Y176" s="10"/>
      <c r="Z176" s="10"/>
      <c r="AA176" s="23"/>
      <c r="AB176" s="21"/>
      <c r="AC176" s="24"/>
      <c r="AD176" s="24"/>
      <c r="AE176" s="25">
        <f>L176</f>
        <v>116294.89</v>
      </c>
      <c r="AF176" s="59">
        <v>9893.93</v>
      </c>
      <c r="AG176" s="26">
        <v>11537.37</v>
      </c>
      <c r="AH176" s="12">
        <f t="shared" si="3"/>
        <v>21431.300000000003</v>
      </c>
      <c r="AI176" s="21"/>
      <c r="AJ176" s="11"/>
      <c r="AK176" s="21"/>
      <c r="AL176" s="27"/>
      <c r="AM176" s="21"/>
      <c r="AN176" s="21"/>
      <c r="AO176" s="11"/>
      <c r="AP176" s="10"/>
      <c r="AQ176" s="11"/>
      <c r="AR176" s="10"/>
      <c r="AS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</row>
    <row r="177" spans="1:56" s="193" customFormat="1" ht="25.5" customHeight="1" x14ac:dyDescent="0.25">
      <c r="A177" s="271"/>
      <c r="B177" s="259"/>
      <c r="C177" s="44"/>
      <c r="D177" s="44"/>
      <c r="E177" s="44"/>
      <c r="F177" s="44"/>
      <c r="G177" s="43"/>
      <c r="H177" s="44"/>
      <c r="I177" s="44"/>
      <c r="J177" s="44"/>
      <c r="K177" s="45"/>
      <c r="L177" s="46"/>
      <c r="M177" s="47"/>
      <c r="N177" s="48"/>
      <c r="O177" s="48"/>
      <c r="P177" s="27"/>
      <c r="Q177" s="29"/>
      <c r="R177" s="29"/>
      <c r="S177" s="29"/>
      <c r="T177" s="43"/>
      <c r="U177" s="21" t="s">
        <v>141</v>
      </c>
      <c r="V177" s="10">
        <v>42003</v>
      </c>
      <c r="W177" s="11">
        <v>1487</v>
      </c>
      <c r="X177" s="22" t="s">
        <v>598</v>
      </c>
      <c r="Y177" s="10">
        <v>42005</v>
      </c>
      <c r="Z177" s="10">
        <v>42264</v>
      </c>
      <c r="AA177" s="23"/>
      <c r="AB177" s="21"/>
      <c r="AC177" s="24"/>
      <c r="AD177" s="24"/>
      <c r="AE177" s="25">
        <f>(13808.74*8)+5824.97+AE176</f>
        <v>232589.78</v>
      </c>
      <c r="AF177" s="59"/>
      <c r="AG177" s="26"/>
      <c r="AH177" s="12">
        <f t="shared" ref="AH177:AH204" si="4">AF177+AG177</f>
        <v>0</v>
      </c>
      <c r="AI177" s="21"/>
      <c r="AJ177" s="11"/>
      <c r="AK177" s="21"/>
      <c r="AL177" s="27"/>
      <c r="AM177" s="21"/>
      <c r="AN177" s="21"/>
      <c r="AO177" s="11"/>
      <c r="AP177" s="10"/>
      <c r="AQ177" s="11"/>
      <c r="AR177" s="10"/>
      <c r="AS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</row>
    <row r="178" spans="1:56" s="193" customFormat="1" ht="25.5" customHeight="1" x14ac:dyDescent="0.25">
      <c r="A178" s="271"/>
      <c r="B178" s="259"/>
      <c r="C178" s="44"/>
      <c r="D178" s="44"/>
      <c r="E178" s="44"/>
      <c r="F178" s="44"/>
      <c r="G178" s="43"/>
      <c r="H178" s="44"/>
      <c r="I178" s="44"/>
      <c r="J178" s="44"/>
      <c r="K178" s="45"/>
      <c r="L178" s="46"/>
      <c r="M178" s="47"/>
      <c r="N178" s="48"/>
      <c r="O178" s="48"/>
      <c r="P178" s="27"/>
      <c r="Q178" s="29"/>
      <c r="R178" s="29"/>
      <c r="S178" s="29"/>
      <c r="T178" s="43"/>
      <c r="U178" s="21" t="s">
        <v>511</v>
      </c>
      <c r="V178" s="10"/>
      <c r="W178" s="11"/>
      <c r="X178" s="22"/>
      <c r="Y178" s="10"/>
      <c r="Z178" s="10"/>
      <c r="AA178" s="23">
        <f>AC178/AE176</f>
        <v>1.0673383843434565E-2</v>
      </c>
      <c r="AB178" s="21"/>
      <c r="AC178" s="24">
        <v>1241.26</v>
      </c>
      <c r="AD178" s="24"/>
      <c r="AE178" s="25">
        <f>AE177+AC178</f>
        <v>233831.04000000001</v>
      </c>
      <c r="AF178" s="59"/>
      <c r="AG178" s="26"/>
      <c r="AH178" s="12">
        <f t="shared" si="4"/>
        <v>0</v>
      </c>
      <c r="AI178" s="21"/>
      <c r="AJ178" s="11"/>
      <c r="AK178" s="21"/>
      <c r="AL178" s="27"/>
      <c r="AM178" s="21"/>
      <c r="AN178" s="21"/>
      <c r="AO178" s="11"/>
      <c r="AP178" s="10"/>
      <c r="AQ178" s="11"/>
      <c r="AR178" s="10"/>
      <c r="AS178" s="21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</row>
    <row r="179" spans="1:56" s="193" customFormat="1" ht="25.5" customHeight="1" x14ac:dyDescent="0.25">
      <c r="A179" s="271"/>
      <c r="B179" s="259"/>
      <c r="C179" s="44"/>
      <c r="D179" s="44"/>
      <c r="E179" s="44"/>
      <c r="F179" s="44"/>
      <c r="G179" s="43"/>
      <c r="H179" s="44"/>
      <c r="I179" s="44"/>
      <c r="J179" s="44"/>
      <c r="K179" s="45"/>
      <c r="L179" s="46"/>
      <c r="M179" s="47"/>
      <c r="N179" s="48"/>
      <c r="O179" s="48"/>
      <c r="P179" s="27"/>
      <c r="Q179" s="29"/>
      <c r="R179" s="29"/>
      <c r="S179" s="29"/>
      <c r="T179" s="43"/>
      <c r="U179" s="21" t="s">
        <v>597</v>
      </c>
      <c r="V179" s="10">
        <v>42262</v>
      </c>
      <c r="W179" s="11">
        <v>11659</v>
      </c>
      <c r="X179" s="22" t="s">
        <v>731</v>
      </c>
      <c r="Y179" s="10">
        <v>42265</v>
      </c>
      <c r="Z179" s="10">
        <v>42369</v>
      </c>
      <c r="AA179" s="23"/>
      <c r="AB179" s="21"/>
      <c r="AC179" s="24"/>
      <c r="AD179" s="24"/>
      <c r="AE179" s="25"/>
      <c r="AF179" s="59"/>
      <c r="AG179" s="26"/>
      <c r="AH179" s="12">
        <f t="shared" si="4"/>
        <v>0</v>
      </c>
      <c r="AI179" s="21"/>
      <c r="AJ179" s="11"/>
      <c r="AK179" s="21"/>
      <c r="AL179" s="27"/>
      <c r="AM179" s="21"/>
      <c r="AN179" s="21"/>
      <c r="AO179" s="11"/>
      <c r="AP179" s="10"/>
      <c r="AQ179" s="11"/>
      <c r="AR179" s="10"/>
      <c r="AS179" s="21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</row>
    <row r="180" spans="1:56" s="193" customFormat="1" ht="25.5" customHeight="1" x14ac:dyDescent="0.25">
      <c r="A180" s="271"/>
      <c r="B180" s="259"/>
      <c r="C180" s="44"/>
      <c r="D180" s="44"/>
      <c r="E180" s="44"/>
      <c r="F180" s="44"/>
      <c r="G180" s="43"/>
      <c r="H180" s="44"/>
      <c r="I180" s="44"/>
      <c r="J180" s="44"/>
      <c r="K180" s="45"/>
      <c r="L180" s="46"/>
      <c r="M180" s="47"/>
      <c r="N180" s="48"/>
      <c r="O180" s="48"/>
      <c r="P180" s="27"/>
      <c r="Q180" s="29"/>
      <c r="R180" s="29"/>
      <c r="S180" s="29"/>
      <c r="T180" s="43"/>
      <c r="U180" s="21"/>
      <c r="V180" s="10"/>
      <c r="W180" s="11"/>
      <c r="X180" s="22"/>
      <c r="Y180" s="10"/>
      <c r="Z180" s="10"/>
      <c r="AA180" s="23"/>
      <c r="AB180" s="21"/>
      <c r="AC180" s="24"/>
      <c r="AD180" s="24"/>
      <c r="AE180" s="25"/>
      <c r="AF180" s="59"/>
      <c r="AG180" s="26"/>
      <c r="AH180" s="12">
        <f t="shared" si="4"/>
        <v>0</v>
      </c>
      <c r="AI180" s="21"/>
      <c r="AJ180" s="11"/>
      <c r="AK180" s="21"/>
      <c r="AL180" s="27"/>
      <c r="AM180" s="21"/>
      <c r="AN180" s="21"/>
      <c r="AO180" s="11"/>
      <c r="AP180" s="10"/>
      <c r="AQ180" s="11"/>
      <c r="AR180" s="10"/>
      <c r="AS180" s="21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</row>
    <row r="181" spans="1:56" s="193" customFormat="1" ht="21.75" customHeight="1" x14ac:dyDescent="0.25">
      <c r="A181" s="271"/>
      <c r="B181" s="259"/>
      <c r="C181" s="44"/>
      <c r="D181" s="44"/>
      <c r="E181" s="44"/>
      <c r="F181" s="44"/>
      <c r="G181" s="43"/>
      <c r="H181" s="44"/>
      <c r="I181" s="44"/>
      <c r="J181" s="44"/>
      <c r="K181" s="45"/>
      <c r="L181" s="46"/>
      <c r="M181" s="47"/>
      <c r="N181" s="48"/>
      <c r="O181" s="48"/>
      <c r="P181" s="27">
        <v>16</v>
      </c>
      <c r="Q181" s="35"/>
      <c r="R181" s="35"/>
      <c r="S181" s="35"/>
      <c r="T181" s="43"/>
      <c r="U181" s="21"/>
      <c r="V181" s="10"/>
      <c r="W181" s="11"/>
      <c r="X181" s="22"/>
      <c r="Y181" s="10"/>
      <c r="Z181" s="10"/>
      <c r="AA181" s="23"/>
      <c r="AB181" s="21"/>
      <c r="AC181" s="24"/>
      <c r="AD181" s="24"/>
      <c r="AE181" s="25">
        <f>L176-AD181+AC181</f>
        <v>116294.89</v>
      </c>
      <c r="AF181" s="26">
        <f>1051.2+59040.7+101126.37</f>
        <v>161218.26999999999</v>
      </c>
      <c r="AG181" s="26">
        <v>0</v>
      </c>
      <c r="AH181" s="12">
        <f t="shared" si="4"/>
        <v>161218.26999999999</v>
      </c>
      <c r="AI181" s="21"/>
      <c r="AJ181" s="11"/>
      <c r="AK181" s="21"/>
      <c r="AL181" s="27"/>
      <c r="AM181" s="21"/>
      <c r="AN181" s="21"/>
      <c r="AO181" s="11"/>
      <c r="AP181" s="10"/>
      <c r="AQ181" s="11"/>
      <c r="AR181" s="10"/>
      <c r="AS181" s="21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</row>
    <row r="182" spans="1:56" s="193" customFormat="1" ht="26.25" customHeight="1" x14ac:dyDescent="0.25">
      <c r="A182" s="271">
        <v>31</v>
      </c>
      <c r="B182" s="259" t="s">
        <v>263</v>
      </c>
      <c r="C182" s="44" t="s">
        <v>392</v>
      </c>
      <c r="D182" s="44" t="s">
        <v>514</v>
      </c>
      <c r="E182" s="44" t="s">
        <v>123</v>
      </c>
      <c r="F182" s="44" t="s">
        <v>266</v>
      </c>
      <c r="G182" s="43">
        <v>11298</v>
      </c>
      <c r="H182" s="44" t="s">
        <v>271</v>
      </c>
      <c r="I182" s="44" t="s">
        <v>279</v>
      </c>
      <c r="J182" s="44" t="s">
        <v>468</v>
      </c>
      <c r="K182" s="45">
        <v>41743</v>
      </c>
      <c r="L182" s="46">
        <v>51157.41</v>
      </c>
      <c r="M182" s="47">
        <v>11301</v>
      </c>
      <c r="N182" s="48">
        <v>41743</v>
      </c>
      <c r="O182" s="48">
        <v>42004</v>
      </c>
      <c r="P182" s="27">
        <v>1</v>
      </c>
      <c r="Q182" s="44"/>
      <c r="R182" s="44"/>
      <c r="S182" s="44"/>
      <c r="T182" s="43" t="s">
        <v>159</v>
      </c>
      <c r="U182" s="51"/>
      <c r="V182" s="52"/>
      <c r="W182" s="51"/>
      <c r="X182" s="213"/>
      <c r="Y182" s="52"/>
      <c r="Z182" s="51"/>
      <c r="AA182" s="53"/>
      <c r="AB182" s="54"/>
      <c r="AC182" s="55"/>
      <c r="AD182" s="55"/>
      <c r="AE182" s="25">
        <f>L182</f>
        <v>51157.41</v>
      </c>
      <c r="AF182" s="56">
        <f>56584.29+50159.16</f>
        <v>106743.45000000001</v>
      </c>
      <c r="AG182" s="26">
        <v>5875.68</v>
      </c>
      <c r="AH182" s="12">
        <f t="shared" si="4"/>
        <v>112619.13</v>
      </c>
      <c r="AI182" s="21"/>
      <c r="AJ182" s="11"/>
      <c r="AK182" s="21"/>
      <c r="AL182" s="27"/>
      <c r="AM182" s="21"/>
      <c r="AN182" s="21"/>
      <c r="AO182" s="11"/>
      <c r="AP182" s="10"/>
      <c r="AQ182" s="11"/>
      <c r="AR182" s="10"/>
      <c r="AS182" s="21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</row>
    <row r="183" spans="1:56" s="193" customFormat="1" ht="21.75" customHeight="1" x14ac:dyDescent="0.25">
      <c r="A183" s="271"/>
      <c r="B183" s="259"/>
      <c r="C183" s="44"/>
      <c r="D183" s="44"/>
      <c r="E183" s="44"/>
      <c r="F183" s="44"/>
      <c r="G183" s="43"/>
      <c r="H183" s="44"/>
      <c r="I183" s="44"/>
      <c r="J183" s="44"/>
      <c r="K183" s="45"/>
      <c r="L183" s="46"/>
      <c r="M183" s="47"/>
      <c r="N183" s="48"/>
      <c r="O183" s="48"/>
      <c r="P183" s="43">
        <v>16</v>
      </c>
      <c r="Q183" s="44"/>
      <c r="R183" s="44"/>
      <c r="S183" s="44"/>
      <c r="T183" s="43"/>
      <c r="U183" s="51" t="s">
        <v>472</v>
      </c>
      <c r="V183" s="52">
        <v>41977</v>
      </c>
      <c r="W183" s="51">
        <v>11433</v>
      </c>
      <c r="X183" s="213" t="s">
        <v>505</v>
      </c>
      <c r="Y183" s="52">
        <v>41743</v>
      </c>
      <c r="Z183" s="51" t="s">
        <v>473</v>
      </c>
      <c r="AA183" s="53">
        <f>AC183/L182</f>
        <v>0.2499999511312242</v>
      </c>
      <c r="AB183" s="54"/>
      <c r="AC183" s="55">
        <v>12789.35</v>
      </c>
      <c r="AD183" s="55"/>
      <c r="AE183" s="25">
        <f>L182-AD183+AC183</f>
        <v>63946.76</v>
      </c>
      <c r="AF183" s="56">
        <f>14506.64</f>
        <v>14506.64</v>
      </c>
      <c r="AG183" s="49">
        <v>0</v>
      </c>
      <c r="AH183" s="12">
        <f t="shared" si="4"/>
        <v>14506.64</v>
      </c>
      <c r="AI183" s="21"/>
      <c r="AJ183" s="11"/>
      <c r="AK183" s="21"/>
      <c r="AL183" s="27"/>
      <c r="AM183" s="21"/>
      <c r="AN183" s="21"/>
      <c r="AO183" s="11"/>
      <c r="AP183" s="10"/>
      <c r="AQ183" s="11"/>
      <c r="AR183" s="10"/>
      <c r="AS183" s="21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</row>
    <row r="184" spans="1:56" s="193" customFormat="1" ht="21.75" customHeight="1" x14ac:dyDescent="0.25">
      <c r="A184" s="271"/>
      <c r="B184" s="259"/>
      <c r="C184" s="44"/>
      <c r="D184" s="44"/>
      <c r="E184" s="44"/>
      <c r="F184" s="44"/>
      <c r="G184" s="43"/>
      <c r="H184" s="44"/>
      <c r="I184" s="44"/>
      <c r="J184" s="44"/>
      <c r="K184" s="45"/>
      <c r="L184" s="46"/>
      <c r="M184" s="47"/>
      <c r="N184" s="48"/>
      <c r="O184" s="48"/>
      <c r="P184" s="43"/>
      <c r="Q184" s="44"/>
      <c r="R184" s="44"/>
      <c r="S184" s="44"/>
      <c r="T184" s="43"/>
      <c r="U184" s="21" t="s">
        <v>597</v>
      </c>
      <c r="V184" s="10">
        <v>41977</v>
      </c>
      <c r="W184" s="11">
        <v>11487</v>
      </c>
      <c r="X184" s="22" t="s">
        <v>598</v>
      </c>
      <c r="Y184" s="10">
        <v>42005</v>
      </c>
      <c r="Z184" s="10">
        <v>42264</v>
      </c>
      <c r="AA184" s="53"/>
      <c r="AB184" s="54"/>
      <c r="AC184" s="55"/>
      <c r="AD184" s="55"/>
      <c r="AE184" s="25">
        <f>(7160.4*8)+6663.56+AE183</f>
        <v>127893.51999999999</v>
      </c>
      <c r="AF184" s="57"/>
      <c r="AG184" s="58"/>
      <c r="AH184" s="12">
        <f t="shared" si="4"/>
        <v>0</v>
      </c>
      <c r="AI184" s="21"/>
      <c r="AJ184" s="11"/>
      <c r="AK184" s="21"/>
      <c r="AL184" s="27"/>
      <c r="AM184" s="21"/>
      <c r="AN184" s="21"/>
      <c r="AO184" s="11"/>
      <c r="AP184" s="10"/>
      <c r="AQ184" s="11"/>
      <c r="AR184" s="10"/>
      <c r="AS184" s="21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</row>
    <row r="185" spans="1:56" s="193" customFormat="1" ht="25.5" customHeight="1" x14ac:dyDescent="0.25">
      <c r="A185" s="271"/>
      <c r="B185" s="259"/>
      <c r="C185" s="44"/>
      <c r="D185" s="44"/>
      <c r="E185" s="44"/>
      <c r="F185" s="44"/>
      <c r="G185" s="43"/>
      <c r="H185" s="44"/>
      <c r="I185" s="44"/>
      <c r="J185" s="44"/>
      <c r="K185" s="45"/>
      <c r="L185" s="46"/>
      <c r="M185" s="47"/>
      <c r="N185" s="48"/>
      <c r="O185" s="48"/>
      <c r="P185" s="43"/>
      <c r="Q185" s="44"/>
      <c r="R185" s="44"/>
      <c r="S185" s="44"/>
      <c r="T185" s="43"/>
      <c r="U185" s="21" t="s">
        <v>730</v>
      </c>
      <c r="V185" s="10">
        <v>42262</v>
      </c>
      <c r="W185" s="11">
        <v>11659</v>
      </c>
      <c r="X185" s="22" t="s">
        <v>731</v>
      </c>
      <c r="Y185" s="10">
        <v>42265</v>
      </c>
      <c r="Z185" s="10">
        <v>42369</v>
      </c>
      <c r="AA185" s="23"/>
      <c r="AB185" s="21"/>
      <c r="AC185" s="24"/>
      <c r="AD185" s="24"/>
      <c r="AE185" s="25">
        <f>(7160.4*3)+3103.2+AE184</f>
        <v>152477.91999999998</v>
      </c>
      <c r="AF185" s="59"/>
      <c r="AG185" s="50"/>
      <c r="AH185" s="12">
        <f t="shared" si="4"/>
        <v>0</v>
      </c>
      <c r="AI185" s="21"/>
      <c r="AJ185" s="11"/>
      <c r="AK185" s="21"/>
      <c r="AL185" s="27"/>
      <c r="AM185" s="21"/>
      <c r="AN185" s="21"/>
      <c r="AO185" s="11"/>
      <c r="AP185" s="10"/>
      <c r="AQ185" s="11"/>
      <c r="AR185" s="10"/>
      <c r="AS185" s="21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</row>
    <row r="186" spans="1:56" s="193" customFormat="1" ht="18" customHeight="1" x14ac:dyDescent="0.25">
      <c r="A186" s="270">
        <v>32</v>
      </c>
      <c r="B186" s="254" t="s">
        <v>263</v>
      </c>
      <c r="C186" s="16" t="s">
        <v>392</v>
      </c>
      <c r="D186" s="16" t="s">
        <v>134</v>
      </c>
      <c r="E186" s="16" t="s">
        <v>123</v>
      </c>
      <c r="F186" s="16" t="s">
        <v>266</v>
      </c>
      <c r="G186" s="15">
        <v>11298</v>
      </c>
      <c r="H186" s="16" t="s">
        <v>272</v>
      </c>
      <c r="I186" s="16" t="s">
        <v>152</v>
      </c>
      <c r="J186" s="16" t="s">
        <v>435</v>
      </c>
      <c r="K186" s="17">
        <v>41743</v>
      </c>
      <c r="L186" s="18">
        <v>63837.45</v>
      </c>
      <c r="M186" s="40">
        <v>11301</v>
      </c>
      <c r="N186" s="20">
        <v>41743</v>
      </c>
      <c r="O186" s="20">
        <v>42004</v>
      </c>
      <c r="P186" s="43">
        <v>1</v>
      </c>
      <c r="Q186" s="16"/>
      <c r="R186" s="16"/>
      <c r="S186" s="16"/>
      <c r="T186" s="15" t="s">
        <v>159</v>
      </c>
      <c r="U186" s="21"/>
      <c r="V186" s="21"/>
      <c r="W186" s="11"/>
      <c r="X186" s="22"/>
      <c r="Y186" s="21"/>
      <c r="Z186" s="21"/>
      <c r="AA186" s="23"/>
      <c r="AB186" s="21"/>
      <c r="AC186" s="194"/>
      <c r="AD186" s="24"/>
      <c r="AE186" s="25">
        <f>L186-AD186+AC186</f>
        <v>63837.45</v>
      </c>
      <c r="AF186" s="26">
        <f>55128.19+46054.8</f>
        <v>101182.99</v>
      </c>
      <c r="AG186" s="49">
        <f>6185.73</f>
        <v>6185.73</v>
      </c>
      <c r="AH186" s="12">
        <f t="shared" si="4"/>
        <v>107368.72</v>
      </c>
      <c r="AI186" s="21"/>
      <c r="AJ186" s="11"/>
      <c r="AK186" s="21"/>
      <c r="AL186" s="27"/>
      <c r="AM186" s="21"/>
      <c r="AN186" s="21"/>
      <c r="AO186" s="11"/>
      <c r="AP186" s="10"/>
      <c r="AQ186" s="11"/>
      <c r="AR186" s="10"/>
      <c r="AS186" s="21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</row>
    <row r="187" spans="1:56" s="193" customFormat="1" ht="24" customHeight="1" x14ac:dyDescent="0.25">
      <c r="A187" s="268"/>
      <c r="B187" s="252"/>
      <c r="C187" s="29"/>
      <c r="D187" s="29"/>
      <c r="E187" s="29"/>
      <c r="F187" s="29"/>
      <c r="G187" s="28"/>
      <c r="H187" s="29"/>
      <c r="I187" s="29"/>
      <c r="J187" s="29"/>
      <c r="K187" s="30"/>
      <c r="L187" s="31"/>
      <c r="M187" s="41"/>
      <c r="N187" s="33"/>
      <c r="O187" s="33"/>
      <c r="P187" s="43"/>
      <c r="Q187" s="29"/>
      <c r="R187" s="29"/>
      <c r="S187" s="29"/>
      <c r="T187" s="28"/>
      <c r="U187" s="21" t="s">
        <v>472</v>
      </c>
      <c r="V187" s="10">
        <v>41947</v>
      </c>
      <c r="W187" s="11">
        <v>11550</v>
      </c>
      <c r="X187" s="22" t="s">
        <v>505</v>
      </c>
      <c r="Y187" s="10">
        <v>41743</v>
      </c>
      <c r="Z187" s="10">
        <v>42004</v>
      </c>
      <c r="AA187" s="23">
        <f>AC187/L186</f>
        <v>0.24999996083803475</v>
      </c>
      <c r="AB187" s="21"/>
      <c r="AC187" s="194">
        <v>15959.36</v>
      </c>
      <c r="AD187" s="24"/>
      <c r="AE187" s="25">
        <f>AE186+AC187</f>
        <v>79796.81</v>
      </c>
      <c r="AF187" s="26"/>
      <c r="AG187" s="50"/>
      <c r="AH187" s="12">
        <f t="shared" si="4"/>
        <v>0</v>
      </c>
      <c r="AI187" s="21"/>
      <c r="AJ187" s="11"/>
      <c r="AK187" s="21"/>
      <c r="AL187" s="27"/>
      <c r="AM187" s="21"/>
      <c r="AN187" s="21"/>
      <c r="AO187" s="11"/>
      <c r="AP187" s="10"/>
      <c r="AQ187" s="11"/>
      <c r="AR187" s="10"/>
      <c r="AS187" s="21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</row>
    <row r="188" spans="1:56" s="193" customFormat="1" ht="24" customHeight="1" x14ac:dyDescent="0.25">
      <c r="A188" s="268"/>
      <c r="B188" s="252"/>
      <c r="C188" s="29"/>
      <c r="D188" s="29"/>
      <c r="E188" s="29"/>
      <c r="F188" s="29"/>
      <c r="G188" s="28"/>
      <c r="H188" s="29"/>
      <c r="I188" s="29"/>
      <c r="J188" s="29"/>
      <c r="K188" s="30"/>
      <c r="L188" s="31"/>
      <c r="M188" s="41"/>
      <c r="N188" s="33"/>
      <c r="O188" s="33"/>
      <c r="P188" s="43">
        <v>16</v>
      </c>
      <c r="Q188" s="29"/>
      <c r="R188" s="29"/>
      <c r="S188" s="29"/>
      <c r="T188" s="28"/>
      <c r="U188" s="21" t="s">
        <v>597</v>
      </c>
      <c r="V188" s="10">
        <v>42003</v>
      </c>
      <c r="W188" s="11">
        <v>11495</v>
      </c>
      <c r="X188" s="22" t="s">
        <v>598</v>
      </c>
      <c r="Y188" s="10">
        <v>42005</v>
      </c>
      <c r="Z188" s="10">
        <v>42264</v>
      </c>
      <c r="AA188" s="23"/>
      <c r="AB188" s="21"/>
      <c r="AC188" s="194"/>
      <c r="AD188" s="24"/>
      <c r="AE188" s="25"/>
      <c r="AF188" s="26">
        <f>25698.15</f>
        <v>25698.15</v>
      </c>
      <c r="AG188" s="49">
        <v>0</v>
      </c>
      <c r="AH188" s="12">
        <f t="shared" si="4"/>
        <v>25698.15</v>
      </c>
      <c r="AI188" s="21"/>
      <c r="AJ188" s="11"/>
      <c r="AK188" s="21"/>
      <c r="AL188" s="27"/>
      <c r="AM188" s="21"/>
      <c r="AN188" s="21"/>
      <c r="AO188" s="11"/>
      <c r="AP188" s="10"/>
      <c r="AQ188" s="11"/>
      <c r="AR188" s="10"/>
      <c r="AS188" s="21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</row>
    <row r="189" spans="1:56" s="193" customFormat="1" ht="21" customHeight="1" x14ac:dyDescent="0.25">
      <c r="A189" s="269"/>
      <c r="B189" s="253"/>
      <c r="C189" s="35"/>
      <c r="D189" s="35"/>
      <c r="E189" s="35"/>
      <c r="F189" s="35"/>
      <c r="G189" s="34"/>
      <c r="H189" s="35"/>
      <c r="I189" s="35"/>
      <c r="J189" s="35"/>
      <c r="K189" s="36"/>
      <c r="L189" s="37"/>
      <c r="M189" s="42"/>
      <c r="N189" s="39"/>
      <c r="O189" s="39"/>
      <c r="P189" s="43"/>
      <c r="Q189" s="35"/>
      <c r="R189" s="35"/>
      <c r="S189" s="35"/>
      <c r="T189" s="34"/>
      <c r="U189" s="21" t="s">
        <v>730</v>
      </c>
      <c r="V189" s="10">
        <v>42262</v>
      </c>
      <c r="W189" s="11">
        <v>11659</v>
      </c>
      <c r="X189" s="22" t="s">
        <v>598</v>
      </c>
      <c r="Y189" s="10">
        <v>42265</v>
      </c>
      <c r="Z189" s="10">
        <v>42525</v>
      </c>
      <c r="AA189" s="23"/>
      <c r="AB189" s="21"/>
      <c r="AC189" s="194"/>
      <c r="AD189" s="24"/>
      <c r="AE189" s="25"/>
      <c r="AF189" s="26"/>
      <c r="AG189" s="50"/>
      <c r="AH189" s="12">
        <f t="shared" si="4"/>
        <v>0</v>
      </c>
      <c r="AI189" s="21"/>
      <c r="AJ189" s="11"/>
      <c r="AK189" s="21"/>
      <c r="AL189" s="27"/>
      <c r="AM189" s="21"/>
      <c r="AN189" s="21"/>
      <c r="AO189" s="11"/>
      <c r="AP189" s="10"/>
      <c r="AQ189" s="11"/>
      <c r="AR189" s="10"/>
      <c r="AS189" s="21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</row>
    <row r="190" spans="1:56" s="193" customFormat="1" ht="45" customHeight="1" x14ac:dyDescent="0.25">
      <c r="A190" s="270">
        <v>33</v>
      </c>
      <c r="B190" s="254" t="s">
        <v>263</v>
      </c>
      <c r="C190" s="16" t="s">
        <v>392</v>
      </c>
      <c r="D190" s="16" t="s">
        <v>134</v>
      </c>
      <c r="E190" s="16" t="s">
        <v>123</v>
      </c>
      <c r="F190" s="16" t="s">
        <v>266</v>
      </c>
      <c r="G190" s="15">
        <v>11331</v>
      </c>
      <c r="H190" s="16" t="s">
        <v>273</v>
      </c>
      <c r="I190" s="16" t="s">
        <v>445</v>
      </c>
      <c r="J190" s="16" t="s">
        <v>466</v>
      </c>
      <c r="K190" s="17">
        <v>41743</v>
      </c>
      <c r="L190" s="18">
        <v>61900.15</v>
      </c>
      <c r="M190" s="40">
        <v>11301</v>
      </c>
      <c r="N190" s="20">
        <v>41743</v>
      </c>
      <c r="O190" s="20">
        <v>42004</v>
      </c>
      <c r="P190" s="15">
        <v>1</v>
      </c>
      <c r="Q190" s="16"/>
      <c r="R190" s="16"/>
      <c r="S190" s="16"/>
      <c r="T190" s="15" t="s">
        <v>159</v>
      </c>
      <c r="U190" s="21"/>
      <c r="V190" s="21"/>
      <c r="W190" s="11"/>
      <c r="X190" s="22"/>
      <c r="Y190" s="21"/>
      <c r="Z190" s="21"/>
      <c r="AA190" s="23"/>
      <c r="AB190" s="21"/>
      <c r="AC190" s="24"/>
      <c r="AD190" s="24"/>
      <c r="AE190" s="60">
        <f>L190-AD190+AC190</f>
        <v>61900.15</v>
      </c>
      <c r="AF190" s="49">
        <f>49594.44+54192.6</f>
        <v>103787.04000000001</v>
      </c>
      <c r="AG190" s="49">
        <v>5911.92</v>
      </c>
      <c r="AH190" s="12">
        <f t="shared" si="4"/>
        <v>109698.96</v>
      </c>
      <c r="AI190" s="21"/>
      <c r="AJ190" s="11"/>
      <c r="AK190" s="21"/>
      <c r="AL190" s="27"/>
      <c r="AM190" s="21"/>
      <c r="AN190" s="21"/>
      <c r="AO190" s="11"/>
      <c r="AP190" s="10"/>
      <c r="AQ190" s="11"/>
      <c r="AR190" s="10"/>
      <c r="AS190" s="21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</row>
    <row r="191" spans="1:56" s="193" customFormat="1" ht="45" customHeight="1" x14ac:dyDescent="0.25">
      <c r="A191" s="268"/>
      <c r="B191" s="252"/>
      <c r="C191" s="29"/>
      <c r="D191" s="29"/>
      <c r="E191" s="29"/>
      <c r="F191" s="29"/>
      <c r="G191" s="28"/>
      <c r="H191" s="29"/>
      <c r="I191" s="29"/>
      <c r="J191" s="29"/>
      <c r="K191" s="30"/>
      <c r="L191" s="31"/>
      <c r="M191" s="41"/>
      <c r="N191" s="33"/>
      <c r="O191" s="33"/>
      <c r="P191" s="28"/>
      <c r="Q191" s="29"/>
      <c r="R191" s="29"/>
      <c r="S191" s="29"/>
      <c r="T191" s="28"/>
      <c r="U191" s="21" t="s">
        <v>472</v>
      </c>
      <c r="V191" s="10">
        <v>42003</v>
      </c>
      <c r="W191" s="11">
        <v>11495</v>
      </c>
      <c r="X191" s="22" t="s">
        <v>598</v>
      </c>
      <c r="Y191" s="10">
        <v>42005</v>
      </c>
      <c r="Z191" s="10">
        <v>42264</v>
      </c>
      <c r="AA191" s="23"/>
      <c r="AB191" s="21"/>
      <c r="AC191" s="24"/>
      <c r="AD191" s="24"/>
      <c r="AE191" s="60"/>
      <c r="AF191" s="58"/>
      <c r="AG191" s="58"/>
      <c r="AH191" s="12">
        <f t="shared" si="4"/>
        <v>0</v>
      </c>
      <c r="AI191" s="21"/>
      <c r="AJ191" s="11"/>
      <c r="AK191" s="21"/>
      <c r="AL191" s="27"/>
      <c r="AM191" s="21"/>
      <c r="AN191" s="21"/>
      <c r="AO191" s="11"/>
      <c r="AP191" s="10"/>
      <c r="AQ191" s="11"/>
      <c r="AR191" s="10"/>
      <c r="AS191" s="21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</row>
    <row r="192" spans="1:56" s="193" customFormat="1" ht="45" customHeight="1" x14ac:dyDescent="0.25">
      <c r="A192" s="268"/>
      <c r="B192" s="252"/>
      <c r="C192" s="29"/>
      <c r="D192" s="29"/>
      <c r="E192" s="29"/>
      <c r="F192" s="29"/>
      <c r="G192" s="28"/>
      <c r="H192" s="29"/>
      <c r="I192" s="29"/>
      <c r="J192" s="29"/>
      <c r="K192" s="30"/>
      <c r="L192" s="31"/>
      <c r="M192" s="41"/>
      <c r="N192" s="33"/>
      <c r="O192" s="33"/>
      <c r="P192" s="28"/>
      <c r="Q192" s="29"/>
      <c r="R192" s="29"/>
      <c r="S192" s="29"/>
      <c r="T192" s="28"/>
      <c r="U192" s="21" t="s">
        <v>597</v>
      </c>
      <c r="V192" s="10">
        <v>42262</v>
      </c>
      <c r="W192" s="11">
        <v>11659</v>
      </c>
      <c r="X192" s="22" t="s">
        <v>731</v>
      </c>
      <c r="Y192" s="10">
        <v>42265</v>
      </c>
      <c r="Z192" s="10">
        <v>42369</v>
      </c>
      <c r="AA192" s="23"/>
      <c r="AB192" s="21"/>
      <c r="AC192" s="24"/>
      <c r="AD192" s="24"/>
      <c r="AE192" s="60"/>
      <c r="AF192" s="58"/>
      <c r="AG192" s="58"/>
      <c r="AH192" s="12">
        <f t="shared" si="4"/>
        <v>0</v>
      </c>
      <c r="AI192" s="21"/>
      <c r="AJ192" s="11"/>
      <c r="AK192" s="21"/>
      <c r="AL192" s="27"/>
      <c r="AM192" s="21"/>
      <c r="AN192" s="21"/>
      <c r="AO192" s="11"/>
      <c r="AP192" s="10"/>
      <c r="AQ192" s="11"/>
      <c r="AR192" s="10"/>
      <c r="AS192" s="21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</row>
    <row r="193" spans="1:56" s="193" customFormat="1" ht="45" customHeight="1" x14ac:dyDescent="0.25">
      <c r="A193" s="269"/>
      <c r="B193" s="253"/>
      <c r="C193" s="35"/>
      <c r="D193" s="35"/>
      <c r="E193" s="35"/>
      <c r="F193" s="35"/>
      <c r="G193" s="34"/>
      <c r="H193" s="35"/>
      <c r="I193" s="35"/>
      <c r="J193" s="35"/>
      <c r="K193" s="36"/>
      <c r="L193" s="37"/>
      <c r="M193" s="42"/>
      <c r="N193" s="39"/>
      <c r="O193" s="39"/>
      <c r="P193" s="34"/>
      <c r="Q193" s="35"/>
      <c r="R193" s="35"/>
      <c r="S193" s="35"/>
      <c r="T193" s="34"/>
      <c r="U193" s="21"/>
      <c r="V193" s="10"/>
      <c r="W193" s="11"/>
      <c r="X193" s="22"/>
      <c r="Y193" s="10"/>
      <c r="Z193" s="10"/>
      <c r="AA193" s="23"/>
      <c r="AB193" s="21"/>
      <c r="AC193" s="24"/>
      <c r="AD193" s="24"/>
      <c r="AE193" s="60"/>
      <c r="AF193" s="50"/>
      <c r="AG193" s="50"/>
      <c r="AH193" s="12">
        <f t="shared" si="4"/>
        <v>0</v>
      </c>
      <c r="AI193" s="21"/>
      <c r="AJ193" s="11"/>
      <c r="AK193" s="21"/>
      <c r="AL193" s="27"/>
      <c r="AM193" s="21"/>
      <c r="AN193" s="21"/>
      <c r="AO193" s="11"/>
      <c r="AP193" s="10"/>
      <c r="AQ193" s="11"/>
      <c r="AR193" s="10"/>
      <c r="AS193" s="21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</row>
    <row r="194" spans="1:56" s="193" customFormat="1" ht="45" customHeight="1" x14ac:dyDescent="0.25">
      <c r="A194" s="270">
        <v>34</v>
      </c>
      <c r="B194" s="254" t="s">
        <v>263</v>
      </c>
      <c r="C194" s="16" t="s">
        <v>392</v>
      </c>
      <c r="D194" s="16" t="s">
        <v>134</v>
      </c>
      <c r="E194" s="16" t="s">
        <v>123</v>
      </c>
      <c r="F194" s="16" t="s">
        <v>266</v>
      </c>
      <c r="G194" s="15">
        <v>11331</v>
      </c>
      <c r="H194" s="16" t="s">
        <v>274</v>
      </c>
      <c r="I194" s="16" t="s">
        <v>280</v>
      </c>
      <c r="J194" s="16" t="s">
        <v>475</v>
      </c>
      <c r="K194" s="17">
        <v>41743</v>
      </c>
      <c r="L194" s="18">
        <v>96739.94</v>
      </c>
      <c r="M194" s="40">
        <v>11301</v>
      </c>
      <c r="N194" s="20">
        <v>41743</v>
      </c>
      <c r="O194" s="20">
        <v>42004</v>
      </c>
      <c r="P194" s="15">
        <v>1</v>
      </c>
      <c r="Q194" s="16"/>
      <c r="R194" s="16"/>
      <c r="S194" s="16"/>
      <c r="T194" s="15" t="s">
        <v>159</v>
      </c>
      <c r="U194" s="21" t="s">
        <v>472</v>
      </c>
      <c r="V194" s="10">
        <v>42003</v>
      </c>
      <c r="W194" s="11">
        <v>11495</v>
      </c>
      <c r="X194" s="22" t="s">
        <v>598</v>
      </c>
      <c r="Y194" s="10">
        <v>42005</v>
      </c>
      <c r="Z194" s="10">
        <v>42264</v>
      </c>
      <c r="AA194" s="23"/>
      <c r="AB194" s="21"/>
      <c r="AC194" s="24"/>
      <c r="AD194" s="24"/>
      <c r="AE194" s="25">
        <f>L194-AD194+AC194</f>
        <v>96739.94</v>
      </c>
      <c r="AF194" s="26">
        <f>38353.08+76329.45</f>
        <v>114682.53</v>
      </c>
      <c r="AG194" s="49">
        <f>5937.75</f>
        <v>5937.75</v>
      </c>
      <c r="AH194" s="12">
        <f t="shared" si="4"/>
        <v>120620.28</v>
      </c>
      <c r="AI194" s="21"/>
      <c r="AJ194" s="11"/>
      <c r="AK194" s="21"/>
      <c r="AL194" s="27"/>
      <c r="AM194" s="21"/>
      <c r="AN194" s="21"/>
      <c r="AO194" s="11"/>
      <c r="AP194" s="10"/>
      <c r="AQ194" s="11"/>
      <c r="AR194" s="10"/>
      <c r="AS194" s="21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</row>
    <row r="195" spans="1:56" s="193" customFormat="1" ht="45" customHeight="1" x14ac:dyDescent="0.25">
      <c r="A195" s="269"/>
      <c r="B195" s="253"/>
      <c r="C195" s="35"/>
      <c r="D195" s="35"/>
      <c r="E195" s="35"/>
      <c r="F195" s="35"/>
      <c r="G195" s="34"/>
      <c r="H195" s="35"/>
      <c r="I195" s="35"/>
      <c r="J195" s="35"/>
      <c r="K195" s="36"/>
      <c r="L195" s="37"/>
      <c r="M195" s="42"/>
      <c r="N195" s="39"/>
      <c r="O195" s="39"/>
      <c r="P195" s="34"/>
      <c r="Q195" s="35"/>
      <c r="R195" s="35"/>
      <c r="S195" s="35"/>
      <c r="T195" s="34"/>
      <c r="U195" s="21" t="s">
        <v>597</v>
      </c>
      <c r="V195" s="10">
        <v>42262</v>
      </c>
      <c r="W195" s="11">
        <v>11659</v>
      </c>
      <c r="X195" s="22" t="s">
        <v>731</v>
      </c>
      <c r="Y195" s="10">
        <v>42265</v>
      </c>
      <c r="Z195" s="10">
        <v>42369</v>
      </c>
      <c r="AA195" s="23"/>
      <c r="AB195" s="21"/>
      <c r="AC195" s="24"/>
      <c r="AD195" s="24"/>
      <c r="AE195" s="25"/>
      <c r="AF195" s="26"/>
      <c r="AG195" s="50"/>
      <c r="AH195" s="12">
        <f t="shared" si="4"/>
        <v>0</v>
      </c>
      <c r="AI195" s="21"/>
      <c r="AJ195" s="11"/>
      <c r="AK195" s="21"/>
      <c r="AL195" s="27"/>
      <c r="AM195" s="21"/>
      <c r="AN195" s="21"/>
      <c r="AO195" s="11"/>
      <c r="AP195" s="10"/>
      <c r="AQ195" s="11"/>
      <c r="AR195" s="10"/>
      <c r="AS195" s="21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</row>
    <row r="196" spans="1:56" s="193" customFormat="1" ht="45" customHeight="1" x14ac:dyDescent="0.25">
      <c r="A196" s="270">
        <v>35</v>
      </c>
      <c r="B196" s="254" t="s">
        <v>454</v>
      </c>
      <c r="C196" s="61" t="s">
        <v>459</v>
      </c>
      <c r="D196" s="16" t="s">
        <v>134</v>
      </c>
      <c r="E196" s="16" t="s">
        <v>123</v>
      </c>
      <c r="F196" s="16" t="s">
        <v>460</v>
      </c>
      <c r="G196" s="62">
        <v>11370</v>
      </c>
      <c r="H196" s="16" t="s">
        <v>461</v>
      </c>
      <c r="I196" s="16" t="s">
        <v>462</v>
      </c>
      <c r="J196" s="16" t="s">
        <v>463</v>
      </c>
      <c r="K196" s="17">
        <v>41864</v>
      </c>
      <c r="L196" s="49">
        <v>42544.800000000003</v>
      </c>
      <c r="M196" s="63">
        <v>11390</v>
      </c>
      <c r="N196" s="20">
        <v>41864</v>
      </c>
      <c r="O196" s="20">
        <v>42004</v>
      </c>
      <c r="P196" s="64" t="s">
        <v>157</v>
      </c>
      <c r="Q196" s="21"/>
      <c r="R196" s="21"/>
      <c r="S196" s="21"/>
      <c r="T196" s="16" t="s">
        <v>159</v>
      </c>
      <c r="U196" s="6"/>
      <c r="V196" s="21"/>
      <c r="W196" s="11"/>
      <c r="X196" s="6"/>
      <c r="Y196" s="10"/>
      <c r="Z196" s="10"/>
      <c r="AA196" s="23"/>
      <c r="AB196" s="21"/>
      <c r="AC196" s="24"/>
      <c r="AD196" s="24"/>
      <c r="AE196" s="25">
        <f>L196-AD196+AC196</f>
        <v>42544.800000000003</v>
      </c>
      <c r="AF196" s="26">
        <f>2007.19+8620.92+7445.34+7445.34+41145.26</f>
        <v>66664.05</v>
      </c>
      <c r="AG196" s="49">
        <f>5486.04</f>
        <v>5486.04</v>
      </c>
      <c r="AH196" s="12">
        <f t="shared" si="4"/>
        <v>72150.09</v>
      </c>
      <c r="AI196" s="21"/>
      <c r="AJ196" s="11"/>
      <c r="AK196" s="21"/>
      <c r="AL196" s="27"/>
      <c r="AM196" s="21"/>
      <c r="AN196" s="21"/>
      <c r="AO196" s="11"/>
      <c r="AP196" s="10"/>
      <c r="AQ196" s="11"/>
      <c r="AR196" s="10"/>
      <c r="AS196" s="21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</row>
    <row r="197" spans="1:56" s="193" customFormat="1" ht="45" customHeight="1" x14ac:dyDescent="0.25">
      <c r="A197" s="268"/>
      <c r="B197" s="252"/>
      <c r="C197" s="65"/>
      <c r="D197" s="29"/>
      <c r="E197" s="29"/>
      <c r="F197" s="29"/>
      <c r="G197" s="66"/>
      <c r="H197" s="29"/>
      <c r="I197" s="29"/>
      <c r="J197" s="29"/>
      <c r="K197" s="30"/>
      <c r="L197" s="58"/>
      <c r="M197" s="67"/>
      <c r="N197" s="33"/>
      <c r="O197" s="33"/>
      <c r="P197" s="68"/>
      <c r="Q197" s="69"/>
      <c r="R197" s="69"/>
      <c r="S197" s="69"/>
      <c r="T197" s="29"/>
      <c r="U197" s="6" t="s">
        <v>240</v>
      </c>
      <c r="V197" s="10">
        <v>42003</v>
      </c>
      <c r="W197" s="11">
        <v>11487</v>
      </c>
      <c r="X197" s="6" t="s">
        <v>732</v>
      </c>
      <c r="Y197" s="10">
        <v>42005</v>
      </c>
      <c r="Z197" s="10">
        <v>42143</v>
      </c>
      <c r="AA197" s="23"/>
      <c r="AB197" s="21"/>
      <c r="AC197" s="24"/>
      <c r="AD197" s="24"/>
      <c r="AE197" s="70"/>
      <c r="AF197" s="56"/>
      <c r="AG197" s="58"/>
      <c r="AH197" s="12">
        <f t="shared" si="4"/>
        <v>0</v>
      </c>
      <c r="AI197" s="21"/>
      <c r="AJ197" s="11"/>
      <c r="AK197" s="21"/>
      <c r="AL197" s="27"/>
      <c r="AM197" s="21"/>
      <c r="AN197" s="21"/>
      <c r="AO197" s="11"/>
      <c r="AP197" s="10"/>
      <c r="AQ197" s="11"/>
      <c r="AR197" s="10"/>
      <c r="AS197" s="21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</row>
    <row r="198" spans="1:56" s="193" customFormat="1" ht="45" customHeight="1" thickBot="1" x14ac:dyDescent="0.3">
      <c r="A198" s="269"/>
      <c r="B198" s="253"/>
      <c r="C198" s="71"/>
      <c r="D198" s="35"/>
      <c r="E198" s="35"/>
      <c r="F198" s="35"/>
      <c r="G198" s="72"/>
      <c r="H198" s="35"/>
      <c r="I198" s="35"/>
      <c r="J198" s="35"/>
      <c r="K198" s="36"/>
      <c r="L198" s="50"/>
      <c r="M198" s="73"/>
      <c r="N198" s="39"/>
      <c r="O198" s="39"/>
      <c r="P198" s="74"/>
      <c r="Q198" s="69"/>
      <c r="R198" s="69"/>
      <c r="S198" s="69"/>
      <c r="T198" s="35"/>
      <c r="U198" s="6" t="s">
        <v>377</v>
      </c>
      <c r="V198" s="10">
        <v>42118</v>
      </c>
      <c r="W198" s="11">
        <v>11540</v>
      </c>
      <c r="X198" s="6" t="s">
        <v>732</v>
      </c>
      <c r="Y198" s="10">
        <v>42144</v>
      </c>
      <c r="Z198" s="10">
        <v>42285</v>
      </c>
      <c r="AA198" s="23"/>
      <c r="AB198" s="21"/>
      <c r="AC198" s="24"/>
      <c r="AD198" s="24"/>
      <c r="AE198" s="70"/>
      <c r="AF198" s="56"/>
      <c r="AG198" s="50"/>
      <c r="AH198" s="12">
        <f t="shared" si="4"/>
        <v>0</v>
      </c>
      <c r="AI198" s="21"/>
      <c r="AJ198" s="11"/>
      <c r="AK198" s="21"/>
      <c r="AL198" s="27"/>
      <c r="AM198" s="21"/>
      <c r="AN198" s="21"/>
      <c r="AO198" s="11"/>
      <c r="AP198" s="10"/>
      <c r="AQ198" s="11"/>
      <c r="AR198" s="10"/>
      <c r="AS198" s="21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</row>
    <row r="199" spans="1:56" s="193" customFormat="1" ht="45" customHeight="1" x14ac:dyDescent="0.25">
      <c r="A199" s="270">
        <v>36</v>
      </c>
      <c r="B199" s="259" t="s">
        <v>609</v>
      </c>
      <c r="C199" s="75" t="s">
        <v>610</v>
      </c>
      <c r="D199" s="44" t="s">
        <v>134</v>
      </c>
      <c r="E199" s="16" t="s">
        <v>123</v>
      </c>
      <c r="F199" s="44" t="s">
        <v>611</v>
      </c>
      <c r="G199" s="15">
        <v>11224</v>
      </c>
      <c r="H199" s="44" t="s">
        <v>612</v>
      </c>
      <c r="I199" s="29" t="s">
        <v>613</v>
      </c>
      <c r="J199" s="16" t="s">
        <v>323</v>
      </c>
      <c r="K199" s="17">
        <v>42016</v>
      </c>
      <c r="L199" s="76">
        <v>231516</v>
      </c>
      <c r="M199" s="77">
        <v>11481</v>
      </c>
      <c r="N199" s="17">
        <v>42016</v>
      </c>
      <c r="O199" s="78">
        <v>42380</v>
      </c>
      <c r="P199" s="15">
        <v>1</v>
      </c>
      <c r="Q199" s="16"/>
      <c r="R199" s="16"/>
      <c r="S199" s="16"/>
      <c r="T199" s="16" t="s">
        <v>160</v>
      </c>
      <c r="U199" s="69"/>
      <c r="V199" s="10"/>
      <c r="W199" s="79"/>
      <c r="X199" s="80"/>
      <c r="Y199" s="81"/>
      <c r="Z199" s="81"/>
      <c r="AA199" s="23"/>
      <c r="AB199" s="21"/>
      <c r="AC199" s="24"/>
      <c r="AD199" s="24"/>
      <c r="AE199" s="70">
        <f>L199</f>
        <v>231516</v>
      </c>
      <c r="AF199" s="82">
        <f>10216.93+32264+48396</f>
        <v>90876.93</v>
      </c>
      <c r="AG199" s="82">
        <f>48723</f>
        <v>48723</v>
      </c>
      <c r="AH199" s="12">
        <f t="shared" si="4"/>
        <v>139599.93</v>
      </c>
      <c r="AI199" s="6"/>
      <c r="AJ199" s="6"/>
      <c r="AK199" s="6"/>
      <c r="AL199" s="6"/>
      <c r="AM199" s="21"/>
      <c r="AN199" s="21"/>
      <c r="AO199" s="11"/>
      <c r="AP199" s="10"/>
      <c r="AQ199" s="11"/>
      <c r="AR199" s="81"/>
      <c r="AS199" s="83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5"/>
    </row>
    <row r="200" spans="1:56" s="193" customFormat="1" ht="45" customHeight="1" thickBot="1" x14ac:dyDescent="0.3">
      <c r="A200" s="269"/>
      <c r="B200" s="259"/>
      <c r="C200" s="86"/>
      <c r="D200" s="44"/>
      <c r="E200" s="29"/>
      <c r="F200" s="44"/>
      <c r="G200" s="28"/>
      <c r="H200" s="44"/>
      <c r="I200" s="35"/>
      <c r="J200" s="35"/>
      <c r="K200" s="36"/>
      <c r="L200" s="87"/>
      <c r="M200" s="88"/>
      <c r="N200" s="36"/>
      <c r="O200" s="89"/>
      <c r="P200" s="90"/>
      <c r="Q200" s="35"/>
      <c r="R200" s="35"/>
      <c r="S200" s="35"/>
      <c r="T200" s="91"/>
      <c r="U200" s="21" t="s">
        <v>472</v>
      </c>
      <c r="V200" s="10"/>
      <c r="W200" s="79"/>
      <c r="X200" s="80" t="s">
        <v>477</v>
      </c>
      <c r="Y200" s="81">
        <v>42381</v>
      </c>
      <c r="Z200" s="81">
        <v>42746</v>
      </c>
      <c r="AA200" s="23"/>
      <c r="AB200" s="21"/>
      <c r="AC200" s="24"/>
      <c r="AD200" s="24"/>
      <c r="AE200" s="70">
        <f>109*177*12</f>
        <v>231516</v>
      </c>
      <c r="AF200" s="26"/>
      <c r="AG200" s="92"/>
      <c r="AH200" s="12">
        <f t="shared" si="4"/>
        <v>0</v>
      </c>
      <c r="AI200" s="6"/>
      <c r="AJ200" s="6"/>
      <c r="AK200" s="6"/>
      <c r="AL200" s="6"/>
      <c r="AM200" s="21"/>
      <c r="AN200" s="21"/>
      <c r="AO200" s="11"/>
      <c r="AP200" s="10"/>
      <c r="AQ200" s="11"/>
      <c r="AR200" s="81"/>
      <c r="AS200" s="83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5"/>
    </row>
    <row r="201" spans="1:56" s="193" customFormat="1" ht="22.5" customHeight="1" x14ac:dyDescent="0.25">
      <c r="A201" s="270">
        <v>37</v>
      </c>
      <c r="B201" s="259" t="s">
        <v>519</v>
      </c>
      <c r="C201" s="75" t="s">
        <v>520</v>
      </c>
      <c r="D201" s="44" t="s">
        <v>134</v>
      </c>
      <c r="E201" s="16" t="s">
        <v>123</v>
      </c>
      <c r="F201" s="44" t="s">
        <v>521</v>
      </c>
      <c r="G201" s="15">
        <v>11486</v>
      </c>
      <c r="H201" s="44" t="s">
        <v>522</v>
      </c>
      <c r="I201" s="29" t="s">
        <v>523</v>
      </c>
      <c r="J201" s="16" t="s">
        <v>524</v>
      </c>
      <c r="K201" s="17">
        <v>42034</v>
      </c>
      <c r="L201" s="76">
        <v>1255416.96</v>
      </c>
      <c r="M201" s="77">
        <v>11518</v>
      </c>
      <c r="N201" s="17">
        <v>42036</v>
      </c>
      <c r="O201" s="78">
        <v>42400</v>
      </c>
      <c r="P201" s="93" t="s">
        <v>157</v>
      </c>
      <c r="Q201" s="16"/>
      <c r="R201" s="16"/>
      <c r="S201" s="16"/>
      <c r="T201" s="94" t="s">
        <v>160</v>
      </c>
      <c r="U201" s="69"/>
      <c r="V201" s="21"/>
      <c r="W201" s="79"/>
      <c r="X201" s="80"/>
      <c r="Y201" s="81"/>
      <c r="Z201" s="81"/>
      <c r="AA201" s="21"/>
      <c r="AB201" s="21"/>
      <c r="AC201" s="24"/>
      <c r="AD201" s="24"/>
      <c r="AE201" s="70">
        <f>L201-AD201+AC201</f>
        <v>1255416.96</v>
      </c>
      <c r="AF201" s="49">
        <f>104618.08+104618.08+74727.2+74727.2+74727.2+89672.64+88676.28+89672.64+89672.64</f>
        <v>791111.96000000008</v>
      </c>
      <c r="AG201" s="49">
        <f>95880+95880+95880</f>
        <v>287640</v>
      </c>
      <c r="AH201" s="12">
        <f t="shared" si="4"/>
        <v>1078751.96</v>
      </c>
      <c r="AI201" s="95"/>
      <c r="AJ201" s="96"/>
      <c r="AK201" s="97"/>
      <c r="AL201" s="134"/>
      <c r="AM201" s="54"/>
      <c r="AN201" s="54"/>
      <c r="AO201" s="98"/>
      <c r="AP201" s="99"/>
      <c r="AQ201" s="98"/>
      <c r="AR201" s="100"/>
      <c r="AS201" s="83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214"/>
    </row>
    <row r="202" spans="1:56" s="193" customFormat="1" ht="18" customHeight="1" x14ac:dyDescent="0.25">
      <c r="A202" s="268"/>
      <c r="B202" s="259"/>
      <c r="C202" s="86"/>
      <c r="D202" s="44"/>
      <c r="E202" s="29"/>
      <c r="F202" s="44"/>
      <c r="G202" s="28"/>
      <c r="H202" s="44"/>
      <c r="I202" s="29"/>
      <c r="J202" s="29"/>
      <c r="K202" s="30"/>
      <c r="L202" s="101"/>
      <c r="M202" s="67"/>
      <c r="N202" s="30"/>
      <c r="O202" s="30"/>
      <c r="P202" s="80"/>
      <c r="Q202" s="29"/>
      <c r="R202" s="29"/>
      <c r="S202" s="29"/>
      <c r="T202" s="102"/>
      <c r="U202" s="21" t="s">
        <v>472</v>
      </c>
      <c r="V202" s="10">
        <v>42094</v>
      </c>
      <c r="W202" s="79">
        <v>11542</v>
      </c>
      <c r="X202" s="80" t="s">
        <v>164</v>
      </c>
      <c r="Y202" s="81">
        <v>42036</v>
      </c>
      <c r="Z202" s="81">
        <v>42400</v>
      </c>
      <c r="AA202" s="21"/>
      <c r="AB202" s="103">
        <f>AD202/L201</f>
        <v>0.23809523809523808</v>
      </c>
      <c r="AC202" s="24"/>
      <c r="AD202" s="24">
        <v>298908.79999999999</v>
      </c>
      <c r="AE202" s="70">
        <f>L201-AD202+AC202</f>
        <v>956508.15999999992</v>
      </c>
      <c r="AF202" s="50"/>
      <c r="AG202" s="50"/>
      <c r="AH202" s="12">
        <f t="shared" si="4"/>
        <v>0</v>
      </c>
      <c r="AI202" s="95"/>
      <c r="AJ202" s="96"/>
      <c r="AK202" s="97"/>
      <c r="AL202" s="134"/>
      <c r="AM202" s="54"/>
      <c r="AN202" s="54"/>
      <c r="AO202" s="98"/>
      <c r="AP202" s="99"/>
      <c r="AQ202" s="98"/>
      <c r="AR202" s="100"/>
      <c r="AS202" s="83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214"/>
    </row>
    <row r="203" spans="1:56" s="193" customFormat="1" ht="18" customHeight="1" x14ac:dyDescent="0.25">
      <c r="A203" s="268"/>
      <c r="B203" s="259"/>
      <c r="C203" s="86"/>
      <c r="D203" s="44"/>
      <c r="E203" s="29"/>
      <c r="F203" s="44"/>
      <c r="G203" s="28"/>
      <c r="H203" s="44"/>
      <c r="I203" s="29"/>
      <c r="J203" s="29"/>
      <c r="K203" s="30"/>
      <c r="L203" s="101"/>
      <c r="M203" s="67"/>
      <c r="N203" s="30"/>
      <c r="O203" s="30"/>
      <c r="P203" s="80"/>
      <c r="Q203" s="29"/>
      <c r="R203" s="29"/>
      <c r="S203" s="29"/>
      <c r="T203" s="102"/>
      <c r="U203" s="21" t="s">
        <v>597</v>
      </c>
      <c r="V203" s="10">
        <v>42185</v>
      </c>
      <c r="W203" s="79">
        <v>11702</v>
      </c>
      <c r="X203" s="80" t="s">
        <v>163</v>
      </c>
      <c r="Y203" s="81">
        <v>42036</v>
      </c>
      <c r="Z203" s="81">
        <v>42400</v>
      </c>
      <c r="AA203" s="23">
        <f>AC203/AE202</f>
        <v>0.18750000000000003</v>
      </c>
      <c r="AB203" s="103"/>
      <c r="AC203" s="24">
        <v>179345.28</v>
      </c>
      <c r="AD203" s="24"/>
      <c r="AE203" s="70">
        <f>AE202-AD203+AC203</f>
        <v>1135853.44</v>
      </c>
      <c r="AF203" s="50"/>
      <c r="AG203" s="50"/>
      <c r="AH203" s="12">
        <f t="shared" si="4"/>
        <v>0</v>
      </c>
      <c r="AI203" s="95"/>
      <c r="AJ203" s="96"/>
      <c r="AK203" s="97"/>
      <c r="AL203" s="134"/>
      <c r="AM203" s="54"/>
      <c r="AN203" s="54"/>
      <c r="AO203" s="98"/>
      <c r="AP203" s="99"/>
      <c r="AQ203" s="98"/>
      <c r="AR203" s="100"/>
      <c r="AS203" s="83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214"/>
    </row>
    <row r="204" spans="1:56" s="193" customFormat="1" ht="18" customHeight="1" x14ac:dyDescent="0.25">
      <c r="A204" s="268"/>
      <c r="B204" s="259"/>
      <c r="C204" s="86"/>
      <c r="D204" s="44"/>
      <c r="E204" s="29"/>
      <c r="F204" s="44"/>
      <c r="G204" s="28"/>
      <c r="H204" s="44"/>
      <c r="I204" s="29"/>
      <c r="J204" s="29"/>
      <c r="K204" s="30"/>
      <c r="L204" s="101"/>
      <c r="M204" s="67"/>
      <c r="N204" s="30"/>
      <c r="O204" s="30"/>
      <c r="P204" s="80"/>
      <c r="Q204" s="29"/>
      <c r="R204" s="29"/>
      <c r="S204" s="29"/>
      <c r="T204" s="102"/>
      <c r="U204" s="21" t="s">
        <v>730</v>
      </c>
      <c r="V204" s="10">
        <v>42277</v>
      </c>
      <c r="W204" s="79">
        <v>11702</v>
      </c>
      <c r="X204" s="80" t="s">
        <v>763</v>
      </c>
      <c r="Y204" s="81">
        <v>42036</v>
      </c>
      <c r="Z204" s="81">
        <v>42400</v>
      </c>
      <c r="AA204" s="23">
        <f>AC204/AE203</f>
        <v>5.1400707119397378E-2</v>
      </c>
      <c r="AB204" s="103"/>
      <c r="AC204" s="24">
        <v>58383.67</v>
      </c>
      <c r="AD204" s="24"/>
      <c r="AE204" s="70">
        <f>AE203-AD204+AC204</f>
        <v>1194237.1099999999</v>
      </c>
      <c r="AF204" s="50"/>
      <c r="AG204" s="50"/>
      <c r="AH204" s="12">
        <f t="shared" si="4"/>
        <v>0</v>
      </c>
      <c r="AI204" s="95"/>
      <c r="AJ204" s="96"/>
      <c r="AK204" s="97"/>
      <c r="AL204" s="134"/>
      <c r="AM204" s="54"/>
      <c r="AN204" s="54"/>
      <c r="AO204" s="98"/>
      <c r="AP204" s="99"/>
      <c r="AQ204" s="98"/>
      <c r="AR204" s="100"/>
      <c r="AS204" s="83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214"/>
    </row>
    <row r="205" spans="1:56" s="193" customFormat="1" ht="18" customHeight="1" x14ac:dyDescent="0.25">
      <c r="A205" s="268"/>
      <c r="B205" s="259"/>
      <c r="C205" s="86"/>
      <c r="D205" s="44"/>
      <c r="E205" s="29"/>
      <c r="F205" s="44"/>
      <c r="G205" s="28"/>
      <c r="H205" s="44"/>
      <c r="I205" s="29"/>
      <c r="J205" s="29"/>
      <c r="K205" s="30"/>
      <c r="L205" s="101"/>
      <c r="M205" s="67"/>
      <c r="N205" s="30"/>
      <c r="O205" s="30"/>
      <c r="P205" s="80"/>
      <c r="Q205" s="29"/>
      <c r="R205" s="29"/>
      <c r="S205" s="29"/>
      <c r="T205" s="102"/>
      <c r="U205" s="21" t="s">
        <v>764</v>
      </c>
      <c r="V205" s="10">
        <v>42368</v>
      </c>
      <c r="W205" s="79">
        <v>11733</v>
      </c>
      <c r="X205" s="80" t="s">
        <v>765</v>
      </c>
      <c r="Y205" s="81">
        <v>42401</v>
      </c>
      <c r="Z205" s="81">
        <v>42735</v>
      </c>
      <c r="AA205" s="23"/>
      <c r="AB205" s="103"/>
      <c r="AC205" s="24"/>
      <c r="AD205" s="24"/>
      <c r="AE205" s="70">
        <f>(95880*12)+AE204</f>
        <v>2344797.11</v>
      </c>
      <c r="AF205" s="50"/>
      <c r="AG205" s="50"/>
      <c r="AH205" s="12">
        <f t="shared" ref="AH205:AH212" si="5">AF205+AG205</f>
        <v>0</v>
      </c>
      <c r="AI205" s="95"/>
      <c r="AJ205" s="96"/>
      <c r="AK205" s="97"/>
      <c r="AL205" s="134"/>
      <c r="AM205" s="54"/>
      <c r="AN205" s="54"/>
      <c r="AO205" s="98"/>
      <c r="AP205" s="99"/>
      <c r="AQ205" s="98"/>
      <c r="AR205" s="100"/>
      <c r="AS205" s="83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214"/>
    </row>
    <row r="206" spans="1:56" s="193" customFormat="1" ht="18" customHeight="1" x14ac:dyDescent="0.25">
      <c r="A206" s="268"/>
      <c r="B206" s="259"/>
      <c r="C206" s="86"/>
      <c r="D206" s="44"/>
      <c r="E206" s="29"/>
      <c r="F206" s="44"/>
      <c r="G206" s="28"/>
      <c r="H206" s="44"/>
      <c r="I206" s="29"/>
      <c r="J206" s="29"/>
      <c r="K206" s="30"/>
      <c r="L206" s="101"/>
      <c r="M206" s="67"/>
      <c r="N206" s="30"/>
      <c r="O206" s="30"/>
      <c r="P206" s="80"/>
      <c r="Q206" s="29"/>
      <c r="R206" s="29"/>
      <c r="S206" s="29"/>
      <c r="T206" s="102"/>
      <c r="U206" s="21"/>
      <c r="V206" s="10"/>
      <c r="W206" s="79"/>
      <c r="X206" s="80"/>
      <c r="Y206" s="81"/>
      <c r="Z206" s="81"/>
      <c r="AA206" s="23"/>
      <c r="AB206" s="103"/>
      <c r="AC206" s="24"/>
      <c r="AD206" s="24"/>
      <c r="AE206" s="70"/>
      <c r="AF206" s="50"/>
      <c r="AG206" s="50"/>
      <c r="AH206" s="12">
        <f t="shared" si="5"/>
        <v>0</v>
      </c>
      <c r="AI206" s="95"/>
      <c r="AJ206" s="96"/>
      <c r="AK206" s="97"/>
      <c r="AL206" s="134"/>
      <c r="AM206" s="54"/>
      <c r="AN206" s="54"/>
      <c r="AO206" s="98"/>
      <c r="AP206" s="99"/>
      <c r="AQ206" s="98"/>
      <c r="AR206" s="100"/>
      <c r="AS206" s="83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214"/>
    </row>
    <row r="207" spans="1:56" s="193" customFormat="1" ht="16.5" customHeight="1" x14ac:dyDescent="0.25">
      <c r="A207" s="268"/>
      <c r="B207" s="259"/>
      <c r="C207" s="86"/>
      <c r="D207" s="44"/>
      <c r="E207" s="29"/>
      <c r="F207" s="44"/>
      <c r="G207" s="28"/>
      <c r="H207" s="44"/>
      <c r="I207" s="29"/>
      <c r="J207" s="29"/>
      <c r="K207" s="30"/>
      <c r="L207" s="101"/>
      <c r="M207" s="67"/>
      <c r="N207" s="30"/>
      <c r="O207" s="30"/>
      <c r="P207" s="80"/>
      <c r="Q207" s="29"/>
      <c r="R207" s="29"/>
      <c r="S207" s="29"/>
      <c r="T207" s="102"/>
      <c r="U207" s="21"/>
      <c r="V207" s="10"/>
      <c r="W207" s="79"/>
      <c r="X207" s="80"/>
      <c r="Y207" s="81"/>
      <c r="Z207" s="81"/>
      <c r="AA207" s="21"/>
      <c r="AB207" s="103"/>
      <c r="AC207" s="24"/>
      <c r="AD207" s="24"/>
      <c r="AE207" s="70"/>
      <c r="AF207" s="50"/>
      <c r="AG207" s="50"/>
      <c r="AH207" s="12">
        <f t="shared" si="5"/>
        <v>0</v>
      </c>
      <c r="AI207" s="95"/>
      <c r="AJ207" s="96"/>
      <c r="AK207" s="97"/>
      <c r="AL207" s="134"/>
      <c r="AM207" s="54"/>
      <c r="AN207" s="54"/>
      <c r="AO207" s="98"/>
      <c r="AP207" s="99"/>
      <c r="AQ207" s="98"/>
      <c r="AR207" s="100"/>
      <c r="AS207" s="83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214"/>
    </row>
    <row r="208" spans="1:56" s="193" customFormat="1" ht="17.25" customHeight="1" thickBot="1" x14ac:dyDescent="0.3">
      <c r="A208" s="269"/>
      <c r="B208" s="259"/>
      <c r="C208" s="86"/>
      <c r="D208" s="44"/>
      <c r="E208" s="29"/>
      <c r="F208" s="44"/>
      <c r="G208" s="28"/>
      <c r="H208" s="44"/>
      <c r="I208" s="35"/>
      <c r="J208" s="35"/>
      <c r="K208" s="36"/>
      <c r="L208" s="87"/>
      <c r="M208" s="88"/>
      <c r="N208" s="36"/>
      <c r="O208" s="89"/>
      <c r="P208" s="80" t="s">
        <v>203</v>
      </c>
      <c r="Q208" s="35"/>
      <c r="R208" s="35"/>
      <c r="S208" s="35"/>
      <c r="T208" s="104"/>
      <c r="U208" s="21"/>
      <c r="V208" s="10"/>
      <c r="W208" s="79"/>
      <c r="X208" s="80"/>
      <c r="Y208" s="81"/>
      <c r="Z208" s="81"/>
      <c r="AA208" s="21"/>
      <c r="AB208" s="23"/>
      <c r="AC208" s="24"/>
      <c r="AD208" s="24"/>
      <c r="AE208" s="25"/>
      <c r="AF208" s="59"/>
      <c r="AG208" s="59"/>
      <c r="AH208" s="12">
        <f t="shared" si="5"/>
        <v>0</v>
      </c>
      <c r="AI208" s="95"/>
      <c r="AJ208" s="96"/>
      <c r="AK208" s="97"/>
      <c r="AL208" s="134"/>
      <c r="AM208" s="54"/>
      <c r="AN208" s="54"/>
      <c r="AO208" s="98"/>
      <c r="AP208" s="99"/>
      <c r="AQ208" s="98"/>
      <c r="AR208" s="100"/>
      <c r="AS208" s="83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214"/>
    </row>
    <row r="209" spans="1:56" s="193" customFormat="1" ht="32.25" customHeight="1" x14ac:dyDescent="0.25">
      <c r="A209" s="270">
        <v>38</v>
      </c>
      <c r="B209" s="255" t="s">
        <v>617</v>
      </c>
      <c r="C209" s="44" t="s">
        <v>618</v>
      </c>
      <c r="D209" s="44" t="s">
        <v>134</v>
      </c>
      <c r="E209" s="44" t="s">
        <v>123</v>
      </c>
      <c r="F209" s="44" t="s">
        <v>176</v>
      </c>
      <c r="G209" s="118">
        <v>11545</v>
      </c>
      <c r="H209" s="116" t="s">
        <v>619</v>
      </c>
      <c r="I209" s="44" t="s">
        <v>196</v>
      </c>
      <c r="J209" s="44" t="s">
        <v>324</v>
      </c>
      <c r="K209" s="17">
        <v>42145</v>
      </c>
      <c r="L209" s="105">
        <v>124970.8</v>
      </c>
      <c r="M209" s="63">
        <v>11566</v>
      </c>
      <c r="N209" s="17">
        <v>42145</v>
      </c>
      <c r="O209" s="17">
        <v>42369</v>
      </c>
      <c r="P209" s="106" t="s">
        <v>157</v>
      </c>
      <c r="Q209" s="16"/>
      <c r="R209" s="16"/>
      <c r="S209" s="16"/>
      <c r="T209" s="16" t="s">
        <v>204</v>
      </c>
      <c r="U209" s="21"/>
      <c r="V209" s="21"/>
      <c r="W209" s="11"/>
      <c r="X209" s="21"/>
      <c r="Y209" s="21"/>
      <c r="Z209" s="21"/>
      <c r="AA209" s="23"/>
      <c r="AB209" s="21"/>
      <c r="AC209" s="24"/>
      <c r="AD209" s="24"/>
      <c r="AE209" s="25"/>
      <c r="AF209" s="107">
        <f>24773.6+3070.1+22275.5</f>
        <v>50119.199999999997</v>
      </c>
      <c r="AG209" s="107">
        <v>0</v>
      </c>
      <c r="AH209" s="12">
        <f t="shared" si="5"/>
        <v>50119.199999999997</v>
      </c>
      <c r="AI209" s="21"/>
      <c r="AJ209" s="11"/>
      <c r="AK209" s="21"/>
      <c r="AL209" s="27"/>
      <c r="AM209" s="21"/>
      <c r="AN209" s="21"/>
      <c r="AO209" s="11"/>
      <c r="AP209" s="10"/>
      <c r="AQ209" s="11"/>
      <c r="AR209" s="10"/>
      <c r="AS209" s="69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</row>
    <row r="210" spans="1:56" s="193" customFormat="1" ht="32.25" customHeight="1" x14ac:dyDescent="0.25">
      <c r="A210" s="269"/>
      <c r="B210" s="255"/>
      <c r="C210" s="44"/>
      <c r="D210" s="44"/>
      <c r="E210" s="44"/>
      <c r="F210" s="44"/>
      <c r="G210" s="118"/>
      <c r="H210" s="116"/>
      <c r="I210" s="44"/>
      <c r="J210" s="44"/>
      <c r="K210" s="36"/>
      <c r="L210" s="108"/>
      <c r="M210" s="73"/>
      <c r="N210" s="36"/>
      <c r="O210" s="36"/>
      <c r="P210" s="6" t="s">
        <v>314</v>
      </c>
      <c r="Q210" s="35"/>
      <c r="R210" s="35"/>
      <c r="S210" s="35"/>
      <c r="T210" s="35"/>
      <c r="U210" s="21"/>
      <c r="V210" s="21"/>
      <c r="W210" s="11"/>
      <c r="X210" s="21"/>
      <c r="Y210" s="21"/>
      <c r="Z210" s="21"/>
      <c r="AA210" s="23"/>
      <c r="AB210" s="21"/>
      <c r="AC210" s="24"/>
      <c r="AD210" s="24"/>
      <c r="AE210" s="25"/>
      <c r="AF210" s="107">
        <f>32250+33883.6+8718+4787.96</f>
        <v>79639.560000000012</v>
      </c>
      <c r="AG210" s="107">
        <v>1848.03</v>
      </c>
      <c r="AH210" s="12">
        <f t="shared" si="5"/>
        <v>81487.590000000011</v>
      </c>
      <c r="AI210" s="21"/>
      <c r="AJ210" s="11"/>
      <c r="AK210" s="21"/>
      <c r="AL210" s="27"/>
      <c r="AM210" s="21"/>
      <c r="AN210" s="21"/>
      <c r="AO210" s="11"/>
      <c r="AP210" s="10"/>
      <c r="AQ210" s="11"/>
      <c r="AR210" s="10"/>
      <c r="AS210" s="69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</row>
    <row r="211" spans="1:56" s="193" customFormat="1" ht="36" customHeight="1" x14ac:dyDescent="0.25">
      <c r="A211" s="270">
        <v>39</v>
      </c>
      <c r="B211" s="256" t="s">
        <v>635</v>
      </c>
      <c r="C211" s="16" t="s">
        <v>636</v>
      </c>
      <c r="D211" s="16" t="s">
        <v>381</v>
      </c>
      <c r="E211" s="16" t="s">
        <v>123</v>
      </c>
      <c r="F211" s="16" t="s">
        <v>637</v>
      </c>
      <c r="G211" s="63">
        <v>11536</v>
      </c>
      <c r="H211" s="16" t="s">
        <v>638</v>
      </c>
      <c r="I211" s="16" t="s">
        <v>256</v>
      </c>
      <c r="J211" s="16" t="s">
        <v>348</v>
      </c>
      <c r="K211" s="17">
        <v>42114</v>
      </c>
      <c r="L211" s="105">
        <v>87571.36</v>
      </c>
      <c r="M211" s="63">
        <v>11563</v>
      </c>
      <c r="N211" s="17">
        <v>42114</v>
      </c>
      <c r="O211" s="17">
        <v>42369</v>
      </c>
      <c r="P211" s="109" t="s">
        <v>157</v>
      </c>
      <c r="Q211" s="16"/>
      <c r="R211" s="16"/>
      <c r="S211" s="16"/>
      <c r="T211" s="16" t="s">
        <v>160</v>
      </c>
      <c r="U211" s="21"/>
      <c r="V211" s="21"/>
      <c r="W211" s="11"/>
      <c r="X211" s="21"/>
      <c r="Y211" s="21"/>
      <c r="Z211" s="21"/>
      <c r="AA211" s="23"/>
      <c r="AB211" s="21"/>
      <c r="AC211" s="24"/>
      <c r="AD211" s="24"/>
      <c r="AE211" s="25">
        <f>L211</f>
        <v>87571.36</v>
      </c>
      <c r="AF211" s="107">
        <f>4731.8+1813.4+1705.5+1733.38+19095+7005.6+7226.5+2921.48+13212.55+6593.1</f>
        <v>66038.310000000012</v>
      </c>
      <c r="AG211" s="107">
        <f>7472.2+7427.87</f>
        <v>14900.07</v>
      </c>
      <c r="AH211" s="12">
        <f t="shared" si="5"/>
        <v>80938.38</v>
      </c>
      <c r="AI211" s="21"/>
      <c r="AJ211" s="11"/>
      <c r="AK211" s="21"/>
      <c r="AL211" s="27"/>
      <c r="AM211" s="21"/>
      <c r="AN211" s="21"/>
      <c r="AO211" s="11"/>
      <c r="AP211" s="10"/>
      <c r="AQ211" s="11"/>
      <c r="AR211" s="10"/>
      <c r="AS211" s="69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</row>
    <row r="212" spans="1:56" s="193" customFormat="1" ht="27" customHeight="1" x14ac:dyDescent="0.25">
      <c r="A212" s="269"/>
      <c r="B212" s="258"/>
      <c r="C212" s="35"/>
      <c r="D212" s="35"/>
      <c r="E212" s="35"/>
      <c r="F212" s="35"/>
      <c r="G212" s="73"/>
      <c r="H212" s="35"/>
      <c r="I212" s="35"/>
      <c r="J212" s="35"/>
      <c r="K212" s="36"/>
      <c r="L212" s="108"/>
      <c r="M212" s="73"/>
      <c r="N212" s="36"/>
      <c r="O212" s="36"/>
      <c r="P212" s="110"/>
      <c r="Q212" s="35"/>
      <c r="R212" s="35"/>
      <c r="S212" s="35"/>
      <c r="T212" s="35"/>
      <c r="U212" s="21" t="s">
        <v>240</v>
      </c>
      <c r="V212" s="10">
        <v>42367</v>
      </c>
      <c r="W212" s="11"/>
      <c r="X212" s="21" t="s">
        <v>785</v>
      </c>
      <c r="Y212" s="10">
        <v>42370</v>
      </c>
      <c r="Z212" s="10">
        <v>42490</v>
      </c>
      <c r="AA212" s="23"/>
      <c r="AB212" s="21"/>
      <c r="AC212" s="24"/>
      <c r="AD212" s="24"/>
      <c r="AE212" s="25"/>
      <c r="AF212" s="107"/>
      <c r="AG212" s="107"/>
      <c r="AH212" s="12">
        <f t="shared" si="5"/>
        <v>0</v>
      </c>
      <c r="AI212" s="21"/>
      <c r="AJ212" s="11"/>
      <c r="AK212" s="21"/>
      <c r="AL212" s="27"/>
      <c r="AM212" s="21"/>
      <c r="AN212" s="21"/>
      <c r="AO212" s="11"/>
      <c r="AP212" s="10"/>
      <c r="AQ212" s="11"/>
      <c r="AR212" s="10"/>
      <c r="AS212" s="69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</row>
    <row r="213" spans="1:56" s="193" customFormat="1" ht="47.25" customHeight="1" x14ac:dyDescent="0.25">
      <c r="A213" s="270">
        <v>40</v>
      </c>
      <c r="B213" s="256" t="s">
        <v>617</v>
      </c>
      <c r="C213" s="16" t="s">
        <v>618</v>
      </c>
      <c r="D213" s="16" t="s">
        <v>381</v>
      </c>
      <c r="E213" s="16" t="s">
        <v>123</v>
      </c>
      <c r="F213" s="44" t="s">
        <v>267</v>
      </c>
      <c r="G213" s="63">
        <v>11545</v>
      </c>
      <c r="H213" s="16" t="s">
        <v>813</v>
      </c>
      <c r="I213" s="16" t="s">
        <v>814</v>
      </c>
      <c r="J213" s="16" t="s">
        <v>727</v>
      </c>
      <c r="K213" s="17">
        <v>42149</v>
      </c>
      <c r="L213" s="105">
        <v>62920</v>
      </c>
      <c r="M213" s="63">
        <v>11566</v>
      </c>
      <c r="N213" s="17">
        <v>42149</v>
      </c>
      <c r="O213" s="17">
        <v>42369</v>
      </c>
      <c r="P213" s="6" t="s">
        <v>157</v>
      </c>
      <c r="Q213" s="69"/>
      <c r="R213" s="69"/>
      <c r="S213" s="69"/>
      <c r="T213" s="16" t="s">
        <v>204</v>
      </c>
      <c r="U213" s="21"/>
      <c r="V213" s="21"/>
      <c r="W213" s="11"/>
      <c r="X213" s="21"/>
      <c r="Y213" s="21"/>
      <c r="Z213" s="21"/>
      <c r="AA213" s="23"/>
      <c r="AB213" s="21"/>
      <c r="AC213" s="24"/>
      <c r="AD213" s="24"/>
      <c r="AE213" s="25"/>
      <c r="AF213" s="25"/>
      <c r="AG213" s="107">
        <v>5045.53</v>
      </c>
      <c r="AH213" s="12">
        <f t="shared" ref="AH213:AH228" si="6">AF213+AG213</f>
        <v>5045.53</v>
      </c>
      <c r="AI213" s="21"/>
      <c r="AJ213" s="11"/>
      <c r="AK213" s="21"/>
      <c r="AL213" s="27"/>
      <c r="AM213" s="21"/>
      <c r="AN213" s="21"/>
      <c r="AO213" s="11"/>
      <c r="AP213" s="10"/>
      <c r="AQ213" s="11"/>
      <c r="AR213" s="10"/>
      <c r="AS213" s="69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</row>
    <row r="214" spans="1:56" s="193" customFormat="1" ht="47.25" customHeight="1" x14ac:dyDescent="0.25">
      <c r="A214" s="269"/>
      <c r="B214" s="258"/>
      <c r="C214" s="35"/>
      <c r="D214" s="35"/>
      <c r="E214" s="35"/>
      <c r="F214" s="44"/>
      <c r="G214" s="73"/>
      <c r="H214" s="35"/>
      <c r="I214" s="35"/>
      <c r="J214" s="35"/>
      <c r="K214" s="36"/>
      <c r="L214" s="108"/>
      <c r="M214" s="73"/>
      <c r="N214" s="36"/>
      <c r="O214" s="36"/>
      <c r="P214" s="6" t="s">
        <v>158</v>
      </c>
      <c r="Q214" s="51"/>
      <c r="R214" s="51"/>
      <c r="S214" s="51"/>
      <c r="T214" s="35"/>
      <c r="U214" s="21" t="s">
        <v>240</v>
      </c>
      <c r="V214" s="10">
        <v>42367</v>
      </c>
      <c r="W214" s="11">
        <v>11757</v>
      </c>
      <c r="X214" s="21" t="s">
        <v>815</v>
      </c>
      <c r="Y214" s="10">
        <v>42370</v>
      </c>
      <c r="Z214" s="10">
        <v>42582</v>
      </c>
      <c r="AA214" s="23"/>
      <c r="AB214" s="21"/>
      <c r="AC214" s="24"/>
      <c r="AD214" s="24"/>
      <c r="AE214" s="25"/>
      <c r="AF214" s="25"/>
      <c r="AG214" s="107"/>
      <c r="AH214" s="12">
        <f t="shared" si="6"/>
        <v>0</v>
      </c>
      <c r="AI214" s="21"/>
      <c r="AJ214" s="11"/>
      <c r="AK214" s="21"/>
      <c r="AL214" s="27"/>
      <c r="AM214" s="21"/>
      <c r="AN214" s="21"/>
      <c r="AO214" s="11"/>
      <c r="AP214" s="10"/>
      <c r="AQ214" s="11"/>
      <c r="AR214" s="10"/>
      <c r="AS214" s="69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</row>
    <row r="215" spans="1:56" s="193" customFormat="1" ht="47.25" customHeight="1" x14ac:dyDescent="0.25">
      <c r="A215" s="270">
        <v>41</v>
      </c>
      <c r="B215" s="256" t="s">
        <v>617</v>
      </c>
      <c r="C215" s="16" t="s">
        <v>618</v>
      </c>
      <c r="D215" s="16" t="s">
        <v>381</v>
      </c>
      <c r="E215" s="16" t="s">
        <v>123</v>
      </c>
      <c r="F215" s="44" t="s">
        <v>438</v>
      </c>
      <c r="G215" s="63">
        <v>11545</v>
      </c>
      <c r="H215" s="16" t="s">
        <v>650</v>
      </c>
      <c r="I215" s="16" t="s">
        <v>651</v>
      </c>
      <c r="J215" s="16" t="s">
        <v>652</v>
      </c>
      <c r="K215" s="17">
        <v>42146</v>
      </c>
      <c r="L215" s="105">
        <v>13056</v>
      </c>
      <c r="M215" s="63">
        <v>11566</v>
      </c>
      <c r="N215" s="17">
        <v>42149</v>
      </c>
      <c r="O215" s="17">
        <v>42369</v>
      </c>
      <c r="P215" s="6" t="s">
        <v>157</v>
      </c>
      <c r="Q215" s="111"/>
      <c r="R215" s="111"/>
      <c r="S215" s="111"/>
      <c r="T215" s="44" t="s">
        <v>204</v>
      </c>
      <c r="U215" s="21"/>
      <c r="V215" s="21"/>
      <c r="W215" s="11"/>
      <c r="X215" s="21"/>
      <c r="Y215" s="21"/>
      <c r="Z215" s="21"/>
      <c r="AA215" s="23"/>
      <c r="AB215" s="21"/>
      <c r="AC215" s="24"/>
      <c r="AD215" s="24"/>
      <c r="AE215" s="25"/>
      <c r="AF215" s="107">
        <f>720+1274.2+1324.8+236.9+412.5+657.8+917.7+177.1+264.5+361.1+1145.4+770+361.1+1262.7+52.9+299+92+368+679.5+239.2</f>
        <v>11616.400000000001</v>
      </c>
      <c r="AG215" s="107">
        <v>0</v>
      </c>
      <c r="AH215" s="12">
        <f t="shared" si="6"/>
        <v>11616.400000000001</v>
      </c>
      <c r="AI215" s="21"/>
      <c r="AJ215" s="11"/>
      <c r="AK215" s="21"/>
      <c r="AL215" s="27"/>
      <c r="AM215" s="21"/>
      <c r="AN215" s="21"/>
      <c r="AO215" s="11"/>
      <c r="AP215" s="10"/>
      <c r="AQ215" s="11"/>
      <c r="AR215" s="10"/>
      <c r="AS215" s="69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</row>
    <row r="216" spans="1:56" s="193" customFormat="1" ht="47.25" customHeight="1" x14ac:dyDescent="0.25">
      <c r="A216" s="269"/>
      <c r="B216" s="258"/>
      <c r="C216" s="35"/>
      <c r="D216" s="35"/>
      <c r="E216" s="35"/>
      <c r="F216" s="44"/>
      <c r="G216" s="73"/>
      <c r="H216" s="35"/>
      <c r="I216" s="35"/>
      <c r="J216" s="35"/>
      <c r="K216" s="36"/>
      <c r="L216" s="108"/>
      <c r="M216" s="73"/>
      <c r="N216" s="36"/>
      <c r="O216" s="36"/>
      <c r="P216" s="6" t="s">
        <v>314</v>
      </c>
      <c r="Q216" s="51"/>
      <c r="R216" s="51"/>
      <c r="S216" s="51"/>
      <c r="T216" s="44"/>
      <c r="U216" s="21"/>
      <c r="V216" s="21"/>
      <c r="W216" s="11"/>
      <c r="X216" s="21"/>
      <c r="Y216" s="21"/>
      <c r="Z216" s="21"/>
      <c r="AA216" s="23"/>
      <c r="AB216" s="21"/>
      <c r="AC216" s="24"/>
      <c r="AD216" s="24"/>
      <c r="AE216" s="25"/>
      <c r="AF216" s="107">
        <f>398.63+303.48+198.03+270.36</f>
        <v>1170.5</v>
      </c>
      <c r="AG216" s="107">
        <f>161</f>
        <v>161</v>
      </c>
      <c r="AH216" s="12">
        <f t="shared" si="6"/>
        <v>1331.5</v>
      </c>
      <c r="AI216" s="21"/>
      <c r="AJ216" s="11"/>
      <c r="AK216" s="21"/>
      <c r="AL216" s="27"/>
      <c r="AM216" s="21"/>
      <c r="AN216" s="21"/>
      <c r="AO216" s="11"/>
      <c r="AP216" s="10"/>
      <c r="AQ216" s="11"/>
      <c r="AR216" s="10"/>
      <c r="AS216" s="69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</row>
    <row r="217" spans="1:56" s="193" customFormat="1" ht="48.75" customHeight="1" x14ac:dyDescent="0.25">
      <c r="A217" s="270">
        <v>42</v>
      </c>
      <c r="B217" s="256" t="s">
        <v>620</v>
      </c>
      <c r="C217" s="16" t="s">
        <v>583</v>
      </c>
      <c r="D217" s="44" t="s">
        <v>381</v>
      </c>
      <c r="E217" s="44" t="s">
        <v>123</v>
      </c>
      <c r="F217" s="44" t="s">
        <v>267</v>
      </c>
      <c r="G217" s="63">
        <v>11535</v>
      </c>
      <c r="H217" s="44" t="s">
        <v>633</v>
      </c>
      <c r="I217" s="16" t="s">
        <v>589</v>
      </c>
      <c r="J217" s="16" t="s">
        <v>634</v>
      </c>
      <c r="K217" s="17">
        <v>42158</v>
      </c>
      <c r="L217" s="105">
        <v>218825.25</v>
      </c>
      <c r="M217" s="63">
        <v>11577</v>
      </c>
      <c r="N217" s="17">
        <v>42158</v>
      </c>
      <c r="O217" s="17">
        <v>42369</v>
      </c>
      <c r="P217" s="6" t="s">
        <v>157</v>
      </c>
      <c r="Q217" s="111"/>
      <c r="R217" s="111"/>
      <c r="S217" s="111"/>
      <c r="T217" s="16" t="s">
        <v>204</v>
      </c>
      <c r="U217" s="21"/>
      <c r="V217" s="21"/>
      <c r="W217" s="11"/>
      <c r="X217" s="21"/>
      <c r="Y217" s="21"/>
      <c r="Z217" s="21"/>
      <c r="AA217" s="23"/>
      <c r="AB217" s="21"/>
      <c r="AC217" s="24"/>
      <c r="AD217" s="24"/>
      <c r="AE217" s="25"/>
      <c r="AF217" s="107">
        <f>1840+20020+23044+10695.6+1430+4686+11447.5+58429.75+11717.4+49067+5129+2362.5+10450.25+528</f>
        <v>210847</v>
      </c>
      <c r="AG217" s="107">
        <f>2360+849.6+61757</f>
        <v>64966.6</v>
      </c>
      <c r="AH217" s="12">
        <f t="shared" si="6"/>
        <v>275813.59999999998</v>
      </c>
      <c r="AI217" s="21"/>
      <c r="AJ217" s="11"/>
      <c r="AK217" s="21"/>
      <c r="AL217" s="27"/>
      <c r="AM217" s="21"/>
      <c r="AN217" s="21"/>
      <c r="AO217" s="11"/>
      <c r="AP217" s="10"/>
      <c r="AQ217" s="11"/>
      <c r="AR217" s="10"/>
      <c r="AS217" s="69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</row>
    <row r="218" spans="1:56" s="193" customFormat="1" ht="48.75" customHeight="1" x14ac:dyDescent="0.25">
      <c r="A218" s="269"/>
      <c r="B218" s="258"/>
      <c r="C218" s="35"/>
      <c r="D218" s="44"/>
      <c r="E218" s="44"/>
      <c r="F218" s="44"/>
      <c r="G218" s="73"/>
      <c r="H218" s="44"/>
      <c r="I218" s="35"/>
      <c r="J218" s="35"/>
      <c r="K218" s="36"/>
      <c r="L218" s="108"/>
      <c r="M218" s="73"/>
      <c r="N218" s="36"/>
      <c r="O218" s="36"/>
      <c r="P218" s="6" t="s">
        <v>314</v>
      </c>
      <c r="Q218" s="51"/>
      <c r="R218" s="51"/>
      <c r="S218" s="51"/>
      <c r="T218" s="35"/>
      <c r="U218" s="21"/>
      <c r="V218" s="21"/>
      <c r="W218" s="11"/>
      <c r="X218" s="21"/>
      <c r="Y218" s="21"/>
      <c r="Z218" s="21"/>
      <c r="AA218" s="23"/>
      <c r="AB218" s="21"/>
      <c r="AC218" s="24"/>
      <c r="AD218" s="24"/>
      <c r="AE218" s="25"/>
      <c r="AF218" s="107">
        <f>2450+1732.25+40</f>
        <v>4222.25</v>
      </c>
      <c r="AG218" s="107">
        <f>2296</f>
        <v>2296</v>
      </c>
      <c r="AH218" s="12">
        <f t="shared" si="6"/>
        <v>6518.25</v>
      </c>
      <c r="AI218" s="21"/>
      <c r="AJ218" s="11"/>
      <c r="AK218" s="21"/>
      <c r="AL218" s="27"/>
      <c r="AM218" s="21"/>
      <c r="AN218" s="21"/>
      <c r="AO218" s="11"/>
      <c r="AP218" s="10"/>
      <c r="AQ218" s="11"/>
      <c r="AR218" s="10"/>
      <c r="AS218" s="69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</row>
    <row r="219" spans="1:56" s="193" customFormat="1" ht="32.25" customHeight="1" x14ac:dyDescent="0.25">
      <c r="A219" s="271">
        <v>43</v>
      </c>
      <c r="B219" s="259" t="s">
        <v>620</v>
      </c>
      <c r="C219" s="44" t="s">
        <v>583</v>
      </c>
      <c r="D219" s="44" t="s">
        <v>381</v>
      </c>
      <c r="E219" s="44" t="s">
        <v>123</v>
      </c>
      <c r="F219" s="44" t="s">
        <v>265</v>
      </c>
      <c r="G219" s="43">
        <v>11535</v>
      </c>
      <c r="H219" s="44" t="s">
        <v>622</v>
      </c>
      <c r="I219" s="44" t="s">
        <v>455</v>
      </c>
      <c r="J219" s="44" t="s">
        <v>325</v>
      </c>
      <c r="K219" s="30">
        <v>42158</v>
      </c>
      <c r="L219" s="13">
        <v>155692.5</v>
      </c>
      <c r="M219" s="67">
        <v>11577</v>
      </c>
      <c r="N219" s="30">
        <v>42158</v>
      </c>
      <c r="O219" s="30">
        <v>42369</v>
      </c>
      <c r="P219" s="6" t="s">
        <v>157</v>
      </c>
      <c r="Q219" s="16"/>
      <c r="R219" s="16"/>
      <c r="S219" s="16"/>
      <c r="T219" s="16" t="s">
        <v>623</v>
      </c>
      <c r="U219" s="21"/>
      <c r="V219" s="21"/>
      <c r="W219" s="11"/>
      <c r="X219" s="21"/>
      <c r="Y219" s="21"/>
      <c r="Z219" s="21"/>
      <c r="AA219" s="23"/>
      <c r="AB219" s="21"/>
      <c r="AC219" s="24"/>
      <c r="AD219" s="24"/>
      <c r="AE219" s="25"/>
      <c r="AF219" s="107">
        <f>24300+17200+7900+7087.5+2833+24650+3277.5+3887.5+6620+5204.5+5387.5+17931.3</f>
        <v>126278.8</v>
      </c>
      <c r="AG219" s="107">
        <f>3820+11287.5+3162.5+11143.7</f>
        <v>29413.7</v>
      </c>
      <c r="AH219" s="12">
        <f t="shared" si="6"/>
        <v>155692.5</v>
      </c>
      <c r="AI219" s="21"/>
      <c r="AJ219" s="11"/>
      <c r="AK219" s="21"/>
      <c r="AL219" s="27"/>
      <c r="AM219" s="21"/>
      <c r="AN219" s="21"/>
      <c r="AO219" s="11"/>
      <c r="AP219" s="10"/>
      <c r="AQ219" s="11"/>
      <c r="AR219" s="10"/>
      <c r="AS219" s="69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</row>
    <row r="220" spans="1:56" s="193" customFormat="1" ht="32.25" customHeight="1" x14ac:dyDescent="0.25">
      <c r="A220" s="271"/>
      <c r="B220" s="259"/>
      <c r="C220" s="44"/>
      <c r="D220" s="44"/>
      <c r="E220" s="44"/>
      <c r="F220" s="44"/>
      <c r="G220" s="43"/>
      <c r="H220" s="44"/>
      <c r="I220" s="44"/>
      <c r="J220" s="44"/>
      <c r="K220" s="30"/>
      <c r="L220" s="13"/>
      <c r="M220" s="67"/>
      <c r="N220" s="30"/>
      <c r="O220" s="30"/>
      <c r="P220" s="106" t="s">
        <v>314</v>
      </c>
      <c r="Q220" s="35"/>
      <c r="R220" s="35"/>
      <c r="S220" s="35"/>
      <c r="T220" s="35"/>
      <c r="U220" s="21" t="s">
        <v>240</v>
      </c>
      <c r="V220" s="10">
        <v>42367</v>
      </c>
      <c r="W220" s="11"/>
      <c r="X220" s="21" t="s">
        <v>162</v>
      </c>
      <c r="Y220" s="10">
        <v>42370</v>
      </c>
      <c r="Z220" s="10">
        <v>42582</v>
      </c>
      <c r="AA220" s="23"/>
      <c r="AB220" s="21"/>
      <c r="AC220" s="24"/>
      <c r="AD220" s="24"/>
      <c r="AE220" s="25"/>
      <c r="AF220" s="107">
        <v>3277.5</v>
      </c>
      <c r="AG220" s="107"/>
      <c r="AH220" s="12">
        <f t="shared" si="6"/>
        <v>3277.5</v>
      </c>
      <c r="AI220" s="21"/>
      <c r="AJ220" s="11"/>
      <c r="AK220" s="21"/>
      <c r="AL220" s="27"/>
      <c r="AM220" s="21"/>
      <c r="AN220" s="21"/>
      <c r="AO220" s="11"/>
      <c r="AP220" s="10"/>
      <c r="AQ220" s="11"/>
      <c r="AR220" s="10"/>
      <c r="AS220" s="69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</row>
    <row r="221" spans="1:56" s="193" customFormat="1" ht="21" customHeight="1" x14ac:dyDescent="0.25">
      <c r="A221" s="270">
        <v>44</v>
      </c>
      <c r="B221" s="254" t="s">
        <v>670</v>
      </c>
      <c r="C221" s="16" t="s">
        <v>671</v>
      </c>
      <c r="D221" s="16" t="s">
        <v>381</v>
      </c>
      <c r="E221" s="16" t="s">
        <v>123</v>
      </c>
      <c r="F221" s="16" t="s">
        <v>672</v>
      </c>
      <c r="G221" s="62">
        <v>11581</v>
      </c>
      <c r="H221" s="16" t="s">
        <v>673</v>
      </c>
      <c r="I221" s="16" t="s">
        <v>674</v>
      </c>
      <c r="J221" s="16" t="s">
        <v>368</v>
      </c>
      <c r="K221" s="17">
        <v>42179</v>
      </c>
      <c r="L221" s="105">
        <v>125000</v>
      </c>
      <c r="M221" s="63">
        <v>11604</v>
      </c>
      <c r="N221" s="17">
        <v>42179</v>
      </c>
      <c r="O221" s="17">
        <v>42369</v>
      </c>
      <c r="P221" s="109" t="s">
        <v>157</v>
      </c>
      <c r="Q221" s="16"/>
      <c r="R221" s="16"/>
      <c r="S221" s="16"/>
      <c r="T221" s="16" t="s">
        <v>160</v>
      </c>
      <c r="U221" s="21"/>
      <c r="V221" s="21"/>
      <c r="W221" s="11"/>
      <c r="X221" s="21"/>
      <c r="Y221" s="21"/>
      <c r="Z221" s="21"/>
      <c r="AA221" s="23"/>
      <c r="AB221" s="21"/>
      <c r="AC221" s="24"/>
      <c r="AD221" s="24"/>
      <c r="AE221" s="25"/>
      <c r="AF221" s="107">
        <f>3015+2576.77+21420.4+12454.28+21420.4</f>
        <v>60886.850000000006</v>
      </c>
      <c r="AG221" s="12">
        <f>20571.7+7415.45</f>
        <v>27987.15</v>
      </c>
      <c r="AH221" s="12">
        <f t="shared" si="6"/>
        <v>88874</v>
      </c>
      <c r="AI221" s="21"/>
      <c r="AJ221" s="11"/>
      <c r="AK221" s="21"/>
      <c r="AL221" s="27"/>
      <c r="AM221" s="21"/>
      <c r="AN221" s="21"/>
      <c r="AO221" s="11"/>
      <c r="AP221" s="10"/>
      <c r="AQ221" s="11"/>
      <c r="AR221" s="10"/>
      <c r="AS221" s="69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</row>
    <row r="222" spans="1:56" s="193" customFormat="1" ht="27" customHeight="1" x14ac:dyDescent="0.25">
      <c r="A222" s="269"/>
      <c r="B222" s="253"/>
      <c r="C222" s="35"/>
      <c r="D222" s="35"/>
      <c r="E222" s="35"/>
      <c r="F222" s="35"/>
      <c r="G222" s="72"/>
      <c r="H222" s="35"/>
      <c r="I222" s="35"/>
      <c r="J222" s="35"/>
      <c r="K222" s="36"/>
      <c r="L222" s="108"/>
      <c r="M222" s="73"/>
      <c r="N222" s="36"/>
      <c r="O222" s="36"/>
      <c r="P222" s="110"/>
      <c r="Q222" s="35"/>
      <c r="R222" s="35"/>
      <c r="S222" s="35"/>
      <c r="T222" s="35"/>
      <c r="U222" s="21" t="s">
        <v>240</v>
      </c>
      <c r="V222" s="10">
        <v>42367</v>
      </c>
      <c r="W222" s="11"/>
      <c r="X222" s="21" t="s">
        <v>787</v>
      </c>
      <c r="Y222" s="10">
        <v>42367</v>
      </c>
      <c r="Z222" s="10">
        <v>42490</v>
      </c>
      <c r="AA222" s="23"/>
      <c r="AB222" s="21"/>
      <c r="AC222" s="24"/>
      <c r="AD222" s="24"/>
      <c r="AE222" s="25"/>
      <c r="AF222" s="107"/>
      <c r="AG222" s="14"/>
      <c r="AH222" s="12">
        <f t="shared" si="6"/>
        <v>0</v>
      </c>
      <c r="AI222" s="21"/>
      <c r="AJ222" s="11"/>
      <c r="AK222" s="21"/>
      <c r="AL222" s="27"/>
      <c r="AM222" s="21"/>
      <c r="AN222" s="21"/>
      <c r="AO222" s="11"/>
      <c r="AP222" s="10"/>
      <c r="AQ222" s="11"/>
      <c r="AR222" s="10"/>
      <c r="AS222" s="69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</row>
    <row r="223" spans="1:56" s="193" customFormat="1" ht="25.5" customHeight="1" x14ac:dyDescent="0.25">
      <c r="A223" s="270">
        <v>45</v>
      </c>
      <c r="B223" s="254" t="s">
        <v>670</v>
      </c>
      <c r="C223" s="16" t="s">
        <v>671</v>
      </c>
      <c r="D223" s="16" t="s">
        <v>733</v>
      </c>
      <c r="E223" s="16" t="s">
        <v>123</v>
      </c>
      <c r="F223" s="16" t="s">
        <v>672</v>
      </c>
      <c r="G223" s="62">
        <v>11581</v>
      </c>
      <c r="H223" s="16" t="s">
        <v>714</v>
      </c>
      <c r="I223" s="16" t="s">
        <v>256</v>
      </c>
      <c r="J223" s="16" t="s">
        <v>348</v>
      </c>
      <c r="K223" s="17">
        <v>42114</v>
      </c>
      <c r="L223" s="105">
        <v>9000</v>
      </c>
      <c r="M223" s="63">
        <v>11604</v>
      </c>
      <c r="N223" s="17">
        <v>42114</v>
      </c>
      <c r="O223" s="17">
        <v>42369</v>
      </c>
      <c r="P223" s="109" t="s">
        <v>157</v>
      </c>
      <c r="Q223" s="111"/>
      <c r="R223" s="111"/>
      <c r="S223" s="111"/>
      <c r="T223" s="16" t="s">
        <v>160</v>
      </c>
      <c r="U223" s="21"/>
      <c r="V223" s="21"/>
      <c r="W223" s="11"/>
      <c r="X223" s="21"/>
      <c r="Y223" s="21"/>
      <c r="Z223" s="21"/>
      <c r="AA223" s="23"/>
      <c r="AB223" s="21"/>
      <c r="AC223" s="24"/>
      <c r="AD223" s="24"/>
      <c r="AE223" s="25"/>
      <c r="AF223" s="12">
        <f>216+69</f>
        <v>285</v>
      </c>
      <c r="AG223" s="12">
        <f>2671+462.3+895</f>
        <v>4028.3</v>
      </c>
      <c r="AH223" s="12">
        <f t="shared" si="6"/>
        <v>4313.3</v>
      </c>
      <c r="AI223" s="21"/>
      <c r="AJ223" s="11"/>
      <c r="AK223" s="21"/>
      <c r="AL223" s="27"/>
      <c r="AM223" s="21"/>
      <c r="AN223" s="21"/>
      <c r="AO223" s="11"/>
      <c r="AP223" s="10"/>
      <c r="AQ223" s="11"/>
      <c r="AR223" s="10"/>
      <c r="AS223" s="69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</row>
    <row r="224" spans="1:56" s="193" customFormat="1" ht="16.5" customHeight="1" x14ac:dyDescent="0.25">
      <c r="A224" s="268"/>
      <c r="B224" s="252"/>
      <c r="C224" s="29"/>
      <c r="D224" s="29"/>
      <c r="E224" s="29"/>
      <c r="F224" s="29"/>
      <c r="G224" s="66"/>
      <c r="H224" s="29"/>
      <c r="I224" s="29"/>
      <c r="J224" s="29"/>
      <c r="K224" s="30"/>
      <c r="L224" s="101"/>
      <c r="M224" s="67"/>
      <c r="N224" s="30"/>
      <c r="O224" s="30"/>
      <c r="P224" s="112"/>
      <c r="Q224" s="111"/>
      <c r="R224" s="111"/>
      <c r="S224" s="111"/>
      <c r="T224" s="29"/>
      <c r="U224" s="21" t="s">
        <v>240</v>
      </c>
      <c r="V224" s="10">
        <v>42367</v>
      </c>
      <c r="W224" s="11"/>
      <c r="X224" s="21" t="s">
        <v>787</v>
      </c>
      <c r="Y224" s="10">
        <v>42367</v>
      </c>
      <c r="Z224" s="10">
        <v>42490</v>
      </c>
      <c r="AA224" s="23"/>
      <c r="AB224" s="21"/>
      <c r="AC224" s="24"/>
      <c r="AD224" s="24"/>
      <c r="AE224" s="25"/>
      <c r="AF224" s="13"/>
      <c r="AG224" s="13"/>
      <c r="AH224" s="12">
        <f t="shared" si="6"/>
        <v>0</v>
      </c>
      <c r="AI224" s="21"/>
      <c r="AJ224" s="11"/>
      <c r="AK224" s="21"/>
      <c r="AL224" s="27"/>
      <c r="AM224" s="21"/>
      <c r="AN224" s="21"/>
      <c r="AO224" s="11"/>
      <c r="AP224" s="10"/>
      <c r="AQ224" s="11"/>
      <c r="AR224" s="10"/>
      <c r="AS224" s="69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</row>
    <row r="225" spans="1:56" s="193" customFormat="1" ht="16.5" customHeight="1" x14ac:dyDescent="0.25">
      <c r="A225" s="269"/>
      <c r="B225" s="253"/>
      <c r="C225" s="35"/>
      <c r="D225" s="35"/>
      <c r="E225" s="35"/>
      <c r="F225" s="35"/>
      <c r="G225" s="72"/>
      <c r="H225" s="35"/>
      <c r="I225" s="35"/>
      <c r="J225" s="35"/>
      <c r="K225" s="36"/>
      <c r="L225" s="108"/>
      <c r="M225" s="73"/>
      <c r="N225" s="36"/>
      <c r="O225" s="36"/>
      <c r="P225" s="110"/>
      <c r="Q225" s="111"/>
      <c r="R225" s="111"/>
      <c r="S225" s="111"/>
      <c r="T225" s="35"/>
      <c r="U225" s="21"/>
      <c r="V225" s="21"/>
      <c r="W225" s="11"/>
      <c r="X225" s="21"/>
      <c r="Y225" s="21"/>
      <c r="Z225" s="21"/>
      <c r="AA225" s="23"/>
      <c r="AB225" s="21"/>
      <c r="AC225" s="24"/>
      <c r="AD225" s="24"/>
      <c r="AE225" s="25"/>
      <c r="AF225" s="14"/>
      <c r="AG225" s="14"/>
      <c r="AH225" s="12">
        <f t="shared" si="6"/>
        <v>0</v>
      </c>
      <c r="AI225" s="21"/>
      <c r="AJ225" s="11"/>
      <c r="AK225" s="21"/>
      <c r="AL225" s="27"/>
      <c r="AM225" s="21"/>
      <c r="AN225" s="21"/>
      <c r="AO225" s="11"/>
      <c r="AP225" s="10"/>
      <c r="AQ225" s="11"/>
      <c r="AR225" s="10"/>
      <c r="AS225" s="69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</row>
    <row r="226" spans="1:56" s="193" customFormat="1" ht="51" customHeight="1" x14ac:dyDescent="0.25">
      <c r="A226" s="270">
        <v>46</v>
      </c>
      <c r="B226" s="254" t="s">
        <v>645</v>
      </c>
      <c r="C226" s="16" t="s">
        <v>620</v>
      </c>
      <c r="D226" s="16" t="s">
        <v>572</v>
      </c>
      <c r="E226" s="16" t="s">
        <v>123</v>
      </c>
      <c r="F226" s="16" t="s">
        <v>646</v>
      </c>
      <c r="G226" s="15">
        <v>11578</v>
      </c>
      <c r="H226" s="16" t="s">
        <v>647</v>
      </c>
      <c r="I226" s="16" t="s">
        <v>648</v>
      </c>
      <c r="J226" s="16" t="s">
        <v>379</v>
      </c>
      <c r="K226" s="17">
        <v>42178</v>
      </c>
      <c r="L226" s="105">
        <v>2873784</v>
      </c>
      <c r="M226" s="63">
        <v>11591</v>
      </c>
      <c r="N226" s="17">
        <v>42186</v>
      </c>
      <c r="O226" s="17">
        <v>42369</v>
      </c>
      <c r="P226" s="6" t="s">
        <v>157</v>
      </c>
      <c r="Q226" s="16"/>
      <c r="R226" s="16"/>
      <c r="S226" s="16"/>
      <c r="T226" s="16" t="s">
        <v>160</v>
      </c>
      <c r="U226" s="21"/>
      <c r="V226" s="21"/>
      <c r="W226" s="11"/>
      <c r="X226" s="21"/>
      <c r="Y226" s="21"/>
      <c r="Z226" s="21"/>
      <c r="AA226" s="23"/>
      <c r="AB226" s="21"/>
      <c r="AC226" s="24"/>
      <c r="AD226" s="24"/>
      <c r="AE226" s="25"/>
      <c r="AF226" s="107">
        <f>23948.2+23948.2+23948.2+33527.48+407119.4+33527.48</f>
        <v>546018.96000000008</v>
      </c>
      <c r="AG226" s="107">
        <f>35922.3+35922.3+35922.3+440646.88</f>
        <v>548413.78</v>
      </c>
      <c r="AH226" s="12">
        <f t="shared" si="6"/>
        <v>1094432.7400000002</v>
      </c>
      <c r="AI226" s="21"/>
      <c r="AJ226" s="11"/>
      <c r="AK226" s="21"/>
      <c r="AL226" s="27"/>
      <c r="AM226" s="21"/>
      <c r="AN226" s="21"/>
      <c r="AO226" s="11"/>
      <c r="AP226" s="10"/>
      <c r="AQ226" s="11"/>
      <c r="AR226" s="10"/>
      <c r="AS226" s="69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</row>
    <row r="227" spans="1:56" s="193" customFormat="1" ht="51" customHeight="1" x14ac:dyDescent="0.25">
      <c r="A227" s="268"/>
      <c r="B227" s="252"/>
      <c r="C227" s="29"/>
      <c r="D227" s="29"/>
      <c r="E227" s="29"/>
      <c r="F227" s="29"/>
      <c r="G227" s="28"/>
      <c r="H227" s="29"/>
      <c r="I227" s="29"/>
      <c r="J227" s="29"/>
      <c r="K227" s="30"/>
      <c r="L227" s="101"/>
      <c r="M227" s="67"/>
      <c r="N227" s="30"/>
      <c r="O227" s="30"/>
      <c r="P227" s="6"/>
      <c r="Q227" s="29"/>
      <c r="R227" s="29"/>
      <c r="S227" s="29"/>
      <c r="T227" s="29"/>
      <c r="U227" s="21" t="s">
        <v>240</v>
      </c>
      <c r="V227" s="10">
        <v>42368</v>
      </c>
      <c r="W227" s="11">
        <v>11731</v>
      </c>
      <c r="X227" s="21" t="s">
        <v>787</v>
      </c>
      <c r="Y227" s="10">
        <v>42370</v>
      </c>
      <c r="Z227" s="10">
        <v>42735</v>
      </c>
      <c r="AA227" s="23"/>
      <c r="AB227" s="21"/>
      <c r="AC227" s="24"/>
      <c r="AD227" s="24"/>
      <c r="AE227" s="25"/>
      <c r="AF227" s="107"/>
      <c r="AG227" s="107"/>
      <c r="AH227" s="12">
        <f t="shared" si="6"/>
        <v>0</v>
      </c>
      <c r="AI227" s="21"/>
      <c r="AJ227" s="11"/>
      <c r="AK227" s="21"/>
      <c r="AL227" s="27"/>
      <c r="AM227" s="21"/>
      <c r="AN227" s="21"/>
      <c r="AO227" s="11"/>
      <c r="AP227" s="10"/>
      <c r="AQ227" s="11"/>
      <c r="AR227" s="10"/>
      <c r="AS227" s="69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</row>
    <row r="228" spans="1:56" s="193" customFormat="1" ht="51" customHeight="1" x14ac:dyDescent="0.25">
      <c r="A228" s="269"/>
      <c r="B228" s="253"/>
      <c r="C228" s="35"/>
      <c r="D228" s="35"/>
      <c r="E228" s="35"/>
      <c r="F228" s="35"/>
      <c r="G228" s="34"/>
      <c r="H228" s="35"/>
      <c r="I228" s="35"/>
      <c r="J228" s="35"/>
      <c r="K228" s="36"/>
      <c r="L228" s="108"/>
      <c r="M228" s="73"/>
      <c r="N228" s="36"/>
      <c r="O228" s="36"/>
      <c r="P228" s="6" t="s">
        <v>203</v>
      </c>
      <c r="Q228" s="35"/>
      <c r="R228" s="35"/>
      <c r="S228" s="35"/>
      <c r="T228" s="35"/>
      <c r="U228" s="21"/>
      <c r="V228" s="10"/>
      <c r="W228" s="11"/>
      <c r="X228" s="21"/>
      <c r="Y228" s="10"/>
      <c r="Z228" s="10"/>
      <c r="AA228" s="23"/>
      <c r="AB228" s="21"/>
      <c r="AC228" s="24"/>
      <c r="AD228" s="24"/>
      <c r="AE228" s="25"/>
      <c r="AF228" s="107"/>
      <c r="AG228" s="107"/>
      <c r="AH228" s="12">
        <f t="shared" si="6"/>
        <v>0</v>
      </c>
      <c r="AI228" s="21"/>
      <c r="AJ228" s="11"/>
      <c r="AK228" s="21"/>
      <c r="AL228" s="27"/>
      <c r="AM228" s="21"/>
      <c r="AN228" s="21"/>
      <c r="AO228" s="11"/>
      <c r="AP228" s="10"/>
      <c r="AQ228" s="11"/>
      <c r="AR228" s="10"/>
      <c r="AS228" s="69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</row>
    <row r="229" spans="1:56" s="193" customFormat="1" ht="51" customHeight="1" x14ac:dyDescent="0.25">
      <c r="A229" s="272">
        <v>47</v>
      </c>
      <c r="B229" s="260" t="s">
        <v>654</v>
      </c>
      <c r="C229" s="51" t="s">
        <v>655</v>
      </c>
      <c r="D229" s="51" t="s">
        <v>572</v>
      </c>
      <c r="E229" s="51" t="s">
        <v>123</v>
      </c>
      <c r="F229" s="51" t="s">
        <v>656</v>
      </c>
      <c r="G229" s="115">
        <v>11396</v>
      </c>
      <c r="H229" s="6" t="s">
        <v>657</v>
      </c>
      <c r="I229" s="51" t="s">
        <v>658</v>
      </c>
      <c r="J229" s="51" t="s">
        <v>659</v>
      </c>
      <c r="K229" s="52">
        <v>42213</v>
      </c>
      <c r="L229" s="113">
        <v>34336</v>
      </c>
      <c r="M229" s="114">
        <v>11610</v>
      </c>
      <c r="N229" s="52">
        <v>42213</v>
      </c>
      <c r="O229" s="52">
        <v>42258</v>
      </c>
      <c r="P229" s="6" t="s">
        <v>157</v>
      </c>
      <c r="Q229" s="51"/>
      <c r="R229" s="51"/>
      <c r="S229" s="51"/>
      <c r="T229" s="51" t="s">
        <v>204</v>
      </c>
      <c r="U229" s="21"/>
      <c r="V229" s="21"/>
      <c r="W229" s="11"/>
      <c r="X229" s="21"/>
      <c r="Y229" s="21"/>
      <c r="Z229" s="21"/>
      <c r="AA229" s="23"/>
      <c r="AB229" s="21"/>
      <c r="AC229" s="24"/>
      <c r="AD229" s="24"/>
      <c r="AE229" s="25"/>
      <c r="AF229" s="107">
        <f>15146+8670</f>
        <v>23816</v>
      </c>
      <c r="AG229" s="107">
        <v>10520</v>
      </c>
      <c r="AH229" s="12">
        <f t="shared" ref="AH229:AH249" si="7">AF229+AG229</f>
        <v>34336</v>
      </c>
      <c r="AI229" s="21"/>
      <c r="AJ229" s="11"/>
      <c r="AK229" s="21"/>
      <c r="AL229" s="27"/>
      <c r="AM229" s="21"/>
      <c r="AN229" s="21"/>
      <c r="AO229" s="11"/>
      <c r="AP229" s="10"/>
      <c r="AQ229" s="11"/>
      <c r="AR229" s="10"/>
      <c r="AS229" s="69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</row>
    <row r="230" spans="1:56" s="193" customFormat="1" ht="24" customHeight="1" x14ac:dyDescent="0.25">
      <c r="A230" s="270">
        <v>48</v>
      </c>
      <c r="B230" s="256" t="s">
        <v>620</v>
      </c>
      <c r="C230" s="16" t="s">
        <v>583</v>
      </c>
      <c r="D230" s="44" t="s">
        <v>381</v>
      </c>
      <c r="E230" s="44" t="s">
        <v>123</v>
      </c>
      <c r="F230" s="44" t="s">
        <v>267</v>
      </c>
      <c r="G230" s="63">
        <v>11535</v>
      </c>
      <c r="H230" s="44" t="s">
        <v>707</v>
      </c>
      <c r="I230" s="16" t="s">
        <v>589</v>
      </c>
      <c r="J230" s="16" t="s">
        <v>634</v>
      </c>
      <c r="K230" s="17">
        <v>42265</v>
      </c>
      <c r="L230" s="105">
        <v>120127</v>
      </c>
      <c r="M230" s="63">
        <v>11671</v>
      </c>
      <c r="N230" s="17">
        <v>42265</v>
      </c>
      <c r="O230" s="17">
        <v>42369</v>
      </c>
      <c r="P230" s="6" t="s">
        <v>157</v>
      </c>
      <c r="Q230" s="111"/>
      <c r="R230" s="111"/>
      <c r="S230" s="111"/>
      <c r="T230" s="16" t="s">
        <v>204</v>
      </c>
      <c r="U230" s="21"/>
      <c r="V230" s="21"/>
      <c r="W230" s="11"/>
      <c r="X230" s="21"/>
      <c r="Y230" s="21"/>
      <c r="Z230" s="21"/>
      <c r="AA230" s="23"/>
      <c r="AB230" s="21"/>
      <c r="AC230" s="24"/>
      <c r="AD230" s="24"/>
      <c r="AE230" s="25"/>
      <c r="AF230" s="107">
        <f>11689.5+2004</f>
        <v>13693.5</v>
      </c>
      <c r="AG230" s="107">
        <f>10450.25+21217.5+2408+3108</f>
        <v>37183.75</v>
      </c>
      <c r="AH230" s="12">
        <f t="shared" si="7"/>
        <v>50877.25</v>
      </c>
      <c r="AI230" s="21"/>
      <c r="AJ230" s="11"/>
      <c r="AK230" s="21"/>
      <c r="AL230" s="27"/>
      <c r="AM230" s="21"/>
      <c r="AN230" s="21"/>
      <c r="AO230" s="11"/>
      <c r="AP230" s="10"/>
      <c r="AQ230" s="11"/>
      <c r="AR230" s="10"/>
      <c r="AS230" s="69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</row>
    <row r="231" spans="1:56" s="193" customFormat="1" ht="19.5" customHeight="1" x14ac:dyDescent="0.25">
      <c r="A231" s="269"/>
      <c r="B231" s="258"/>
      <c r="C231" s="35"/>
      <c r="D231" s="44"/>
      <c r="E231" s="44"/>
      <c r="F231" s="44"/>
      <c r="G231" s="73"/>
      <c r="H231" s="44"/>
      <c r="I231" s="35"/>
      <c r="J231" s="35"/>
      <c r="K231" s="36"/>
      <c r="L231" s="108"/>
      <c r="M231" s="73"/>
      <c r="N231" s="36"/>
      <c r="O231" s="36"/>
      <c r="P231" s="6" t="s">
        <v>314</v>
      </c>
      <c r="Q231" s="51"/>
      <c r="R231" s="51"/>
      <c r="S231" s="51"/>
      <c r="T231" s="35"/>
      <c r="U231" s="21"/>
      <c r="V231" s="21"/>
      <c r="W231" s="11"/>
      <c r="X231" s="21"/>
      <c r="Y231" s="21"/>
      <c r="Z231" s="21"/>
      <c r="AA231" s="23"/>
      <c r="AB231" s="21"/>
      <c r="AC231" s="24"/>
      <c r="AD231" s="24"/>
      <c r="AE231" s="25"/>
      <c r="AF231" s="107">
        <f>1989.7+4369.7+8105.5+16395.5</f>
        <v>30860.400000000001</v>
      </c>
      <c r="AG231" s="107">
        <f>2720+17488+28600</f>
        <v>48808</v>
      </c>
      <c r="AH231" s="12">
        <f t="shared" si="7"/>
        <v>79668.399999999994</v>
      </c>
      <c r="AI231" s="21"/>
      <c r="AJ231" s="11"/>
      <c r="AK231" s="21"/>
      <c r="AL231" s="27"/>
      <c r="AM231" s="21"/>
      <c r="AN231" s="21"/>
      <c r="AO231" s="11"/>
      <c r="AP231" s="10"/>
      <c r="AQ231" s="11"/>
      <c r="AR231" s="10"/>
      <c r="AS231" s="69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</row>
    <row r="232" spans="1:56" s="193" customFormat="1" ht="39" customHeight="1" x14ac:dyDescent="0.25">
      <c r="A232" s="270">
        <v>49</v>
      </c>
      <c r="B232" s="256" t="s">
        <v>620</v>
      </c>
      <c r="C232" s="16" t="s">
        <v>583</v>
      </c>
      <c r="D232" s="44" t="s">
        <v>381</v>
      </c>
      <c r="E232" s="44" t="s">
        <v>123</v>
      </c>
      <c r="F232" s="44" t="s">
        <v>267</v>
      </c>
      <c r="G232" s="63">
        <v>11535</v>
      </c>
      <c r="H232" s="44" t="s">
        <v>795</v>
      </c>
      <c r="I232" s="44" t="s">
        <v>455</v>
      </c>
      <c r="J232" s="44" t="s">
        <v>325</v>
      </c>
      <c r="K232" s="17">
        <v>42265</v>
      </c>
      <c r="L232" s="105">
        <v>70450</v>
      </c>
      <c r="M232" s="63">
        <v>11671</v>
      </c>
      <c r="N232" s="17">
        <v>42265</v>
      </c>
      <c r="O232" s="17">
        <v>42369</v>
      </c>
      <c r="P232" s="6" t="s">
        <v>157</v>
      </c>
      <c r="Q232" s="111"/>
      <c r="R232" s="111"/>
      <c r="S232" s="111"/>
      <c r="T232" s="16" t="s">
        <v>204</v>
      </c>
      <c r="U232" s="21"/>
      <c r="V232" s="21"/>
      <c r="W232" s="11"/>
      <c r="X232" s="21"/>
      <c r="Y232" s="21"/>
      <c r="Z232" s="21"/>
      <c r="AA232" s="23"/>
      <c r="AB232" s="21"/>
      <c r="AC232" s="24"/>
      <c r="AD232" s="24"/>
      <c r="AE232" s="25"/>
      <c r="AF232" s="107"/>
      <c r="AG232" s="107">
        <f>4902.5+1500+13150+31715+4519.5+417</f>
        <v>56204</v>
      </c>
      <c r="AH232" s="12">
        <f t="shared" si="7"/>
        <v>56204</v>
      </c>
      <c r="AI232" s="21"/>
      <c r="AJ232" s="11"/>
      <c r="AK232" s="21"/>
      <c r="AL232" s="27"/>
      <c r="AM232" s="21"/>
      <c r="AN232" s="21"/>
      <c r="AO232" s="11"/>
      <c r="AP232" s="10"/>
      <c r="AQ232" s="11"/>
      <c r="AR232" s="10"/>
      <c r="AS232" s="69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</row>
    <row r="233" spans="1:56" s="193" customFormat="1" ht="33" customHeight="1" x14ac:dyDescent="0.25">
      <c r="A233" s="269"/>
      <c r="B233" s="258"/>
      <c r="C233" s="35"/>
      <c r="D233" s="44"/>
      <c r="E233" s="44"/>
      <c r="F233" s="44"/>
      <c r="G233" s="73"/>
      <c r="H233" s="44"/>
      <c r="I233" s="44"/>
      <c r="J233" s="44"/>
      <c r="K233" s="36"/>
      <c r="L233" s="108"/>
      <c r="M233" s="73"/>
      <c r="N233" s="36"/>
      <c r="O233" s="36"/>
      <c r="P233" s="6" t="s">
        <v>314</v>
      </c>
      <c r="Q233" s="51"/>
      <c r="R233" s="51"/>
      <c r="S233" s="51"/>
      <c r="T233" s="35"/>
      <c r="U233" s="21" t="s">
        <v>240</v>
      </c>
      <c r="V233" s="10">
        <v>42367</v>
      </c>
      <c r="W233" s="11"/>
      <c r="X233" s="21" t="s">
        <v>162</v>
      </c>
      <c r="Y233" s="10">
        <v>42370</v>
      </c>
      <c r="Z233" s="10">
        <v>42582</v>
      </c>
      <c r="AA233" s="23"/>
      <c r="AB233" s="21"/>
      <c r="AC233" s="24"/>
      <c r="AD233" s="24"/>
      <c r="AE233" s="25"/>
      <c r="AF233" s="107"/>
      <c r="AG233" s="107"/>
      <c r="AH233" s="12">
        <f t="shared" si="7"/>
        <v>0</v>
      </c>
      <c r="AI233" s="21"/>
      <c r="AJ233" s="11"/>
      <c r="AK233" s="21"/>
      <c r="AL233" s="27"/>
      <c r="AM233" s="21"/>
      <c r="AN233" s="21"/>
      <c r="AO233" s="11"/>
      <c r="AP233" s="10"/>
      <c r="AQ233" s="11"/>
      <c r="AR233" s="10"/>
      <c r="AS233" s="69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</row>
    <row r="234" spans="1:56" s="193" customFormat="1" ht="51" customHeight="1" x14ac:dyDescent="0.25">
      <c r="A234" s="270">
        <v>50</v>
      </c>
      <c r="B234" s="256" t="s">
        <v>620</v>
      </c>
      <c r="C234" s="16" t="s">
        <v>583</v>
      </c>
      <c r="D234" s="44" t="s">
        <v>381</v>
      </c>
      <c r="E234" s="44" t="s">
        <v>123</v>
      </c>
      <c r="F234" s="44" t="s">
        <v>267</v>
      </c>
      <c r="G234" s="63">
        <v>11535</v>
      </c>
      <c r="H234" s="44" t="s">
        <v>715</v>
      </c>
      <c r="I234" s="16" t="s">
        <v>716</v>
      </c>
      <c r="J234" s="16" t="s">
        <v>382</v>
      </c>
      <c r="K234" s="17">
        <v>42265</v>
      </c>
      <c r="L234" s="105">
        <v>80430.899999999994</v>
      </c>
      <c r="M234" s="63">
        <v>11671</v>
      </c>
      <c r="N234" s="17">
        <v>42265</v>
      </c>
      <c r="O234" s="17">
        <v>42369</v>
      </c>
      <c r="P234" s="6" t="s">
        <v>157</v>
      </c>
      <c r="Q234" s="111"/>
      <c r="R234" s="111"/>
      <c r="S234" s="111"/>
      <c r="T234" s="16" t="s">
        <v>204</v>
      </c>
      <c r="U234" s="21"/>
      <c r="V234" s="21"/>
      <c r="W234" s="11"/>
      <c r="X234" s="21"/>
      <c r="Y234" s="21"/>
      <c r="Z234" s="21"/>
      <c r="AA234" s="23"/>
      <c r="AB234" s="21"/>
      <c r="AC234" s="24"/>
      <c r="AD234" s="24"/>
      <c r="AE234" s="25"/>
      <c r="AF234" s="107">
        <f>14726+9722+417+379.9</f>
        <v>25244.9</v>
      </c>
      <c r="AG234" s="107">
        <f>14726+9722</f>
        <v>24448</v>
      </c>
      <c r="AH234" s="12">
        <f t="shared" si="7"/>
        <v>49692.9</v>
      </c>
      <c r="AI234" s="21"/>
      <c r="AJ234" s="11"/>
      <c r="AK234" s="21"/>
      <c r="AL234" s="27"/>
      <c r="AM234" s="21"/>
      <c r="AN234" s="21"/>
      <c r="AO234" s="11"/>
      <c r="AP234" s="10"/>
      <c r="AQ234" s="11"/>
      <c r="AR234" s="10"/>
      <c r="AS234" s="69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</row>
    <row r="235" spans="1:56" s="193" customFormat="1" ht="51" customHeight="1" x14ac:dyDescent="0.25">
      <c r="A235" s="269"/>
      <c r="B235" s="258"/>
      <c r="C235" s="35"/>
      <c r="D235" s="44"/>
      <c r="E235" s="44"/>
      <c r="F235" s="44"/>
      <c r="G235" s="73"/>
      <c r="H235" s="44"/>
      <c r="I235" s="35"/>
      <c r="J235" s="35"/>
      <c r="K235" s="36"/>
      <c r="L235" s="108"/>
      <c r="M235" s="73"/>
      <c r="N235" s="36"/>
      <c r="O235" s="36"/>
      <c r="P235" s="6" t="s">
        <v>314</v>
      </c>
      <c r="Q235" s="51"/>
      <c r="R235" s="51"/>
      <c r="S235" s="51"/>
      <c r="T235" s="35"/>
      <c r="U235" s="21"/>
      <c r="V235" s="21"/>
      <c r="W235" s="11"/>
      <c r="X235" s="21"/>
      <c r="Y235" s="21"/>
      <c r="Z235" s="21"/>
      <c r="AA235" s="23"/>
      <c r="AB235" s="21"/>
      <c r="AC235" s="24"/>
      <c r="AD235" s="24"/>
      <c r="AE235" s="25"/>
      <c r="AF235" s="107">
        <f>472.6+11112.1</f>
        <v>11584.7</v>
      </c>
      <c r="AG235" s="107">
        <v>0</v>
      </c>
      <c r="AH235" s="12">
        <f t="shared" si="7"/>
        <v>11584.7</v>
      </c>
      <c r="AI235" s="21"/>
      <c r="AJ235" s="11"/>
      <c r="AK235" s="21"/>
      <c r="AL235" s="27"/>
      <c r="AM235" s="21"/>
      <c r="AN235" s="21"/>
      <c r="AO235" s="11"/>
      <c r="AP235" s="10"/>
      <c r="AQ235" s="11"/>
      <c r="AR235" s="10"/>
      <c r="AS235" s="69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</row>
    <row r="236" spans="1:56" s="193" customFormat="1" ht="24" customHeight="1" x14ac:dyDescent="0.25">
      <c r="A236" s="270">
        <v>51</v>
      </c>
      <c r="B236" s="256" t="s">
        <v>620</v>
      </c>
      <c r="C236" s="16" t="s">
        <v>583</v>
      </c>
      <c r="D236" s="44" t="s">
        <v>381</v>
      </c>
      <c r="E236" s="44" t="s">
        <v>123</v>
      </c>
      <c r="F236" s="44" t="s">
        <v>267</v>
      </c>
      <c r="G236" s="63">
        <v>11535</v>
      </c>
      <c r="H236" s="44" t="s">
        <v>711</v>
      </c>
      <c r="I236" s="16" t="s">
        <v>722</v>
      </c>
      <c r="J236" s="16" t="s">
        <v>641</v>
      </c>
      <c r="K236" s="17">
        <v>42265</v>
      </c>
      <c r="L236" s="105">
        <v>63316</v>
      </c>
      <c r="M236" s="63">
        <v>11671</v>
      </c>
      <c r="N236" s="17">
        <v>42265</v>
      </c>
      <c r="O236" s="17">
        <v>42369</v>
      </c>
      <c r="P236" s="6" t="s">
        <v>157</v>
      </c>
      <c r="Q236" s="111"/>
      <c r="R236" s="111"/>
      <c r="S236" s="111"/>
      <c r="T236" s="16" t="s">
        <v>204</v>
      </c>
      <c r="U236" s="21"/>
      <c r="V236" s="21"/>
      <c r="W236" s="11"/>
      <c r="X236" s="21"/>
      <c r="Y236" s="21"/>
      <c r="Z236" s="21"/>
      <c r="AA236" s="23"/>
      <c r="AB236" s="21"/>
      <c r="AC236" s="24"/>
      <c r="AD236" s="24"/>
      <c r="AE236" s="25"/>
      <c r="AF236" s="107">
        <f>14390</f>
        <v>14390</v>
      </c>
      <c r="AG236" s="107">
        <f>14390+2878+7195</f>
        <v>24463</v>
      </c>
      <c r="AH236" s="12">
        <f t="shared" si="7"/>
        <v>38853</v>
      </c>
      <c r="AI236" s="21"/>
      <c r="AJ236" s="11"/>
      <c r="AK236" s="21"/>
      <c r="AL236" s="27"/>
      <c r="AM236" s="21"/>
      <c r="AN236" s="21"/>
      <c r="AO236" s="11"/>
      <c r="AP236" s="10"/>
      <c r="AQ236" s="11"/>
      <c r="AR236" s="10"/>
      <c r="AS236" s="69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</row>
    <row r="237" spans="1:56" s="193" customFormat="1" ht="24" customHeight="1" thickBot="1" x14ac:dyDescent="0.3">
      <c r="A237" s="269"/>
      <c r="B237" s="258"/>
      <c r="C237" s="35"/>
      <c r="D237" s="44"/>
      <c r="E237" s="44"/>
      <c r="F237" s="44"/>
      <c r="G237" s="73"/>
      <c r="H237" s="44"/>
      <c r="I237" s="35"/>
      <c r="J237" s="35"/>
      <c r="K237" s="36"/>
      <c r="L237" s="108"/>
      <c r="M237" s="73"/>
      <c r="N237" s="36"/>
      <c r="O237" s="36"/>
      <c r="P237" s="6" t="s">
        <v>314</v>
      </c>
      <c r="Q237" s="51"/>
      <c r="R237" s="51"/>
      <c r="S237" s="51"/>
      <c r="T237" s="35"/>
      <c r="U237" s="21" t="s">
        <v>240</v>
      </c>
      <c r="V237" s="10">
        <v>42367</v>
      </c>
      <c r="W237" s="11"/>
      <c r="X237" s="21" t="s">
        <v>798</v>
      </c>
      <c r="Y237" s="10">
        <v>42367</v>
      </c>
      <c r="Z237" s="10">
        <v>42582</v>
      </c>
      <c r="AA237" s="23"/>
      <c r="AB237" s="21"/>
      <c r="AC237" s="24"/>
      <c r="AD237" s="24"/>
      <c r="AE237" s="25"/>
      <c r="AF237" s="107">
        <v>2878</v>
      </c>
      <c r="AG237" s="107">
        <v>0</v>
      </c>
      <c r="AH237" s="12">
        <f t="shared" si="7"/>
        <v>2878</v>
      </c>
      <c r="AI237" s="21"/>
      <c r="AJ237" s="11"/>
      <c r="AK237" s="21"/>
      <c r="AL237" s="27"/>
      <c r="AM237" s="21"/>
      <c r="AN237" s="21"/>
      <c r="AO237" s="11"/>
      <c r="AP237" s="10"/>
      <c r="AQ237" s="11"/>
      <c r="AR237" s="10"/>
      <c r="AS237" s="69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</row>
    <row r="238" spans="1:56" s="193" customFormat="1" ht="27" customHeight="1" x14ac:dyDescent="0.25">
      <c r="A238" s="270">
        <v>52</v>
      </c>
      <c r="B238" s="256" t="s">
        <v>617</v>
      </c>
      <c r="C238" s="16" t="s">
        <v>618</v>
      </c>
      <c r="D238" s="16" t="s">
        <v>134</v>
      </c>
      <c r="E238" s="16" t="s">
        <v>123</v>
      </c>
      <c r="F238" s="16" t="s">
        <v>180</v>
      </c>
      <c r="G238" s="63">
        <v>11545</v>
      </c>
      <c r="H238" s="109" t="s">
        <v>724</v>
      </c>
      <c r="I238" s="16" t="s">
        <v>196</v>
      </c>
      <c r="J238" s="16" t="s">
        <v>324</v>
      </c>
      <c r="K238" s="17">
        <v>42276</v>
      </c>
      <c r="L238" s="105">
        <v>100778.95</v>
      </c>
      <c r="M238" s="63">
        <v>11671</v>
      </c>
      <c r="N238" s="17">
        <v>42276</v>
      </c>
      <c r="O238" s="78">
        <v>42369</v>
      </c>
      <c r="P238" s="6" t="s">
        <v>157</v>
      </c>
      <c r="Q238" s="16"/>
      <c r="R238" s="16"/>
      <c r="S238" s="16"/>
      <c r="T238" s="94" t="s">
        <v>204</v>
      </c>
      <c r="U238" s="21"/>
      <c r="V238" s="21"/>
      <c r="W238" s="11"/>
      <c r="X238" s="21"/>
      <c r="Y238" s="21"/>
      <c r="Z238" s="21"/>
      <c r="AA238" s="23"/>
      <c r="AB238" s="21"/>
      <c r="AC238" s="24"/>
      <c r="AD238" s="24"/>
      <c r="AE238" s="25">
        <f>L238</f>
        <v>100778.95</v>
      </c>
      <c r="AF238" s="107">
        <f>2004.04+15422.69+1979.4</f>
        <v>19406.13</v>
      </c>
      <c r="AG238" s="107">
        <v>10356.040000000001</v>
      </c>
      <c r="AH238" s="12">
        <f t="shared" si="7"/>
        <v>29762.170000000002</v>
      </c>
      <c r="AI238" s="21"/>
      <c r="AJ238" s="11"/>
      <c r="AK238" s="21"/>
      <c r="AL238" s="27"/>
      <c r="AM238" s="21"/>
      <c r="AN238" s="21"/>
      <c r="AO238" s="11"/>
      <c r="AP238" s="10"/>
      <c r="AQ238" s="11"/>
      <c r="AR238" s="10"/>
      <c r="AS238" s="69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</row>
    <row r="239" spans="1:56" s="193" customFormat="1" ht="25.5" customHeight="1" thickBot="1" x14ac:dyDescent="0.3">
      <c r="A239" s="269"/>
      <c r="B239" s="257"/>
      <c r="C239" s="29"/>
      <c r="D239" s="29"/>
      <c r="E239" s="29"/>
      <c r="F239" s="29"/>
      <c r="G239" s="67"/>
      <c r="H239" s="112"/>
      <c r="I239" s="29"/>
      <c r="J239" s="35"/>
      <c r="K239" s="36"/>
      <c r="L239" s="108"/>
      <c r="M239" s="88"/>
      <c r="N239" s="36"/>
      <c r="O239" s="89"/>
      <c r="P239" s="6" t="s">
        <v>314</v>
      </c>
      <c r="Q239" s="35"/>
      <c r="R239" s="35"/>
      <c r="S239" s="35"/>
      <c r="T239" s="104"/>
      <c r="U239" s="21" t="s">
        <v>240</v>
      </c>
      <c r="V239" s="10">
        <v>42367</v>
      </c>
      <c r="W239" s="11"/>
      <c r="X239" s="21" t="s">
        <v>773</v>
      </c>
      <c r="Y239" s="10">
        <v>42370</v>
      </c>
      <c r="Z239" s="10">
        <v>42582</v>
      </c>
      <c r="AA239" s="23"/>
      <c r="AB239" s="21"/>
      <c r="AC239" s="24"/>
      <c r="AD239" s="24"/>
      <c r="AE239" s="25"/>
      <c r="AF239" s="107"/>
      <c r="AG239" s="107">
        <v>0</v>
      </c>
      <c r="AH239" s="12">
        <f t="shared" si="7"/>
        <v>0</v>
      </c>
      <c r="AI239" s="21"/>
      <c r="AJ239" s="11"/>
      <c r="AK239" s="21"/>
      <c r="AL239" s="27"/>
      <c r="AM239" s="21"/>
      <c r="AN239" s="21"/>
      <c r="AO239" s="11"/>
      <c r="AP239" s="10"/>
      <c r="AQ239" s="11"/>
      <c r="AR239" s="10"/>
      <c r="AS239" s="69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</row>
    <row r="240" spans="1:56" s="193" customFormat="1" ht="27" customHeight="1" x14ac:dyDescent="0.25">
      <c r="A240" s="270">
        <v>53</v>
      </c>
      <c r="B240" s="256" t="s">
        <v>617</v>
      </c>
      <c r="C240" s="16" t="s">
        <v>618</v>
      </c>
      <c r="D240" s="16" t="s">
        <v>381</v>
      </c>
      <c r="E240" s="16" t="s">
        <v>123</v>
      </c>
      <c r="F240" s="44" t="s">
        <v>438</v>
      </c>
      <c r="G240" s="63">
        <v>11545</v>
      </c>
      <c r="H240" s="16" t="s">
        <v>725</v>
      </c>
      <c r="I240" s="16" t="s">
        <v>726</v>
      </c>
      <c r="J240" s="16" t="s">
        <v>337</v>
      </c>
      <c r="K240" s="17">
        <v>42276</v>
      </c>
      <c r="L240" s="105">
        <v>54758.3</v>
      </c>
      <c r="M240" s="63">
        <v>11671</v>
      </c>
      <c r="N240" s="17">
        <v>42276</v>
      </c>
      <c r="O240" s="17">
        <v>42369</v>
      </c>
      <c r="P240" s="6" t="s">
        <v>157</v>
      </c>
      <c r="Q240" s="111"/>
      <c r="R240" s="111"/>
      <c r="S240" s="111"/>
      <c r="T240" s="44" t="s">
        <v>204</v>
      </c>
      <c r="U240" s="21"/>
      <c r="V240" s="21"/>
      <c r="W240" s="11"/>
      <c r="X240" s="21"/>
      <c r="Y240" s="21"/>
      <c r="Z240" s="21"/>
      <c r="AA240" s="23"/>
      <c r="AB240" s="21"/>
      <c r="AC240" s="24"/>
      <c r="AD240" s="24"/>
      <c r="AE240" s="25">
        <f>L240</f>
        <v>54758.3</v>
      </c>
      <c r="AF240" s="107">
        <f>115.42+8249.21+3562.64+440</f>
        <v>12367.269999999999</v>
      </c>
      <c r="AG240" s="107">
        <v>10433.08</v>
      </c>
      <c r="AH240" s="12">
        <f t="shared" si="7"/>
        <v>22800.35</v>
      </c>
      <c r="AI240" s="21"/>
      <c r="AJ240" s="11"/>
      <c r="AK240" s="21"/>
      <c r="AL240" s="27"/>
      <c r="AM240" s="21"/>
      <c r="AN240" s="21"/>
      <c r="AO240" s="11"/>
      <c r="AP240" s="10"/>
      <c r="AQ240" s="11"/>
      <c r="AR240" s="10"/>
      <c r="AS240" s="69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</row>
    <row r="241" spans="1:56" s="193" customFormat="1" ht="33" customHeight="1" x14ac:dyDescent="0.25">
      <c r="A241" s="269"/>
      <c r="B241" s="258"/>
      <c r="C241" s="35"/>
      <c r="D241" s="35"/>
      <c r="E241" s="35"/>
      <c r="F241" s="44"/>
      <c r="G241" s="73"/>
      <c r="H241" s="35"/>
      <c r="I241" s="35"/>
      <c r="J241" s="35"/>
      <c r="K241" s="36"/>
      <c r="L241" s="108"/>
      <c r="M241" s="73"/>
      <c r="N241" s="36"/>
      <c r="O241" s="36"/>
      <c r="P241" s="6" t="s">
        <v>314</v>
      </c>
      <c r="Q241" s="51"/>
      <c r="R241" s="51"/>
      <c r="S241" s="51"/>
      <c r="T241" s="44"/>
      <c r="U241" s="21" t="s">
        <v>240</v>
      </c>
      <c r="V241" s="10">
        <v>42367</v>
      </c>
      <c r="W241" s="11"/>
      <c r="X241" s="21" t="s">
        <v>773</v>
      </c>
      <c r="Y241" s="10">
        <v>42370</v>
      </c>
      <c r="Z241" s="10">
        <v>42582</v>
      </c>
      <c r="AA241" s="23"/>
      <c r="AB241" s="21"/>
      <c r="AC241" s="24"/>
      <c r="AD241" s="24"/>
      <c r="AE241" s="25"/>
      <c r="AF241" s="107"/>
      <c r="AG241" s="107">
        <f>288.5+268.77</f>
        <v>557.27</v>
      </c>
      <c r="AH241" s="12">
        <f t="shared" si="7"/>
        <v>557.27</v>
      </c>
      <c r="AI241" s="21"/>
      <c r="AJ241" s="11"/>
      <c r="AK241" s="21"/>
      <c r="AL241" s="27"/>
      <c r="AM241" s="21"/>
      <c r="AN241" s="21"/>
      <c r="AO241" s="11"/>
      <c r="AP241" s="10"/>
      <c r="AQ241" s="11"/>
      <c r="AR241" s="10"/>
      <c r="AS241" s="69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</row>
    <row r="242" spans="1:56" s="193" customFormat="1" ht="28.5" customHeight="1" x14ac:dyDescent="0.25">
      <c r="A242" s="270">
        <v>54</v>
      </c>
      <c r="B242" s="256" t="s">
        <v>617</v>
      </c>
      <c r="C242" s="16" t="s">
        <v>618</v>
      </c>
      <c r="D242" s="16" t="s">
        <v>381</v>
      </c>
      <c r="E242" s="16" t="s">
        <v>123</v>
      </c>
      <c r="F242" s="44" t="s">
        <v>438</v>
      </c>
      <c r="G242" s="63">
        <v>11545</v>
      </c>
      <c r="H242" s="16" t="s">
        <v>723</v>
      </c>
      <c r="I242" s="16" t="s">
        <v>651</v>
      </c>
      <c r="J242" s="16" t="s">
        <v>652</v>
      </c>
      <c r="K242" s="17">
        <v>42276</v>
      </c>
      <c r="L242" s="105">
        <v>12718</v>
      </c>
      <c r="M242" s="63">
        <v>11671</v>
      </c>
      <c r="N242" s="17">
        <v>42276</v>
      </c>
      <c r="O242" s="17">
        <v>42369</v>
      </c>
      <c r="P242" s="6" t="s">
        <v>157</v>
      </c>
      <c r="Q242" s="111"/>
      <c r="R242" s="111"/>
      <c r="S242" s="111"/>
      <c r="T242" s="44" t="s">
        <v>204</v>
      </c>
      <c r="U242" s="21"/>
      <c r="V242" s="21"/>
      <c r="W242" s="11"/>
      <c r="X242" s="21"/>
      <c r="Y242" s="21"/>
      <c r="Z242" s="21"/>
      <c r="AA242" s="23"/>
      <c r="AB242" s="21"/>
      <c r="AC242" s="24"/>
      <c r="AD242" s="24"/>
      <c r="AE242" s="25"/>
      <c r="AF242" s="107">
        <f>1766.4+391+1978+315.7</f>
        <v>4451.0999999999995</v>
      </c>
      <c r="AG242" s="107">
        <v>0</v>
      </c>
      <c r="AH242" s="12">
        <f t="shared" si="7"/>
        <v>4451.0999999999995</v>
      </c>
      <c r="AI242" s="21"/>
      <c r="AJ242" s="11"/>
      <c r="AK242" s="21"/>
      <c r="AL242" s="27"/>
      <c r="AM242" s="21"/>
      <c r="AN242" s="21"/>
      <c r="AO242" s="11"/>
      <c r="AP242" s="10"/>
      <c r="AQ242" s="11"/>
      <c r="AR242" s="10"/>
      <c r="AS242" s="69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</row>
    <row r="243" spans="1:56" s="193" customFormat="1" ht="24" customHeight="1" x14ac:dyDescent="0.25">
      <c r="A243" s="269"/>
      <c r="B243" s="258"/>
      <c r="C243" s="35"/>
      <c r="D243" s="35"/>
      <c r="E243" s="35"/>
      <c r="F243" s="44"/>
      <c r="G243" s="73"/>
      <c r="H243" s="35"/>
      <c r="I243" s="35"/>
      <c r="J243" s="35"/>
      <c r="K243" s="36"/>
      <c r="L243" s="108"/>
      <c r="M243" s="73"/>
      <c r="N243" s="36"/>
      <c r="O243" s="36"/>
      <c r="P243" s="6" t="s">
        <v>314</v>
      </c>
      <c r="Q243" s="51"/>
      <c r="R243" s="51"/>
      <c r="S243" s="51"/>
      <c r="T243" s="44"/>
      <c r="U243" s="21"/>
      <c r="V243" s="21"/>
      <c r="W243" s="11"/>
      <c r="X243" s="21"/>
      <c r="Y243" s="21"/>
      <c r="Z243" s="21"/>
      <c r="AA243" s="23"/>
      <c r="AB243" s="21"/>
      <c r="AC243" s="24"/>
      <c r="AD243" s="24"/>
      <c r="AE243" s="25"/>
      <c r="AF243" s="25"/>
      <c r="AG243" s="107">
        <v>101.05</v>
      </c>
      <c r="AH243" s="12">
        <f t="shared" si="7"/>
        <v>101.05</v>
      </c>
      <c r="AI243" s="21"/>
      <c r="AJ243" s="11"/>
      <c r="AK243" s="21"/>
      <c r="AL243" s="27"/>
      <c r="AM243" s="21"/>
      <c r="AN243" s="21"/>
      <c r="AO243" s="11"/>
      <c r="AP243" s="10"/>
      <c r="AQ243" s="11"/>
      <c r="AR243" s="10"/>
      <c r="AS243" s="69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</row>
    <row r="244" spans="1:56" s="193" customFormat="1" ht="51" customHeight="1" x14ac:dyDescent="0.25">
      <c r="A244" s="270">
        <v>55</v>
      </c>
      <c r="B244" s="256" t="s">
        <v>617</v>
      </c>
      <c r="C244" s="16" t="s">
        <v>618</v>
      </c>
      <c r="D244" s="44" t="s">
        <v>381</v>
      </c>
      <c r="E244" s="44" t="s">
        <v>123</v>
      </c>
      <c r="F244" s="44" t="s">
        <v>438</v>
      </c>
      <c r="G244" s="63">
        <v>11545</v>
      </c>
      <c r="H244" s="44" t="s">
        <v>708</v>
      </c>
      <c r="I244" s="16" t="s">
        <v>709</v>
      </c>
      <c r="J244" s="16" t="s">
        <v>342</v>
      </c>
      <c r="K244" s="17">
        <v>42276</v>
      </c>
      <c r="L244" s="105">
        <v>505084.2</v>
      </c>
      <c r="M244" s="63">
        <v>11671</v>
      </c>
      <c r="N244" s="17">
        <v>42267</v>
      </c>
      <c r="O244" s="17">
        <v>42369</v>
      </c>
      <c r="P244" s="6" t="s">
        <v>157</v>
      </c>
      <c r="Q244" s="111"/>
      <c r="R244" s="111"/>
      <c r="S244" s="111"/>
      <c r="T244" s="16" t="s">
        <v>204</v>
      </c>
      <c r="U244" s="21"/>
      <c r="V244" s="21"/>
      <c r="W244" s="11"/>
      <c r="X244" s="21"/>
      <c r="Y244" s="21"/>
      <c r="Z244" s="21"/>
      <c r="AA244" s="23"/>
      <c r="AB244" s="21"/>
      <c r="AC244" s="24"/>
      <c r="AD244" s="24"/>
      <c r="AE244" s="25"/>
      <c r="AF244" s="107">
        <f>8251.18+6046.59+66161.69+44485.2</f>
        <v>124944.66</v>
      </c>
      <c r="AG244" s="107">
        <f>431.2</f>
        <v>431.2</v>
      </c>
      <c r="AH244" s="12">
        <f t="shared" si="7"/>
        <v>125375.86</v>
      </c>
      <c r="AI244" s="21"/>
      <c r="AJ244" s="11"/>
      <c r="AK244" s="21"/>
      <c r="AL244" s="27"/>
      <c r="AM244" s="21"/>
      <c r="AN244" s="21"/>
      <c r="AO244" s="11"/>
      <c r="AP244" s="10"/>
      <c r="AQ244" s="11"/>
      <c r="AR244" s="10"/>
      <c r="AS244" s="69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</row>
    <row r="245" spans="1:56" s="193" customFormat="1" ht="51" customHeight="1" x14ac:dyDescent="0.25">
      <c r="A245" s="269"/>
      <c r="B245" s="258"/>
      <c r="C245" s="35"/>
      <c r="D245" s="44"/>
      <c r="E245" s="44"/>
      <c r="F245" s="44"/>
      <c r="G245" s="73"/>
      <c r="H245" s="44"/>
      <c r="I245" s="35"/>
      <c r="J245" s="35"/>
      <c r="K245" s="36"/>
      <c r="L245" s="108"/>
      <c r="M245" s="73"/>
      <c r="N245" s="36"/>
      <c r="O245" s="36"/>
      <c r="P245" s="6" t="s">
        <v>314</v>
      </c>
      <c r="Q245" s="51"/>
      <c r="R245" s="51"/>
      <c r="S245" s="51"/>
      <c r="T245" s="35"/>
      <c r="U245" s="21"/>
      <c r="V245" s="21"/>
      <c r="W245" s="11"/>
      <c r="X245" s="21"/>
      <c r="Y245" s="21"/>
      <c r="Z245" s="21"/>
      <c r="AA245" s="23"/>
      <c r="AB245" s="21"/>
      <c r="AC245" s="24"/>
      <c r="AD245" s="24"/>
      <c r="AE245" s="25"/>
      <c r="AF245" s="107">
        <f>5397.54+27689.14+47280.19+31176.15+1815.52</f>
        <v>113358.54</v>
      </c>
      <c r="AG245" s="107">
        <f>14900+17569.49+1368.92</f>
        <v>33838.410000000003</v>
      </c>
      <c r="AH245" s="12">
        <f t="shared" si="7"/>
        <v>147196.95000000001</v>
      </c>
      <c r="AI245" s="21"/>
      <c r="AJ245" s="11"/>
      <c r="AK245" s="21"/>
      <c r="AL245" s="27"/>
      <c r="AM245" s="21"/>
      <c r="AN245" s="21"/>
      <c r="AO245" s="11"/>
      <c r="AP245" s="10"/>
      <c r="AQ245" s="11"/>
      <c r="AR245" s="10"/>
      <c r="AS245" s="69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</row>
    <row r="246" spans="1:56" s="193" customFormat="1" ht="51" customHeight="1" x14ac:dyDescent="0.25">
      <c r="A246" s="270">
        <v>56</v>
      </c>
      <c r="B246" s="256" t="s">
        <v>617</v>
      </c>
      <c r="C246" s="16" t="s">
        <v>618</v>
      </c>
      <c r="D246" s="44" t="s">
        <v>381</v>
      </c>
      <c r="E246" s="44" t="s">
        <v>123</v>
      </c>
      <c r="F246" s="44" t="s">
        <v>438</v>
      </c>
      <c r="G246" s="63">
        <v>11545</v>
      </c>
      <c r="H246" s="44" t="s">
        <v>717</v>
      </c>
      <c r="I246" s="16" t="s">
        <v>705</v>
      </c>
      <c r="J246" s="16" t="s">
        <v>336</v>
      </c>
      <c r="K246" s="17">
        <v>42144</v>
      </c>
      <c r="L246" s="105">
        <v>36466.199999999997</v>
      </c>
      <c r="M246" s="63">
        <v>11671</v>
      </c>
      <c r="N246" s="17">
        <v>42144</v>
      </c>
      <c r="O246" s="17">
        <v>42369</v>
      </c>
      <c r="P246" s="6" t="s">
        <v>157</v>
      </c>
      <c r="Q246" s="111"/>
      <c r="R246" s="111"/>
      <c r="S246" s="111"/>
      <c r="T246" s="16" t="s">
        <v>204</v>
      </c>
      <c r="U246" s="21"/>
      <c r="V246" s="21"/>
      <c r="W246" s="11"/>
      <c r="X246" s="21"/>
      <c r="Y246" s="21"/>
      <c r="Z246" s="21"/>
      <c r="AA246" s="23"/>
      <c r="AB246" s="21"/>
      <c r="AC246" s="24"/>
      <c r="AD246" s="24"/>
      <c r="AE246" s="25"/>
      <c r="AF246" s="107">
        <f>6750+1020+1724</f>
        <v>9494</v>
      </c>
      <c r="AG246" s="107">
        <f>1139+7917+4641</f>
        <v>13697</v>
      </c>
      <c r="AH246" s="12">
        <f t="shared" si="7"/>
        <v>23191</v>
      </c>
      <c r="AI246" s="21"/>
      <c r="AJ246" s="11"/>
      <c r="AK246" s="21"/>
      <c r="AL246" s="27"/>
      <c r="AM246" s="21"/>
      <c r="AN246" s="21"/>
      <c r="AO246" s="11"/>
      <c r="AP246" s="10"/>
      <c r="AQ246" s="11"/>
      <c r="AR246" s="10"/>
      <c r="AS246" s="69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</row>
    <row r="247" spans="1:56" s="193" customFormat="1" ht="51" customHeight="1" x14ac:dyDescent="0.25">
      <c r="A247" s="269"/>
      <c r="B247" s="258"/>
      <c r="C247" s="35"/>
      <c r="D247" s="44"/>
      <c r="E247" s="44"/>
      <c r="F247" s="44"/>
      <c r="G247" s="73"/>
      <c r="H247" s="44"/>
      <c r="I247" s="35"/>
      <c r="J247" s="35"/>
      <c r="K247" s="36"/>
      <c r="L247" s="108"/>
      <c r="M247" s="73"/>
      <c r="N247" s="36"/>
      <c r="O247" s="36"/>
      <c r="P247" s="6" t="s">
        <v>314</v>
      </c>
      <c r="Q247" s="51"/>
      <c r="R247" s="51"/>
      <c r="S247" s="51"/>
      <c r="T247" s="35"/>
      <c r="U247" s="21" t="s">
        <v>240</v>
      </c>
      <c r="V247" s="10">
        <v>42367</v>
      </c>
      <c r="W247" s="11">
        <v>11739</v>
      </c>
      <c r="X247" s="21" t="s">
        <v>773</v>
      </c>
      <c r="Y247" s="10">
        <v>42370</v>
      </c>
      <c r="Z247" s="10">
        <v>42582</v>
      </c>
      <c r="AA247" s="23"/>
      <c r="AB247" s="21"/>
      <c r="AC247" s="24"/>
      <c r="AD247" s="24"/>
      <c r="AE247" s="25"/>
      <c r="AF247" s="107"/>
      <c r="AG247" s="107">
        <v>0</v>
      </c>
      <c r="AH247" s="12">
        <f t="shared" si="7"/>
        <v>0</v>
      </c>
      <c r="AI247" s="21"/>
      <c r="AJ247" s="11"/>
      <c r="AK247" s="21"/>
      <c r="AL247" s="27"/>
      <c r="AM247" s="21"/>
      <c r="AN247" s="21"/>
      <c r="AO247" s="11"/>
      <c r="AP247" s="10"/>
      <c r="AQ247" s="11"/>
      <c r="AR247" s="10"/>
      <c r="AS247" s="69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</row>
    <row r="248" spans="1:56" s="193" customFormat="1" ht="51" customHeight="1" x14ac:dyDescent="0.25">
      <c r="A248" s="270">
        <v>57</v>
      </c>
      <c r="B248" s="256" t="s">
        <v>712</v>
      </c>
      <c r="C248" s="16" t="s">
        <v>669</v>
      </c>
      <c r="D248" s="44" t="s">
        <v>381</v>
      </c>
      <c r="E248" s="44" t="s">
        <v>123</v>
      </c>
      <c r="F248" s="44" t="s">
        <v>175</v>
      </c>
      <c r="G248" s="63">
        <v>11565</v>
      </c>
      <c r="H248" s="44" t="s">
        <v>713</v>
      </c>
      <c r="I248" s="16" t="s">
        <v>667</v>
      </c>
      <c r="J248" s="16" t="s">
        <v>550</v>
      </c>
      <c r="K248" s="17">
        <v>42278</v>
      </c>
      <c r="L248" s="105">
        <v>40238</v>
      </c>
      <c r="M248" s="63">
        <v>11671</v>
      </c>
      <c r="N248" s="17">
        <v>42278</v>
      </c>
      <c r="O248" s="17">
        <v>42369</v>
      </c>
      <c r="P248" s="6" t="s">
        <v>157</v>
      </c>
      <c r="Q248" s="111"/>
      <c r="R248" s="111"/>
      <c r="S248" s="111"/>
      <c r="T248" s="16" t="s">
        <v>204</v>
      </c>
      <c r="U248" s="21"/>
      <c r="V248" s="21"/>
      <c r="W248" s="11"/>
      <c r="X248" s="21"/>
      <c r="Y248" s="21"/>
      <c r="Z248" s="21"/>
      <c r="AA248" s="23"/>
      <c r="AB248" s="21"/>
      <c r="AC248" s="24"/>
      <c r="AD248" s="24"/>
      <c r="AE248" s="25"/>
      <c r="AF248" s="107">
        <f>21948+10974</f>
        <v>32922</v>
      </c>
      <c r="AG248" s="107">
        <v>3658</v>
      </c>
      <c r="AH248" s="12">
        <f t="shared" si="7"/>
        <v>36580</v>
      </c>
      <c r="AI248" s="21"/>
      <c r="AJ248" s="11"/>
      <c r="AK248" s="21"/>
      <c r="AL248" s="27"/>
      <c r="AM248" s="21"/>
      <c r="AN248" s="21"/>
      <c r="AO248" s="11"/>
      <c r="AP248" s="10"/>
      <c r="AQ248" s="11"/>
      <c r="AR248" s="10"/>
      <c r="AS248" s="69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</row>
    <row r="249" spans="1:56" s="193" customFormat="1" ht="51" customHeight="1" x14ac:dyDescent="0.25">
      <c r="A249" s="269"/>
      <c r="B249" s="258"/>
      <c r="C249" s="35"/>
      <c r="D249" s="44"/>
      <c r="E249" s="44"/>
      <c r="F249" s="44"/>
      <c r="G249" s="73"/>
      <c r="H249" s="44"/>
      <c r="I249" s="35"/>
      <c r="J249" s="35"/>
      <c r="K249" s="36"/>
      <c r="L249" s="108"/>
      <c r="M249" s="73"/>
      <c r="N249" s="36"/>
      <c r="O249" s="36"/>
      <c r="P249" s="6" t="s">
        <v>314</v>
      </c>
      <c r="Q249" s="51"/>
      <c r="R249" s="51"/>
      <c r="S249" s="51"/>
      <c r="T249" s="35"/>
      <c r="U249" s="21"/>
      <c r="V249" s="21"/>
      <c r="W249" s="11"/>
      <c r="X249" s="21"/>
      <c r="Y249" s="21"/>
      <c r="Z249" s="21"/>
      <c r="AA249" s="23"/>
      <c r="AB249" s="21"/>
      <c r="AC249" s="24"/>
      <c r="AD249" s="24"/>
      <c r="AE249" s="25"/>
      <c r="AF249" s="25"/>
      <c r="AG249" s="107">
        <v>0</v>
      </c>
      <c r="AH249" s="12">
        <f t="shared" si="7"/>
        <v>0</v>
      </c>
      <c r="AI249" s="21"/>
      <c r="AJ249" s="11"/>
      <c r="AK249" s="21"/>
      <c r="AL249" s="27"/>
      <c r="AM249" s="21"/>
      <c r="AN249" s="21"/>
      <c r="AO249" s="11"/>
      <c r="AP249" s="10"/>
      <c r="AQ249" s="11"/>
      <c r="AR249" s="10"/>
      <c r="AS249" s="69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</row>
    <row r="250" spans="1:56" s="193" customFormat="1" ht="48" customHeight="1" x14ac:dyDescent="0.25">
      <c r="A250" s="270">
        <v>58</v>
      </c>
      <c r="B250" s="254" t="s">
        <v>585</v>
      </c>
      <c r="C250" s="16" t="s">
        <v>586</v>
      </c>
      <c r="D250" s="16" t="s">
        <v>572</v>
      </c>
      <c r="E250" s="16" t="s">
        <v>123</v>
      </c>
      <c r="F250" s="16" t="s">
        <v>759</v>
      </c>
      <c r="G250" s="15">
        <v>11512</v>
      </c>
      <c r="H250" s="44" t="s">
        <v>760</v>
      </c>
      <c r="I250" s="16" t="s">
        <v>761</v>
      </c>
      <c r="J250" s="16" t="s">
        <v>427</v>
      </c>
      <c r="K250" s="17">
        <v>42373</v>
      </c>
      <c r="L250" s="105">
        <v>60000</v>
      </c>
      <c r="M250" s="63">
        <v>11722</v>
      </c>
      <c r="N250" s="17">
        <v>42373</v>
      </c>
      <c r="O250" s="17">
        <v>42735</v>
      </c>
      <c r="P250" s="80" t="s">
        <v>157</v>
      </c>
      <c r="Q250" s="51"/>
      <c r="R250" s="51"/>
      <c r="S250" s="51"/>
      <c r="T250" s="16" t="s">
        <v>161</v>
      </c>
      <c r="U250" s="21"/>
      <c r="V250" s="21"/>
      <c r="W250" s="11"/>
      <c r="X250" s="21"/>
      <c r="Y250" s="21"/>
      <c r="Z250" s="21"/>
      <c r="AA250" s="23"/>
      <c r="AB250" s="21"/>
      <c r="AC250" s="24"/>
      <c r="AD250" s="24"/>
      <c r="AE250" s="82">
        <f>L250</f>
        <v>60000</v>
      </c>
      <c r="AF250" s="107"/>
      <c r="AG250" s="107">
        <f>5939.77+2134.44+4229.05</f>
        <v>12303.260000000002</v>
      </c>
      <c r="AH250" s="12">
        <f t="shared" ref="AH250:AH301" si="8">AF250+AG250</f>
        <v>12303.260000000002</v>
      </c>
      <c r="AI250" s="21"/>
      <c r="AJ250" s="11"/>
      <c r="AK250" s="21"/>
      <c r="AL250" s="27"/>
      <c r="AM250" s="21"/>
      <c r="AN250" s="21"/>
      <c r="AO250" s="11"/>
      <c r="AP250" s="10"/>
      <c r="AQ250" s="11"/>
      <c r="AR250" s="10"/>
      <c r="AS250" s="69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</row>
    <row r="251" spans="1:56" s="193" customFormat="1" ht="48" customHeight="1" x14ac:dyDescent="0.25">
      <c r="A251" s="269"/>
      <c r="B251" s="253"/>
      <c r="C251" s="35"/>
      <c r="D251" s="35"/>
      <c r="E251" s="35"/>
      <c r="F251" s="35"/>
      <c r="G251" s="34"/>
      <c r="H251" s="44"/>
      <c r="I251" s="35"/>
      <c r="J251" s="35"/>
      <c r="K251" s="36"/>
      <c r="L251" s="108"/>
      <c r="M251" s="73"/>
      <c r="N251" s="36"/>
      <c r="O251" s="36"/>
      <c r="P251" s="80" t="s">
        <v>314</v>
      </c>
      <c r="Q251" s="51"/>
      <c r="R251" s="51"/>
      <c r="S251" s="51"/>
      <c r="T251" s="35"/>
      <c r="U251" s="21"/>
      <c r="V251" s="21"/>
      <c r="W251" s="11"/>
      <c r="X251" s="21"/>
      <c r="Y251" s="21"/>
      <c r="Z251" s="21"/>
      <c r="AA251" s="23"/>
      <c r="AB251" s="21"/>
      <c r="AC251" s="24"/>
      <c r="AD251" s="24"/>
      <c r="AE251" s="92"/>
      <c r="AF251" s="107"/>
      <c r="AG251" s="107">
        <f>1000+1000+1000</f>
        <v>3000</v>
      </c>
      <c r="AH251" s="12">
        <f t="shared" si="8"/>
        <v>3000</v>
      </c>
      <c r="AI251" s="21"/>
      <c r="AJ251" s="11"/>
      <c r="AK251" s="21"/>
      <c r="AL251" s="27"/>
      <c r="AM251" s="21"/>
      <c r="AN251" s="21"/>
      <c r="AO251" s="11"/>
      <c r="AP251" s="10"/>
      <c r="AQ251" s="11"/>
      <c r="AR251" s="10"/>
      <c r="AS251" s="69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</row>
    <row r="252" spans="1:56" s="193" customFormat="1" ht="48" customHeight="1" thickBot="1" x14ac:dyDescent="0.3">
      <c r="A252" s="273">
        <v>59</v>
      </c>
      <c r="B252" s="260" t="s">
        <v>582</v>
      </c>
      <c r="C252" s="51" t="s">
        <v>583</v>
      </c>
      <c r="D252" s="21" t="s">
        <v>572</v>
      </c>
      <c r="E252" s="21" t="s">
        <v>123</v>
      </c>
      <c r="F252" s="51" t="s">
        <v>756</v>
      </c>
      <c r="G252" s="115">
        <v>11511</v>
      </c>
      <c r="H252" s="6" t="s">
        <v>757</v>
      </c>
      <c r="I252" s="51" t="s">
        <v>584</v>
      </c>
      <c r="J252" s="51" t="s">
        <v>346</v>
      </c>
      <c r="K252" s="10">
        <v>42373</v>
      </c>
      <c r="L252" s="113">
        <v>8287.5</v>
      </c>
      <c r="M252" s="114">
        <v>11755</v>
      </c>
      <c r="N252" s="10">
        <v>42373</v>
      </c>
      <c r="O252" s="10">
        <v>42735</v>
      </c>
      <c r="P252" s="80" t="s">
        <v>157</v>
      </c>
      <c r="Q252" s="51"/>
      <c r="R252" s="51"/>
      <c r="S252" s="51"/>
      <c r="T252" s="51" t="s">
        <v>204</v>
      </c>
      <c r="U252" s="21"/>
      <c r="V252" s="21"/>
      <c r="W252" s="11"/>
      <c r="X252" s="21"/>
      <c r="Y252" s="21"/>
      <c r="Z252" s="21"/>
      <c r="AA252" s="23"/>
      <c r="AB252" s="21"/>
      <c r="AC252" s="24"/>
      <c r="AD252" s="24"/>
      <c r="AE252" s="25">
        <f>L252</f>
        <v>8287.5</v>
      </c>
      <c r="AF252" s="107"/>
      <c r="AG252" s="107">
        <f>1687.25+2244+182.75+633.25+1504.5+484.5</f>
        <v>6736.25</v>
      </c>
      <c r="AH252" s="12">
        <f t="shared" si="8"/>
        <v>6736.25</v>
      </c>
      <c r="AI252" s="21"/>
      <c r="AJ252" s="11"/>
      <c r="AK252" s="21"/>
      <c r="AL252" s="27"/>
      <c r="AM252" s="21"/>
      <c r="AN252" s="21"/>
      <c r="AO252" s="11"/>
      <c r="AP252" s="10"/>
      <c r="AQ252" s="11"/>
      <c r="AR252" s="10"/>
      <c r="AS252" s="69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</row>
    <row r="253" spans="1:56" s="193" customFormat="1" ht="48" customHeight="1" x14ac:dyDescent="0.25">
      <c r="A253" s="270">
        <v>60</v>
      </c>
      <c r="B253" s="256" t="s">
        <v>576</v>
      </c>
      <c r="C253" s="61" t="s">
        <v>621</v>
      </c>
      <c r="D253" s="16" t="s">
        <v>134</v>
      </c>
      <c r="E253" s="16" t="s">
        <v>123</v>
      </c>
      <c r="F253" s="16" t="s">
        <v>577</v>
      </c>
      <c r="G253" s="63">
        <v>11498</v>
      </c>
      <c r="H253" s="109" t="s">
        <v>786</v>
      </c>
      <c r="I253" s="16" t="s">
        <v>578</v>
      </c>
      <c r="J253" s="16" t="s">
        <v>579</v>
      </c>
      <c r="K253" s="17">
        <v>42373</v>
      </c>
      <c r="L253" s="76">
        <v>6776</v>
      </c>
      <c r="M253" s="78">
        <v>42373</v>
      </c>
      <c r="N253" s="17">
        <v>42735</v>
      </c>
      <c r="O253" s="78">
        <v>42369</v>
      </c>
      <c r="P253" s="116" t="s">
        <v>157</v>
      </c>
      <c r="Q253" s="16"/>
      <c r="R253" s="16"/>
      <c r="S253" s="16"/>
      <c r="T253" s="117" t="s">
        <v>204</v>
      </c>
      <c r="U253" s="21"/>
      <c r="V253" s="21"/>
      <c r="W253" s="11"/>
      <c r="X253" s="21"/>
      <c r="Y253" s="21"/>
      <c r="Z253" s="21"/>
      <c r="AA253" s="23"/>
      <c r="AB253" s="21"/>
      <c r="AC253" s="24"/>
      <c r="AD253" s="24"/>
      <c r="AE253" s="82">
        <f>L253</f>
        <v>6776</v>
      </c>
      <c r="AF253" s="107"/>
      <c r="AG253" s="12">
        <f>2688+280+1176</f>
        <v>4144</v>
      </c>
      <c r="AH253" s="12">
        <f t="shared" si="8"/>
        <v>4144</v>
      </c>
      <c r="AI253" s="21"/>
      <c r="AJ253" s="11"/>
      <c r="AK253" s="21"/>
      <c r="AL253" s="27"/>
      <c r="AM253" s="21"/>
      <c r="AN253" s="21"/>
      <c r="AO253" s="11"/>
      <c r="AP253" s="10"/>
      <c r="AQ253" s="11"/>
      <c r="AR253" s="10"/>
      <c r="AS253" s="69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</row>
    <row r="254" spans="1:56" s="193" customFormat="1" ht="48" customHeight="1" thickBot="1" x14ac:dyDescent="0.3">
      <c r="A254" s="269"/>
      <c r="B254" s="258"/>
      <c r="C254" s="71"/>
      <c r="D254" s="35"/>
      <c r="E254" s="35"/>
      <c r="F254" s="35"/>
      <c r="G254" s="73"/>
      <c r="H254" s="110"/>
      <c r="I254" s="35"/>
      <c r="J254" s="35"/>
      <c r="K254" s="36"/>
      <c r="L254" s="108"/>
      <c r="M254" s="36"/>
      <c r="N254" s="36"/>
      <c r="O254" s="36"/>
      <c r="P254" s="116"/>
      <c r="Q254" s="35"/>
      <c r="R254" s="35"/>
      <c r="S254" s="35"/>
      <c r="T254" s="104"/>
      <c r="U254" s="21"/>
      <c r="V254" s="21"/>
      <c r="W254" s="11"/>
      <c r="X254" s="21"/>
      <c r="Y254" s="21"/>
      <c r="Z254" s="21"/>
      <c r="AA254" s="23"/>
      <c r="AB254" s="21"/>
      <c r="AC254" s="24"/>
      <c r="AD254" s="24"/>
      <c r="AE254" s="82">
        <f t="shared" ref="AE254:AE260" si="9">L254</f>
        <v>0</v>
      </c>
      <c r="AF254" s="107"/>
      <c r="AG254" s="14"/>
      <c r="AH254" s="12">
        <f t="shared" si="8"/>
        <v>0</v>
      </c>
      <c r="AI254" s="21"/>
      <c r="AJ254" s="11"/>
      <c r="AK254" s="21"/>
      <c r="AL254" s="27"/>
      <c r="AM254" s="21"/>
      <c r="AN254" s="21"/>
      <c r="AO254" s="11"/>
      <c r="AP254" s="10"/>
      <c r="AQ254" s="11"/>
      <c r="AR254" s="10"/>
      <c r="AS254" s="69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</row>
    <row r="255" spans="1:56" s="193" customFormat="1" ht="48" customHeight="1" x14ac:dyDescent="0.25">
      <c r="A255" s="270">
        <v>61</v>
      </c>
      <c r="B255" s="256" t="s">
        <v>643</v>
      </c>
      <c r="C255" s="61" t="s">
        <v>644</v>
      </c>
      <c r="D255" s="16" t="s">
        <v>134</v>
      </c>
      <c r="E255" s="16" t="s">
        <v>123</v>
      </c>
      <c r="F255" s="16" t="s">
        <v>806</v>
      </c>
      <c r="G255" s="63">
        <v>11525</v>
      </c>
      <c r="H255" s="109" t="s">
        <v>805</v>
      </c>
      <c r="I255" s="16" t="s">
        <v>275</v>
      </c>
      <c r="J255" s="16" t="s">
        <v>359</v>
      </c>
      <c r="K255" s="17">
        <v>42373</v>
      </c>
      <c r="L255" s="76">
        <v>31315</v>
      </c>
      <c r="M255" s="78">
        <v>42373</v>
      </c>
      <c r="N255" s="17">
        <v>42373</v>
      </c>
      <c r="O255" s="78">
        <v>42735</v>
      </c>
      <c r="P255" s="116" t="s">
        <v>157</v>
      </c>
      <c r="Q255" s="16"/>
      <c r="R255" s="16"/>
      <c r="S255" s="16"/>
      <c r="T255" s="117" t="s">
        <v>160</v>
      </c>
      <c r="U255" s="21"/>
      <c r="V255" s="21"/>
      <c r="W255" s="11"/>
      <c r="X255" s="21"/>
      <c r="Y255" s="21"/>
      <c r="Z255" s="21"/>
      <c r="AA255" s="23"/>
      <c r="AB255" s="21"/>
      <c r="AC255" s="24"/>
      <c r="AD255" s="24"/>
      <c r="AE255" s="82">
        <f t="shared" si="9"/>
        <v>31315</v>
      </c>
      <c r="AF255" s="107"/>
      <c r="AG255" s="14">
        <v>4889</v>
      </c>
      <c r="AH255" s="12">
        <f t="shared" si="8"/>
        <v>4889</v>
      </c>
      <c r="AI255" s="21"/>
      <c r="AJ255" s="11"/>
      <c r="AK255" s="21"/>
      <c r="AL255" s="27"/>
      <c r="AM255" s="21"/>
      <c r="AN255" s="21"/>
      <c r="AO255" s="11"/>
      <c r="AP255" s="10"/>
      <c r="AQ255" s="11"/>
      <c r="AR255" s="10"/>
      <c r="AS255" s="69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</row>
    <row r="256" spans="1:56" s="193" customFormat="1" ht="48" customHeight="1" thickBot="1" x14ac:dyDescent="0.3">
      <c r="A256" s="269"/>
      <c r="B256" s="258"/>
      <c r="C256" s="71"/>
      <c r="D256" s="35"/>
      <c r="E256" s="35"/>
      <c r="F256" s="35"/>
      <c r="G256" s="73"/>
      <c r="H256" s="110"/>
      <c r="I256" s="35"/>
      <c r="J256" s="35"/>
      <c r="K256" s="36"/>
      <c r="L256" s="108"/>
      <c r="M256" s="36"/>
      <c r="N256" s="36"/>
      <c r="O256" s="36"/>
      <c r="P256" s="116"/>
      <c r="Q256" s="35"/>
      <c r="R256" s="35"/>
      <c r="S256" s="35"/>
      <c r="T256" s="104"/>
      <c r="U256" s="21"/>
      <c r="V256" s="21"/>
      <c r="W256" s="11"/>
      <c r="X256" s="21"/>
      <c r="Y256" s="21"/>
      <c r="Z256" s="21"/>
      <c r="AA256" s="23"/>
      <c r="AB256" s="21"/>
      <c r="AC256" s="24"/>
      <c r="AD256" s="24"/>
      <c r="AE256" s="82">
        <f t="shared" si="9"/>
        <v>0</v>
      </c>
      <c r="AF256" s="107"/>
      <c r="AG256" s="14"/>
      <c r="AH256" s="12">
        <f t="shared" si="8"/>
        <v>0</v>
      </c>
      <c r="AI256" s="21"/>
      <c r="AJ256" s="11"/>
      <c r="AK256" s="21"/>
      <c r="AL256" s="27"/>
      <c r="AM256" s="21"/>
      <c r="AN256" s="21"/>
      <c r="AO256" s="11"/>
      <c r="AP256" s="10"/>
      <c r="AQ256" s="11"/>
      <c r="AR256" s="10"/>
      <c r="AS256" s="69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</row>
    <row r="257" spans="1:56" s="193" customFormat="1" ht="48" customHeight="1" x14ac:dyDescent="0.25">
      <c r="A257" s="270">
        <v>62</v>
      </c>
      <c r="B257" s="256" t="s">
        <v>834</v>
      </c>
      <c r="C257" s="16" t="s">
        <v>835</v>
      </c>
      <c r="D257" s="44" t="s">
        <v>381</v>
      </c>
      <c r="E257" s="44" t="s">
        <v>123</v>
      </c>
      <c r="F257" s="44" t="s">
        <v>246</v>
      </c>
      <c r="G257" s="118">
        <v>11755</v>
      </c>
      <c r="H257" s="44" t="s">
        <v>848</v>
      </c>
      <c r="I257" s="16" t="s">
        <v>256</v>
      </c>
      <c r="J257" s="16" t="s">
        <v>348</v>
      </c>
      <c r="K257" s="17">
        <v>42373</v>
      </c>
      <c r="L257" s="105">
        <v>132428.64000000001</v>
      </c>
      <c r="M257" s="63">
        <v>11775</v>
      </c>
      <c r="N257" s="17">
        <v>42373</v>
      </c>
      <c r="O257" s="17">
        <v>42735</v>
      </c>
      <c r="P257" s="109" t="s">
        <v>157</v>
      </c>
      <c r="Q257" s="111"/>
      <c r="R257" s="111"/>
      <c r="S257" s="111"/>
      <c r="T257" s="16" t="s">
        <v>160</v>
      </c>
      <c r="U257" s="21"/>
      <c r="V257" s="21"/>
      <c r="W257" s="11"/>
      <c r="X257" s="21"/>
      <c r="Y257" s="21"/>
      <c r="Z257" s="21"/>
      <c r="AA257" s="23"/>
      <c r="AB257" s="21"/>
      <c r="AC257" s="24"/>
      <c r="AD257" s="24"/>
      <c r="AE257" s="82">
        <f>L257</f>
        <v>132428.64000000001</v>
      </c>
      <c r="AF257" s="107"/>
      <c r="AG257" s="14">
        <f>9158.31+1287</f>
        <v>10445.31</v>
      </c>
      <c r="AH257" s="12">
        <f t="shared" si="8"/>
        <v>10445.31</v>
      </c>
      <c r="AI257" s="21"/>
      <c r="AJ257" s="11"/>
      <c r="AK257" s="21"/>
      <c r="AL257" s="27"/>
      <c r="AM257" s="21"/>
      <c r="AN257" s="21"/>
      <c r="AO257" s="11"/>
      <c r="AP257" s="10"/>
      <c r="AQ257" s="11"/>
      <c r="AR257" s="10"/>
      <c r="AS257" s="69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</row>
    <row r="258" spans="1:56" s="193" customFormat="1" ht="48" customHeight="1" x14ac:dyDescent="0.25">
      <c r="A258" s="269"/>
      <c r="B258" s="258"/>
      <c r="C258" s="35"/>
      <c r="D258" s="44"/>
      <c r="E258" s="44"/>
      <c r="F258" s="44"/>
      <c r="G258" s="44"/>
      <c r="H258" s="44"/>
      <c r="I258" s="35"/>
      <c r="J258" s="35"/>
      <c r="K258" s="36"/>
      <c r="L258" s="108"/>
      <c r="M258" s="73"/>
      <c r="N258" s="36"/>
      <c r="O258" s="36"/>
      <c r="P258" s="110"/>
      <c r="Q258" s="51"/>
      <c r="R258" s="51"/>
      <c r="S258" s="51"/>
      <c r="T258" s="35"/>
      <c r="U258" s="21"/>
      <c r="V258" s="21"/>
      <c r="W258" s="11"/>
      <c r="X258" s="21"/>
      <c r="Y258" s="21"/>
      <c r="Z258" s="21"/>
      <c r="AA258" s="23"/>
      <c r="AB258" s="21"/>
      <c r="AC258" s="24"/>
      <c r="AD258" s="24"/>
      <c r="AE258" s="82"/>
      <c r="AF258" s="107"/>
      <c r="AG258" s="14"/>
      <c r="AH258" s="12">
        <f t="shared" si="8"/>
        <v>0</v>
      </c>
      <c r="AI258" s="21"/>
      <c r="AJ258" s="11"/>
      <c r="AK258" s="21"/>
      <c r="AL258" s="27"/>
      <c r="AM258" s="21"/>
      <c r="AN258" s="21"/>
      <c r="AO258" s="11"/>
      <c r="AP258" s="10"/>
      <c r="AQ258" s="11"/>
      <c r="AR258" s="10"/>
      <c r="AS258" s="69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</row>
    <row r="259" spans="1:56" s="193" customFormat="1" ht="48" customHeight="1" x14ac:dyDescent="0.25">
      <c r="A259" s="273">
        <v>63</v>
      </c>
      <c r="B259" s="260" t="s">
        <v>644</v>
      </c>
      <c r="C259" s="51" t="s">
        <v>616</v>
      </c>
      <c r="D259" s="51" t="s">
        <v>572</v>
      </c>
      <c r="E259" s="51" t="s">
        <v>123</v>
      </c>
      <c r="F259" s="51" t="s">
        <v>809</v>
      </c>
      <c r="G259" s="115">
        <v>11500</v>
      </c>
      <c r="H259" s="80" t="s">
        <v>810</v>
      </c>
      <c r="I259" s="51" t="s">
        <v>811</v>
      </c>
      <c r="J259" s="51" t="s">
        <v>812</v>
      </c>
      <c r="K259" s="52">
        <v>42380</v>
      </c>
      <c r="L259" s="113">
        <v>26400</v>
      </c>
      <c r="M259" s="114">
        <v>11737</v>
      </c>
      <c r="N259" s="52">
        <v>42380</v>
      </c>
      <c r="O259" s="52">
        <v>42735</v>
      </c>
      <c r="P259" s="80" t="s">
        <v>157</v>
      </c>
      <c r="Q259" s="51"/>
      <c r="R259" s="51"/>
      <c r="S259" s="51"/>
      <c r="T259" s="51" t="s">
        <v>204</v>
      </c>
      <c r="U259" s="21"/>
      <c r="V259" s="21"/>
      <c r="W259" s="11"/>
      <c r="X259" s="21"/>
      <c r="Y259" s="21"/>
      <c r="Z259" s="21"/>
      <c r="AA259" s="23"/>
      <c r="AB259" s="21"/>
      <c r="AC259" s="24"/>
      <c r="AD259" s="24"/>
      <c r="AE259" s="82">
        <f t="shared" si="9"/>
        <v>26400</v>
      </c>
      <c r="AF259" s="107"/>
      <c r="AG259" s="14">
        <v>26400</v>
      </c>
      <c r="AH259" s="12">
        <f t="shared" si="8"/>
        <v>26400</v>
      </c>
      <c r="AI259" s="21"/>
      <c r="AJ259" s="11"/>
      <c r="AK259" s="21"/>
      <c r="AL259" s="27"/>
      <c r="AM259" s="21"/>
      <c r="AN259" s="21"/>
      <c r="AO259" s="11"/>
      <c r="AP259" s="10"/>
      <c r="AQ259" s="11"/>
      <c r="AR259" s="10"/>
      <c r="AS259" s="69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</row>
    <row r="260" spans="1:56" s="193" customFormat="1" ht="48" customHeight="1" x14ac:dyDescent="0.25">
      <c r="A260" s="273">
        <v>64</v>
      </c>
      <c r="B260" s="260" t="s">
        <v>840</v>
      </c>
      <c r="C260" s="51" t="s">
        <v>841</v>
      </c>
      <c r="D260" s="51" t="s">
        <v>572</v>
      </c>
      <c r="E260" s="51" t="s">
        <v>123</v>
      </c>
      <c r="F260" s="51" t="s">
        <v>842</v>
      </c>
      <c r="G260" s="115"/>
      <c r="H260" s="80" t="s">
        <v>843</v>
      </c>
      <c r="I260" s="51" t="s">
        <v>844</v>
      </c>
      <c r="J260" s="51" t="s">
        <v>845</v>
      </c>
      <c r="K260" s="52">
        <v>42381</v>
      </c>
      <c r="L260" s="113">
        <v>30000</v>
      </c>
      <c r="M260" s="114">
        <v>11782</v>
      </c>
      <c r="N260" s="52">
        <v>42380</v>
      </c>
      <c r="O260" s="52">
        <v>42735</v>
      </c>
      <c r="P260" s="80" t="s">
        <v>157</v>
      </c>
      <c r="Q260" s="51"/>
      <c r="R260" s="51"/>
      <c r="S260" s="51"/>
      <c r="T260" s="51" t="s">
        <v>160</v>
      </c>
      <c r="U260" s="21"/>
      <c r="V260" s="21"/>
      <c r="W260" s="11"/>
      <c r="X260" s="21"/>
      <c r="Y260" s="21"/>
      <c r="Z260" s="21"/>
      <c r="AA260" s="23"/>
      <c r="AB260" s="21"/>
      <c r="AC260" s="24"/>
      <c r="AD260" s="24"/>
      <c r="AE260" s="82">
        <f t="shared" si="9"/>
        <v>30000</v>
      </c>
      <c r="AF260" s="107"/>
      <c r="AG260" s="14">
        <v>5272.9</v>
      </c>
      <c r="AH260" s="12">
        <f t="shared" si="8"/>
        <v>5272.9</v>
      </c>
      <c r="AI260" s="21"/>
      <c r="AJ260" s="11"/>
      <c r="AK260" s="21"/>
      <c r="AL260" s="27"/>
      <c r="AM260" s="21"/>
      <c r="AN260" s="21"/>
      <c r="AO260" s="11"/>
      <c r="AP260" s="10"/>
      <c r="AQ260" s="11"/>
      <c r="AR260" s="10"/>
      <c r="AS260" s="69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</row>
    <row r="261" spans="1:56" s="193" customFormat="1" ht="48" customHeight="1" x14ac:dyDescent="0.25">
      <c r="A261" s="270">
        <v>62</v>
      </c>
      <c r="B261" s="254" t="s">
        <v>519</v>
      </c>
      <c r="C261" s="16" t="s">
        <v>520</v>
      </c>
      <c r="D261" s="16" t="s">
        <v>572</v>
      </c>
      <c r="E261" s="16" t="s">
        <v>123</v>
      </c>
      <c r="F261" s="16" t="s">
        <v>851</v>
      </c>
      <c r="G261" s="15">
        <v>11486</v>
      </c>
      <c r="H261" s="109" t="s">
        <v>852</v>
      </c>
      <c r="I261" s="16" t="s">
        <v>523</v>
      </c>
      <c r="J261" s="16" t="s">
        <v>524</v>
      </c>
      <c r="K261" s="17">
        <v>42384</v>
      </c>
      <c r="L261" s="105">
        <v>575280</v>
      </c>
      <c r="M261" s="63"/>
      <c r="N261" s="17">
        <v>42384</v>
      </c>
      <c r="O261" s="17">
        <v>42536</v>
      </c>
      <c r="P261" s="6" t="s">
        <v>157</v>
      </c>
      <c r="Q261" s="51"/>
      <c r="R261" s="51"/>
      <c r="S261" s="51"/>
      <c r="T261" s="16" t="s">
        <v>160</v>
      </c>
      <c r="U261" s="21"/>
      <c r="V261" s="21"/>
      <c r="W261" s="11"/>
      <c r="X261" s="21"/>
      <c r="Y261" s="21"/>
      <c r="Z261" s="21"/>
      <c r="AA261" s="23"/>
      <c r="AB261" s="21"/>
      <c r="AC261" s="24"/>
      <c r="AD261" s="24"/>
      <c r="AE261" s="82"/>
      <c r="AF261" s="107"/>
      <c r="AG261" s="14">
        <f>11186+31160.99+27965</f>
        <v>70311.990000000005</v>
      </c>
      <c r="AH261" s="12">
        <f t="shared" si="8"/>
        <v>70311.990000000005</v>
      </c>
      <c r="AI261" s="21"/>
      <c r="AJ261" s="11"/>
      <c r="AK261" s="21"/>
      <c r="AL261" s="27"/>
      <c r="AM261" s="21"/>
      <c r="AN261" s="21"/>
      <c r="AO261" s="11"/>
      <c r="AP261" s="10"/>
      <c r="AQ261" s="11"/>
      <c r="AR261" s="10"/>
      <c r="AS261" s="69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</row>
    <row r="262" spans="1:56" s="193" customFormat="1" ht="48" customHeight="1" x14ac:dyDescent="0.25">
      <c r="A262" s="269"/>
      <c r="B262" s="253"/>
      <c r="C262" s="35"/>
      <c r="D262" s="35"/>
      <c r="E262" s="35"/>
      <c r="F262" s="35"/>
      <c r="G262" s="34"/>
      <c r="H262" s="110"/>
      <c r="I262" s="35"/>
      <c r="J262" s="35"/>
      <c r="K262" s="36"/>
      <c r="L262" s="108"/>
      <c r="M262" s="73"/>
      <c r="N262" s="36"/>
      <c r="O262" s="36"/>
      <c r="P262" s="6" t="s">
        <v>203</v>
      </c>
      <c r="Q262" s="51"/>
      <c r="R262" s="51"/>
      <c r="S262" s="51"/>
      <c r="T262" s="35"/>
      <c r="U262" s="21"/>
      <c r="V262" s="21"/>
      <c r="W262" s="11"/>
      <c r="X262" s="21"/>
      <c r="Y262" s="21"/>
      <c r="Z262" s="21"/>
      <c r="AA262" s="23"/>
      <c r="AB262" s="21"/>
      <c r="AC262" s="24"/>
      <c r="AD262" s="24"/>
      <c r="AE262" s="82"/>
      <c r="AF262" s="107"/>
      <c r="AG262" s="14"/>
      <c r="AH262" s="12">
        <f t="shared" si="8"/>
        <v>0</v>
      </c>
      <c r="AI262" s="21"/>
      <c r="AJ262" s="11"/>
      <c r="AK262" s="21"/>
      <c r="AL262" s="27"/>
      <c r="AM262" s="21"/>
      <c r="AN262" s="21"/>
      <c r="AO262" s="11"/>
      <c r="AP262" s="10"/>
      <c r="AQ262" s="11"/>
      <c r="AR262" s="10"/>
      <c r="AS262" s="69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</row>
    <row r="263" spans="1:56" s="193" customFormat="1" ht="48" customHeight="1" x14ac:dyDescent="0.25">
      <c r="A263" s="273">
        <v>66</v>
      </c>
      <c r="B263" s="260" t="s">
        <v>574</v>
      </c>
      <c r="C263" s="51" t="s">
        <v>575</v>
      </c>
      <c r="D263" s="51" t="s">
        <v>572</v>
      </c>
      <c r="E263" s="51" t="s">
        <v>123</v>
      </c>
      <c r="F263" s="51" t="s">
        <v>745</v>
      </c>
      <c r="G263" s="115">
        <v>11536</v>
      </c>
      <c r="H263" s="80" t="s">
        <v>746</v>
      </c>
      <c r="I263" s="51" t="s">
        <v>199</v>
      </c>
      <c r="J263" s="51" t="s">
        <v>335</v>
      </c>
      <c r="K263" s="52">
        <v>42371</v>
      </c>
      <c r="L263" s="113">
        <v>502490.03</v>
      </c>
      <c r="M263" s="114">
        <v>11732</v>
      </c>
      <c r="N263" s="52">
        <v>42371</v>
      </c>
      <c r="O263" s="52">
        <v>42735</v>
      </c>
      <c r="P263" s="80" t="s">
        <v>157</v>
      </c>
      <c r="Q263" s="51"/>
      <c r="R263" s="51"/>
      <c r="S263" s="51"/>
      <c r="T263" s="51" t="s">
        <v>204</v>
      </c>
      <c r="U263" s="21"/>
      <c r="V263" s="21"/>
      <c r="W263" s="11"/>
      <c r="X263" s="21"/>
      <c r="Y263" s="21"/>
      <c r="Z263" s="21"/>
      <c r="AA263" s="23"/>
      <c r="AB263" s="21"/>
      <c r="AC263" s="24"/>
      <c r="AD263" s="24"/>
      <c r="AE263" s="25">
        <f>L263</f>
        <v>502490.03</v>
      </c>
      <c r="AF263" s="107"/>
      <c r="AG263" s="107">
        <f>10968.73+9296.28+898.58+13631.16+528.96+6448+10457.4+6479.55+14087.49+15474.86+12693.84+12910.8+15719.78+10554.84+15103.44</f>
        <v>155253.71000000002</v>
      </c>
      <c r="AH263" s="12">
        <f t="shared" si="8"/>
        <v>155253.71000000002</v>
      </c>
      <c r="AI263" s="21"/>
      <c r="AJ263" s="11"/>
      <c r="AK263" s="21"/>
      <c r="AL263" s="27"/>
      <c r="AM263" s="21"/>
      <c r="AN263" s="21"/>
      <c r="AO263" s="11"/>
      <c r="AP263" s="10"/>
      <c r="AQ263" s="11"/>
      <c r="AR263" s="10"/>
      <c r="AS263" s="69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</row>
    <row r="264" spans="1:56" s="193" customFormat="1" ht="48" customHeight="1" x14ac:dyDescent="0.25">
      <c r="A264" s="270">
        <v>67</v>
      </c>
      <c r="B264" s="254" t="s">
        <v>620</v>
      </c>
      <c r="C264" s="16" t="s">
        <v>583</v>
      </c>
      <c r="D264" s="16" t="s">
        <v>572</v>
      </c>
      <c r="E264" s="16" t="s">
        <v>123</v>
      </c>
      <c r="F264" s="16" t="s">
        <v>704</v>
      </c>
      <c r="G264" s="15">
        <v>11535</v>
      </c>
      <c r="H264" s="109" t="s">
        <v>832</v>
      </c>
      <c r="I264" s="16" t="s">
        <v>833</v>
      </c>
      <c r="J264" s="16" t="s">
        <v>382</v>
      </c>
      <c r="K264" s="17">
        <v>42402</v>
      </c>
      <c r="L264" s="105">
        <v>114212.8</v>
      </c>
      <c r="M264" s="63">
        <v>11771</v>
      </c>
      <c r="N264" s="17">
        <v>42402</v>
      </c>
      <c r="O264" s="17">
        <v>42521</v>
      </c>
      <c r="P264" s="6" t="s">
        <v>157</v>
      </c>
      <c r="Q264" s="51"/>
      <c r="R264" s="51"/>
      <c r="S264" s="51"/>
      <c r="T264" s="16" t="s">
        <v>204</v>
      </c>
      <c r="U264" s="21"/>
      <c r="V264" s="21"/>
      <c r="W264" s="11"/>
      <c r="X264" s="21"/>
      <c r="Y264" s="21"/>
      <c r="Z264" s="21"/>
      <c r="AA264" s="23"/>
      <c r="AB264" s="21"/>
      <c r="AC264" s="24"/>
      <c r="AD264" s="24"/>
      <c r="AE264" s="82">
        <f t="shared" ref="AE264:AE265" si="10">L264</f>
        <v>114212.8</v>
      </c>
      <c r="AF264" s="107"/>
      <c r="AG264" s="7">
        <f>37650.25+3766.8</f>
        <v>41417.050000000003</v>
      </c>
      <c r="AH264" s="12">
        <f t="shared" si="8"/>
        <v>41417.050000000003</v>
      </c>
      <c r="AI264" s="21"/>
      <c r="AJ264" s="11"/>
      <c r="AK264" s="21"/>
      <c r="AL264" s="27"/>
      <c r="AM264" s="21"/>
      <c r="AN264" s="21"/>
      <c r="AO264" s="11"/>
      <c r="AP264" s="10"/>
      <c r="AQ264" s="11"/>
      <c r="AR264" s="10"/>
      <c r="AS264" s="69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</row>
    <row r="265" spans="1:56" s="193" customFormat="1" ht="48" customHeight="1" x14ac:dyDescent="0.25">
      <c r="A265" s="269"/>
      <c r="B265" s="253"/>
      <c r="C265" s="35"/>
      <c r="D265" s="35"/>
      <c r="E265" s="35"/>
      <c r="F265" s="35"/>
      <c r="G265" s="34"/>
      <c r="H265" s="110"/>
      <c r="I265" s="35"/>
      <c r="J265" s="35"/>
      <c r="K265" s="36"/>
      <c r="L265" s="108"/>
      <c r="M265" s="73"/>
      <c r="N265" s="36"/>
      <c r="O265" s="36"/>
      <c r="P265" s="6" t="s">
        <v>314</v>
      </c>
      <c r="Q265" s="51"/>
      <c r="R265" s="51"/>
      <c r="S265" s="51"/>
      <c r="T265" s="35"/>
      <c r="U265" s="21"/>
      <c r="V265" s="21"/>
      <c r="W265" s="11"/>
      <c r="X265" s="21"/>
      <c r="Y265" s="21"/>
      <c r="Z265" s="21"/>
      <c r="AA265" s="23"/>
      <c r="AB265" s="21"/>
      <c r="AC265" s="24"/>
      <c r="AD265" s="24"/>
      <c r="AE265" s="82">
        <f t="shared" si="10"/>
        <v>0</v>
      </c>
      <c r="AF265" s="107"/>
      <c r="AG265" s="7">
        <f>36662.96+25754.96</f>
        <v>62417.919999999998</v>
      </c>
      <c r="AH265" s="12">
        <f t="shared" si="8"/>
        <v>62417.919999999998</v>
      </c>
      <c r="AI265" s="21"/>
      <c r="AJ265" s="11"/>
      <c r="AK265" s="21"/>
      <c r="AL265" s="27"/>
      <c r="AM265" s="21"/>
      <c r="AN265" s="21"/>
      <c r="AO265" s="11"/>
      <c r="AP265" s="10"/>
      <c r="AQ265" s="11"/>
      <c r="AR265" s="10"/>
      <c r="AS265" s="69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</row>
    <row r="266" spans="1:56" s="193" customFormat="1" ht="48" customHeight="1" x14ac:dyDescent="0.25">
      <c r="A266" s="270">
        <v>68</v>
      </c>
      <c r="B266" s="254" t="s">
        <v>790</v>
      </c>
      <c r="C266" s="16" t="s">
        <v>791</v>
      </c>
      <c r="D266" s="16" t="s">
        <v>572</v>
      </c>
      <c r="E266" s="16" t="s">
        <v>123</v>
      </c>
      <c r="F266" s="16" t="s">
        <v>792</v>
      </c>
      <c r="G266" s="15">
        <v>11648</v>
      </c>
      <c r="H266" s="109" t="s">
        <v>818</v>
      </c>
      <c r="I266" s="16" t="s">
        <v>819</v>
      </c>
      <c r="J266" s="16" t="s">
        <v>820</v>
      </c>
      <c r="K266" s="17">
        <v>42419</v>
      </c>
      <c r="L266" s="105">
        <v>5600</v>
      </c>
      <c r="M266" s="63">
        <v>11758</v>
      </c>
      <c r="N266" s="17">
        <v>42419</v>
      </c>
      <c r="O266" s="17">
        <v>42735</v>
      </c>
      <c r="P266" s="109" t="s">
        <v>157</v>
      </c>
      <c r="Q266" s="51"/>
      <c r="R266" s="51"/>
      <c r="S266" s="51"/>
      <c r="T266" s="16" t="s">
        <v>160</v>
      </c>
      <c r="U266" s="21"/>
      <c r="V266" s="21"/>
      <c r="W266" s="11"/>
      <c r="X266" s="21"/>
      <c r="Y266" s="21"/>
      <c r="Z266" s="21"/>
      <c r="AA266" s="23"/>
      <c r="AB266" s="21"/>
      <c r="AC266" s="24"/>
      <c r="AD266" s="24"/>
      <c r="AE266" s="25">
        <f>L266</f>
        <v>5600</v>
      </c>
      <c r="AF266" s="107"/>
      <c r="AG266" s="55">
        <f>5600+1288</f>
        <v>6888</v>
      </c>
      <c r="AH266" s="12">
        <f t="shared" si="8"/>
        <v>6888</v>
      </c>
      <c r="AI266" s="21"/>
      <c r="AJ266" s="11"/>
      <c r="AK266" s="21"/>
      <c r="AL266" s="27"/>
      <c r="AM266" s="21"/>
      <c r="AN266" s="21"/>
      <c r="AO266" s="11"/>
      <c r="AP266" s="10"/>
      <c r="AQ266" s="11"/>
      <c r="AR266" s="10"/>
      <c r="AS266" s="69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</row>
    <row r="267" spans="1:56" s="193" customFormat="1" ht="48" customHeight="1" x14ac:dyDescent="0.25">
      <c r="A267" s="269"/>
      <c r="B267" s="253"/>
      <c r="C267" s="35"/>
      <c r="D267" s="35"/>
      <c r="E267" s="35"/>
      <c r="F267" s="35"/>
      <c r="G267" s="34"/>
      <c r="H267" s="110"/>
      <c r="I267" s="35"/>
      <c r="J267" s="35"/>
      <c r="K267" s="36"/>
      <c r="L267" s="108"/>
      <c r="M267" s="73"/>
      <c r="N267" s="36"/>
      <c r="O267" s="36"/>
      <c r="P267" s="110"/>
      <c r="Q267" s="51"/>
      <c r="R267" s="51"/>
      <c r="S267" s="51"/>
      <c r="T267" s="35"/>
      <c r="U267" s="21" t="s">
        <v>240</v>
      </c>
      <c r="V267" s="10">
        <v>42468</v>
      </c>
      <c r="W267" s="11">
        <v>11219</v>
      </c>
      <c r="X267" s="21" t="s">
        <v>344</v>
      </c>
      <c r="Y267" s="10">
        <v>42468</v>
      </c>
      <c r="Z267" s="10">
        <v>42735</v>
      </c>
      <c r="AA267" s="23">
        <f>AC267/AE266</f>
        <v>0.23</v>
      </c>
      <c r="AB267" s="21"/>
      <c r="AC267" s="24">
        <v>1288</v>
      </c>
      <c r="AD267" s="24"/>
      <c r="AE267" s="25">
        <f>AE266-AD267+AC267</f>
        <v>6888</v>
      </c>
      <c r="AF267" s="107"/>
      <c r="AG267" s="14"/>
      <c r="AH267" s="12">
        <f t="shared" si="8"/>
        <v>0</v>
      </c>
      <c r="AI267" s="21"/>
      <c r="AJ267" s="11"/>
      <c r="AK267" s="21"/>
      <c r="AL267" s="27"/>
      <c r="AM267" s="21"/>
      <c r="AN267" s="21"/>
      <c r="AO267" s="11"/>
      <c r="AP267" s="10"/>
      <c r="AQ267" s="11"/>
      <c r="AR267" s="10"/>
      <c r="AS267" s="69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</row>
    <row r="268" spans="1:56" s="193" customFormat="1" ht="48" customHeight="1" x14ac:dyDescent="0.25">
      <c r="A268" s="273">
        <v>69</v>
      </c>
      <c r="B268" s="260" t="s">
        <v>790</v>
      </c>
      <c r="C268" s="51" t="s">
        <v>791</v>
      </c>
      <c r="D268" s="51" t="s">
        <v>572</v>
      </c>
      <c r="E268" s="51" t="s">
        <v>123</v>
      </c>
      <c r="F268" s="51" t="s">
        <v>792</v>
      </c>
      <c r="G268" s="115">
        <v>11648</v>
      </c>
      <c r="H268" s="80" t="s">
        <v>793</v>
      </c>
      <c r="I268" s="51" t="s">
        <v>794</v>
      </c>
      <c r="J268" s="51" t="s">
        <v>531</v>
      </c>
      <c r="K268" s="52">
        <v>42419</v>
      </c>
      <c r="L268" s="113">
        <v>25574.36</v>
      </c>
      <c r="M268" s="114">
        <v>11758</v>
      </c>
      <c r="N268" s="52">
        <v>42419</v>
      </c>
      <c r="O268" s="52">
        <v>42735</v>
      </c>
      <c r="P268" s="80" t="s">
        <v>157</v>
      </c>
      <c r="Q268" s="51"/>
      <c r="R268" s="51"/>
      <c r="S268" s="51"/>
      <c r="T268" s="51" t="s">
        <v>160</v>
      </c>
      <c r="U268" s="21"/>
      <c r="V268" s="21"/>
      <c r="W268" s="11"/>
      <c r="X268" s="21"/>
      <c r="Y268" s="21"/>
      <c r="Z268" s="21"/>
      <c r="AA268" s="23"/>
      <c r="AB268" s="21"/>
      <c r="AC268" s="24"/>
      <c r="AD268" s="24"/>
      <c r="AE268" s="82">
        <f t="shared" ref="AE268:AE293" si="11">L268</f>
        <v>25574.36</v>
      </c>
      <c r="AF268" s="107"/>
      <c r="AG268" s="107">
        <f>14938.8+2610.36</f>
        <v>17549.16</v>
      </c>
      <c r="AH268" s="12">
        <f t="shared" si="8"/>
        <v>17549.16</v>
      </c>
      <c r="AI268" s="21"/>
      <c r="AJ268" s="11"/>
      <c r="AK268" s="21"/>
      <c r="AL268" s="27"/>
      <c r="AM268" s="21"/>
      <c r="AN268" s="21"/>
      <c r="AO268" s="11"/>
      <c r="AP268" s="10"/>
      <c r="AQ268" s="11"/>
      <c r="AR268" s="10"/>
      <c r="AS268" s="69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</row>
    <row r="269" spans="1:56" s="193" customFormat="1" ht="48" customHeight="1" x14ac:dyDescent="0.25">
      <c r="A269" s="270">
        <v>70</v>
      </c>
      <c r="B269" s="256" t="s">
        <v>799</v>
      </c>
      <c r="C269" s="16" t="s">
        <v>642</v>
      </c>
      <c r="D269" s="44" t="s">
        <v>381</v>
      </c>
      <c r="E269" s="44" t="s">
        <v>123</v>
      </c>
      <c r="F269" s="44" t="s">
        <v>800</v>
      </c>
      <c r="G269" s="63">
        <v>11545</v>
      </c>
      <c r="H269" s="44" t="s">
        <v>801</v>
      </c>
      <c r="I269" s="16" t="s">
        <v>802</v>
      </c>
      <c r="J269" s="16" t="s">
        <v>803</v>
      </c>
      <c r="K269" s="17">
        <v>42419</v>
      </c>
      <c r="L269" s="105">
        <v>29325</v>
      </c>
      <c r="M269" s="63">
        <v>11763</v>
      </c>
      <c r="N269" s="17">
        <v>42419</v>
      </c>
      <c r="O269" s="17">
        <v>42735</v>
      </c>
      <c r="P269" s="6" t="s">
        <v>157</v>
      </c>
      <c r="Q269" s="111"/>
      <c r="R269" s="111"/>
      <c r="S269" s="111"/>
      <c r="T269" s="16" t="s">
        <v>205</v>
      </c>
      <c r="U269" s="21"/>
      <c r="V269" s="21"/>
      <c r="W269" s="11"/>
      <c r="X269" s="21"/>
      <c r="Y269" s="21"/>
      <c r="Z269" s="21"/>
      <c r="AA269" s="23"/>
      <c r="AB269" s="21"/>
      <c r="AC269" s="24"/>
      <c r="AD269" s="24"/>
      <c r="AE269" s="82">
        <f t="shared" si="11"/>
        <v>29325</v>
      </c>
      <c r="AF269" s="107"/>
      <c r="AG269" s="107"/>
      <c r="AH269" s="12">
        <f t="shared" si="8"/>
        <v>0</v>
      </c>
      <c r="AI269" s="21"/>
      <c r="AJ269" s="11"/>
      <c r="AK269" s="21"/>
      <c r="AL269" s="27"/>
      <c r="AM269" s="21"/>
      <c r="AN269" s="21"/>
      <c r="AO269" s="11"/>
      <c r="AP269" s="10"/>
      <c r="AQ269" s="11"/>
      <c r="AR269" s="10"/>
      <c r="AS269" s="69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</row>
    <row r="270" spans="1:56" s="193" customFormat="1" ht="48" customHeight="1" x14ac:dyDescent="0.25">
      <c r="A270" s="269"/>
      <c r="B270" s="258"/>
      <c r="C270" s="35"/>
      <c r="D270" s="44"/>
      <c r="E270" s="44"/>
      <c r="F270" s="44"/>
      <c r="G270" s="73"/>
      <c r="H270" s="44"/>
      <c r="I270" s="35"/>
      <c r="J270" s="35"/>
      <c r="K270" s="36"/>
      <c r="L270" s="108"/>
      <c r="M270" s="73"/>
      <c r="N270" s="36"/>
      <c r="O270" s="36"/>
      <c r="P270" s="6" t="s">
        <v>314</v>
      </c>
      <c r="Q270" s="51"/>
      <c r="R270" s="51"/>
      <c r="S270" s="51"/>
      <c r="T270" s="35"/>
      <c r="U270" s="21"/>
      <c r="V270" s="21"/>
      <c r="W270" s="11"/>
      <c r="X270" s="21"/>
      <c r="Y270" s="21"/>
      <c r="Z270" s="21"/>
      <c r="AA270" s="23"/>
      <c r="AB270" s="21"/>
      <c r="AC270" s="24"/>
      <c r="AD270" s="24"/>
      <c r="AE270" s="82">
        <f t="shared" si="11"/>
        <v>0</v>
      </c>
      <c r="AF270" s="107"/>
      <c r="AG270" s="107">
        <f>24300</f>
        <v>24300</v>
      </c>
      <c r="AH270" s="12">
        <f t="shared" si="8"/>
        <v>24300</v>
      </c>
      <c r="AI270" s="21"/>
      <c r="AJ270" s="11"/>
      <c r="AK270" s="21"/>
      <c r="AL270" s="27"/>
      <c r="AM270" s="21"/>
      <c r="AN270" s="21"/>
      <c r="AO270" s="11"/>
      <c r="AP270" s="10"/>
      <c r="AQ270" s="11"/>
      <c r="AR270" s="10"/>
      <c r="AS270" s="69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</row>
    <row r="271" spans="1:56" s="193" customFormat="1" ht="48" customHeight="1" x14ac:dyDescent="0.25">
      <c r="A271" s="270">
        <v>71</v>
      </c>
      <c r="B271" s="256" t="s">
        <v>799</v>
      </c>
      <c r="C271" s="16" t="s">
        <v>642</v>
      </c>
      <c r="D271" s="44" t="s">
        <v>381</v>
      </c>
      <c r="E271" s="44" t="s">
        <v>123</v>
      </c>
      <c r="F271" s="44" t="s">
        <v>800</v>
      </c>
      <c r="G271" s="63">
        <v>11545</v>
      </c>
      <c r="H271" s="44" t="s">
        <v>804</v>
      </c>
      <c r="I271" s="16" t="s">
        <v>432</v>
      </c>
      <c r="J271" s="16" t="s">
        <v>433</v>
      </c>
      <c r="K271" s="17">
        <v>42419</v>
      </c>
      <c r="L271" s="105">
        <v>5530</v>
      </c>
      <c r="M271" s="63">
        <v>11763</v>
      </c>
      <c r="N271" s="17">
        <v>42419</v>
      </c>
      <c r="O271" s="17">
        <v>42735</v>
      </c>
      <c r="P271" s="109" t="s">
        <v>314</v>
      </c>
      <c r="Q271" s="111"/>
      <c r="R271" s="111"/>
      <c r="S271" s="111"/>
      <c r="T271" s="16" t="s">
        <v>205</v>
      </c>
      <c r="U271" s="21"/>
      <c r="V271" s="21"/>
      <c r="W271" s="11"/>
      <c r="X271" s="21"/>
      <c r="Y271" s="21"/>
      <c r="Z271" s="21"/>
      <c r="AA271" s="23"/>
      <c r="AB271" s="21"/>
      <c r="AC271" s="24"/>
      <c r="AD271" s="24"/>
      <c r="AE271" s="82">
        <f t="shared" si="11"/>
        <v>5530</v>
      </c>
      <c r="AF271" s="107"/>
      <c r="AG271" s="107">
        <v>5530</v>
      </c>
      <c r="AH271" s="12">
        <f t="shared" si="8"/>
        <v>5530</v>
      </c>
      <c r="AI271" s="21"/>
      <c r="AJ271" s="11"/>
      <c r="AK271" s="21"/>
      <c r="AL271" s="27"/>
      <c r="AM271" s="21"/>
      <c r="AN271" s="21"/>
      <c r="AO271" s="11"/>
      <c r="AP271" s="10"/>
      <c r="AQ271" s="11"/>
      <c r="AR271" s="10"/>
      <c r="AS271" s="69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</row>
    <row r="272" spans="1:56" s="193" customFormat="1" ht="48" customHeight="1" x14ac:dyDescent="0.25">
      <c r="A272" s="269"/>
      <c r="B272" s="258"/>
      <c r="C272" s="35"/>
      <c r="D272" s="44"/>
      <c r="E272" s="44"/>
      <c r="F272" s="44"/>
      <c r="G272" s="73"/>
      <c r="H272" s="44"/>
      <c r="I272" s="35"/>
      <c r="J272" s="35"/>
      <c r="K272" s="36"/>
      <c r="L272" s="108"/>
      <c r="M272" s="73"/>
      <c r="N272" s="36"/>
      <c r="O272" s="36"/>
      <c r="P272" s="110"/>
      <c r="Q272" s="51"/>
      <c r="R272" s="51"/>
      <c r="S272" s="51"/>
      <c r="T272" s="35"/>
      <c r="U272" s="21"/>
      <c r="V272" s="21"/>
      <c r="W272" s="11"/>
      <c r="X272" s="21"/>
      <c r="Y272" s="21"/>
      <c r="Z272" s="21"/>
      <c r="AA272" s="23"/>
      <c r="AB272" s="21"/>
      <c r="AC272" s="24"/>
      <c r="AD272" s="24"/>
      <c r="AE272" s="82">
        <f t="shared" si="11"/>
        <v>0</v>
      </c>
      <c r="AF272" s="107"/>
      <c r="AG272" s="107"/>
      <c r="AH272" s="12">
        <f t="shared" si="8"/>
        <v>0</v>
      </c>
      <c r="AI272" s="21"/>
      <c r="AJ272" s="11"/>
      <c r="AK272" s="21"/>
      <c r="AL272" s="27"/>
      <c r="AM272" s="21"/>
      <c r="AN272" s="21"/>
      <c r="AO272" s="11"/>
      <c r="AP272" s="10"/>
      <c r="AQ272" s="11"/>
      <c r="AR272" s="10"/>
      <c r="AS272" s="69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</row>
    <row r="273" spans="1:56" s="193" customFormat="1" ht="48" customHeight="1" x14ac:dyDescent="0.25">
      <c r="A273" s="270">
        <v>72</v>
      </c>
      <c r="B273" s="256" t="s">
        <v>799</v>
      </c>
      <c r="C273" s="16" t="s">
        <v>807</v>
      </c>
      <c r="D273" s="44" t="s">
        <v>381</v>
      </c>
      <c r="E273" s="44" t="s">
        <v>123</v>
      </c>
      <c r="F273" s="44" t="s">
        <v>800</v>
      </c>
      <c r="G273" s="63">
        <v>11537</v>
      </c>
      <c r="H273" s="44" t="s">
        <v>808</v>
      </c>
      <c r="I273" s="16" t="s">
        <v>432</v>
      </c>
      <c r="J273" s="16" t="s">
        <v>433</v>
      </c>
      <c r="K273" s="17">
        <v>42419</v>
      </c>
      <c r="L273" s="105">
        <v>26980</v>
      </c>
      <c r="M273" s="63">
        <v>11773</v>
      </c>
      <c r="N273" s="17">
        <v>42419</v>
      </c>
      <c r="O273" s="17">
        <v>42735</v>
      </c>
      <c r="P273" s="6" t="s">
        <v>157</v>
      </c>
      <c r="Q273" s="111"/>
      <c r="R273" s="111"/>
      <c r="S273" s="111"/>
      <c r="T273" s="16" t="s">
        <v>204</v>
      </c>
      <c r="U273" s="21"/>
      <c r="V273" s="21"/>
      <c r="W273" s="11"/>
      <c r="X273" s="21"/>
      <c r="Y273" s="21"/>
      <c r="Z273" s="21"/>
      <c r="AA273" s="23"/>
      <c r="AB273" s="21"/>
      <c r="AC273" s="24"/>
      <c r="AD273" s="24"/>
      <c r="AE273" s="82">
        <f t="shared" si="11"/>
        <v>26980</v>
      </c>
      <c r="AF273" s="107"/>
      <c r="AG273" s="107">
        <f>5700</f>
        <v>5700</v>
      </c>
      <c r="AH273" s="12">
        <f t="shared" si="8"/>
        <v>5700</v>
      </c>
      <c r="AI273" s="21"/>
      <c r="AJ273" s="11"/>
      <c r="AK273" s="21"/>
      <c r="AL273" s="27"/>
      <c r="AM273" s="21"/>
      <c r="AN273" s="21"/>
      <c r="AO273" s="11"/>
      <c r="AP273" s="10"/>
      <c r="AQ273" s="11"/>
      <c r="AR273" s="10"/>
      <c r="AS273" s="69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</row>
    <row r="274" spans="1:56" s="193" customFormat="1" ht="48" customHeight="1" x14ac:dyDescent="0.25">
      <c r="A274" s="269"/>
      <c r="B274" s="258"/>
      <c r="C274" s="35"/>
      <c r="D274" s="44"/>
      <c r="E274" s="44"/>
      <c r="F274" s="44"/>
      <c r="G274" s="73"/>
      <c r="H274" s="44"/>
      <c r="I274" s="35"/>
      <c r="J274" s="35"/>
      <c r="K274" s="36"/>
      <c r="L274" s="108"/>
      <c r="M274" s="73"/>
      <c r="N274" s="36"/>
      <c r="O274" s="36"/>
      <c r="P274" s="6" t="s">
        <v>314</v>
      </c>
      <c r="Q274" s="51"/>
      <c r="R274" s="51"/>
      <c r="S274" s="51"/>
      <c r="T274" s="35"/>
      <c r="U274" s="21"/>
      <c r="V274" s="21"/>
      <c r="W274" s="11"/>
      <c r="X274" s="21"/>
      <c r="Y274" s="21"/>
      <c r="Z274" s="21"/>
      <c r="AA274" s="23"/>
      <c r="AB274" s="21"/>
      <c r="AC274" s="24"/>
      <c r="AD274" s="24"/>
      <c r="AE274" s="82">
        <f t="shared" si="11"/>
        <v>0</v>
      </c>
      <c r="AF274" s="107"/>
      <c r="AG274" s="107">
        <f>21280</f>
        <v>21280</v>
      </c>
      <c r="AH274" s="12">
        <f t="shared" si="8"/>
        <v>21280</v>
      </c>
      <c r="AI274" s="21"/>
      <c r="AJ274" s="11"/>
      <c r="AK274" s="21"/>
      <c r="AL274" s="27"/>
      <c r="AM274" s="21"/>
      <c r="AN274" s="21"/>
      <c r="AO274" s="11"/>
      <c r="AP274" s="10"/>
      <c r="AQ274" s="11"/>
      <c r="AR274" s="10"/>
      <c r="AS274" s="69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</row>
    <row r="275" spans="1:56" s="193" customFormat="1" ht="48" customHeight="1" x14ac:dyDescent="0.25">
      <c r="A275" s="270">
        <v>73</v>
      </c>
      <c r="B275" s="256" t="s">
        <v>822</v>
      </c>
      <c r="C275" s="16" t="s">
        <v>823</v>
      </c>
      <c r="D275" s="44" t="s">
        <v>381</v>
      </c>
      <c r="E275" s="44" t="s">
        <v>123</v>
      </c>
      <c r="F275" s="44" t="s">
        <v>573</v>
      </c>
      <c r="G275" s="63">
        <v>11754</v>
      </c>
      <c r="H275" s="44" t="s">
        <v>821</v>
      </c>
      <c r="I275" s="16" t="s">
        <v>456</v>
      </c>
      <c r="J275" s="16" t="s">
        <v>358</v>
      </c>
      <c r="K275" s="17">
        <v>42431</v>
      </c>
      <c r="L275" s="105">
        <v>1674000</v>
      </c>
      <c r="M275" s="63">
        <v>11757</v>
      </c>
      <c r="N275" s="17">
        <v>42431</v>
      </c>
      <c r="O275" s="17">
        <v>42735</v>
      </c>
      <c r="P275" s="109" t="s">
        <v>157</v>
      </c>
      <c r="Q275" s="111"/>
      <c r="R275" s="111"/>
      <c r="S275" s="111"/>
      <c r="T275" s="16" t="s">
        <v>204</v>
      </c>
      <c r="U275" s="21"/>
      <c r="V275" s="21"/>
      <c r="W275" s="11"/>
      <c r="X275" s="21"/>
      <c r="Y275" s="21"/>
      <c r="Z275" s="21"/>
      <c r="AA275" s="23"/>
      <c r="AB275" s="21"/>
      <c r="AC275" s="24"/>
      <c r="AD275" s="24"/>
      <c r="AE275" s="82">
        <f t="shared" si="11"/>
        <v>1674000</v>
      </c>
      <c r="AF275" s="107"/>
      <c r="AG275" s="107">
        <f>43940+54755+61554.84+68577+72280.22+50090.72+54517.22</f>
        <v>405715</v>
      </c>
      <c r="AH275" s="12">
        <f t="shared" si="8"/>
        <v>405715</v>
      </c>
      <c r="AI275" s="21"/>
      <c r="AJ275" s="11"/>
      <c r="AK275" s="21"/>
      <c r="AL275" s="27"/>
      <c r="AM275" s="21"/>
      <c r="AN275" s="21"/>
      <c r="AO275" s="11"/>
      <c r="AP275" s="10"/>
      <c r="AQ275" s="11"/>
      <c r="AR275" s="10"/>
      <c r="AS275" s="69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</row>
    <row r="276" spans="1:56" s="193" customFormat="1" ht="48" customHeight="1" x14ac:dyDescent="0.25">
      <c r="A276" s="269"/>
      <c r="B276" s="258"/>
      <c r="C276" s="35"/>
      <c r="D276" s="44"/>
      <c r="E276" s="44"/>
      <c r="F276" s="44"/>
      <c r="G276" s="73"/>
      <c r="H276" s="44"/>
      <c r="I276" s="35"/>
      <c r="J276" s="35"/>
      <c r="K276" s="36"/>
      <c r="L276" s="108"/>
      <c r="M276" s="73"/>
      <c r="N276" s="36"/>
      <c r="O276" s="36"/>
      <c r="P276" s="110"/>
      <c r="Q276" s="51"/>
      <c r="R276" s="51"/>
      <c r="S276" s="51"/>
      <c r="T276" s="35"/>
      <c r="U276" s="21"/>
      <c r="V276" s="21"/>
      <c r="W276" s="11"/>
      <c r="X276" s="21"/>
      <c r="Y276" s="21"/>
      <c r="Z276" s="21"/>
      <c r="AA276" s="23"/>
      <c r="AB276" s="21"/>
      <c r="AC276" s="24"/>
      <c r="AD276" s="24"/>
      <c r="AE276" s="82">
        <f t="shared" si="11"/>
        <v>0</v>
      </c>
      <c r="AF276" s="107"/>
      <c r="AG276" s="107"/>
      <c r="AH276" s="12">
        <f t="shared" si="8"/>
        <v>0</v>
      </c>
      <c r="AI276" s="21"/>
      <c r="AJ276" s="11"/>
      <c r="AK276" s="21"/>
      <c r="AL276" s="27"/>
      <c r="AM276" s="21"/>
      <c r="AN276" s="21"/>
      <c r="AO276" s="11"/>
      <c r="AP276" s="10"/>
      <c r="AQ276" s="11"/>
      <c r="AR276" s="10"/>
      <c r="AS276" s="69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</row>
    <row r="277" spans="1:56" s="193" customFormat="1" ht="48" customHeight="1" x14ac:dyDescent="0.25">
      <c r="A277" s="270">
        <v>74</v>
      </c>
      <c r="B277" s="256" t="s">
        <v>834</v>
      </c>
      <c r="C277" s="16" t="s">
        <v>835</v>
      </c>
      <c r="D277" s="44" t="s">
        <v>381</v>
      </c>
      <c r="E277" s="44" t="s">
        <v>123</v>
      </c>
      <c r="F277" s="44" t="s">
        <v>849</v>
      </c>
      <c r="G277" s="118">
        <v>11755</v>
      </c>
      <c r="H277" s="44" t="s">
        <v>850</v>
      </c>
      <c r="I277" s="16" t="s">
        <v>584</v>
      </c>
      <c r="J277" s="16" t="s">
        <v>346</v>
      </c>
      <c r="K277" s="17">
        <v>42432</v>
      </c>
      <c r="L277" s="105">
        <v>46000</v>
      </c>
      <c r="M277" s="63">
        <v>11775</v>
      </c>
      <c r="N277" s="17">
        <v>42432</v>
      </c>
      <c r="O277" s="17">
        <v>42735</v>
      </c>
      <c r="P277" s="109" t="s">
        <v>157</v>
      </c>
      <c r="Q277" s="111"/>
      <c r="R277" s="111"/>
      <c r="S277" s="111"/>
      <c r="T277" s="16" t="s">
        <v>204</v>
      </c>
      <c r="U277" s="21"/>
      <c r="V277" s="21"/>
      <c r="W277" s="11"/>
      <c r="X277" s="21"/>
      <c r="Y277" s="21"/>
      <c r="Z277" s="21"/>
      <c r="AA277" s="23"/>
      <c r="AB277" s="21"/>
      <c r="AC277" s="24"/>
      <c r="AD277" s="24"/>
      <c r="AE277" s="82">
        <f>L277</f>
        <v>46000</v>
      </c>
      <c r="AF277" s="107"/>
      <c r="AG277" s="7">
        <f>666.5+851.4+1169.6+619.2+1401.8</f>
        <v>4708.5</v>
      </c>
      <c r="AH277" s="12">
        <f t="shared" si="8"/>
        <v>4708.5</v>
      </c>
      <c r="AI277" s="21"/>
      <c r="AJ277" s="11"/>
      <c r="AK277" s="21"/>
      <c r="AL277" s="27"/>
      <c r="AM277" s="21"/>
      <c r="AN277" s="21"/>
      <c r="AO277" s="11"/>
      <c r="AP277" s="10"/>
      <c r="AQ277" s="11"/>
      <c r="AR277" s="10"/>
      <c r="AS277" s="69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</row>
    <row r="278" spans="1:56" s="193" customFormat="1" ht="48" customHeight="1" x14ac:dyDescent="0.25">
      <c r="A278" s="269"/>
      <c r="B278" s="258"/>
      <c r="C278" s="35"/>
      <c r="D278" s="44"/>
      <c r="E278" s="44"/>
      <c r="F278" s="44"/>
      <c r="G278" s="44"/>
      <c r="H278" s="44"/>
      <c r="I278" s="35"/>
      <c r="J278" s="35"/>
      <c r="K278" s="36"/>
      <c r="L278" s="108"/>
      <c r="M278" s="73"/>
      <c r="N278" s="36"/>
      <c r="O278" s="36"/>
      <c r="P278" s="110"/>
      <c r="Q278" s="51"/>
      <c r="R278" s="51"/>
      <c r="S278" s="51"/>
      <c r="T278" s="35"/>
      <c r="U278" s="21"/>
      <c r="V278" s="21"/>
      <c r="W278" s="11"/>
      <c r="X278" s="21"/>
      <c r="Y278" s="21"/>
      <c r="Z278" s="21"/>
      <c r="AA278" s="23"/>
      <c r="AB278" s="21"/>
      <c r="AC278" s="24"/>
      <c r="AD278" s="24"/>
      <c r="AE278" s="92"/>
      <c r="AF278" s="107"/>
      <c r="AG278" s="7"/>
      <c r="AH278" s="12">
        <f t="shared" si="8"/>
        <v>0</v>
      </c>
      <c r="AI278" s="21"/>
      <c r="AJ278" s="11"/>
      <c r="AK278" s="21"/>
      <c r="AL278" s="27"/>
      <c r="AM278" s="21"/>
      <c r="AN278" s="21"/>
      <c r="AO278" s="11"/>
      <c r="AP278" s="10"/>
      <c r="AQ278" s="11"/>
      <c r="AR278" s="10"/>
      <c r="AS278" s="69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</row>
    <row r="279" spans="1:56" s="193" customFormat="1" ht="48" customHeight="1" x14ac:dyDescent="0.25">
      <c r="A279" s="270">
        <v>75</v>
      </c>
      <c r="B279" s="256" t="s">
        <v>834</v>
      </c>
      <c r="C279" s="16" t="s">
        <v>835</v>
      </c>
      <c r="D279" s="44" t="s">
        <v>381</v>
      </c>
      <c r="E279" s="44" t="s">
        <v>123</v>
      </c>
      <c r="F279" s="44" t="s">
        <v>836</v>
      </c>
      <c r="G279" s="118">
        <v>11755</v>
      </c>
      <c r="H279" s="44" t="s">
        <v>837</v>
      </c>
      <c r="I279" s="16" t="s">
        <v>838</v>
      </c>
      <c r="J279" s="16" t="s">
        <v>664</v>
      </c>
      <c r="K279" s="17">
        <v>42432</v>
      </c>
      <c r="L279" s="105">
        <v>79940</v>
      </c>
      <c r="M279" s="63">
        <v>11775</v>
      </c>
      <c r="N279" s="17">
        <v>42444</v>
      </c>
      <c r="O279" s="17">
        <v>42735</v>
      </c>
      <c r="P279" s="6" t="s">
        <v>157</v>
      </c>
      <c r="Q279" s="111"/>
      <c r="R279" s="111"/>
      <c r="S279" s="111"/>
      <c r="T279" s="16" t="s">
        <v>204</v>
      </c>
      <c r="U279" s="21"/>
      <c r="V279" s="21"/>
      <c r="W279" s="11"/>
      <c r="X279" s="21"/>
      <c r="Y279" s="21"/>
      <c r="Z279" s="21"/>
      <c r="AA279" s="23"/>
      <c r="AB279" s="21"/>
      <c r="AC279" s="24"/>
      <c r="AD279" s="24"/>
      <c r="AE279" s="82">
        <f t="shared" si="11"/>
        <v>79940</v>
      </c>
      <c r="AF279" s="107"/>
      <c r="AG279" s="12">
        <f>3705+2275+260+325+910+195</f>
        <v>7670</v>
      </c>
      <c r="AH279" s="12">
        <f t="shared" si="8"/>
        <v>7670</v>
      </c>
      <c r="AI279" s="21"/>
      <c r="AJ279" s="11"/>
      <c r="AK279" s="21"/>
      <c r="AL279" s="27"/>
      <c r="AM279" s="21"/>
      <c r="AN279" s="21"/>
      <c r="AO279" s="11"/>
      <c r="AP279" s="10"/>
      <c r="AQ279" s="11"/>
      <c r="AR279" s="10"/>
      <c r="AS279" s="69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</row>
    <row r="280" spans="1:56" s="193" customFormat="1" ht="48" customHeight="1" x14ac:dyDescent="0.25">
      <c r="A280" s="269"/>
      <c r="B280" s="258"/>
      <c r="C280" s="35"/>
      <c r="D280" s="44"/>
      <c r="E280" s="44"/>
      <c r="F280" s="44"/>
      <c r="G280" s="44"/>
      <c r="H280" s="44"/>
      <c r="I280" s="35"/>
      <c r="J280" s="35"/>
      <c r="K280" s="36"/>
      <c r="L280" s="108"/>
      <c r="M280" s="73"/>
      <c r="N280" s="36"/>
      <c r="O280" s="36"/>
      <c r="P280" s="6" t="s">
        <v>314</v>
      </c>
      <c r="Q280" s="51"/>
      <c r="R280" s="51"/>
      <c r="S280" s="51"/>
      <c r="T280" s="35"/>
      <c r="U280" s="21"/>
      <c r="V280" s="21"/>
      <c r="W280" s="11"/>
      <c r="X280" s="21"/>
      <c r="Y280" s="21"/>
      <c r="Z280" s="21"/>
      <c r="AA280" s="23"/>
      <c r="AB280" s="21"/>
      <c r="AC280" s="24"/>
      <c r="AD280" s="24"/>
      <c r="AE280" s="82">
        <f t="shared" si="11"/>
        <v>0</v>
      </c>
      <c r="AF280" s="107"/>
      <c r="AG280" s="55">
        <v>5590</v>
      </c>
      <c r="AH280" s="12">
        <f t="shared" si="8"/>
        <v>5590</v>
      </c>
      <c r="AI280" s="21"/>
      <c r="AJ280" s="11"/>
      <c r="AK280" s="21"/>
      <c r="AL280" s="27"/>
      <c r="AM280" s="21"/>
      <c r="AN280" s="21"/>
      <c r="AO280" s="11"/>
      <c r="AP280" s="10"/>
      <c r="AQ280" s="11"/>
      <c r="AR280" s="10"/>
      <c r="AS280" s="69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</row>
    <row r="281" spans="1:56" s="193" customFormat="1" ht="48" customHeight="1" x14ac:dyDescent="0.25">
      <c r="A281" s="270">
        <v>76</v>
      </c>
      <c r="B281" s="256" t="s">
        <v>824</v>
      </c>
      <c r="C281" s="16" t="s">
        <v>583</v>
      </c>
      <c r="D281" s="44" t="s">
        <v>381</v>
      </c>
      <c r="E281" s="44" t="s">
        <v>123</v>
      </c>
      <c r="F281" s="44" t="s">
        <v>704</v>
      </c>
      <c r="G281" s="63">
        <v>11535</v>
      </c>
      <c r="H281" s="44" t="s">
        <v>825</v>
      </c>
      <c r="I281" s="16" t="s">
        <v>826</v>
      </c>
      <c r="J281" s="16" t="s">
        <v>336</v>
      </c>
      <c r="K281" s="17">
        <v>42444</v>
      </c>
      <c r="L281" s="105">
        <v>17664</v>
      </c>
      <c r="M281" s="63">
        <v>11771</v>
      </c>
      <c r="N281" s="17">
        <v>42444</v>
      </c>
      <c r="O281" s="17">
        <v>42735</v>
      </c>
      <c r="P281" s="109" t="s">
        <v>157</v>
      </c>
      <c r="Q281" s="111"/>
      <c r="R281" s="111"/>
      <c r="S281" s="111"/>
      <c r="T281" s="16" t="s">
        <v>204</v>
      </c>
      <c r="U281" s="21"/>
      <c r="V281" s="21"/>
      <c r="W281" s="11"/>
      <c r="X281" s="21"/>
      <c r="Y281" s="21"/>
      <c r="Z281" s="21"/>
      <c r="AA281" s="23"/>
      <c r="AB281" s="21"/>
      <c r="AC281" s="24"/>
      <c r="AD281" s="24"/>
      <c r="AE281" s="82">
        <f t="shared" si="11"/>
        <v>17664</v>
      </c>
      <c r="AF281" s="107"/>
      <c r="AG281" s="107">
        <f>1485+3869+6010+6300</f>
        <v>17664</v>
      </c>
      <c r="AH281" s="12">
        <f t="shared" si="8"/>
        <v>17664</v>
      </c>
      <c r="AI281" s="21"/>
      <c r="AJ281" s="11"/>
      <c r="AK281" s="21"/>
      <c r="AL281" s="27"/>
      <c r="AM281" s="21"/>
      <c r="AN281" s="21"/>
      <c r="AO281" s="11"/>
      <c r="AP281" s="10"/>
      <c r="AQ281" s="11"/>
      <c r="AR281" s="10"/>
      <c r="AS281" s="69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</row>
    <row r="282" spans="1:56" s="193" customFormat="1" ht="48" customHeight="1" x14ac:dyDescent="0.25">
      <c r="A282" s="269"/>
      <c r="B282" s="258"/>
      <c r="C282" s="35"/>
      <c r="D282" s="44"/>
      <c r="E282" s="44"/>
      <c r="F282" s="44"/>
      <c r="G282" s="73"/>
      <c r="H282" s="44"/>
      <c r="I282" s="35"/>
      <c r="J282" s="35"/>
      <c r="K282" s="36"/>
      <c r="L282" s="108"/>
      <c r="M282" s="73"/>
      <c r="N282" s="36"/>
      <c r="O282" s="36"/>
      <c r="P282" s="110"/>
      <c r="Q282" s="51"/>
      <c r="R282" s="51"/>
      <c r="S282" s="51"/>
      <c r="T282" s="35"/>
      <c r="U282" s="21"/>
      <c r="V282" s="21"/>
      <c r="W282" s="11"/>
      <c r="X282" s="21"/>
      <c r="Y282" s="21"/>
      <c r="Z282" s="21"/>
      <c r="AA282" s="23"/>
      <c r="AB282" s="21"/>
      <c r="AC282" s="24"/>
      <c r="AD282" s="24"/>
      <c r="AE282" s="82">
        <f t="shared" si="11"/>
        <v>0</v>
      </c>
      <c r="AF282" s="107"/>
      <c r="AG282" s="107"/>
      <c r="AH282" s="12">
        <f t="shared" si="8"/>
        <v>0</v>
      </c>
      <c r="AI282" s="21"/>
      <c r="AJ282" s="11"/>
      <c r="AK282" s="21"/>
      <c r="AL282" s="27"/>
      <c r="AM282" s="21"/>
      <c r="AN282" s="21"/>
      <c r="AO282" s="11"/>
      <c r="AP282" s="10"/>
      <c r="AQ282" s="11"/>
      <c r="AR282" s="10"/>
      <c r="AS282" s="69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</row>
    <row r="283" spans="1:56" s="193" customFormat="1" ht="48" customHeight="1" x14ac:dyDescent="0.25">
      <c r="A283" s="270">
        <v>77</v>
      </c>
      <c r="B283" s="256" t="s">
        <v>824</v>
      </c>
      <c r="C283" s="16" t="s">
        <v>583</v>
      </c>
      <c r="D283" s="44" t="s">
        <v>381</v>
      </c>
      <c r="E283" s="44" t="s">
        <v>123</v>
      </c>
      <c r="F283" s="44" t="s">
        <v>704</v>
      </c>
      <c r="G283" s="63">
        <v>11535</v>
      </c>
      <c r="H283" s="44" t="s">
        <v>839</v>
      </c>
      <c r="I283" s="16" t="s">
        <v>706</v>
      </c>
      <c r="J283" s="16" t="s">
        <v>339</v>
      </c>
      <c r="K283" s="17">
        <v>42444</v>
      </c>
      <c r="L283" s="105">
        <v>224217.03</v>
      </c>
      <c r="M283" s="63">
        <v>11771</v>
      </c>
      <c r="N283" s="17">
        <v>42444</v>
      </c>
      <c r="O283" s="17">
        <v>42735</v>
      </c>
      <c r="P283" s="109" t="s">
        <v>157</v>
      </c>
      <c r="Q283" s="111"/>
      <c r="R283" s="111"/>
      <c r="S283" s="111"/>
      <c r="T283" s="16" t="s">
        <v>204</v>
      </c>
      <c r="U283" s="21"/>
      <c r="V283" s="21"/>
      <c r="W283" s="11"/>
      <c r="X283" s="21"/>
      <c r="Y283" s="21"/>
      <c r="Z283" s="21"/>
      <c r="AA283" s="23"/>
      <c r="AB283" s="21"/>
      <c r="AC283" s="24"/>
      <c r="AD283" s="24"/>
      <c r="AE283" s="82"/>
      <c r="AF283" s="107"/>
      <c r="AG283" s="12">
        <f>102591.38+42572+13911.95+65141.7</f>
        <v>224217.03000000003</v>
      </c>
      <c r="AH283" s="12">
        <f t="shared" si="8"/>
        <v>224217.03000000003</v>
      </c>
      <c r="AI283" s="21"/>
      <c r="AJ283" s="11"/>
      <c r="AK283" s="21"/>
      <c r="AL283" s="27"/>
      <c r="AM283" s="21"/>
      <c r="AN283" s="21"/>
      <c r="AO283" s="11"/>
      <c r="AP283" s="10"/>
      <c r="AQ283" s="11"/>
      <c r="AR283" s="10"/>
      <c r="AS283" s="69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</row>
    <row r="284" spans="1:56" s="193" customFormat="1" ht="48" customHeight="1" x14ac:dyDescent="0.25">
      <c r="A284" s="269"/>
      <c r="B284" s="258"/>
      <c r="C284" s="35"/>
      <c r="D284" s="44"/>
      <c r="E284" s="44"/>
      <c r="F284" s="44"/>
      <c r="G284" s="73"/>
      <c r="H284" s="44"/>
      <c r="I284" s="35"/>
      <c r="J284" s="35"/>
      <c r="K284" s="36"/>
      <c r="L284" s="108"/>
      <c r="M284" s="73"/>
      <c r="N284" s="36"/>
      <c r="O284" s="36"/>
      <c r="P284" s="110"/>
      <c r="Q284" s="51"/>
      <c r="R284" s="51"/>
      <c r="S284" s="51"/>
      <c r="T284" s="35"/>
      <c r="U284" s="21"/>
      <c r="V284" s="21"/>
      <c r="W284" s="11"/>
      <c r="X284" s="21"/>
      <c r="Y284" s="21"/>
      <c r="Z284" s="21"/>
      <c r="AA284" s="23"/>
      <c r="AB284" s="21"/>
      <c r="AC284" s="24"/>
      <c r="AD284" s="24"/>
      <c r="AE284" s="82"/>
      <c r="AF284" s="107"/>
      <c r="AG284" s="14"/>
      <c r="AH284" s="12">
        <f t="shared" si="8"/>
        <v>0</v>
      </c>
      <c r="AI284" s="21"/>
      <c r="AJ284" s="11"/>
      <c r="AK284" s="21"/>
      <c r="AL284" s="27"/>
      <c r="AM284" s="21"/>
      <c r="AN284" s="21"/>
      <c r="AO284" s="11"/>
      <c r="AP284" s="10"/>
      <c r="AQ284" s="11"/>
      <c r="AR284" s="10"/>
      <c r="AS284" s="69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</row>
    <row r="285" spans="1:56" s="193" customFormat="1" ht="48" customHeight="1" x14ac:dyDescent="0.25">
      <c r="A285" s="270">
        <v>78</v>
      </c>
      <c r="B285" s="256" t="s">
        <v>824</v>
      </c>
      <c r="C285" s="16" t="s">
        <v>583</v>
      </c>
      <c r="D285" s="44" t="s">
        <v>381</v>
      </c>
      <c r="E285" s="44" t="s">
        <v>123</v>
      </c>
      <c r="F285" s="44" t="s">
        <v>573</v>
      </c>
      <c r="G285" s="63">
        <v>11535</v>
      </c>
      <c r="H285" s="44" t="s">
        <v>828</v>
      </c>
      <c r="I285" s="16" t="s">
        <v>722</v>
      </c>
      <c r="J285" s="16" t="s">
        <v>641</v>
      </c>
      <c r="K285" s="17">
        <v>42444</v>
      </c>
      <c r="L285" s="105">
        <v>41731</v>
      </c>
      <c r="M285" s="63">
        <v>11771</v>
      </c>
      <c r="N285" s="17">
        <v>42444</v>
      </c>
      <c r="O285" s="17">
        <v>42735</v>
      </c>
      <c r="P285" s="109" t="s">
        <v>157</v>
      </c>
      <c r="Q285" s="111"/>
      <c r="R285" s="111"/>
      <c r="S285" s="111"/>
      <c r="T285" s="16" t="s">
        <v>204</v>
      </c>
      <c r="U285" s="21"/>
      <c r="V285" s="21"/>
      <c r="W285" s="11"/>
      <c r="X285" s="21"/>
      <c r="Y285" s="21"/>
      <c r="Z285" s="21"/>
      <c r="AA285" s="23"/>
      <c r="AB285" s="21"/>
      <c r="AC285" s="24"/>
      <c r="AD285" s="24"/>
      <c r="AE285" s="82">
        <f t="shared" si="11"/>
        <v>41731</v>
      </c>
      <c r="AF285" s="107"/>
      <c r="AG285" s="12">
        <f>11512+14390+15829</f>
        <v>41731</v>
      </c>
      <c r="AH285" s="12">
        <f t="shared" si="8"/>
        <v>41731</v>
      </c>
      <c r="AI285" s="21"/>
      <c r="AJ285" s="11"/>
      <c r="AK285" s="21"/>
      <c r="AL285" s="27"/>
      <c r="AM285" s="21"/>
      <c r="AN285" s="21"/>
      <c r="AO285" s="11"/>
      <c r="AP285" s="10"/>
      <c r="AQ285" s="11"/>
      <c r="AR285" s="10"/>
      <c r="AS285" s="69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</row>
    <row r="286" spans="1:56" s="193" customFormat="1" ht="48" customHeight="1" x14ac:dyDescent="0.25">
      <c r="A286" s="269"/>
      <c r="B286" s="258"/>
      <c r="C286" s="35"/>
      <c r="D286" s="44"/>
      <c r="E286" s="44"/>
      <c r="F286" s="44"/>
      <c r="G286" s="73"/>
      <c r="H286" s="44"/>
      <c r="I286" s="35"/>
      <c r="J286" s="35"/>
      <c r="K286" s="36"/>
      <c r="L286" s="108"/>
      <c r="M286" s="73"/>
      <c r="N286" s="36"/>
      <c r="O286" s="36"/>
      <c r="P286" s="110"/>
      <c r="Q286" s="51"/>
      <c r="R286" s="51"/>
      <c r="S286" s="51"/>
      <c r="T286" s="35"/>
      <c r="U286" s="21"/>
      <c r="V286" s="21"/>
      <c r="W286" s="11"/>
      <c r="X286" s="21"/>
      <c r="Y286" s="21"/>
      <c r="Z286" s="21"/>
      <c r="AA286" s="23"/>
      <c r="AB286" s="21"/>
      <c r="AC286" s="24"/>
      <c r="AD286" s="24"/>
      <c r="AE286" s="92"/>
      <c r="AF286" s="107"/>
      <c r="AG286" s="14"/>
      <c r="AH286" s="12">
        <f t="shared" si="8"/>
        <v>0</v>
      </c>
      <c r="AI286" s="21"/>
      <c r="AJ286" s="11"/>
      <c r="AK286" s="21"/>
      <c r="AL286" s="27"/>
      <c r="AM286" s="21"/>
      <c r="AN286" s="21"/>
      <c r="AO286" s="11"/>
      <c r="AP286" s="10"/>
      <c r="AQ286" s="11"/>
      <c r="AR286" s="10"/>
      <c r="AS286" s="69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</row>
    <row r="287" spans="1:56" s="193" customFormat="1" ht="48" customHeight="1" x14ac:dyDescent="0.25">
      <c r="A287" s="270">
        <v>79</v>
      </c>
      <c r="B287" s="256" t="s">
        <v>816</v>
      </c>
      <c r="C287" s="16" t="s">
        <v>618</v>
      </c>
      <c r="D287" s="44" t="s">
        <v>381</v>
      </c>
      <c r="E287" s="44" t="s">
        <v>123</v>
      </c>
      <c r="F287" s="44" t="s">
        <v>573</v>
      </c>
      <c r="G287" s="63">
        <v>11545</v>
      </c>
      <c r="H287" s="44" t="s">
        <v>817</v>
      </c>
      <c r="I287" s="16" t="s">
        <v>276</v>
      </c>
      <c r="J287" s="16" t="s">
        <v>342</v>
      </c>
      <c r="K287" s="17">
        <v>42444</v>
      </c>
      <c r="L287" s="105">
        <v>339569.5</v>
      </c>
      <c r="M287" s="63">
        <v>11771</v>
      </c>
      <c r="N287" s="17">
        <v>42444</v>
      </c>
      <c r="O287" s="17">
        <v>42735</v>
      </c>
      <c r="P287" s="6" t="s">
        <v>157</v>
      </c>
      <c r="Q287" s="111"/>
      <c r="R287" s="111"/>
      <c r="S287" s="111"/>
      <c r="T287" s="16" t="s">
        <v>204</v>
      </c>
      <c r="U287" s="21"/>
      <c r="V287" s="21"/>
      <c r="W287" s="11"/>
      <c r="X287" s="21"/>
      <c r="Y287" s="21"/>
      <c r="Z287" s="21"/>
      <c r="AA287" s="23"/>
      <c r="AB287" s="21"/>
      <c r="AC287" s="24"/>
      <c r="AD287" s="24"/>
      <c r="AE287" s="82">
        <f t="shared" si="11"/>
        <v>339569.5</v>
      </c>
      <c r="AF287" s="107"/>
      <c r="AG287" s="107">
        <f>9506.49+28875.57+5169.84+937.76+25759.67</f>
        <v>70249.329999999987</v>
      </c>
      <c r="AH287" s="12">
        <f t="shared" si="8"/>
        <v>70249.329999999987</v>
      </c>
      <c r="AI287" s="21"/>
      <c r="AJ287" s="11"/>
      <c r="AK287" s="21"/>
      <c r="AL287" s="27"/>
      <c r="AM287" s="21"/>
      <c r="AN287" s="21"/>
      <c r="AO287" s="11"/>
      <c r="AP287" s="10"/>
      <c r="AQ287" s="11"/>
      <c r="AR287" s="10"/>
      <c r="AS287" s="69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</row>
    <row r="288" spans="1:56" s="193" customFormat="1" ht="48" customHeight="1" x14ac:dyDescent="0.25">
      <c r="A288" s="269"/>
      <c r="B288" s="258"/>
      <c r="C288" s="35"/>
      <c r="D288" s="44"/>
      <c r="E288" s="44"/>
      <c r="F288" s="44"/>
      <c r="G288" s="73"/>
      <c r="H288" s="44"/>
      <c r="I288" s="35"/>
      <c r="J288" s="35"/>
      <c r="K288" s="36"/>
      <c r="L288" s="108"/>
      <c r="M288" s="73"/>
      <c r="N288" s="36"/>
      <c r="O288" s="36"/>
      <c r="P288" s="6" t="s">
        <v>314</v>
      </c>
      <c r="Q288" s="51"/>
      <c r="R288" s="51"/>
      <c r="S288" s="51"/>
      <c r="T288" s="35"/>
      <c r="U288" s="21"/>
      <c r="V288" s="21"/>
      <c r="W288" s="11"/>
      <c r="X288" s="21"/>
      <c r="Y288" s="21"/>
      <c r="Z288" s="21"/>
      <c r="AA288" s="23"/>
      <c r="AB288" s="21"/>
      <c r="AC288" s="24"/>
      <c r="AD288" s="24"/>
      <c r="AE288" s="92"/>
      <c r="AF288" s="107"/>
      <c r="AG288" s="107">
        <f>51618.1+68928.34+43181.91+44525.1</f>
        <v>208253.45</v>
      </c>
      <c r="AH288" s="12">
        <f t="shared" si="8"/>
        <v>208253.45</v>
      </c>
      <c r="AI288" s="21"/>
      <c r="AJ288" s="11"/>
      <c r="AK288" s="21"/>
      <c r="AL288" s="27"/>
      <c r="AM288" s="21"/>
      <c r="AN288" s="21"/>
      <c r="AO288" s="11"/>
      <c r="AP288" s="10"/>
      <c r="AQ288" s="11"/>
      <c r="AR288" s="10"/>
      <c r="AS288" s="69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</row>
    <row r="289" spans="1:56" s="193" customFormat="1" ht="48" customHeight="1" x14ac:dyDescent="0.25">
      <c r="A289" s="270">
        <v>80</v>
      </c>
      <c r="B289" s="256" t="s">
        <v>816</v>
      </c>
      <c r="C289" s="16" t="s">
        <v>618</v>
      </c>
      <c r="D289" s="44" t="s">
        <v>381</v>
      </c>
      <c r="E289" s="44" t="s">
        <v>123</v>
      </c>
      <c r="F289" s="44" t="s">
        <v>573</v>
      </c>
      <c r="G289" s="63">
        <v>11545</v>
      </c>
      <c r="H289" s="44" t="s">
        <v>846</v>
      </c>
      <c r="I289" s="16" t="s">
        <v>196</v>
      </c>
      <c r="J289" s="16" t="s">
        <v>324</v>
      </c>
      <c r="K289" s="17">
        <v>42444</v>
      </c>
      <c r="L289" s="105">
        <v>217649.55</v>
      </c>
      <c r="M289" s="63">
        <v>11771</v>
      </c>
      <c r="N289" s="17">
        <v>42444</v>
      </c>
      <c r="O289" s="17">
        <v>42735</v>
      </c>
      <c r="P289" s="6" t="s">
        <v>157</v>
      </c>
      <c r="Q289" s="111"/>
      <c r="R289" s="111"/>
      <c r="S289" s="111"/>
      <c r="T289" s="16" t="s">
        <v>204</v>
      </c>
      <c r="U289" s="21"/>
      <c r="V289" s="21"/>
      <c r="W289" s="11"/>
      <c r="X289" s="21"/>
      <c r="Y289" s="21"/>
      <c r="Z289" s="21"/>
      <c r="AA289" s="23"/>
      <c r="AB289" s="21"/>
      <c r="AC289" s="24"/>
      <c r="AD289" s="24"/>
      <c r="AE289" s="119"/>
      <c r="AF289" s="107"/>
      <c r="AG289" s="107">
        <f>4713.81+7451.23+232.84+1158.87+18907.85</f>
        <v>32464.6</v>
      </c>
      <c r="AH289" s="12">
        <f t="shared" si="8"/>
        <v>32464.6</v>
      </c>
      <c r="AI289" s="21"/>
      <c r="AJ289" s="11"/>
      <c r="AK289" s="21"/>
      <c r="AL289" s="27"/>
      <c r="AM289" s="21"/>
      <c r="AN289" s="21"/>
      <c r="AO289" s="11"/>
      <c r="AP289" s="10"/>
      <c r="AQ289" s="11"/>
      <c r="AR289" s="10"/>
      <c r="AS289" s="69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</row>
    <row r="290" spans="1:56" s="193" customFormat="1" ht="48" customHeight="1" x14ac:dyDescent="0.25">
      <c r="A290" s="269"/>
      <c r="B290" s="258"/>
      <c r="C290" s="35"/>
      <c r="D290" s="44"/>
      <c r="E290" s="44"/>
      <c r="F290" s="44"/>
      <c r="G290" s="73"/>
      <c r="H290" s="44"/>
      <c r="I290" s="35"/>
      <c r="J290" s="35"/>
      <c r="K290" s="36"/>
      <c r="L290" s="108"/>
      <c r="M290" s="73"/>
      <c r="N290" s="36"/>
      <c r="O290" s="36"/>
      <c r="P290" s="6" t="s">
        <v>314</v>
      </c>
      <c r="Q290" s="51"/>
      <c r="R290" s="51"/>
      <c r="S290" s="51"/>
      <c r="T290" s="35"/>
      <c r="U290" s="21"/>
      <c r="V290" s="21"/>
      <c r="W290" s="11"/>
      <c r="X290" s="21"/>
      <c r="Y290" s="21"/>
      <c r="Z290" s="21"/>
      <c r="AA290" s="23"/>
      <c r="AB290" s="21"/>
      <c r="AC290" s="24"/>
      <c r="AD290" s="24"/>
      <c r="AE290" s="119"/>
      <c r="AF290" s="107"/>
      <c r="AG290" s="107"/>
      <c r="AH290" s="12">
        <f t="shared" si="8"/>
        <v>0</v>
      </c>
      <c r="AI290" s="21"/>
      <c r="AJ290" s="11"/>
      <c r="AK290" s="21"/>
      <c r="AL290" s="27"/>
      <c r="AM290" s="21"/>
      <c r="AN290" s="21"/>
      <c r="AO290" s="11"/>
      <c r="AP290" s="10"/>
      <c r="AQ290" s="11"/>
      <c r="AR290" s="10"/>
      <c r="AS290" s="69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</row>
    <row r="291" spans="1:56" s="193" customFormat="1" ht="48" customHeight="1" x14ac:dyDescent="0.25">
      <c r="A291" s="270">
        <v>81</v>
      </c>
      <c r="B291" s="256" t="s">
        <v>816</v>
      </c>
      <c r="C291" s="16" t="s">
        <v>618</v>
      </c>
      <c r="D291" s="44" t="s">
        <v>381</v>
      </c>
      <c r="E291" s="44" t="s">
        <v>123</v>
      </c>
      <c r="F291" s="44" t="s">
        <v>573</v>
      </c>
      <c r="G291" s="63">
        <v>11545</v>
      </c>
      <c r="H291" s="44" t="s">
        <v>847</v>
      </c>
      <c r="I291" s="16" t="s">
        <v>651</v>
      </c>
      <c r="J291" s="16" t="s">
        <v>652</v>
      </c>
      <c r="K291" s="17">
        <v>42444</v>
      </c>
      <c r="L291" s="105">
        <v>17606.599999999999</v>
      </c>
      <c r="M291" s="63">
        <v>11771</v>
      </c>
      <c r="N291" s="17">
        <v>42444</v>
      </c>
      <c r="O291" s="17">
        <v>42735</v>
      </c>
      <c r="P291" s="6" t="s">
        <v>157</v>
      </c>
      <c r="Q291" s="111"/>
      <c r="R291" s="111"/>
      <c r="S291" s="111"/>
      <c r="T291" s="16" t="s">
        <v>204</v>
      </c>
      <c r="U291" s="21"/>
      <c r="V291" s="21"/>
      <c r="W291" s="11"/>
      <c r="X291" s="21"/>
      <c r="Y291" s="21"/>
      <c r="Z291" s="21"/>
      <c r="AA291" s="23"/>
      <c r="AB291" s="21"/>
      <c r="AC291" s="24"/>
      <c r="AD291" s="24"/>
      <c r="AE291" s="119"/>
      <c r="AF291" s="107"/>
      <c r="AG291" s="107">
        <f>491.2+96.6+1175.3+2784.35</f>
        <v>4547.45</v>
      </c>
      <c r="AH291" s="12">
        <f t="shared" si="8"/>
        <v>4547.45</v>
      </c>
      <c r="AI291" s="21"/>
      <c r="AJ291" s="11"/>
      <c r="AK291" s="21"/>
      <c r="AL291" s="27"/>
      <c r="AM291" s="21"/>
      <c r="AN291" s="21"/>
      <c r="AO291" s="11"/>
      <c r="AP291" s="10"/>
      <c r="AQ291" s="11"/>
      <c r="AR291" s="10"/>
      <c r="AS291" s="69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</row>
    <row r="292" spans="1:56" s="193" customFormat="1" ht="48" customHeight="1" x14ac:dyDescent="0.25">
      <c r="A292" s="269"/>
      <c r="B292" s="258"/>
      <c r="C292" s="35"/>
      <c r="D292" s="44"/>
      <c r="E292" s="44"/>
      <c r="F292" s="44"/>
      <c r="G292" s="73"/>
      <c r="H292" s="44"/>
      <c r="I292" s="35"/>
      <c r="J292" s="35"/>
      <c r="K292" s="36"/>
      <c r="L292" s="108"/>
      <c r="M292" s="73"/>
      <c r="N292" s="36"/>
      <c r="O292" s="36"/>
      <c r="P292" s="6" t="s">
        <v>314</v>
      </c>
      <c r="Q292" s="51"/>
      <c r="R292" s="51"/>
      <c r="S292" s="51"/>
      <c r="T292" s="35"/>
      <c r="U292" s="21"/>
      <c r="V292" s="21"/>
      <c r="W292" s="11"/>
      <c r="X292" s="21"/>
      <c r="Y292" s="21"/>
      <c r="Z292" s="21"/>
      <c r="AA292" s="23"/>
      <c r="AB292" s="21"/>
      <c r="AC292" s="24"/>
      <c r="AD292" s="24"/>
      <c r="AE292" s="119"/>
      <c r="AF292" s="107"/>
      <c r="AG292" s="107">
        <v>358.8</v>
      </c>
      <c r="AH292" s="12">
        <f t="shared" si="8"/>
        <v>358.8</v>
      </c>
      <c r="AI292" s="21"/>
      <c r="AJ292" s="11"/>
      <c r="AK292" s="21"/>
      <c r="AL292" s="27"/>
      <c r="AM292" s="21"/>
      <c r="AN292" s="21"/>
      <c r="AO292" s="11"/>
      <c r="AP292" s="10"/>
      <c r="AQ292" s="11"/>
      <c r="AR292" s="10"/>
      <c r="AS292" s="69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</row>
    <row r="293" spans="1:56" s="193" customFormat="1" ht="48" customHeight="1" x14ac:dyDescent="0.25">
      <c r="A293" s="270">
        <v>82</v>
      </c>
      <c r="B293" s="256" t="s">
        <v>816</v>
      </c>
      <c r="C293" s="16" t="s">
        <v>618</v>
      </c>
      <c r="D293" s="44" t="s">
        <v>381</v>
      </c>
      <c r="E293" s="44" t="s">
        <v>123</v>
      </c>
      <c r="F293" s="44" t="s">
        <v>573</v>
      </c>
      <c r="G293" s="63">
        <v>11545</v>
      </c>
      <c r="H293" s="44" t="s">
        <v>827</v>
      </c>
      <c r="I293" s="16" t="s">
        <v>826</v>
      </c>
      <c r="J293" s="16" t="s">
        <v>336</v>
      </c>
      <c r="K293" s="17">
        <v>42444</v>
      </c>
      <c r="L293" s="105">
        <v>55698</v>
      </c>
      <c r="M293" s="63">
        <v>11771</v>
      </c>
      <c r="N293" s="17">
        <v>42444</v>
      </c>
      <c r="O293" s="17">
        <v>42735</v>
      </c>
      <c r="P293" s="6" t="s">
        <v>157</v>
      </c>
      <c r="Q293" s="111"/>
      <c r="R293" s="111"/>
      <c r="S293" s="111"/>
      <c r="T293" s="16" t="s">
        <v>204</v>
      </c>
      <c r="U293" s="21"/>
      <c r="V293" s="21"/>
      <c r="W293" s="11"/>
      <c r="X293" s="21"/>
      <c r="Y293" s="21"/>
      <c r="Z293" s="21"/>
      <c r="AA293" s="23"/>
      <c r="AB293" s="21"/>
      <c r="AC293" s="24"/>
      <c r="AD293" s="24"/>
      <c r="AE293" s="82">
        <f t="shared" si="11"/>
        <v>55698</v>
      </c>
      <c r="AF293" s="107"/>
      <c r="AG293" s="107">
        <f>11150.5+8501.26+5850.48</f>
        <v>25502.240000000002</v>
      </c>
      <c r="AH293" s="12">
        <f t="shared" si="8"/>
        <v>25502.240000000002</v>
      </c>
      <c r="AI293" s="21"/>
      <c r="AJ293" s="11"/>
      <c r="AK293" s="21"/>
      <c r="AL293" s="27"/>
      <c r="AM293" s="21"/>
      <c r="AN293" s="21"/>
      <c r="AO293" s="11"/>
      <c r="AP293" s="10"/>
      <c r="AQ293" s="11"/>
      <c r="AR293" s="10"/>
      <c r="AS293" s="69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</row>
    <row r="294" spans="1:56" s="193" customFormat="1" ht="48" customHeight="1" x14ac:dyDescent="0.25">
      <c r="A294" s="269"/>
      <c r="B294" s="258"/>
      <c r="C294" s="35"/>
      <c r="D294" s="44"/>
      <c r="E294" s="44"/>
      <c r="F294" s="44"/>
      <c r="G294" s="73"/>
      <c r="H294" s="44"/>
      <c r="I294" s="35"/>
      <c r="J294" s="35"/>
      <c r="K294" s="36"/>
      <c r="L294" s="108"/>
      <c r="M294" s="73"/>
      <c r="N294" s="36"/>
      <c r="O294" s="36"/>
      <c r="P294" s="6" t="s">
        <v>314</v>
      </c>
      <c r="Q294" s="51"/>
      <c r="R294" s="51"/>
      <c r="S294" s="51"/>
      <c r="T294" s="35"/>
      <c r="U294" s="21"/>
      <c r="V294" s="21"/>
      <c r="W294" s="11"/>
      <c r="X294" s="21"/>
      <c r="Y294" s="21"/>
      <c r="Z294" s="21"/>
      <c r="AA294" s="23"/>
      <c r="AB294" s="21"/>
      <c r="AC294" s="24"/>
      <c r="AD294" s="24"/>
      <c r="AE294" s="92"/>
      <c r="AF294" s="107"/>
      <c r="AG294" s="107"/>
      <c r="AH294" s="12">
        <f t="shared" si="8"/>
        <v>0</v>
      </c>
      <c r="AI294" s="21"/>
      <c r="AJ294" s="11"/>
      <c r="AK294" s="21"/>
      <c r="AL294" s="27"/>
      <c r="AM294" s="21"/>
      <c r="AN294" s="21"/>
      <c r="AO294" s="11"/>
      <c r="AP294" s="10"/>
      <c r="AQ294" s="11"/>
      <c r="AR294" s="10"/>
      <c r="AS294" s="69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</row>
    <row r="295" spans="1:56" s="193" customFormat="1" ht="48" customHeight="1" x14ac:dyDescent="0.25">
      <c r="A295" s="270">
        <v>83</v>
      </c>
      <c r="B295" s="256" t="s">
        <v>816</v>
      </c>
      <c r="C295" s="16" t="s">
        <v>618</v>
      </c>
      <c r="D295" s="44" t="s">
        <v>381</v>
      </c>
      <c r="E295" s="44" t="s">
        <v>123</v>
      </c>
      <c r="F295" s="44" t="s">
        <v>573</v>
      </c>
      <c r="G295" s="63">
        <v>11545</v>
      </c>
      <c r="H295" s="44" t="s">
        <v>870</v>
      </c>
      <c r="I295" s="16" t="s">
        <v>443</v>
      </c>
      <c r="J295" s="16" t="s">
        <v>337</v>
      </c>
      <c r="K295" s="17">
        <v>42444</v>
      </c>
      <c r="L295" s="105">
        <v>105781.7</v>
      </c>
      <c r="M295" s="63">
        <v>11771</v>
      </c>
      <c r="N295" s="17">
        <v>42444</v>
      </c>
      <c r="O295" s="17">
        <v>42735</v>
      </c>
      <c r="P295" s="6" t="s">
        <v>157</v>
      </c>
      <c r="Q295" s="111"/>
      <c r="R295" s="111"/>
      <c r="S295" s="111"/>
      <c r="T295" s="16" t="s">
        <v>204</v>
      </c>
      <c r="U295" s="21"/>
      <c r="V295" s="21"/>
      <c r="W295" s="11"/>
      <c r="X295" s="21"/>
      <c r="Y295" s="21"/>
      <c r="Z295" s="21"/>
      <c r="AA295" s="23"/>
      <c r="AB295" s="21"/>
      <c r="AC295" s="24"/>
      <c r="AD295" s="24"/>
      <c r="AE295" s="119"/>
      <c r="AF295" s="107"/>
      <c r="AG295" s="107">
        <f>63.8+11237.24+4746.62+2458.78</f>
        <v>18506.439999999999</v>
      </c>
      <c r="AH295" s="12">
        <f t="shared" si="8"/>
        <v>18506.439999999999</v>
      </c>
      <c r="AI295" s="21"/>
      <c r="AJ295" s="11"/>
      <c r="AK295" s="21"/>
      <c r="AL295" s="27"/>
      <c r="AM295" s="21"/>
      <c r="AN295" s="21"/>
      <c r="AO295" s="11"/>
      <c r="AP295" s="10"/>
      <c r="AQ295" s="11"/>
      <c r="AR295" s="10"/>
      <c r="AS295" s="69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</row>
    <row r="296" spans="1:56" s="193" customFormat="1" ht="48" customHeight="1" x14ac:dyDescent="0.25">
      <c r="A296" s="269"/>
      <c r="B296" s="258"/>
      <c r="C296" s="35"/>
      <c r="D296" s="44"/>
      <c r="E296" s="44"/>
      <c r="F296" s="44"/>
      <c r="G296" s="73"/>
      <c r="H296" s="44"/>
      <c r="I296" s="35"/>
      <c r="J296" s="35"/>
      <c r="K296" s="36"/>
      <c r="L296" s="108"/>
      <c r="M296" s="73"/>
      <c r="N296" s="36"/>
      <c r="O296" s="36"/>
      <c r="P296" s="6"/>
      <c r="Q296" s="51"/>
      <c r="R296" s="51"/>
      <c r="S296" s="51"/>
      <c r="T296" s="35"/>
      <c r="U296" s="21"/>
      <c r="V296" s="21"/>
      <c r="W296" s="11"/>
      <c r="X296" s="21"/>
      <c r="Y296" s="21"/>
      <c r="Z296" s="21"/>
      <c r="AA296" s="23"/>
      <c r="AB296" s="21"/>
      <c r="AC296" s="24"/>
      <c r="AD296" s="24"/>
      <c r="AE296" s="119"/>
      <c r="AF296" s="107"/>
      <c r="AG296" s="107"/>
      <c r="AH296" s="12">
        <f t="shared" si="8"/>
        <v>0</v>
      </c>
      <c r="AI296" s="21"/>
      <c r="AJ296" s="11"/>
      <c r="AK296" s="21"/>
      <c r="AL296" s="27"/>
      <c r="AM296" s="21"/>
      <c r="AN296" s="21"/>
      <c r="AO296" s="11"/>
      <c r="AP296" s="10"/>
      <c r="AQ296" s="11"/>
      <c r="AR296" s="10"/>
      <c r="AS296" s="69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</row>
    <row r="297" spans="1:56" s="193" customFormat="1" ht="48" customHeight="1" x14ac:dyDescent="0.25">
      <c r="A297" s="270">
        <v>84</v>
      </c>
      <c r="B297" s="256" t="s">
        <v>868</v>
      </c>
      <c r="C297" s="16" t="s">
        <v>669</v>
      </c>
      <c r="D297" s="44" t="s">
        <v>381</v>
      </c>
      <c r="E297" s="44" t="s">
        <v>123</v>
      </c>
      <c r="F297" s="44" t="s">
        <v>681</v>
      </c>
      <c r="G297" s="63">
        <v>11565</v>
      </c>
      <c r="H297" s="44" t="s">
        <v>869</v>
      </c>
      <c r="I297" s="16" t="s">
        <v>721</v>
      </c>
      <c r="J297" s="16" t="s">
        <v>364</v>
      </c>
      <c r="K297" s="17">
        <v>42472</v>
      </c>
      <c r="L297" s="105">
        <v>16000</v>
      </c>
      <c r="M297" s="63">
        <v>11789</v>
      </c>
      <c r="N297" s="17">
        <v>42472</v>
      </c>
      <c r="O297" s="17">
        <v>42517</v>
      </c>
      <c r="P297" s="6" t="s">
        <v>157</v>
      </c>
      <c r="Q297" s="111"/>
      <c r="R297" s="111"/>
      <c r="S297" s="111"/>
      <c r="T297" s="16" t="s">
        <v>204</v>
      </c>
      <c r="U297" s="21"/>
      <c r="V297" s="21"/>
      <c r="W297" s="11"/>
      <c r="X297" s="21"/>
      <c r="Y297" s="21"/>
      <c r="Z297" s="21"/>
      <c r="AA297" s="23"/>
      <c r="AB297" s="21"/>
      <c r="AC297" s="24"/>
      <c r="AD297" s="24"/>
      <c r="AE297" s="82">
        <f>L297</f>
        <v>16000</v>
      </c>
      <c r="AF297" s="107"/>
      <c r="AG297" s="107">
        <v>3200</v>
      </c>
      <c r="AH297" s="12">
        <f t="shared" si="8"/>
        <v>3200</v>
      </c>
      <c r="AI297" s="21"/>
      <c r="AJ297" s="11"/>
      <c r="AK297" s="21"/>
      <c r="AL297" s="27"/>
      <c r="AM297" s="21"/>
      <c r="AN297" s="21"/>
      <c r="AO297" s="11"/>
      <c r="AP297" s="10"/>
      <c r="AQ297" s="11"/>
      <c r="AR297" s="10"/>
      <c r="AS297" s="69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</row>
    <row r="298" spans="1:56" s="193" customFormat="1" ht="48" customHeight="1" x14ac:dyDescent="0.25">
      <c r="A298" s="269"/>
      <c r="B298" s="258"/>
      <c r="C298" s="35"/>
      <c r="D298" s="44"/>
      <c r="E298" s="44"/>
      <c r="F298" s="44"/>
      <c r="G298" s="73"/>
      <c r="H298" s="44"/>
      <c r="I298" s="35"/>
      <c r="J298" s="35"/>
      <c r="K298" s="36"/>
      <c r="L298" s="108"/>
      <c r="M298" s="73"/>
      <c r="N298" s="36"/>
      <c r="O298" s="36"/>
      <c r="P298" s="6" t="s">
        <v>314</v>
      </c>
      <c r="Q298" s="51"/>
      <c r="R298" s="51"/>
      <c r="S298" s="51"/>
      <c r="T298" s="35"/>
      <c r="U298" s="21"/>
      <c r="V298" s="21"/>
      <c r="W298" s="11"/>
      <c r="X298" s="21"/>
      <c r="Y298" s="21"/>
      <c r="Z298" s="21"/>
      <c r="AA298" s="23"/>
      <c r="AB298" s="21"/>
      <c r="AC298" s="24"/>
      <c r="AD298" s="24"/>
      <c r="AE298" s="92"/>
      <c r="AF298" s="107"/>
      <c r="AG298" s="107">
        <v>12800</v>
      </c>
      <c r="AH298" s="12">
        <f t="shared" si="8"/>
        <v>12800</v>
      </c>
      <c r="AI298" s="21"/>
      <c r="AJ298" s="11"/>
      <c r="AK298" s="21"/>
      <c r="AL298" s="27"/>
      <c r="AM298" s="21"/>
      <c r="AN298" s="21"/>
      <c r="AO298" s="11"/>
      <c r="AP298" s="10"/>
      <c r="AQ298" s="11"/>
      <c r="AR298" s="10"/>
      <c r="AS298" s="69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</row>
    <row r="299" spans="1:56" s="193" customFormat="1" ht="48" customHeight="1" x14ac:dyDescent="0.25">
      <c r="A299" s="273">
        <v>85</v>
      </c>
      <c r="B299" s="261" t="s">
        <v>620</v>
      </c>
      <c r="C299" s="51" t="s">
        <v>583</v>
      </c>
      <c r="D299" s="21" t="s">
        <v>572</v>
      </c>
      <c r="E299" s="21" t="s">
        <v>123</v>
      </c>
      <c r="F299" s="21" t="s">
        <v>704</v>
      </c>
      <c r="G299" s="114"/>
      <c r="H299" s="21" t="s">
        <v>192</v>
      </c>
      <c r="I299" s="51" t="s">
        <v>639</v>
      </c>
      <c r="J299" s="51" t="s">
        <v>640</v>
      </c>
      <c r="K299" s="52">
        <v>42444</v>
      </c>
      <c r="L299" s="113">
        <v>795.5</v>
      </c>
      <c r="M299" s="114"/>
      <c r="N299" s="52">
        <v>42444</v>
      </c>
      <c r="O299" s="52">
        <v>42475</v>
      </c>
      <c r="P299" s="6" t="s">
        <v>157</v>
      </c>
      <c r="Q299" s="51"/>
      <c r="R299" s="51"/>
      <c r="S299" s="51"/>
      <c r="T299" s="51" t="s">
        <v>204</v>
      </c>
      <c r="U299" s="21"/>
      <c r="V299" s="21"/>
      <c r="W299" s="11"/>
      <c r="X299" s="21"/>
      <c r="Y299" s="21"/>
      <c r="Z299" s="21"/>
      <c r="AA299" s="23"/>
      <c r="AB299" s="21"/>
      <c r="AC299" s="24"/>
      <c r="AD299" s="24"/>
      <c r="AE299" s="92"/>
      <c r="AF299" s="107"/>
      <c r="AG299" s="107">
        <f>555+240.5</f>
        <v>795.5</v>
      </c>
      <c r="AH299" s="12">
        <f t="shared" si="8"/>
        <v>795.5</v>
      </c>
      <c r="AI299" s="21"/>
      <c r="AJ299" s="11"/>
      <c r="AK299" s="21"/>
      <c r="AL299" s="27"/>
      <c r="AM299" s="21"/>
      <c r="AN299" s="21"/>
      <c r="AO299" s="11"/>
      <c r="AP299" s="10"/>
      <c r="AQ299" s="11"/>
      <c r="AR299" s="10"/>
      <c r="AS299" s="69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</row>
    <row r="300" spans="1:56" s="193" customFormat="1" ht="48" customHeight="1" x14ac:dyDescent="0.25">
      <c r="A300" s="270">
        <v>86</v>
      </c>
      <c r="B300" s="254" t="s">
        <v>620</v>
      </c>
      <c r="C300" s="16" t="s">
        <v>583</v>
      </c>
      <c r="D300" s="16" t="s">
        <v>572</v>
      </c>
      <c r="E300" s="16" t="s">
        <v>123</v>
      </c>
      <c r="F300" s="16" t="s">
        <v>704</v>
      </c>
      <c r="G300" s="15"/>
      <c r="H300" s="109" t="s">
        <v>192</v>
      </c>
      <c r="I300" s="16" t="s">
        <v>833</v>
      </c>
      <c r="J300" s="16" t="s">
        <v>382</v>
      </c>
      <c r="K300" s="17">
        <v>42444</v>
      </c>
      <c r="L300" s="105">
        <v>3306</v>
      </c>
      <c r="M300" s="63"/>
      <c r="N300" s="17">
        <v>42078</v>
      </c>
      <c r="O300" s="17">
        <v>42475</v>
      </c>
      <c r="P300" s="109" t="s">
        <v>314</v>
      </c>
      <c r="Q300" s="51"/>
      <c r="R300" s="51"/>
      <c r="S300" s="51"/>
      <c r="T300" s="16" t="s">
        <v>204</v>
      </c>
      <c r="U300" s="21"/>
      <c r="V300" s="21"/>
      <c r="W300" s="11"/>
      <c r="X300" s="21"/>
      <c r="Y300" s="21"/>
      <c r="Z300" s="21"/>
      <c r="AA300" s="23"/>
      <c r="AB300" s="21"/>
      <c r="AC300" s="24"/>
      <c r="AD300" s="24"/>
      <c r="AE300" s="92"/>
      <c r="AF300" s="107"/>
      <c r="AG300" s="107">
        <f>266+1311+1140+570</f>
        <v>3287</v>
      </c>
      <c r="AH300" s="12">
        <f t="shared" si="8"/>
        <v>3287</v>
      </c>
      <c r="AI300" s="21"/>
      <c r="AJ300" s="11"/>
      <c r="AK300" s="21"/>
      <c r="AL300" s="27"/>
      <c r="AM300" s="21"/>
      <c r="AN300" s="21"/>
      <c r="AO300" s="11"/>
      <c r="AP300" s="10"/>
      <c r="AQ300" s="11"/>
      <c r="AR300" s="10"/>
      <c r="AS300" s="69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</row>
    <row r="301" spans="1:56" s="193" customFormat="1" ht="48" customHeight="1" x14ac:dyDescent="0.25">
      <c r="A301" s="269"/>
      <c r="B301" s="253"/>
      <c r="C301" s="35"/>
      <c r="D301" s="35"/>
      <c r="E301" s="35"/>
      <c r="F301" s="35"/>
      <c r="G301" s="34"/>
      <c r="H301" s="110"/>
      <c r="I301" s="35"/>
      <c r="J301" s="35"/>
      <c r="K301" s="36"/>
      <c r="L301" s="108"/>
      <c r="M301" s="73"/>
      <c r="N301" s="36"/>
      <c r="O301" s="36"/>
      <c r="P301" s="110"/>
      <c r="Q301" s="51"/>
      <c r="R301" s="51"/>
      <c r="S301" s="51"/>
      <c r="T301" s="35"/>
      <c r="U301" s="21"/>
      <c r="V301" s="21"/>
      <c r="W301" s="11"/>
      <c r="X301" s="21"/>
      <c r="Y301" s="21"/>
      <c r="Z301" s="21"/>
      <c r="AA301" s="23"/>
      <c r="AB301" s="21"/>
      <c r="AC301" s="24"/>
      <c r="AD301" s="24"/>
      <c r="AE301" s="92"/>
      <c r="AF301" s="107"/>
      <c r="AG301" s="107"/>
      <c r="AH301" s="12">
        <f t="shared" si="8"/>
        <v>0</v>
      </c>
      <c r="AI301" s="21"/>
      <c r="AJ301" s="11"/>
      <c r="AK301" s="21"/>
      <c r="AL301" s="27"/>
      <c r="AM301" s="21"/>
      <c r="AN301" s="21"/>
      <c r="AO301" s="11"/>
      <c r="AP301" s="10"/>
      <c r="AQ301" s="11"/>
      <c r="AR301" s="10"/>
      <c r="AS301" s="69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</row>
    <row r="302" spans="1:56" s="193" customFormat="1" ht="30" customHeight="1" x14ac:dyDescent="0.25">
      <c r="A302" s="270">
        <v>87</v>
      </c>
      <c r="B302" s="256"/>
      <c r="C302" s="16" t="s">
        <v>624</v>
      </c>
      <c r="D302" s="16" t="s">
        <v>319</v>
      </c>
      <c r="E302" s="16" t="s">
        <v>123</v>
      </c>
      <c r="F302" s="16" t="s">
        <v>629</v>
      </c>
      <c r="G302" s="63">
        <v>11537</v>
      </c>
      <c r="H302" s="109" t="s">
        <v>630</v>
      </c>
      <c r="I302" s="16" t="s">
        <v>631</v>
      </c>
      <c r="J302" s="16" t="s">
        <v>632</v>
      </c>
      <c r="K302" s="17">
        <v>42131</v>
      </c>
      <c r="L302" s="105">
        <v>350701</v>
      </c>
      <c r="M302" s="63">
        <v>11567</v>
      </c>
      <c r="N302" s="17">
        <v>42131</v>
      </c>
      <c r="O302" s="17">
        <v>42369</v>
      </c>
      <c r="P302" s="6" t="s">
        <v>627</v>
      </c>
      <c r="Q302" s="16"/>
      <c r="R302" s="16"/>
      <c r="S302" s="16"/>
      <c r="T302" s="16" t="s">
        <v>204</v>
      </c>
      <c r="U302" s="21"/>
      <c r="V302" s="21"/>
      <c r="W302" s="11"/>
      <c r="X302" s="6"/>
      <c r="Y302" s="10"/>
      <c r="Z302" s="10"/>
      <c r="AA302" s="23"/>
      <c r="AB302" s="21"/>
      <c r="AC302" s="24"/>
      <c r="AD302" s="24"/>
      <c r="AE302" s="25">
        <f t="shared" ref="AE302" si="12">L302-AD302+AC302</f>
        <v>350701</v>
      </c>
      <c r="AF302" s="26"/>
      <c r="AG302" s="107">
        <v>0</v>
      </c>
      <c r="AH302" s="12">
        <f t="shared" ref="AH302:AH316" si="13">AF302+AG302</f>
        <v>0</v>
      </c>
      <c r="AI302" s="21"/>
      <c r="AJ302" s="11"/>
      <c r="AK302" s="21"/>
      <c r="AL302" s="27"/>
      <c r="AM302" s="21"/>
      <c r="AN302" s="21"/>
      <c r="AO302" s="11"/>
      <c r="AP302" s="10"/>
      <c r="AQ302" s="11"/>
      <c r="AR302" s="10"/>
      <c r="AS302" s="69"/>
      <c r="AT302" s="84"/>
      <c r="AU302" s="84"/>
      <c r="AV302" s="84"/>
      <c r="AW302" s="84"/>
      <c r="AX302" s="84"/>
      <c r="AY302" s="27"/>
      <c r="AZ302" s="27"/>
      <c r="BA302" s="27"/>
      <c r="BB302" s="27"/>
      <c r="BC302" s="27"/>
      <c r="BD302" s="27"/>
    </row>
    <row r="303" spans="1:56" s="193" customFormat="1" ht="30" customHeight="1" x14ac:dyDescent="0.25">
      <c r="A303" s="268"/>
      <c r="B303" s="257"/>
      <c r="C303" s="29"/>
      <c r="D303" s="29"/>
      <c r="E303" s="29"/>
      <c r="F303" s="29"/>
      <c r="G303" s="67"/>
      <c r="H303" s="112"/>
      <c r="I303" s="29"/>
      <c r="J303" s="29"/>
      <c r="K303" s="30"/>
      <c r="L303" s="101"/>
      <c r="M303" s="67"/>
      <c r="N303" s="30"/>
      <c r="O303" s="30"/>
      <c r="P303" s="6"/>
      <c r="Q303" s="29"/>
      <c r="R303" s="29"/>
      <c r="S303" s="29"/>
      <c r="T303" s="29"/>
      <c r="U303" s="21" t="s">
        <v>718</v>
      </c>
      <c r="V303" s="10">
        <v>42262</v>
      </c>
      <c r="W303" s="11">
        <v>11643</v>
      </c>
      <c r="X303" s="6" t="s">
        <v>344</v>
      </c>
      <c r="Y303" s="10">
        <v>42262</v>
      </c>
      <c r="Z303" s="10">
        <v>42369</v>
      </c>
      <c r="AA303" s="23">
        <f>AC303/AE302</f>
        <v>0.24999934417067532</v>
      </c>
      <c r="AB303" s="21"/>
      <c r="AC303" s="24">
        <v>87675.02</v>
      </c>
      <c r="AD303" s="24"/>
      <c r="AE303" s="25">
        <f>AE302-AD303+AC303</f>
        <v>438376.02</v>
      </c>
      <c r="AF303" s="49">
        <f>2365.44+13858.25+4998.49+33697.3+16258.41+5638.28+2409.6+2230.8+1101.1+20286.89+13813.8+27579.58+29704.49+4294.05+1152+9625.36+9625.36+2027.78+8413.66+2337.04+25485.66+13034.45+29704.49+2757.12+23350.78+10487.7+1394.84+1571.7</f>
        <v>319204.42</v>
      </c>
      <c r="AG303" s="12">
        <f>2466.27+7310.65+14364.35+10287.47+18478.6+22381.03+13716.55+24042.33+1272.7+3851.48</f>
        <v>118171.43</v>
      </c>
      <c r="AH303" s="12">
        <f t="shared" si="13"/>
        <v>437375.85</v>
      </c>
      <c r="AI303" s="21"/>
      <c r="AJ303" s="11"/>
      <c r="AK303" s="21"/>
      <c r="AL303" s="27"/>
      <c r="AM303" s="21"/>
      <c r="AN303" s="21"/>
      <c r="AO303" s="11"/>
      <c r="AP303" s="10"/>
      <c r="AQ303" s="11"/>
      <c r="AR303" s="10"/>
      <c r="AS303" s="69"/>
      <c r="AT303" s="84"/>
      <c r="AU303" s="84"/>
      <c r="AV303" s="84"/>
      <c r="AW303" s="84"/>
      <c r="AX303" s="84"/>
      <c r="AY303" s="27"/>
      <c r="AZ303" s="27"/>
      <c r="BA303" s="27"/>
      <c r="BB303" s="27"/>
      <c r="BC303" s="27"/>
      <c r="BD303" s="27"/>
    </row>
    <row r="304" spans="1:56" s="193" customFormat="1" ht="27" customHeight="1" x14ac:dyDescent="0.25">
      <c r="A304" s="269"/>
      <c r="B304" s="258"/>
      <c r="C304" s="35"/>
      <c r="D304" s="35"/>
      <c r="E304" s="35"/>
      <c r="F304" s="35"/>
      <c r="G304" s="73"/>
      <c r="H304" s="110"/>
      <c r="I304" s="35"/>
      <c r="J304" s="35"/>
      <c r="K304" s="36"/>
      <c r="L304" s="108"/>
      <c r="M304" s="73"/>
      <c r="N304" s="36"/>
      <c r="O304" s="36"/>
      <c r="P304" s="6" t="s">
        <v>314</v>
      </c>
      <c r="Q304" s="35"/>
      <c r="R304" s="35"/>
      <c r="S304" s="35"/>
      <c r="T304" s="35"/>
      <c r="U304" s="21" t="s">
        <v>774</v>
      </c>
      <c r="V304" s="10">
        <v>42367</v>
      </c>
      <c r="W304" s="11">
        <v>11745</v>
      </c>
      <c r="X304" s="6" t="s">
        <v>509</v>
      </c>
      <c r="Y304" s="10">
        <v>42370</v>
      </c>
      <c r="Z304" s="10">
        <v>42582</v>
      </c>
      <c r="AA304" s="23"/>
      <c r="AB304" s="21"/>
      <c r="AC304" s="24"/>
      <c r="AD304" s="24"/>
      <c r="AE304" s="25"/>
      <c r="AF304" s="50"/>
      <c r="AG304" s="14"/>
      <c r="AH304" s="12">
        <f t="shared" si="13"/>
        <v>0</v>
      </c>
      <c r="AI304" s="21"/>
      <c r="AJ304" s="11"/>
      <c r="AK304" s="21"/>
      <c r="AL304" s="27"/>
      <c r="AM304" s="21"/>
      <c r="AN304" s="21"/>
      <c r="AO304" s="11"/>
      <c r="AP304" s="10"/>
      <c r="AQ304" s="11"/>
      <c r="AR304" s="10"/>
      <c r="AS304" s="69"/>
      <c r="AT304" s="84"/>
      <c r="AU304" s="84"/>
      <c r="AV304" s="84"/>
      <c r="AW304" s="84"/>
      <c r="AX304" s="84"/>
      <c r="AY304" s="27"/>
      <c r="AZ304" s="27"/>
      <c r="BA304" s="27"/>
      <c r="BB304" s="27"/>
      <c r="BC304" s="27"/>
      <c r="BD304" s="27"/>
    </row>
    <row r="305" spans="1:57" s="193" customFormat="1" ht="46.5" customHeight="1" x14ac:dyDescent="0.25">
      <c r="A305" s="270">
        <v>88</v>
      </c>
      <c r="B305" s="256"/>
      <c r="C305" s="16" t="s">
        <v>624</v>
      </c>
      <c r="D305" s="16" t="s">
        <v>319</v>
      </c>
      <c r="E305" s="16" t="s">
        <v>123</v>
      </c>
      <c r="F305" s="16" t="s">
        <v>625</v>
      </c>
      <c r="G305" s="63">
        <v>11537</v>
      </c>
      <c r="H305" s="109" t="s">
        <v>626</v>
      </c>
      <c r="I305" s="16" t="s">
        <v>320</v>
      </c>
      <c r="J305" s="16" t="s">
        <v>345</v>
      </c>
      <c r="K305" s="17">
        <v>42102</v>
      </c>
      <c r="L305" s="105">
        <v>250723.1</v>
      </c>
      <c r="M305" s="63">
        <v>11567</v>
      </c>
      <c r="N305" s="17">
        <v>42369</v>
      </c>
      <c r="O305" s="17"/>
      <c r="P305" s="6" t="s">
        <v>627</v>
      </c>
      <c r="Q305" s="16"/>
      <c r="R305" s="16"/>
      <c r="S305" s="16"/>
      <c r="T305" s="16" t="s">
        <v>204</v>
      </c>
      <c r="U305" s="21"/>
      <c r="V305" s="21"/>
      <c r="W305" s="11"/>
      <c r="X305" s="6"/>
      <c r="Y305" s="10"/>
      <c r="Z305" s="10"/>
      <c r="AA305" s="23"/>
      <c r="AB305" s="21"/>
      <c r="AC305" s="24"/>
      <c r="AD305" s="24"/>
      <c r="AE305" s="25">
        <f>L305-AD305+AC305</f>
        <v>250723.1</v>
      </c>
      <c r="AF305" s="26"/>
      <c r="AG305" s="107">
        <v>0</v>
      </c>
      <c r="AH305" s="12">
        <f t="shared" si="13"/>
        <v>0</v>
      </c>
      <c r="AI305" s="21"/>
      <c r="AJ305" s="11"/>
      <c r="AK305" s="21"/>
      <c r="AL305" s="27"/>
      <c r="AM305" s="21"/>
      <c r="AN305" s="21"/>
      <c r="AO305" s="11"/>
      <c r="AP305" s="10"/>
      <c r="AQ305" s="11"/>
      <c r="AR305" s="10"/>
      <c r="AS305" s="69"/>
      <c r="AT305" s="84"/>
      <c r="AU305" s="84"/>
      <c r="AV305" s="84"/>
      <c r="AW305" s="84"/>
      <c r="AX305" s="84"/>
      <c r="AY305" s="27"/>
      <c r="AZ305" s="27"/>
      <c r="BA305" s="27"/>
      <c r="BB305" s="27"/>
      <c r="BC305" s="27"/>
      <c r="BD305" s="27"/>
    </row>
    <row r="306" spans="1:57" s="193" customFormat="1" ht="46.5" customHeight="1" x14ac:dyDescent="0.25">
      <c r="A306" s="268"/>
      <c r="B306" s="257"/>
      <c r="C306" s="29"/>
      <c r="D306" s="29"/>
      <c r="E306" s="29"/>
      <c r="F306" s="29"/>
      <c r="G306" s="67"/>
      <c r="H306" s="112"/>
      <c r="I306" s="29"/>
      <c r="J306" s="29"/>
      <c r="K306" s="30"/>
      <c r="L306" s="101"/>
      <c r="M306" s="67"/>
      <c r="N306" s="30"/>
      <c r="O306" s="30"/>
      <c r="P306" s="109" t="s">
        <v>314</v>
      </c>
      <c r="Q306" s="29"/>
      <c r="R306" s="29"/>
      <c r="S306" s="29"/>
      <c r="T306" s="29"/>
      <c r="U306" s="21" t="s">
        <v>718</v>
      </c>
      <c r="V306" s="10">
        <v>42262</v>
      </c>
      <c r="W306" s="11">
        <v>11643</v>
      </c>
      <c r="X306" s="6" t="s">
        <v>344</v>
      </c>
      <c r="Y306" s="10">
        <v>42132</v>
      </c>
      <c r="Z306" s="10">
        <v>42369</v>
      </c>
      <c r="AA306" s="23">
        <f>AC306/AE305</f>
        <v>0.24999651009420354</v>
      </c>
      <c r="AB306" s="21"/>
      <c r="AC306" s="24">
        <v>62679.9</v>
      </c>
      <c r="AD306" s="24"/>
      <c r="AE306" s="25">
        <f>AE305-AD306+AC306</f>
        <v>313403</v>
      </c>
      <c r="AF306" s="49">
        <f>837.72+1899.28+7244.33+887.03+7179.93+701.72+11234.68+12614.61+1346.91+1718.81+5046.14+23328.46+4137.29+1648.18+22626.59+1055.18+2609.16+16353.93+11330.14+2993.91+893.26+13850.59+835.5+4997.76+3884.02+10932.66+21479.03+3927.52+5358.48+1978.07+2125.17+1765.05+214.2+3726.72+7525.9+1775.4+871.5</f>
        <v>222934.83</v>
      </c>
      <c r="AG306" s="12">
        <f>1310.37+7330.87+6243.86+3399.07+876.63</f>
        <v>19160.8</v>
      </c>
      <c r="AH306" s="12">
        <f t="shared" si="13"/>
        <v>242095.62999999998</v>
      </c>
      <c r="AI306" s="21"/>
      <c r="AJ306" s="11"/>
      <c r="AK306" s="21"/>
      <c r="AL306" s="27"/>
      <c r="AM306" s="21"/>
      <c r="AN306" s="21"/>
      <c r="AO306" s="11"/>
      <c r="AP306" s="10"/>
      <c r="AQ306" s="11"/>
      <c r="AR306" s="10"/>
      <c r="AS306" s="69"/>
      <c r="AT306" s="84"/>
      <c r="AU306" s="84"/>
      <c r="AV306" s="84"/>
      <c r="AW306" s="84"/>
      <c r="AX306" s="84"/>
      <c r="AY306" s="27"/>
      <c r="AZ306" s="27"/>
      <c r="BA306" s="27"/>
      <c r="BB306" s="27"/>
      <c r="BC306" s="27"/>
      <c r="BD306" s="27"/>
    </row>
    <row r="307" spans="1:57" s="193" customFormat="1" ht="46.5" customHeight="1" x14ac:dyDescent="0.25">
      <c r="A307" s="269"/>
      <c r="B307" s="258"/>
      <c r="C307" s="35"/>
      <c r="D307" s="35"/>
      <c r="E307" s="35"/>
      <c r="F307" s="35"/>
      <c r="G307" s="73"/>
      <c r="H307" s="110"/>
      <c r="I307" s="35"/>
      <c r="J307" s="35"/>
      <c r="K307" s="36"/>
      <c r="L307" s="108"/>
      <c r="M307" s="73"/>
      <c r="N307" s="36"/>
      <c r="O307" s="36"/>
      <c r="P307" s="110"/>
      <c r="Q307" s="35"/>
      <c r="R307" s="35"/>
      <c r="S307" s="35"/>
      <c r="T307" s="35"/>
      <c r="U307" s="21" t="s">
        <v>774</v>
      </c>
      <c r="V307" s="10">
        <v>42733</v>
      </c>
      <c r="W307" s="11">
        <v>11854</v>
      </c>
      <c r="X307" s="6" t="s">
        <v>509</v>
      </c>
      <c r="Y307" s="10">
        <v>42370</v>
      </c>
      <c r="Z307" s="10">
        <v>42582</v>
      </c>
      <c r="AA307" s="23"/>
      <c r="AB307" s="21"/>
      <c r="AC307" s="24"/>
      <c r="AD307" s="24"/>
      <c r="AE307" s="25"/>
      <c r="AF307" s="50"/>
      <c r="AG307" s="14"/>
      <c r="AH307" s="12">
        <f t="shared" si="13"/>
        <v>0</v>
      </c>
      <c r="AI307" s="21"/>
      <c r="AJ307" s="11"/>
      <c r="AK307" s="21"/>
      <c r="AL307" s="27"/>
      <c r="AM307" s="21"/>
      <c r="AN307" s="21"/>
      <c r="AO307" s="11"/>
      <c r="AP307" s="10"/>
      <c r="AQ307" s="11"/>
      <c r="AR307" s="10"/>
      <c r="AS307" s="69"/>
      <c r="AT307" s="84"/>
      <c r="AU307" s="84"/>
      <c r="AV307" s="84"/>
      <c r="AW307" s="84"/>
      <c r="AX307" s="84"/>
      <c r="AY307" s="27"/>
      <c r="AZ307" s="27"/>
      <c r="BA307" s="27"/>
      <c r="BB307" s="27"/>
      <c r="BC307" s="27"/>
      <c r="BD307" s="27"/>
    </row>
    <row r="308" spans="1:57" s="193" customFormat="1" ht="46.5" customHeight="1" x14ac:dyDescent="0.25">
      <c r="A308" s="270">
        <v>89</v>
      </c>
      <c r="B308" s="256"/>
      <c r="C308" s="16" t="s">
        <v>624</v>
      </c>
      <c r="D308" s="16" t="s">
        <v>319</v>
      </c>
      <c r="E308" s="16" t="s">
        <v>123</v>
      </c>
      <c r="F308" s="16" t="s">
        <v>625</v>
      </c>
      <c r="G308" s="63">
        <v>11537</v>
      </c>
      <c r="H308" s="109" t="s">
        <v>649</v>
      </c>
      <c r="I308" s="16" t="s">
        <v>197</v>
      </c>
      <c r="J308" s="16" t="s">
        <v>347</v>
      </c>
      <c r="K308" s="17">
        <v>42131</v>
      </c>
      <c r="L308" s="105">
        <v>308133</v>
      </c>
      <c r="M308" s="63">
        <v>11592</v>
      </c>
      <c r="N308" s="17">
        <v>42132</v>
      </c>
      <c r="O308" s="17">
        <v>42369</v>
      </c>
      <c r="P308" s="109" t="s">
        <v>627</v>
      </c>
      <c r="Q308" s="16"/>
      <c r="R308" s="16"/>
      <c r="S308" s="16"/>
      <c r="T308" s="16" t="s">
        <v>204</v>
      </c>
      <c r="U308" s="21"/>
      <c r="V308" s="21"/>
      <c r="W308" s="11"/>
      <c r="X308" s="6"/>
      <c r="Y308" s="10"/>
      <c r="Z308" s="10"/>
      <c r="AA308" s="23"/>
      <c r="AB308" s="21"/>
      <c r="AC308" s="24"/>
      <c r="AD308" s="24"/>
      <c r="AE308" s="25">
        <f>L308</f>
        <v>308133</v>
      </c>
      <c r="AF308" s="26"/>
      <c r="AG308" s="120">
        <v>0</v>
      </c>
      <c r="AH308" s="12">
        <f t="shared" si="13"/>
        <v>0</v>
      </c>
      <c r="AI308" s="21"/>
      <c r="AJ308" s="11"/>
      <c r="AK308" s="21"/>
      <c r="AL308" s="27"/>
      <c r="AM308" s="21"/>
      <c r="AN308" s="21"/>
      <c r="AO308" s="11"/>
      <c r="AP308" s="10"/>
      <c r="AQ308" s="11"/>
      <c r="AR308" s="10"/>
      <c r="AS308" s="69"/>
      <c r="AT308" s="84"/>
      <c r="AU308" s="84"/>
      <c r="AV308" s="84"/>
      <c r="AW308" s="84"/>
      <c r="AX308" s="84"/>
      <c r="AY308" s="27"/>
      <c r="AZ308" s="27"/>
      <c r="BA308" s="27"/>
      <c r="BB308" s="27"/>
      <c r="BC308" s="27"/>
      <c r="BD308" s="27"/>
    </row>
    <row r="309" spans="1:57" s="193" customFormat="1" ht="46.5" customHeight="1" x14ac:dyDescent="0.25">
      <c r="A309" s="268"/>
      <c r="B309" s="257"/>
      <c r="C309" s="29"/>
      <c r="D309" s="29"/>
      <c r="E309" s="29"/>
      <c r="F309" s="29"/>
      <c r="G309" s="67"/>
      <c r="H309" s="112"/>
      <c r="I309" s="29"/>
      <c r="J309" s="29"/>
      <c r="K309" s="30"/>
      <c r="L309" s="101"/>
      <c r="M309" s="67"/>
      <c r="N309" s="30"/>
      <c r="O309" s="30"/>
      <c r="P309" s="110"/>
      <c r="Q309" s="29"/>
      <c r="R309" s="29"/>
      <c r="S309" s="29"/>
      <c r="T309" s="29"/>
      <c r="U309" s="21" t="s">
        <v>718</v>
      </c>
      <c r="V309" s="21"/>
      <c r="W309" s="11"/>
      <c r="X309" s="6"/>
      <c r="Y309" s="10"/>
      <c r="Z309" s="10"/>
      <c r="AA309" s="23"/>
      <c r="AB309" s="21"/>
      <c r="AC309" s="24"/>
      <c r="AD309" s="24"/>
      <c r="AE309" s="25"/>
      <c r="AF309" s="26"/>
      <c r="AG309" s="121"/>
      <c r="AH309" s="12">
        <f t="shared" si="13"/>
        <v>0</v>
      </c>
      <c r="AI309" s="21"/>
      <c r="AJ309" s="11"/>
      <c r="AK309" s="21"/>
      <c r="AL309" s="27"/>
      <c r="AM309" s="21"/>
      <c r="AN309" s="21"/>
      <c r="AO309" s="11"/>
      <c r="AP309" s="10"/>
      <c r="AQ309" s="11"/>
      <c r="AR309" s="10"/>
      <c r="AS309" s="69"/>
      <c r="AT309" s="84"/>
      <c r="AU309" s="84"/>
      <c r="AV309" s="84"/>
      <c r="AW309" s="84"/>
      <c r="AX309" s="84"/>
      <c r="AY309" s="27"/>
      <c r="AZ309" s="27"/>
      <c r="BA309" s="27"/>
      <c r="BB309" s="27"/>
      <c r="BC309" s="27"/>
      <c r="BD309" s="27"/>
    </row>
    <row r="310" spans="1:57" s="193" customFormat="1" ht="46.5" customHeight="1" x14ac:dyDescent="0.25">
      <c r="A310" s="269"/>
      <c r="B310" s="258"/>
      <c r="C310" s="35"/>
      <c r="D310" s="35"/>
      <c r="E310" s="35"/>
      <c r="F310" s="35"/>
      <c r="G310" s="73"/>
      <c r="H310" s="110"/>
      <c r="I310" s="35"/>
      <c r="J310" s="35"/>
      <c r="K310" s="36"/>
      <c r="L310" s="108"/>
      <c r="M310" s="73"/>
      <c r="N310" s="36"/>
      <c r="O310" s="36"/>
      <c r="P310" s="6" t="s">
        <v>314</v>
      </c>
      <c r="Q310" s="35"/>
      <c r="R310" s="35"/>
      <c r="S310" s="35"/>
      <c r="T310" s="35"/>
      <c r="U310" s="21" t="s">
        <v>377</v>
      </c>
      <c r="V310" s="10">
        <v>42367</v>
      </c>
      <c r="W310" s="11">
        <v>11776</v>
      </c>
      <c r="X310" s="6" t="s">
        <v>509</v>
      </c>
      <c r="Y310" s="10">
        <v>42370</v>
      </c>
      <c r="Z310" s="10">
        <v>42582</v>
      </c>
      <c r="AA310" s="23"/>
      <c r="AB310" s="21"/>
      <c r="AC310" s="24"/>
      <c r="AD310" s="24"/>
      <c r="AE310" s="25"/>
      <c r="AF310" s="26">
        <f>1232.52+12219.38+37100.67+19044.99+26484.76+1072.27+3583.32+7920.88+7188.28+3368.64+13431.2+3953.56+752.38+14542.48+25655.32+970.58+13780.27+11372.27+5804.1+6906.65+2522.35+31488.73+15954.86+37889.21</f>
        <v>304239.67000000004</v>
      </c>
      <c r="AG310" s="26">
        <f t="shared" ref="AG310" si="14">8417.65+10107.49+5482.46+5337.85+14161.12</f>
        <v>43506.57</v>
      </c>
      <c r="AH310" s="12">
        <f t="shared" si="13"/>
        <v>347746.24000000005</v>
      </c>
      <c r="AI310" s="21"/>
      <c r="AJ310" s="11"/>
      <c r="AK310" s="21"/>
      <c r="AL310" s="27"/>
      <c r="AM310" s="21"/>
      <c r="AN310" s="21"/>
      <c r="AO310" s="11"/>
      <c r="AP310" s="10"/>
      <c r="AQ310" s="11"/>
      <c r="AR310" s="10"/>
      <c r="AS310" s="69"/>
      <c r="AT310" s="84"/>
      <c r="AU310" s="84"/>
      <c r="AV310" s="84"/>
      <c r="AW310" s="84"/>
      <c r="AX310" s="84"/>
      <c r="AY310" s="27"/>
      <c r="AZ310" s="27"/>
      <c r="BA310" s="27"/>
      <c r="BB310" s="27"/>
      <c r="BC310" s="27"/>
      <c r="BD310" s="27"/>
    </row>
    <row r="311" spans="1:57" s="193" customFormat="1" ht="38.25" customHeight="1" x14ac:dyDescent="0.25">
      <c r="A311" s="272">
        <v>90</v>
      </c>
      <c r="B311" s="262" t="s">
        <v>543</v>
      </c>
      <c r="C311" s="21" t="s">
        <v>393</v>
      </c>
      <c r="D311" s="21" t="s">
        <v>390</v>
      </c>
      <c r="E311" s="21" t="s">
        <v>123</v>
      </c>
      <c r="F311" s="21" t="s">
        <v>210</v>
      </c>
      <c r="G311" s="11">
        <v>11478</v>
      </c>
      <c r="H311" s="21" t="s">
        <v>544</v>
      </c>
      <c r="I311" s="21" t="s">
        <v>458</v>
      </c>
      <c r="J311" s="21" t="s">
        <v>434</v>
      </c>
      <c r="K311" s="10">
        <v>42009</v>
      </c>
      <c r="L311" s="24">
        <v>18762.400000000001</v>
      </c>
      <c r="M311" s="11">
        <v>11496</v>
      </c>
      <c r="N311" s="10">
        <v>42009</v>
      </c>
      <c r="O311" s="10">
        <v>42490</v>
      </c>
      <c r="P311" s="6" t="s">
        <v>314</v>
      </c>
      <c r="Q311" s="21"/>
      <c r="R311" s="21"/>
      <c r="S311" s="21"/>
      <c r="T311" s="21" t="s">
        <v>159</v>
      </c>
      <c r="U311" s="21"/>
      <c r="V311" s="21"/>
      <c r="W311" s="11"/>
      <c r="X311" s="21"/>
      <c r="Y311" s="21"/>
      <c r="Z311" s="21"/>
      <c r="AA311" s="23"/>
      <c r="AB311" s="21"/>
      <c r="AC311" s="24"/>
      <c r="AD311" s="24"/>
      <c r="AE311" s="25">
        <f>L311-AD311+AC311</f>
        <v>18762.400000000001</v>
      </c>
      <c r="AF311" s="107">
        <f>7992.78+2754.58+3752.4+1876.2</f>
        <v>16375.960000000001</v>
      </c>
      <c r="AG311" s="107">
        <v>1876.2</v>
      </c>
      <c r="AH311" s="12">
        <f t="shared" si="13"/>
        <v>18252.16</v>
      </c>
      <c r="AI311" s="21"/>
      <c r="AJ311" s="11"/>
      <c r="AK311" s="21"/>
      <c r="AL311" s="27"/>
      <c r="AM311" s="21"/>
      <c r="AN311" s="21"/>
      <c r="AO311" s="11"/>
      <c r="AP311" s="10"/>
      <c r="AQ311" s="11"/>
      <c r="AR311" s="10"/>
      <c r="AS311" s="69"/>
      <c r="AT311" s="84"/>
      <c r="AU311" s="27"/>
      <c r="AV311" s="27"/>
      <c r="AW311" s="84"/>
      <c r="AX311" s="84"/>
      <c r="AY311" s="27"/>
      <c r="AZ311" s="27"/>
      <c r="BA311" s="27"/>
      <c r="BB311" s="27"/>
      <c r="BC311" s="27"/>
      <c r="BD311" s="27"/>
    </row>
    <row r="312" spans="1:57" s="193" customFormat="1" ht="38.25" customHeight="1" x14ac:dyDescent="0.25">
      <c r="A312" s="272">
        <v>91</v>
      </c>
      <c r="B312" s="262" t="s">
        <v>543</v>
      </c>
      <c r="C312" s="21" t="s">
        <v>393</v>
      </c>
      <c r="D312" s="21" t="s">
        <v>390</v>
      </c>
      <c r="E312" s="21" t="s">
        <v>123</v>
      </c>
      <c r="F312" s="21" t="s">
        <v>210</v>
      </c>
      <c r="G312" s="11">
        <v>11478</v>
      </c>
      <c r="H312" s="21" t="s">
        <v>545</v>
      </c>
      <c r="I312" s="21" t="s">
        <v>457</v>
      </c>
      <c r="J312" s="21" t="s">
        <v>436</v>
      </c>
      <c r="K312" s="10">
        <v>42009</v>
      </c>
      <c r="L312" s="24">
        <v>18800</v>
      </c>
      <c r="M312" s="11">
        <v>11496</v>
      </c>
      <c r="N312" s="10">
        <v>42009</v>
      </c>
      <c r="O312" s="10">
        <v>42490</v>
      </c>
      <c r="P312" s="6" t="s">
        <v>314</v>
      </c>
      <c r="Q312" s="21"/>
      <c r="R312" s="21"/>
      <c r="S312" s="21"/>
      <c r="T312" s="21" t="s">
        <v>615</v>
      </c>
      <c r="U312" s="21"/>
      <c r="V312" s="21"/>
      <c r="W312" s="11"/>
      <c r="X312" s="21"/>
      <c r="Y312" s="21"/>
      <c r="Z312" s="21"/>
      <c r="AA312" s="23"/>
      <c r="AB312" s="21"/>
      <c r="AC312" s="24"/>
      <c r="AD312" s="24"/>
      <c r="AE312" s="25">
        <f>L312-AD312+AC312</f>
        <v>18800</v>
      </c>
      <c r="AF312" s="107">
        <f>8008.8+2754.48+3760+1880</f>
        <v>16403.28</v>
      </c>
      <c r="AG312" s="107">
        <v>1880</v>
      </c>
      <c r="AH312" s="12">
        <f t="shared" si="13"/>
        <v>18283.28</v>
      </c>
      <c r="AI312" s="21"/>
      <c r="AJ312" s="11"/>
      <c r="AK312" s="21"/>
      <c r="AL312" s="27"/>
      <c r="AM312" s="21"/>
      <c r="AN312" s="21"/>
      <c r="AO312" s="11"/>
      <c r="AP312" s="10"/>
      <c r="AQ312" s="11"/>
      <c r="AR312" s="10"/>
      <c r="AS312" s="69"/>
      <c r="AT312" s="84"/>
      <c r="AU312" s="27"/>
      <c r="AV312" s="27"/>
      <c r="AW312" s="84"/>
      <c r="AX312" s="84"/>
      <c r="AY312" s="27"/>
      <c r="AZ312" s="27"/>
      <c r="BA312" s="27"/>
      <c r="BB312" s="27"/>
      <c r="BC312" s="27"/>
      <c r="BD312" s="27"/>
    </row>
    <row r="313" spans="1:57" s="193" customFormat="1" ht="29.25" customHeight="1" x14ac:dyDescent="0.25">
      <c r="A313" s="270">
        <v>92</v>
      </c>
      <c r="B313" s="256" t="s">
        <v>362</v>
      </c>
      <c r="C313" s="16" t="s">
        <v>391</v>
      </c>
      <c r="D313" s="16" t="s">
        <v>390</v>
      </c>
      <c r="E313" s="16" t="s">
        <v>123</v>
      </c>
      <c r="F313" s="16" t="s">
        <v>284</v>
      </c>
      <c r="G313" s="63">
        <v>11266</v>
      </c>
      <c r="H313" s="16" t="s">
        <v>286</v>
      </c>
      <c r="I313" s="16" t="s">
        <v>289</v>
      </c>
      <c r="J313" s="16" t="s">
        <v>363</v>
      </c>
      <c r="K313" s="17">
        <v>41781</v>
      </c>
      <c r="L313" s="18">
        <v>516398.78</v>
      </c>
      <c r="M313" s="62">
        <v>11320</v>
      </c>
      <c r="N313" s="20">
        <v>41781</v>
      </c>
      <c r="O313" s="20">
        <v>41930</v>
      </c>
      <c r="P313" s="15">
        <v>1</v>
      </c>
      <c r="Q313" s="16"/>
      <c r="R313" s="16"/>
      <c r="S313" s="16"/>
      <c r="T313" s="16" t="s">
        <v>208</v>
      </c>
      <c r="U313" s="21"/>
      <c r="V313" s="21"/>
      <c r="W313" s="122"/>
      <c r="X313" s="6"/>
      <c r="Y313" s="21"/>
      <c r="Z313" s="21"/>
      <c r="AA313" s="23"/>
      <c r="AB313" s="21"/>
      <c r="AC313" s="24"/>
      <c r="AD313" s="24"/>
      <c r="AE313" s="60">
        <f>L313</f>
        <v>516398.78</v>
      </c>
      <c r="AF313" s="55">
        <f>152279.86+50000+80000</f>
        <v>282279.86</v>
      </c>
      <c r="AG313" s="107">
        <f>100000+100000</f>
        <v>200000</v>
      </c>
      <c r="AH313" s="12">
        <f t="shared" si="13"/>
        <v>482279.86</v>
      </c>
      <c r="AI313" s="21"/>
      <c r="AJ313" s="11"/>
      <c r="AK313" s="21"/>
      <c r="AL313" s="27"/>
      <c r="AM313" s="21"/>
      <c r="AN313" s="21"/>
      <c r="AO313" s="11"/>
      <c r="AP313" s="10"/>
      <c r="AQ313" s="11"/>
      <c r="AR313" s="10"/>
      <c r="AS313" s="16" t="s">
        <v>447</v>
      </c>
      <c r="AT313" s="15" t="s">
        <v>448</v>
      </c>
      <c r="AU313" s="123">
        <v>41781</v>
      </c>
      <c r="AV313" s="123">
        <v>41931</v>
      </c>
      <c r="AW313" s="124">
        <f>AH313/AE316</f>
        <v>0.63494333759692179</v>
      </c>
      <c r="AX313" s="15" t="s">
        <v>471</v>
      </c>
      <c r="AY313" s="20">
        <v>41781</v>
      </c>
      <c r="AZ313" s="15" t="s">
        <v>400</v>
      </c>
      <c r="BA313" s="15" t="s">
        <v>401</v>
      </c>
      <c r="BB313" s="27"/>
      <c r="BC313" s="27"/>
      <c r="BD313" s="27"/>
    </row>
    <row r="314" spans="1:57" s="193" customFormat="1" ht="29.25" customHeight="1" x14ac:dyDescent="0.25">
      <c r="A314" s="268"/>
      <c r="B314" s="257"/>
      <c r="C314" s="29"/>
      <c r="D314" s="29"/>
      <c r="E314" s="29"/>
      <c r="F314" s="29"/>
      <c r="G314" s="67"/>
      <c r="H314" s="29"/>
      <c r="I314" s="29"/>
      <c r="J314" s="29"/>
      <c r="K314" s="30"/>
      <c r="L314" s="31"/>
      <c r="M314" s="66"/>
      <c r="N314" s="33"/>
      <c r="O314" s="33"/>
      <c r="P314" s="28"/>
      <c r="Q314" s="29"/>
      <c r="R314" s="29"/>
      <c r="S314" s="29"/>
      <c r="T314" s="29"/>
      <c r="U314" s="21" t="s">
        <v>141</v>
      </c>
      <c r="V314" s="10">
        <v>41935</v>
      </c>
      <c r="W314" s="122">
        <v>11470</v>
      </c>
      <c r="X314" s="6" t="s">
        <v>831</v>
      </c>
      <c r="Y314" s="10">
        <v>41960</v>
      </c>
      <c r="Z314" s="10">
        <v>42110</v>
      </c>
      <c r="AA314" s="23"/>
      <c r="AB314" s="21"/>
      <c r="AC314" s="24"/>
      <c r="AD314" s="24"/>
      <c r="AE314" s="60"/>
      <c r="AF314" s="55"/>
      <c r="AG314" s="107"/>
      <c r="AH314" s="12">
        <f t="shared" si="13"/>
        <v>0</v>
      </c>
      <c r="AI314" s="21"/>
      <c r="AJ314" s="11"/>
      <c r="AK314" s="21"/>
      <c r="AL314" s="27"/>
      <c r="AM314" s="21"/>
      <c r="AN314" s="21"/>
      <c r="AO314" s="11"/>
      <c r="AP314" s="10"/>
      <c r="AQ314" s="11"/>
      <c r="AR314" s="10"/>
      <c r="AS314" s="29"/>
      <c r="AT314" s="28"/>
      <c r="AU314" s="123">
        <v>41936</v>
      </c>
      <c r="AV314" s="123">
        <v>42081</v>
      </c>
      <c r="AW314" s="125"/>
      <c r="AX314" s="28"/>
      <c r="AY314" s="33"/>
      <c r="AZ314" s="28"/>
      <c r="BA314" s="28"/>
      <c r="BB314" s="27"/>
      <c r="BC314" s="27"/>
      <c r="BD314" s="27"/>
    </row>
    <row r="315" spans="1:57" s="193" customFormat="1" ht="29.25" customHeight="1" x14ac:dyDescent="0.25">
      <c r="A315" s="268"/>
      <c r="B315" s="257"/>
      <c r="C315" s="29"/>
      <c r="D315" s="29"/>
      <c r="E315" s="29"/>
      <c r="F315" s="29"/>
      <c r="G315" s="67"/>
      <c r="H315" s="29"/>
      <c r="I315" s="29"/>
      <c r="J315" s="29"/>
      <c r="K315" s="30"/>
      <c r="L315" s="31"/>
      <c r="M315" s="66"/>
      <c r="N315" s="33"/>
      <c r="O315" s="33"/>
      <c r="P315" s="28"/>
      <c r="Q315" s="29"/>
      <c r="R315" s="29"/>
      <c r="S315" s="29"/>
      <c r="T315" s="29"/>
      <c r="U315" s="21" t="s">
        <v>124</v>
      </c>
      <c r="V315" s="10">
        <v>42048</v>
      </c>
      <c r="W315" s="122">
        <v>11597</v>
      </c>
      <c r="X315" s="6" t="s">
        <v>831</v>
      </c>
      <c r="Y315" s="10">
        <v>42110</v>
      </c>
      <c r="Z315" s="10">
        <v>42260</v>
      </c>
      <c r="AA315" s="23"/>
      <c r="AB315" s="21"/>
      <c r="AC315" s="24"/>
      <c r="AD315" s="24"/>
      <c r="AE315" s="60"/>
      <c r="AF315" s="55"/>
      <c r="AG315" s="107"/>
      <c r="AH315" s="12">
        <f t="shared" si="13"/>
        <v>0</v>
      </c>
      <c r="AI315" s="21"/>
      <c r="AJ315" s="11"/>
      <c r="AK315" s="21"/>
      <c r="AL315" s="27"/>
      <c r="AM315" s="21"/>
      <c r="AN315" s="21"/>
      <c r="AO315" s="11"/>
      <c r="AP315" s="10"/>
      <c r="AQ315" s="11"/>
      <c r="AR315" s="10"/>
      <c r="AS315" s="29"/>
      <c r="AT315" s="28"/>
      <c r="AU315" s="123">
        <v>42081</v>
      </c>
      <c r="AV315" s="123">
        <v>42231</v>
      </c>
      <c r="AW315" s="125"/>
      <c r="AX315" s="28"/>
      <c r="AY315" s="33"/>
      <c r="AZ315" s="28"/>
      <c r="BA315" s="28"/>
      <c r="BB315" s="27"/>
      <c r="BC315" s="27"/>
      <c r="BD315" s="27"/>
    </row>
    <row r="316" spans="1:57" s="193" customFormat="1" ht="28.5" customHeight="1" x14ac:dyDescent="0.25">
      <c r="A316" s="269"/>
      <c r="B316" s="258"/>
      <c r="C316" s="35"/>
      <c r="D316" s="35"/>
      <c r="E316" s="35"/>
      <c r="F316" s="35"/>
      <c r="G316" s="73"/>
      <c r="H316" s="35"/>
      <c r="I316" s="35"/>
      <c r="J316" s="35"/>
      <c r="K316" s="36"/>
      <c r="L316" s="37"/>
      <c r="M316" s="72"/>
      <c r="N316" s="39"/>
      <c r="O316" s="39"/>
      <c r="P316" s="34"/>
      <c r="Q316" s="35"/>
      <c r="R316" s="35"/>
      <c r="S316" s="35"/>
      <c r="T316" s="35"/>
      <c r="U316" s="21" t="s">
        <v>143</v>
      </c>
      <c r="V316" s="10">
        <v>42156</v>
      </c>
      <c r="W316" s="122">
        <v>11598</v>
      </c>
      <c r="X316" s="6" t="s">
        <v>163</v>
      </c>
      <c r="Y316" s="10">
        <v>42110</v>
      </c>
      <c r="Z316" s="10">
        <v>42260</v>
      </c>
      <c r="AA316" s="23">
        <f>AC316/AE313</f>
        <v>0.47088577552410171</v>
      </c>
      <c r="AB316" s="21"/>
      <c r="AC316" s="24">
        <v>243164.84</v>
      </c>
      <c r="AD316" s="24"/>
      <c r="AE316" s="60">
        <f>AE313-AD316+AC316</f>
        <v>759563.62</v>
      </c>
      <c r="AF316" s="55"/>
      <c r="AG316" s="107"/>
      <c r="AH316" s="12">
        <f t="shared" si="13"/>
        <v>0</v>
      </c>
      <c r="AI316" s="21"/>
      <c r="AJ316" s="11"/>
      <c r="AK316" s="21"/>
      <c r="AL316" s="27"/>
      <c r="AM316" s="21"/>
      <c r="AN316" s="21"/>
      <c r="AO316" s="11"/>
      <c r="AP316" s="10"/>
      <c r="AQ316" s="11"/>
      <c r="AR316" s="10"/>
      <c r="AS316" s="35"/>
      <c r="AT316" s="34"/>
      <c r="AU316" s="123"/>
      <c r="AV316" s="123"/>
      <c r="AW316" s="126"/>
      <c r="AX316" s="34"/>
      <c r="AY316" s="39"/>
      <c r="AZ316" s="34"/>
      <c r="BA316" s="34"/>
      <c r="BB316" s="27"/>
      <c r="BC316" s="27"/>
      <c r="BD316" s="27"/>
    </row>
    <row r="317" spans="1:57" s="193" customFormat="1" ht="24" customHeight="1" x14ac:dyDescent="0.25">
      <c r="A317" s="270">
        <v>93</v>
      </c>
      <c r="B317" s="254" t="s">
        <v>283</v>
      </c>
      <c r="C317" s="16" t="s">
        <v>388</v>
      </c>
      <c r="D317" s="16" t="s">
        <v>390</v>
      </c>
      <c r="E317" s="16" t="s">
        <v>123</v>
      </c>
      <c r="F317" s="16" t="s">
        <v>285</v>
      </c>
      <c r="G317" s="63">
        <v>11327</v>
      </c>
      <c r="H317" s="16" t="s">
        <v>287</v>
      </c>
      <c r="I317" s="16" t="s">
        <v>290</v>
      </c>
      <c r="J317" s="16" t="s">
        <v>424</v>
      </c>
      <c r="K317" s="17">
        <v>41802</v>
      </c>
      <c r="L317" s="49">
        <v>437593.1</v>
      </c>
      <c r="M317" s="62">
        <v>11331</v>
      </c>
      <c r="N317" s="20">
        <v>41802</v>
      </c>
      <c r="O317" s="20">
        <v>41921</v>
      </c>
      <c r="P317" s="84">
        <v>1</v>
      </c>
      <c r="Q317" s="16"/>
      <c r="R317" s="16"/>
      <c r="S317" s="16"/>
      <c r="T317" s="16" t="s">
        <v>208</v>
      </c>
      <c r="U317" s="21"/>
      <c r="V317" s="21"/>
      <c r="W317" s="122"/>
      <c r="X317" s="6"/>
      <c r="Y317" s="21"/>
      <c r="Z317" s="21"/>
      <c r="AA317" s="23"/>
      <c r="AB317" s="21"/>
      <c r="AC317" s="24"/>
      <c r="AD317" s="24"/>
      <c r="AE317" s="82">
        <f>L317-AD317+AC317</f>
        <v>437593.1</v>
      </c>
      <c r="AF317" s="7"/>
      <c r="AG317" s="107">
        <v>65714.100000000006</v>
      </c>
      <c r="AH317" s="12">
        <f t="shared" ref="AH317:AH363" si="15">AF317+AG317</f>
        <v>65714.100000000006</v>
      </c>
      <c r="AI317" s="21"/>
      <c r="AJ317" s="11"/>
      <c r="AK317" s="21"/>
      <c r="AL317" s="27"/>
      <c r="AM317" s="21"/>
      <c r="AN317" s="21"/>
      <c r="AO317" s="11"/>
      <c r="AP317" s="10"/>
      <c r="AQ317" s="11"/>
      <c r="AR317" s="10"/>
      <c r="AS317" s="16" t="s">
        <v>447</v>
      </c>
      <c r="AT317" s="15" t="s">
        <v>448</v>
      </c>
      <c r="AU317" s="123">
        <v>41802</v>
      </c>
      <c r="AV317" s="123">
        <v>41892</v>
      </c>
      <c r="AW317" s="124">
        <f>(AH317+AH318)/AE317</f>
        <v>0.96511965110967235</v>
      </c>
      <c r="AX317" s="27" t="s">
        <v>471</v>
      </c>
      <c r="AY317" s="123">
        <v>41802</v>
      </c>
      <c r="AZ317" s="27" t="s">
        <v>400</v>
      </c>
      <c r="BA317" s="27" t="s">
        <v>401</v>
      </c>
      <c r="BB317" s="27"/>
      <c r="BC317" s="27"/>
      <c r="BD317" s="27"/>
      <c r="BE317" s="215"/>
    </row>
    <row r="318" spans="1:57" s="193" customFormat="1" ht="25.5" customHeight="1" x14ac:dyDescent="0.25">
      <c r="A318" s="268"/>
      <c r="B318" s="252"/>
      <c r="C318" s="29"/>
      <c r="D318" s="29"/>
      <c r="E318" s="29"/>
      <c r="F318" s="29"/>
      <c r="G318" s="67"/>
      <c r="H318" s="29"/>
      <c r="I318" s="29"/>
      <c r="J318" s="29"/>
      <c r="K318" s="30"/>
      <c r="L318" s="58"/>
      <c r="M318" s="66"/>
      <c r="N318" s="33"/>
      <c r="O318" s="33"/>
      <c r="P318" s="43">
        <v>8</v>
      </c>
      <c r="Q318" s="29"/>
      <c r="R318" s="29"/>
      <c r="S318" s="29"/>
      <c r="T318" s="29"/>
      <c r="U318" s="6" t="s">
        <v>145</v>
      </c>
      <c r="V318" s="10">
        <v>41802</v>
      </c>
      <c r="W318" s="122">
        <v>11397</v>
      </c>
      <c r="X318" s="6" t="s">
        <v>539</v>
      </c>
      <c r="Y318" s="10">
        <v>41921</v>
      </c>
      <c r="Z318" s="10">
        <v>42041</v>
      </c>
      <c r="AA318" s="23"/>
      <c r="AB318" s="21"/>
      <c r="AC318" s="24"/>
      <c r="AD318" s="24"/>
      <c r="AE318" s="119"/>
      <c r="AF318" s="7">
        <v>356615.6</v>
      </c>
      <c r="AG318" s="12"/>
      <c r="AH318" s="12">
        <f t="shared" si="15"/>
        <v>356615.6</v>
      </c>
      <c r="AI318" s="21"/>
      <c r="AJ318" s="11"/>
      <c r="AK318" s="21"/>
      <c r="AL318" s="27"/>
      <c r="AM318" s="21"/>
      <c r="AN318" s="21"/>
      <c r="AO318" s="11"/>
      <c r="AP318" s="10"/>
      <c r="AQ318" s="11"/>
      <c r="AR318" s="10"/>
      <c r="AS318" s="29"/>
      <c r="AT318" s="28"/>
      <c r="AU318" s="123">
        <v>41893</v>
      </c>
      <c r="AV318" s="123">
        <v>41985</v>
      </c>
      <c r="AW318" s="125"/>
      <c r="AX318" s="27"/>
      <c r="AY318" s="123"/>
      <c r="AZ318" s="27"/>
      <c r="BA318" s="27"/>
      <c r="BB318" s="27"/>
      <c r="BC318" s="27"/>
      <c r="BD318" s="27"/>
      <c r="BE318" s="215"/>
    </row>
    <row r="319" spans="1:57" s="193" customFormat="1" ht="24" customHeight="1" x14ac:dyDescent="0.25">
      <c r="A319" s="269"/>
      <c r="B319" s="253"/>
      <c r="C319" s="35"/>
      <c r="D319" s="35"/>
      <c r="E319" s="35"/>
      <c r="F319" s="35"/>
      <c r="G319" s="73"/>
      <c r="H319" s="35"/>
      <c r="I319" s="35"/>
      <c r="J319" s="35"/>
      <c r="K319" s="36"/>
      <c r="L319" s="50"/>
      <c r="M319" s="72"/>
      <c r="N319" s="39"/>
      <c r="O319" s="39"/>
      <c r="P319" s="43"/>
      <c r="Q319" s="35"/>
      <c r="R319" s="35"/>
      <c r="S319" s="35"/>
      <c r="T319" s="35"/>
      <c r="U319" s="6" t="s">
        <v>142</v>
      </c>
      <c r="V319" s="10">
        <v>42040</v>
      </c>
      <c r="W319" s="122" t="s">
        <v>599</v>
      </c>
      <c r="X319" s="6" t="s">
        <v>600</v>
      </c>
      <c r="Y319" s="10">
        <v>42041</v>
      </c>
      <c r="Z319" s="10">
        <v>42161</v>
      </c>
      <c r="AA319" s="23"/>
      <c r="AB319" s="21"/>
      <c r="AC319" s="24"/>
      <c r="AD319" s="24"/>
      <c r="AE319" s="92"/>
      <c r="AF319" s="127"/>
      <c r="AG319" s="14"/>
      <c r="AH319" s="12">
        <f t="shared" si="15"/>
        <v>0</v>
      </c>
      <c r="AI319" s="21"/>
      <c r="AJ319" s="11"/>
      <c r="AK319" s="21"/>
      <c r="AL319" s="27"/>
      <c r="AM319" s="21"/>
      <c r="AN319" s="21"/>
      <c r="AO319" s="11"/>
      <c r="AP319" s="10"/>
      <c r="AQ319" s="11"/>
      <c r="AR319" s="10"/>
      <c r="AS319" s="35"/>
      <c r="AT319" s="34"/>
      <c r="AU319" s="123">
        <v>41985</v>
      </c>
      <c r="AV319" s="123">
        <v>42075</v>
      </c>
      <c r="AW319" s="126"/>
      <c r="AX319" s="27"/>
      <c r="AY319" s="123"/>
      <c r="AZ319" s="27"/>
      <c r="BA319" s="27"/>
      <c r="BB319" s="27"/>
      <c r="BC319" s="27"/>
      <c r="BD319" s="27"/>
      <c r="BE319" s="215"/>
    </row>
    <row r="320" spans="1:57" s="193" customFormat="1" ht="34.5" customHeight="1" x14ac:dyDescent="0.25">
      <c r="A320" s="270">
        <v>94</v>
      </c>
      <c r="B320" s="254" t="s">
        <v>789</v>
      </c>
      <c r="C320" s="16" t="s">
        <v>618</v>
      </c>
      <c r="D320" s="16" t="s">
        <v>136</v>
      </c>
      <c r="E320" s="16" t="s">
        <v>123</v>
      </c>
      <c r="F320" s="16" t="s">
        <v>360</v>
      </c>
      <c r="G320" s="63">
        <v>11694</v>
      </c>
      <c r="H320" s="16" t="s">
        <v>788</v>
      </c>
      <c r="I320" s="16" t="s">
        <v>402</v>
      </c>
      <c r="J320" s="16" t="s">
        <v>361</v>
      </c>
      <c r="K320" s="17">
        <v>42381</v>
      </c>
      <c r="L320" s="18">
        <v>182523.42</v>
      </c>
      <c r="M320" s="62">
        <v>11771</v>
      </c>
      <c r="N320" s="20">
        <v>42381</v>
      </c>
      <c r="O320" s="20">
        <v>42471</v>
      </c>
      <c r="P320" s="15">
        <v>1</v>
      </c>
      <c r="Q320" s="128"/>
      <c r="R320" s="128"/>
      <c r="S320" s="128"/>
      <c r="T320" s="15" t="s">
        <v>208</v>
      </c>
      <c r="U320" s="6"/>
      <c r="V320" s="10"/>
      <c r="W320" s="122"/>
      <c r="X320" s="6"/>
      <c r="Y320" s="10"/>
      <c r="Z320" s="10"/>
      <c r="AA320" s="23"/>
      <c r="AB320" s="21"/>
      <c r="AC320" s="24"/>
      <c r="AD320" s="24"/>
      <c r="AE320" s="25">
        <f>L320</f>
        <v>182523.42</v>
      </c>
      <c r="AF320" s="9"/>
      <c r="AG320" s="107">
        <f>61263.7+56077.17</f>
        <v>117340.87</v>
      </c>
      <c r="AH320" s="12">
        <f t="shared" si="15"/>
        <v>117340.87</v>
      </c>
      <c r="AI320" s="21"/>
      <c r="AJ320" s="11"/>
      <c r="AK320" s="21"/>
      <c r="AL320" s="27"/>
      <c r="AM320" s="21"/>
      <c r="AN320" s="21"/>
      <c r="AO320" s="11"/>
      <c r="AP320" s="10"/>
      <c r="AQ320" s="11"/>
      <c r="AR320" s="10"/>
      <c r="AS320" s="21"/>
      <c r="AT320" s="27"/>
      <c r="AU320" s="123">
        <v>42381</v>
      </c>
      <c r="AV320" s="123">
        <v>42441</v>
      </c>
      <c r="AW320" s="124">
        <f>AH320/AE320</f>
        <v>0.6428811710847846</v>
      </c>
      <c r="AX320" s="27"/>
      <c r="AY320" s="123">
        <v>42381</v>
      </c>
      <c r="AZ320" s="27" t="s">
        <v>400</v>
      </c>
      <c r="BA320" s="27" t="s">
        <v>401</v>
      </c>
      <c r="BB320" s="27"/>
      <c r="BC320" s="27"/>
      <c r="BD320" s="27"/>
      <c r="BE320" s="215"/>
    </row>
    <row r="321" spans="1:57" s="193" customFormat="1" ht="24" customHeight="1" x14ac:dyDescent="0.25">
      <c r="A321" s="268"/>
      <c r="B321" s="252"/>
      <c r="C321" s="29"/>
      <c r="D321" s="29"/>
      <c r="E321" s="29"/>
      <c r="F321" s="29"/>
      <c r="G321" s="67"/>
      <c r="H321" s="29"/>
      <c r="I321" s="29"/>
      <c r="J321" s="29"/>
      <c r="K321" s="30"/>
      <c r="L321" s="31"/>
      <c r="M321" s="66"/>
      <c r="N321" s="33"/>
      <c r="O321" s="33"/>
      <c r="P321" s="28"/>
      <c r="Q321" s="128"/>
      <c r="R321" s="128"/>
      <c r="S321" s="128"/>
      <c r="T321" s="28"/>
      <c r="U321" s="6" t="s">
        <v>145</v>
      </c>
      <c r="V321" s="10">
        <v>42433</v>
      </c>
      <c r="W321" s="122">
        <v>11768</v>
      </c>
      <c r="X321" s="6" t="s">
        <v>830</v>
      </c>
      <c r="Y321" s="10">
        <v>42471</v>
      </c>
      <c r="Z321" s="10">
        <v>42560</v>
      </c>
      <c r="AA321" s="23"/>
      <c r="AB321" s="21"/>
      <c r="AC321" s="24"/>
      <c r="AD321" s="24"/>
      <c r="AE321" s="25"/>
      <c r="AF321" s="9"/>
      <c r="AG321" s="107"/>
      <c r="AH321" s="12">
        <f t="shared" si="15"/>
        <v>0</v>
      </c>
      <c r="AI321" s="21"/>
      <c r="AJ321" s="11"/>
      <c r="AK321" s="21"/>
      <c r="AL321" s="27"/>
      <c r="AM321" s="21"/>
      <c r="AN321" s="21"/>
      <c r="AO321" s="11"/>
      <c r="AP321" s="10"/>
      <c r="AQ321" s="11"/>
      <c r="AR321" s="10"/>
      <c r="AS321" s="21"/>
      <c r="AT321" s="27"/>
      <c r="AU321" s="123">
        <v>42442</v>
      </c>
      <c r="AV321" s="123">
        <v>42500</v>
      </c>
      <c r="AW321" s="125"/>
      <c r="AX321" s="27"/>
      <c r="AY321" s="123"/>
      <c r="AZ321" s="27"/>
      <c r="BA321" s="27"/>
      <c r="BB321" s="27"/>
      <c r="BC321" s="27"/>
      <c r="BD321" s="27"/>
      <c r="BE321" s="215"/>
    </row>
    <row r="322" spans="1:57" s="193" customFormat="1" ht="33" customHeight="1" x14ac:dyDescent="0.25">
      <c r="A322" s="269"/>
      <c r="B322" s="253"/>
      <c r="C322" s="35"/>
      <c r="D322" s="35"/>
      <c r="E322" s="35"/>
      <c r="F322" s="35"/>
      <c r="G322" s="73"/>
      <c r="H322" s="35"/>
      <c r="I322" s="35"/>
      <c r="J322" s="35"/>
      <c r="K322" s="36"/>
      <c r="L322" s="37"/>
      <c r="M322" s="72"/>
      <c r="N322" s="39"/>
      <c r="O322" s="39"/>
      <c r="P322" s="34"/>
      <c r="Q322" s="128"/>
      <c r="R322" s="128"/>
      <c r="S322" s="128"/>
      <c r="T322" s="34"/>
      <c r="U322" s="6"/>
      <c r="V322" s="10"/>
      <c r="W322" s="122"/>
      <c r="X322" s="6"/>
      <c r="Y322" s="10"/>
      <c r="Z322" s="10"/>
      <c r="AA322" s="23"/>
      <c r="AB322" s="21"/>
      <c r="AC322" s="24"/>
      <c r="AD322" s="24"/>
      <c r="AE322" s="25"/>
      <c r="AF322" s="9"/>
      <c r="AG322" s="107"/>
      <c r="AH322" s="12">
        <f t="shared" si="15"/>
        <v>0</v>
      </c>
      <c r="AI322" s="21"/>
      <c r="AJ322" s="11"/>
      <c r="AK322" s="21"/>
      <c r="AL322" s="27"/>
      <c r="AM322" s="21"/>
      <c r="AN322" s="21"/>
      <c r="AO322" s="11"/>
      <c r="AP322" s="10"/>
      <c r="AQ322" s="11"/>
      <c r="AR322" s="10"/>
      <c r="AS322" s="21"/>
      <c r="AT322" s="27"/>
      <c r="AU322" s="123"/>
      <c r="AV322" s="123"/>
      <c r="AW322" s="126"/>
      <c r="AX322" s="27"/>
      <c r="AY322" s="123"/>
      <c r="AZ322" s="27"/>
      <c r="BA322" s="27"/>
      <c r="BB322" s="27"/>
      <c r="BC322" s="27"/>
      <c r="BD322" s="27"/>
      <c r="BE322" s="215"/>
    </row>
    <row r="323" spans="1:57" s="193" customFormat="1" ht="33" customHeight="1" x14ac:dyDescent="0.25">
      <c r="A323" s="270">
        <v>95</v>
      </c>
      <c r="B323" s="256" t="s">
        <v>856</v>
      </c>
      <c r="C323" s="16" t="s">
        <v>620</v>
      </c>
      <c r="D323" s="16" t="s">
        <v>136</v>
      </c>
      <c r="E323" s="16" t="s">
        <v>123</v>
      </c>
      <c r="F323" s="16" t="s">
        <v>857</v>
      </c>
      <c r="G323" s="63">
        <v>11732</v>
      </c>
      <c r="H323" s="109" t="s">
        <v>858</v>
      </c>
      <c r="I323" s="16" t="s">
        <v>366</v>
      </c>
      <c r="J323" s="16" t="s">
        <v>367</v>
      </c>
      <c r="K323" s="17">
        <v>42395</v>
      </c>
      <c r="L323" s="105">
        <v>86014.69</v>
      </c>
      <c r="M323" s="63">
        <v>11731</v>
      </c>
      <c r="N323" s="17">
        <v>42395</v>
      </c>
      <c r="O323" s="17">
        <v>42485</v>
      </c>
      <c r="P323" s="6"/>
      <c r="Q323" s="16"/>
      <c r="R323" s="16"/>
      <c r="S323" s="16"/>
      <c r="T323" s="16" t="s">
        <v>859</v>
      </c>
      <c r="U323" s="6"/>
      <c r="V323" s="10"/>
      <c r="W323" s="122"/>
      <c r="X323" s="6"/>
      <c r="Y323" s="10"/>
      <c r="Z323" s="10"/>
      <c r="AA323" s="23"/>
      <c r="AB323" s="21"/>
      <c r="AC323" s="24"/>
      <c r="AD323" s="24"/>
      <c r="AE323" s="25">
        <f>L323</f>
        <v>86014.69</v>
      </c>
      <c r="AF323" s="9"/>
      <c r="AG323" s="107">
        <v>74437.11</v>
      </c>
      <c r="AH323" s="12">
        <f t="shared" si="15"/>
        <v>74437.11</v>
      </c>
      <c r="AI323" s="21"/>
      <c r="AJ323" s="11"/>
      <c r="AK323" s="21"/>
      <c r="AL323" s="27"/>
      <c r="AM323" s="21"/>
      <c r="AN323" s="21"/>
      <c r="AO323" s="11"/>
      <c r="AP323" s="10"/>
      <c r="AQ323" s="11"/>
      <c r="AR323" s="10"/>
      <c r="AS323" s="21"/>
      <c r="AT323" s="27"/>
      <c r="AU323" s="123">
        <v>42395</v>
      </c>
      <c r="AV323" s="123">
        <v>42454</v>
      </c>
      <c r="AW323" s="129">
        <f>AH323/AE323</f>
        <v>0.86539996830773902</v>
      </c>
      <c r="AX323" s="27"/>
      <c r="AY323" s="123">
        <v>42398</v>
      </c>
      <c r="AZ323" s="27" t="s">
        <v>400</v>
      </c>
      <c r="BA323" s="27" t="s">
        <v>401</v>
      </c>
      <c r="BB323" s="27"/>
      <c r="BC323" s="27"/>
      <c r="BD323" s="27"/>
      <c r="BE323" s="215"/>
    </row>
    <row r="324" spans="1:57" s="193" customFormat="1" ht="33" customHeight="1" x14ac:dyDescent="0.25">
      <c r="A324" s="269"/>
      <c r="B324" s="258"/>
      <c r="C324" s="35"/>
      <c r="D324" s="35"/>
      <c r="E324" s="35"/>
      <c r="F324" s="35"/>
      <c r="G324" s="73"/>
      <c r="H324" s="110"/>
      <c r="I324" s="35"/>
      <c r="J324" s="35"/>
      <c r="K324" s="36"/>
      <c r="L324" s="108"/>
      <c r="M324" s="73"/>
      <c r="N324" s="36"/>
      <c r="O324" s="36"/>
      <c r="P324" s="6" t="s">
        <v>314</v>
      </c>
      <c r="Q324" s="35"/>
      <c r="R324" s="35"/>
      <c r="S324" s="35"/>
      <c r="T324" s="35"/>
      <c r="U324" s="6"/>
      <c r="V324" s="10"/>
      <c r="W324" s="122"/>
      <c r="X324" s="6"/>
      <c r="Y324" s="10"/>
      <c r="Z324" s="10"/>
      <c r="AA324" s="23"/>
      <c r="AB324" s="21"/>
      <c r="AC324" s="24"/>
      <c r="AD324" s="24"/>
      <c r="AE324" s="25"/>
      <c r="AF324" s="9"/>
      <c r="AG324" s="107"/>
      <c r="AH324" s="12">
        <f t="shared" si="15"/>
        <v>0</v>
      </c>
      <c r="AI324" s="21"/>
      <c r="AJ324" s="11"/>
      <c r="AK324" s="21"/>
      <c r="AL324" s="27"/>
      <c r="AM324" s="21"/>
      <c r="AN324" s="21"/>
      <c r="AO324" s="11"/>
      <c r="AP324" s="10"/>
      <c r="AQ324" s="11"/>
      <c r="AR324" s="10"/>
      <c r="AS324" s="21"/>
      <c r="AT324" s="27"/>
      <c r="AU324" s="123"/>
      <c r="AV324" s="123"/>
      <c r="AW324" s="129"/>
      <c r="AX324" s="27"/>
      <c r="AY324" s="123"/>
      <c r="AZ324" s="27"/>
      <c r="BA324" s="27"/>
      <c r="BB324" s="27"/>
      <c r="BC324" s="27"/>
      <c r="BD324" s="27"/>
      <c r="BE324" s="215"/>
    </row>
    <row r="325" spans="1:57" s="193" customFormat="1" ht="66" customHeight="1" x14ac:dyDescent="0.25">
      <c r="A325" s="271">
        <v>96</v>
      </c>
      <c r="B325" s="259" t="s">
        <v>121</v>
      </c>
      <c r="C325" s="44" t="s">
        <v>169</v>
      </c>
      <c r="D325" s="44" t="s">
        <v>318</v>
      </c>
      <c r="E325" s="44" t="s">
        <v>123</v>
      </c>
      <c r="F325" s="44" t="s">
        <v>302</v>
      </c>
      <c r="G325" s="118">
        <v>10986</v>
      </c>
      <c r="H325" s="116" t="s">
        <v>387</v>
      </c>
      <c r="I325" s="44" t="s">
        <v>451</v>
      </c>
      <c r="J325" s="44" t="s">
        <v>352</v>
      </c>
      <c r="K325" s="45">
        <v>41435</v>
      </c>
      <c r="L325" s="130">
        <v>1827431.92</v>
      </c>
      <c r="M325" s="118">
        <v>11076</v>
      </c>
      <c r="N325" s="45">
        <v>41435</v>
      </c>
      <c r="O325" s="45">
        <v>41645</v>
      </c>
      <c r="P325" s="106" t="s">
        <v>157</v>
      </c>
      <c r="Q325" s="44"/>
      <c r="R325" s="44"/>
      <c r="S325" s="44"/>
      <c r="T325" s="44" t="s">
        <v>208</v>
      </c>
      <c r="U325" s="21"/>
      <c r="V325" s="21"/>
      <c r="W325" s="122"/>
      <c r="X325" s="6"/>
      <c r="Y325" s="21"/>
      <c r="Z325" s="21"/>
      <c r="AA325" s="23"/>
      <c r="AB325" s="21"/>
      <c r="AC325" s="24"/>
      <c r="AD325" s="24"/>
      <c r="AE325" s="25"/>
      <c r="AF325" s="25">
        <f>120970.11+18928.11+95111.96</f>
        <v>235010.18</v>
      </c>
      <c r="AG325" s="107">
        <v>0</v>
      </c>
      <c r="AH325" s="12">
        <f t="shared" si="15"/>
        <v>235010.18</v>
      </c>
      <c r="AI325" s="21"/>
      <c r="AJ325" s="11"/>
      <c r="AK325" s="21"/>
      <c r="AL325" s="27"/>
      <c r="AM325" s="21"/>
      <c r="AN325" s="21"/>
      <c r="AO325" s="11"/>
      <c r="AP325" s="10"/>
      <c r="AQ325" s="11"/>
      <c r="AR325" s="45"/>
      <c r="AS325" s="44" t="s">
        <v>449</v>
      </c>
      <c r="AT325" s="43" t="s">
        <v>448</v>
      </c>
      <c r="AU325" s="131">
        <v>41435</v>
      </c>
      <c r="AV325" s="131">
        <v>41585</v>
      </c>
      <c r="AW325" s="124">
        <f>(AH325+AH329+AH330+AH337)/AE334</f>
        <v>0.84593953795201038</v>
      </c>
      <c r="AX325" s="43" t="s">
        <v>471</v>
      </c>
      <c r="AY325" s="48">
        <v>41435</v>
      </c>
      <c r="AZ325" s="43" t="s">
        <v>400</v>
      </c>
      <c r="BA325" s="43" t="s">
        <v>401</v>
      </c>
      <c r="BB325" s="43"/>
      <c r="BC325" s="43"/>
      <c r="BD325" s="43"/>
    </row>
    <row r="326" spans="1:57" s="193" customFormat="1" ht="31.5" customHeight="1" x14ac:dyDescent="0.25">
      <c r="A326" s="271"/>
      <c r="B326" s="259"/>
      <c r="C326" s="44"/>
      <c r="D326" s="44"/>
      <c r="E326" s="44"/>
      <c r="F326" s="44"/>
      <c r="G326" s="118"/>
      <c r="H326" s="116"/>
      <c r="I326" s="44"/>
      <c r="J326" s="44"/>
      <c r="K326" s="45"/>
      <c r="L326" s="130"/>
      <c r="M326" s="118"/>
      <c r="N326" s="45"/>
      <c r="O326" s="45"/>
      <c r="P326" s="132"/>
      <c r="Q326" s="44"/>
      <c r="R326" s="44"/>
      <c r="S326" s="44"/>
      <c r="T326" s="44"/>
      <c r="U326" s="6" t="s">
        <v>145</v>
      </c>
      <c r="V326" s="10">
        <v>41582</v>
      </c>
      <c r="W326" s="11">
        <v>11180</v>
      </c>
      <c r="X326" s="6" t="s">
        <v>498</v>
      </c>
      <c r="Y326" s="10">
        <v>41645</v>
      </c>
      <c r="Z326" s="10">
        <v>41857</v>
      </c>
      <c r="AA326" s="23"/>
      <c r="AB326" s="21"/>
      <c r="AC326" s="24"/>
      <c r="AD326" s="24"/>
      <c r="AE326" s="25"/>
      <c r="AF326" s="25"/>
      <c r="AG326" s="107">
        <v>0</v>
      </c>
      <c r="AH326" s="12">
        <f t="shared" si="15"/>
        <v>0</v>
      </c>
      <c r="AI326" s="21"/>
      <c r="AJ326" s="11"/>
      <c r="AK326" s="21"/>
      <c r="AL326" s="27"/>
      <c r="AM326" s="21"/>
      <c r="AN326" s="21"/>
      <c r="AO326" s="11"/>
      <c r="AP326" s="10"/>
      <c r="AQ326" s="11"/>
      <c r="AR326" s="45"/>
      <c r="AS326" s="44"/>
      <c r="AT326" s="43"/>
      <c r="AU326" s="131">
        <v>41951</v>
      </c>
      <c r="AV326" s="131">
        <v>41736</v>
      </c>
      <c r="AW326" s="125"/>
      <c r="AX326" s="43"/>
      <c r="AY326" s="43"/>
      <c r="AZ326" s="43"/>
      <c r="BA326" s="43"/>
      <c r="BB326" s="43"/>
      <c r="BC326" s="43"/>
      <c r="BD326" s="43"/>
    </row>
    <row r="327" spans="1:57" s="193" customFormat="1" ht="31.5" customHeight="1" x14ac:dyDescent="0.25">
      <c r="A327" s="271"/>
      <c r="B327" s="259"/>
      <c r="C327" s="44"/>
      <c r="D327" s="44"/>
      <c r="E327" s="44"/>
      <c r="F327" s="44"/>
      <c r="G327" s="118"/>
      <c r="H327" s="116"/>
      <c r="I327" s="44"/>
      <c r="J327" s="44"/>
      <c r="K327" s="45"/>
      <c r="L327" s="130"/>
      <c r="M327" s="118"/>
      <c r="N327" s="45"/>
      <c r="O327" s="45"/>
      <c r="P327" s="132"/>
      <c r="Q327" s="44"/>
      <c r="R327" s="44"/>
      <c r="S327" s="44"/>
      <c r="T327" s="44"/>
      <c r="U327" s="6" t="s">
        <v>425</v>
      </c>
      <c r="V327" s="10">
        <v>41599</v>
      </c>
      <c r="W327" s="11">
        <v>11367</v>
      </c>
      <c r="X327" s="6" t="s">
        <v>501</v>
      </c>
      <c r="Y327" s="10"/>
      <c r="Z327" s="133"/>
      <c r="AA327" s="23"/>
      <c r="AB327" s="21"/>
      <c r="AC327" s="24"/>
      <c r="AD327" s="24"/>
      <c r="AE327" s="25"/>
      <c r="AF327" s="25"/>
      <c r="AG327" s="107">
        <v>0</v>
      </c>
      <c r="AH327" s="12">
        <f t="shared" si="15"/>
        <v>0</v>
      </c>
      <c r="AI327" s="21"/>
      <c r="AJ327" s="11"/>
      <c r="AK327" s="21"/>
      <c r="AL327" s="27"/>
      <c r="AM327" s="21"/>
      <c r="AN327" s="21"/>
      <c r="AO327" s="11"/>
      <c r="AP327" s="10"/>
      <c r="AQ327" s="11"/>
      <c r="AR327" s="45"/>
      <c r="AS327" s="44"/>
      <c r="AT327" s="43"/>
      <c r="AU327" s="134"/>
      <c r="AV327" s="134"/>
      <c r="AW327" s="125"/>
      <c r="AX327" s="43"/>
      <c r="AY327" s="43"/>
      <c r="AZ327" s="43"/>
      <c r="BA327" s="43"/>
      <c r="BB327" s="43"/>
      <c r="BC327" s="43"/>
      <c r="BD327" s="43"/>
    </row>
    <row r="328" spans="1:57" s="193" customFormat="1" ht="31.5" customHeight="1" x14ac:dyDescent="0.25">
      <c r="A328" s="271"/>
      <c r="B328" s="259"/>
      <c r="C328" s="44"/>
      <c r="D328" s="44"/>
      <c r="E328" s="44"/>
      <c r="F328" s="44"/>
      <c r="G328" s="118"/>
      <c r="H328" s="116"/>
      <c r="I328" s="44"/>
      <c r="J328" s="44"/>
      <c r="K328" s="45"/>
      <c r="L328" s="130"/>
      <c r="M328" s="118"/>
      <c r="N328" s="45"/>
      <c r="O328" s="45"/>
      <c r="P328" s="132"/>
      <c r="Q328" s="44"/>
      <c r="R328" s="44"/>
      <c r="S328" s="44"/>
      <c r="T328" s="44"/>
      <c r="U328" s="6" t="s">
        <v>426</v>
      </c>
      <c r="V328" s="10">
        <v>41625</v>
      </c>
      <c r="W328" s="11">
        <v>11367</v>
      </c>
      <c r="X328" s="6" t="s">
        <v>501</v>
      </c>
      <c r="Y328" s="10"/>
      <c r="Z328" s="10"/>
      <c r="AA328" s="23"/>
      <c r="AB328" s="21"/>
      <c r="AC328" s="24"/>
      <c r="AD328" s="24"/>
      <c r="AE328" s="25"/>
      <c r="AF328" s="25"/>
      <c r="AG328" s="107">
        <v>0</v>
      </c>
      <c r="AH328" s="12">
        <f t="shared" si="15"/>
        <v>0</v>
      </c>
      <c r="AI328" s="21"/>
      <c r="AJ328" s="11"/>
      <c r="AK328" s="21"/>
      <c r="AL328" s="27"/>
      <c r="AM328" s="21"/>
      <c r="AN328" s="21"/>
      <c r="AO328" s="11"/>
      <c r="AP328" s="10"/>
      <c r="AQ328" s="11"/>
      <c r="AR328" s="45"/>
      <c r="AS328" s="44"/>
      <c r="AT328" s="43"/>
      <c r="AU328" s="134"/>
      <c r="AV328" s="134"/>
      <c r="AW328" s="125"/>
      <c r="AX328" s="43"/>
      <c r="AY328" s="43"/>
      <c r="AZ328" s="43"/>
      <c r="BA328" s="43"/>
      <c r="BB328" s="43"/>
      <c r="BC328" s="43"/>
      <c r="BD328" s="43"/>
    </row>
    <row r="329" spans="1:57" s="193" customFormat="1" ht="31.5" customHeight="1" x14ac:dyDescent="0.25">
      <c r="A329" s="271"/>
      <c r="B329" s="259"/>
      <c r="C329" s="44"/>
      <c r="D329" s="44"/>
      <c r="E329" s="44"/>
      <c r="F329" s="44"/>
      <c r="G329" s="118"/>
      <c r="H329" s="116"/>
      <c r="I329" s="44"/>
      <c r="J329" s="44"/>
      <c r="K329" s="45"/>
      <c r="L329" s="130"/>
      <c r="M329" s="118"/>
      <c r="N329" s="45"/>
      <c r="O329" s="45"/>
      <c r="P329" s="6" t="s">
        <v>525</v>
      </c>
      <c r="Q329" s="44"/>
      <c r="R329" s="44"/>
      <c r="S329" s="44"/>
      <c r="T329" s="44"/>
      <c r="U329" s="6" t="s">
        <v>142</v>
      </c>
      <c r="V329" s="10">
        <v>41682</v>
      </c>
      <c r="W329" s="11">
        <v>11253</v>
      </c>
      <c r="X329" s="6" t="s">
        <v>407</v>
      </c>
      <c r="Y329" s="10">
        <v>41645</v>
      </c>
      <c r="Z329" s="10">
        <v>41857</v>
      </c>
      <c r="AA329" s="23">
        <f>AC329/L325</f>
        <v>2.0340484147830799E-2</v>
      </c>
      <c r="AB329" s="21"/>
      <c r="AC329" s="24">
        <v>37170.85</v>
      </c>
      <c r="AD329" s="24"/>
      <c r="AE329" s="25">
        <f>L325-AD329+AC329</f>
        <v>1864602.77</v>
      </c>
      <c r="AF329" s="135">
        <f>65008.07+185555.92+67027.54+49401.46+17017.48+52021</f>
        <v>436031.47000000003</v>
      </c>
      <c r="AG329" s="107">
        <f>128842.12+31616.63</f>
        <v>160458.75</v>
      </c>
      <c r="AH329" s="12">
        <f t="shared" si="15"/>
        <v>596490.22</v>
      </c>
      <c r="AI329" s="21"/>
      <c r="AJ329" s="11"/>
      <c r="AK329" s="21"/>
      <c r="AL329" s="27"/>
      <c r="AM329" s="21"/>
      <c r="AN329" s="21"/>
      <c r="AO329" s="11"/>
      <c r="AP329" s="10"/>
      <c r="AQ329" s="11"/>
      <c r="AR329" s="45"/>
      <c r="AS329" s="44"/>
      <c r="AT329" s="43"/>
      <c r="AU329" s="134"/>
      <c r="AV329" s="134"/>
      <c r="AW329" s="125"/>
      <c r="AX329" s="43"/>
      <c r="AY329" s="43"/>
      <c r="AZ329" s="43"/>
      <c r="BA329" s="43"/>
      <c r="BB329" s="43"/>
      <c r="BC329" s="43"/>
      <c r="BD329" s="43"/>
    </row>
    <row r="330" spans="1:57" s="193" customFormat="1" ht="31.5" customHeight="1" x14ac:dyDescent="0.25">
      <c r="A330" s="271"/>
      <c r="B330" s="259"/>
      <c r="C330" s="44"/>
      <c r="D330" s="44"/>
      <c r="E330" s="44"/>
      <c r="F330" s="44"/>
      <c r="G330" s="118"/>
      <c r="H330" s="116"/>
      <c r="I330" s="44"/>
      <c r="J330" s="44"/>
      <c r="K330" s="45"/>
      <c r="L330" s="130"/>
      <c r="M330" s="118"/>
      <c r="N330" s="45"/>
      <c r="O330" s="45"/>
      <c r="P330" s="6" t="s">
        <v>158</v>
      </c>
      <c r="Q330" s="44"/>
      <c r="R330" s="44"/>
      <c r="S330" s="44"/>
      <c r="T330" s="44"/>
      <c r="U330" s="6" t="s">
        <v>502</v>
      </c>
      <c r="V330" s="123"/>
      <c r="W330" s="122"/>
      <c r="X330" s="6"/>
      <c r="Y330" s="123"/>
      <c r="Z330" s="123"/>
      <c r="AA330" s="23"/>
      <c r="AB330" s="21"/>
      <c r="AC330" s="24"/>
      <c r="AD330" s="24"/>
      <c r="AE330" s="25"/>
      <c r="AF330" s="25">
        <f>35681.45+70248.11+365953.18</f>
        <v>471882.74</v>
      </c>
      <c r="AG330" s="107">
        <v>0</v>
      </c>
      <c r="AH330" s="12">
        <f t="shared" si="15"/>
        <v>471882.74</v>
      </c>
      <c r="AI330" s="21"/>
      <c r="AJ330" s="11"/>
      <c r="AK330" s="21"/>
      <c r="AL330" s="27"/>
      <c r="AM330" s="21"/>
      <c r="AN330" s="21"/>
      <c r="AO330" s="11"/>
      <c r="AP330" s="10"/>
      <c r="AQ330" s="11"/>
      <c r="AR330" s="45"/>
      <c r="AS330" s="44"/>
      <c r="AT330" s="43"/>
      <c r="AU330" s="131">
        <v>42037</v>
      </c>
      <c r="AV330" s="131">
        <v>42217</v>
      </c>
      <c r="AW330" s="125"/>
      <c r="AX330" s="43"/>
      <c r="AY330" s="43"/>
      <c r="AZ330" s="43"/>
      <c r="BA330" s="43"/>
      <c r="BB330" s="43"/>
      <c r="BC330" s="43"/>
      <c r="BD330" s="43"/>
    </row>
    <row r="331" spans="1:57" s="193" customFormat="1" ht="31.5" customHeight="1" x14ac:dyDescent="0.25">
      <c r="A331" s="271"/>
      <c r="B331" s="259"/>
      <c r="C331" s="44"/>
      <c r="D331" s="44"/>
      <c r="E331" s="44"/>
      <c r="F331" s="44"/>
      <c r="G331" s="118"/>
      <c r="H331" s="116"/>
      <c r="I331" s="44"/>
      <c r="J331" s="44"/>
      <c r="K331" s="45"/>
      <c r="L331" s="130"/>
      <c r="M331" s="118"/>
      <c r="N331" s="45"/>
      <c r="O331" s="45"/>
      <c r="P331" s="6"/>
      <c r="Q331" s="44"/>
      <c r="R331" s="44"/>
      <c r="S331" s="44"/>
      <c r="T331" s="44"/>
      <c r="U331" s="6" t="s">
        <v>309</v>
      </c>
      <c r="V331" s="10">
        <v>41842</v>
      </c>
      <c r="W331" s="11">
        <v>11364</v>
      </c>
      <c r="X331" s="6" t="s">
        <v>407</v>
      </c>
      <c r="Y331" s="10">
        <v>41645</v>
      </c>
      <c r="Z331" s="10">
        <v>41857</v>
      </c>
      <c r="AA331" s="23">
        <f>AC331/L325</f>
        <v>0.1538141240304044</v>
      </c>
      <c r="AB331" s="21"/>
      <c r="AC331" s="24">
        <v>281084.84000000003</v>
      </c>
      <c r="AD331" s="24"/>
      <c r="AE331" s="25">
        <f>AE329-AD331+AC331</f>
        <v>2145687.61</v>
      </c>
      <c r="AF331" s="25"/>
      <c r="AG331" s="107">
        <v>0</v>
      </c>
      <c r="AH331" s="12">
        <f t="shared" si="15"/>
        <v>0</v>
      </c>
      <c r="AI331" s="21"/>
      <c r="AJ331" s="11"/>
      <c r="AK331" s="21"/>
      <c r="AL331" s="27"/>
      <c r="AM331" s="21"/>
      <c r="AN331" s="21"/>
      <c r="AO331" s="11"/>
      <c r="AP331" s="10"/>
      <c r="AQ331" s="11"/>
      <c r="AR331" s="45"/>
      <c r="AS331" s="44"/>
      <c r="AT331" s="43"/>
      <c r="AU331" s="131"/>
      <c r="AV331" s="131"/>
      <c r="AW331" s="125"/>
      <c r="AX331" s="43"/>
      <c r="AY331" s="43"/>
      <c r="AZ331" s="43"/>
      <c r="BA331" s="43"/>
      <c r="BB331" s="43"/>
      <c r="BC331" s="43"/>
      <c r="BD331" s="43"/>
    </row>
    <row r="332" spans="1:57" s="193" customFormat="1" ht="31.5" customHeight="1" x14ac:dyDescent="0.25">
      <c r="A332" s="271"/>
      <c r="B332" s="259"/>
      <c r="C332" s="44"/>
      <c r="D332" s="44"/>
      <c r="E332" s="44"/>
      <c r="F332" s="44"/>
      <c r="G332" s="118"/>
      <c r="H332" s="116"/>
      <c r="I332" s="44"/>
      <c r="J332" s="44"/>
      <c r="K332" s="45"/>
      <c r="L332" s="130"/>
      <c r="M332" s="118"/>
      <c r="N332" s="45"/>
      <c r="O332" s="45"/>
      <c r="P332" s="6"/>
      <c r="Q332" s="44"/>
      <c r="R332" s="44"/>
      <c r="S332" s="44"/>
      <c r="T332" s="44"/>
      <c r="U332" s="6" t="s">
        <v>784</v>
      </c>
      <c r="V332" s="123">
        <v>42041</v>
      </c>
      <c r="W332" s="122">
        <v>11495</v>
      </c>
      <c r="X332" s="6" t="s">
        <v>498</v>
      </c>
      <c r="Y332" s="123">
        <v>42109</v>
      </c>
      <c r="Z332" s="123">
        <v>42289</v>
      </c>
      <c r="AA332" s="23"/>
      <c r="AB332" s="21"/>
      <c r="AC332" s="24"/>
      <c r="AD332" s="24"/>
      <c r="AE332" s="25"/>
      <c r="AF332" s="25"/>
      <c r="AG332" s="107"/>
      <c r="AH332" s="12">
        <f t="shared" si="15"/>
        <v>0</v>
      </c>
      <c r="AI332" s="21"/>
      <c r="AJ332" s="11"/>
      <c r="AK332" s="21"/>
      <c r="AL332" s="27"/>
      <c r="AM332" s="21"/>
      <c r="AN332" s="21"/>
      <c r="AO332" s="11"/>
      <c r="AP332" s="10"/>
      <c r="AQ332" s="11"/>
      <c r="AR332" s="45"/>
      <c r="AS332" s="44"/>
      <c r="AT332" s="43"/>
      <c r="AU332" s="131">
        <v>42007</v>
      </c>
      <c r="AV332" s="131">
        <v>42217</v>
      </c>
      <c r="AW332" s="125"/>
      <c r="AX332" s="43"/>
      <c r="AY332" s="43"/>
      <c r="AZ332" s="43"/>
      <c r="BA332" s="43"/>
      <c r="BB332" s="43"/>
      <c r="BC332" s="43"/>
      <c r="BD332" s="43"/>
    </row>
    <row r="333" spans="1:57" s="193" customFormat="1" ht="31.5" customHeight="1" x14ac:dyDescent="0.25">
      <c r="A333" s="271"/>
      <c r="B333" s="259"/>
      <c r="C333" s="44"/>
      <c r="D333" s="44"/>
      <c r="E333" s="44"/>
      <c r="F333" s="44"/>
      <c r="G333" s="118"/>
      <c r="H333" s="116"/>
      <c r="I333" s="44"/>
      <c r="J333" s="44"/>
      <c r="K333" s="45"/>
      <c r="L333" s="130"/>
      <c r="M333" s="118"/>
      <c r="N333" s="45"/>
      <c r="O333" s="45"/>
      <c r="P333" s="6"/>
      <c r="Q333" s="44"/>
      <c r="R333" s="44"/>
      <c r="S333" s="44"/>
      <c r="T333" s="44"/>
      <c r="U333" s="6" t="s">
        <v>365</v>
      </c>
      <c r="V333" s="10">
        <v>42061</v>
      </c>
      <c r="W333" s="11">
        <v>11519</v>
      </c>
      <c r="X333" s="6" t="s">
        <v>538</v>
      </c>
      <c r="Y333" s="123">
        <v>42109</v>
      </c>
      <c r="Z333" s="123">
        <v>42289</v>
      </c>
      <c r="AA333" s="23"/>
      <c r="AB333" s="21"/>
      <c r="AC333" s="24"/>
      <c r="AD333" s="24"/>
      <c r="AE333" s="25"/>
      <c r="AF333" s="25"/>
      <c r="AG333" s="107">
        <v>0</v>
      </c>
      <c r="AH333" s="12">
        <f t="shared" si="15"/>
        <v>0</v>
      </c>
      <c r="AI333" s="21"/>
      <c r="AJ333" s="11"/>
      <c r="AK333" s="21"/>
      <c r="AL333" s="27"/>
      <c r="AM333" s="21"/>
      <c r="AN333" s="21"/>
      <c r="AO333" s="11"/>
      <c r="AP333" s="10"/>
      <c r="AQ333" s="11"/>
      <c r="AR333" s="45"/>
      <c r="AS333" s="44"/>
      <c r="AT333" s="43"/>
      <c r="AU333" s="131"/>
      <c r="AV333" s="131"/>
      <c r="AW333" s="125"/>
      <c r="AX333" s="43"/>
      <c r="AY333" s="43"/>
      <c r="AZ333" s="43"/>
      <c r="BA333" s="43"/>
      <c r="BB333" s="43"/>
      <c r="BC333" s="43"/>
      <c r="BD333" s="43"/>
    </row>
    <row r="334" spans="1:57" s="193" customFormat="1" ht="31.5" customHeight="1" x14ac:dyDescent="0.25">
      <c r="A334" s="271"/>
      <c r="B334" s="259"/>
      <c r="C334" s="44"/>
      <c r="D334" s="44"/>
      <c r="E334" s="44"/>
      <c r="F334" s="44"/>
      <c r="G334" s="118"/>
      <c r="H334" s="116"/>
      <c r="I334" s="44"/>
      <c r="J334" s="44"/>
      <c r="K334" s="45"/>
      <c r="L334" s="130"/>
      <c r="M334" s="118"/>
      <c r="N334" s="45"/>
      <c r="O334" s="45"/>
      <c r="P334" s="6"/>
      <c r="Q334" s="44"/>
      <c r="R334" s="44"/>
      <c r="S334" s="44"/>
      <c r="T334" s="44"/>
      <c r="U334" s="6" t="s">
        <v>676</v>
      </c>
      <c r="V334" s="10">
        <v>42065</v>
      </c>
      <c r="W334" s="11">
        <v>11560</v>
      </c>
      <c r="X334" s="6" t="s">
        <v>601</v>
      </c>
      <c r="Y334" s="123">
        <v>42109</v>
      </c>
      <c r="Z334" s="123">
        <v>42289</v>
      </c>
      <c r="AA334" s="23">
        <f>AC334/L325</f>
        <v>0.10153918620399277</v>
      </c>
      <c r="AB334" s="21"/>
      <c r="AC334" s="24">
        <v>185555.95</v>
      </c>
      <c r="AD334" s="24"/>
      <c r="AE334" s="25">
        <f>AE331-AD334+AC334</f>
        <v>2331243.56</v>
      </c>
      <c r="AF334" s="25"/>
      <c r="AG334" s="107">
        <v>0</v>
      </c>
      <c r="AH334" s="12">
        <f t="shared" si="15"/>
        <v>0</v>
      </c>
      <c r="AI334" s="21"/>
      <c r="AJ334" s="11"/>
      <c r="AK334" s="21"/>
      <c r="AL334" s="27"/>
      <c r="AM334" s="21"/>
      <c r="AN334" s="21"/>
      <c r="AO334" s="11"/>
      <c r="AP334" s="10"/>
      <c r="AQ334" s="11"/>
      <c r="AR334" s="45"/>
      <c r="AS334" s="44"/>
      <c r="AT334" s="43"/>
      <c r="AU334" s="131"/>
      <c r="AV334" s="131"/>
      <c r="AW334" s="125"/>
      <c r="AX334" s="43"/>
      <c r="AY334" s="43"/>
      <c r="AZ334" s="43"/>
      <c r="BA334" s="43"/>
      <c r="BB334" s="43"/>
      <c r="BC334" s="43"/>
      <c r="BD334" s="43"/>
    </row>
    <row r="335" spans="1:57" s="193" customFormat="1" ht="31.5" customHeight="1" x14ac:dyDescent="0.25">
      <c r="A335" s="271"/>
      <c r="B335" s="259"/>
      <c r="C335" s="44"/>
      <c r="D335" s="44"/>
      <c r="E335" s="44"/>
      <c r="F335" s="44"/>
      <c r="G335" s="118"/>
      <c r="H335" s="116"/>
      <c r="I335" s="44"/>
      <c r="J335" s="44"/>
      <c r="K335" s="45"/>
      <c r="L335" s="130"/>
      <c r="M335" s="118"/>
      <c r="N335" s="45"/>
      <c r="O335" s="45"/>
      <c r="P335" s="6"/>
      <c r="Q335" s="44"/>
      <c r="R335" s="44"/>
      <c r="S335" s="44"/>
      <c r="T335" s="44"/>
      <c r="U335" s="6" t="s">
        <v>677</v>
      </c>
      <c r="V335" s="10">
        <v>42214</v>
      </c>
      <c r="W335" s="11">
        <v>11614</v>
      </c>
      <c r="X335" s="6" t="s">
        <v>498</v>
      </c>
      <c r="Y335" s="123">
        <v>42289</v>
      </c>
      <c r="Z335" s="123">
        <v>42499</v>
      </c>
      <c r="AA335" s="23"/>
      <c r="AB335" s="21"/>
      <c r="AC335" s="24"/>
      <c r="AD335" s="24"/>
      <c r="AE335" s="25"/>
      <c r="AF335" s="25"/>
      <c r="AG335" s="107">
        <v>0</v>
      </c>
      <c r="AH335" s="12">
        <f t="shared" si="15"/>
        <v>0</v>
      </c>
      <c r="AI335" s="21"/>
      <c r="AJ335" s="11"/>
      <c r="AK335" s="21"/>
      <c r="AL335" s="27"/>
      <c r="AM335" s="21"/>
      <c r="AN335" s="21"/>
      <c r="AO335" s="11"/>
      <c r="AP335" s="10"/>
      <c r="AQ335" s="11"/>
      <c r="AR335" s="45"/>
      <c r="AS335" s="44"/>
      <c r="AT335" s="43"/>
      <c r="AU335" s="131">
        <v>42217</v>
      </c>
      <c r="AV335" s="131">
        <v>42427</v>
      </c>
      <c r="AW335" s="125"/>
      <c r="AX335" s="43"/>
      <c r="AY335" s="43"/>
      <c r="AZ335" s="43"/>
      <c r="BA335" s="43"/>
      <c r="BB335" s="43"/>
      <c r="BC335" s="43"/>
      <c r="BD335" s="43"/>
    </row>
    <row r="336" spans="1:57" s="193" customFormat="1" ht="31.5" customHeight="1" x14ac:dyDescent="0.25">
      <c r="A336" s="271"/>
      <c r="B336" s="259"/>
      <c r="C336" s="44"/>
      <c r="D336" s="44"/>
      <c r="E336" s="44"/>
      <c r="F336" s="44"/>
      <c r="G336" s="118"/>
      <c r="H336" s="116"/>
      <c r="I336" s="44"/>
      <c r="J336" s="44"/>
      <c r="K336" s="45"/>
      <c r="L336" s="130"/>
      <c r="M336" s="118"/>
      <c r="N336" s="45"/>
      <c r="O336" s="45"/>
      <c r="P336" s="6"/>
      <c r="Q336" s="44"/>
      <c r="R336" s="44"/>
      <c r="S336" s="44"/>
      <c r="T336" s="44"/>
      <c r="U336" s="6" t="s">
        <v>710</v>
      </c>
      <c r="V336" s="10">
        <v>42313</v>
      </c>
      <c r="W336" s="11">
        <v>11677</v>
      </c>
      <c r="X336" s="6" t="s">
        <v>601</v>
      </c>
      <c r="Y336" s="123">
        <v>42289</v>
      </c>
      <c r="Z336" s="123">
        <v>42499</v>
      </c>
      <c r="AA336" s="23">
        <f>AC336/AE334</f>
        <v>6.5554334442858464E-2</v>
      </c>
      <c r="AB336" s="21"/>
      <c r="AC336" s="24">
        <v>152823.12</v>
      </c>
      <c r="AD336" s="24"/>
      <c r="AE336" s="25">
        <f>AE334-AD336+AC336</f>
        <v>2484066.6800000002</v>
      </c>
      <c r="AF336" s="25"/>
      <c r="AG336" s="107">
        <v>0</v>
      </c>
      <c r="AH336" s="12">
        <f t="shared" si="15"/>
        <v>0</v>
      </c>
      <c r="AI336" s="21"/>
      <c r="AJ336" s="11"/>
      <c r="AK336" s="21"/>
      <c r="AL336" s="27"/>
      <c r="AM336" s="21"/>
      <c r="AN336" s="21"/>
      <c r="AO336" s="11"/>
      <c r="AP336" s="10"/>
      <c r="AQ336" s="11"/>
      <c r="AR336" s="45"/>
      <c r="AS336" s="44"/>
      <c r="AT336" s="43"/>
      <c r="AU336" s="131"/>
      <c r="AV336" s="131"/>
      <c r="AW336" s="125"/>
      <c r="AX336" s="43"/>
      <c r="AY336" s="43"/>
      <c r="AZ336" s="43"/>
      <c r="BA336" s="43"/>
      <c r="BB336" s="43"/>
      <c r="BC336" s="43"/>
      <c r="BD336" s="43"/>
    </row>
    <row r="337" spans="1:56" s="193" customFormat="1" ht="39.75" customHeight="1" x14ac:dyDescent="0.25">
      <c r="A337" s="271"/>
      <c r="B337" s="259"/>
      <c r="C337" s="44"/>
      <c r="D337" s="44"/>
      <c r="E337" s="44"/>
      <c r="F337" s="44"/>
      <c r="G337" s="118"/>
      <c r="H337" s="116"/>
      <c r="I337" s="44"/>
      <c r="J337" s="44"/>
      <c r="K337" s="44"/>
      <c r="L337" s="130"/>
      <c r="M337" s="118"/>
      <c r="N337" s="45"/>
      <c r="O337" s="45"/>
      <c r="P337" s="6" t="s">
        <v>314</v>
      </c>
      <c r="Q337" s="44"/>
      <c r="R337" s="44"/>
      <c r="S337" s="44"/>
      <c r="T337" s="44"/>
      <c r="U337" s="6"/>
      <c r="V337" s="10"/>
      <c r="W337" s="11"/>
      <c r="X337" s="6"/>
      <c r="Y337" s="123"/>
      <c r="Z337" s="123"/>
      <c r="AA337" s="23"/>
      <c r="AB337" s="21"/>
      <c r="AC337" s="24"/>
      <c r="AD337" s="24"/>
      <c r="AE337" s="25"/>
      <c r="AF337" s="107">
        <f>159147.12+41432.16+270445.24</f>
        <v>471024.52</v>
      </c>
      <c r="AG337" s="107">
        <f>120725.67+76957.77</f>
        <v>197683.44</v>
      </c>
      <c r="AH337" s="12">
        <f t="shared" si="15"/>
        <v>668707.96</v>
      </c>
      <c r="AI337" s="21"/>
      <c r="AJ337" s="11"/>
      <c r="AK337" s="21"/>
      <c r="AL337" s="27"/>
      <c r="AM337" s="21"/>
      <c r="AN337" s="21"/>
      <c r="AO337" s="11"/>
      <c r="AP337" s="10"/>
      <c r="AQ337" s="11"/>
      <c r="AR337" s="45"/>
      <c r="AS337" s="44"/>
      <c r="AT337" s="43"/>
      <c r="AU337" s="131"/>
      <c r="AV337" s="131"/>
      <c r="AW337" s="126"/>
      <c r="AX337" s="43"/>
      <c r="AY337" s="43"/>
      <c r="AZ337" s="43"/>
      <c r="BA337" s="43"/>
      <c r="BB337" s="43"/>
      <c r="BC337" s="43"/>
      <c r="BD337" s="43"/>
    </row>
    <row r="338" spans="1:56" s="193" customFormat="1" ht="33.75" customHeight="1" x14ac:dyDescent="0.25">
      <c r="A338" s="270">
        <v>97</v>
      </c>
      <c r="B338" s="254" t="s">
        <v>437</v>
      </c>
      <c r="C338" s="16" t="s">
        <v>129</v>
      </c>
      <c r="D338" s="16" t="s">
        <v>318</v>
      </c>
      <c r="E338" s="16" t="s">
        <v>123</v>
      </c>
      <c r="F338" s="16" t="s">
        <v>303</v>
      </c>
      <c r="G338" s="63">
        <v>11085</v>
      </c>
      <c r="H338" s="109" t="s">
        <v>386</v>
      </c>
      <c r="I338" s="16" t="s">
        <v>451</v>
      </c>
      <c r="J338" s="16" t="s">
        <v>352</v>
      </c>
      <c r="K338" s="17">
        <v>41445</v>
      </c>
      <c r="L338" s="105">
        <v>1789294.26</v>
      </c>
      <c r="M338" s="63">
        <v>11076</v>
      </c>
      <c r="N338" s="17">
        <v>41445</v>
      </c>
      <c r="O338" s="17">
        <v>41655</v>
      </c>
      <c r="P338" s="6" t="s">
        <v>157</v>
      </c>
      <c r="Q338" s="16"/>
      <c r="R338" s="16"/>
      <c r="S338" s="16"/>
      <c r="T338" s="16" t="s">
        <v>208</v>
      </c>
      <c r="U338" s="21"/>
      <c r="V338" s="21"/>
      <c r="W338" s="122"/>
      <c r="X338" s="6"/>
      <c r="Y338" s="21"/>
      <c r="Z338" s="21"/>
      <c r="AA338" s="23"/>
      <c r="AB338" s="21"/>
      <c r="AC338" s="24"/>
      <c r="AD338" s="24"/>
      <c r="AE338" s="25">
        <f>L338</f>
        <v>1789294.26</v>
      </c>
      <c r="AF338" s="25">
        <f>122521.74+89251.97+85000</f>
        <v>296773.71000000002</v>
      </c>
      <c r="AG338" s="107">
        <v>0</v>
      </c>
      <c r="AH338" s="12">
        <f t="shared" si="15"/>
        <v>296773.71000000002</v>
      </c>
      <c r="AI338" s="21"/>
      <c r="AJ338" s="11"/>
      <c r="AK338" s="21"/>
      <c r="AL338" s="27"/>
      <c r="AM338" s="21"/>
      <c r="AN338" s="21"/>
      <c r="AO338" s="11"/>
      <c r="AP338" s="10"/>
      <c r="AQ338" s="11"/>
      <c r="AR338" s="10"/>
      <c r="AS338" s="16" t="s">
        <v>449</v>
      </c>
      <c r="AT338" s="15" t="s">
        <v>448</v>
      </c>
      <c r="AU338" s="131">
        <v>41445</v>
      </c>
      <c r="AV338" s="131">
        <v>41595</v>
      </c>
      <c r="AW338" s="124" t="e">
        <f>(AH338+AH339+AH340+AH341)/AE350</f>
        <v>#DIV/0!</v>
      </c>
      <c r="AX338" s="43" t="s">
        <v>471</v>
      </c>
      <c r="AY338" s="48">
        <v>41537</v>
      </c>
      <c r="AZ338" s="43" t="s">
        <v>400</v>
      </c>
      <c r="BA338" s="43" t="s">
        <v>401</v>
      </c>
      <c r="BB338" s="43"/>
      <c r="BC338" s="43"/>
      <c r="BD338" s="43"/>
    </row>
    <row r="339" spans="1:56" s="193" customFormat="1" ht="22.5" customHeight="1" x14ac:dyDescent="0.25">
      <c r="A339" s="268"/>
      <c r="B339" s="252"/>
      <c r="C339" s="29"/>
      <c r="D339" s="29"/>
      <c r="E339" s="29"/>
      <c r="F339" s="29"/>
      <c r="G339" s="67"/>
      <c r="H339" s="112"/>
      <c r="I339" s="29"/>
      <c r="J339" s="29"/>
      <c r="K339" s="30"/>
      <c r="L339" s="101"/>
      <c r="M339" s="67"/>
      <c r="N339" s="30"/>
      <c r="O339" s="30"/>
      <c r="P339" s="6" t="s">
        <v>158</v>
      </c>
      <c r="Q339" s="29"/>
      <c r="R339" s="29"/>
      <c r="S339" s="29"/>
      <c r="T339" s="29"/>
      <c r="U339" s="6" t="s">
        <v>141</v>
      </c>
      <c r="V339" s="10">
        <v>41584</v>
      </c>
      <c r="W339" s="11">
        <v>11180</v>
      </c>
      <c r="X339" s="6" t="s">
        <v>503</v>
      </c>
      <c r="Y339" s="10">
        <v>41656</v>
      </c>
      <c r="Z339" s="10">
        <v>41806</v>
      </c>
      <c r="AA339" s="23"/>
      <c r="AB339" s="21"/>
      <c r="AC339" s="24"/>
      <c r="AD339" s="24"/>
      <c r="AE339" s="25"/>
      <c r="AF339" s="25">
        <f>201547.5</f>
        <v>201547.5</v>
      </c>
      <c r="AG339" s="107">
        <v>0</v>
      </c>
      <c r="AH339" s="12">
        <f t="shared" si="15"/>
        <v>201547.5</v>
      </c>
      <c r="AI339" s="21"/>
      <c r="AJ339" s="11"/>
      <c r="AK339" s="21"/>
      <c r="AL339" s="27"/>
      <c r="AM339" s="21"/>
      <c r="AN339" s="21"/>
      <c r="AO339" s="11"/>
      <c r="AP339" s="10"/>
      <c r="AQ339" s="11"/>
      <c r="AR339" s="10"/>
      <c r="AS339" s="29"/>
      <c r="AT339" s="28"/>
      <c r="AU339" s="131">
        <v>41596</v>
      </c>
      <c r="AV339" s="131">
        <v>41746</v>
      </c>
      <c r="AW339" s="125"/>
      <c r="AX339" s="43"/>
      <c r="AY339" s="43"/>
      <c r="AZ339" s="43"/>
      <c r="BA339" s="43"/>
      <c r="BB339" s="43"/>
      <c r="BC339" s="43"/>
      <c r="BD339" s="43"/>
    </row>
    <row r="340" spans="1:56" s="193" customFormat="1" ht="22.5" customHeight="1" x14ac:dyDescent="0.25">
      <c r="A340" s="268"/>
      <c r="B340" s="252"/>
      <c r="C340" s="29"/>
      <c r="D340" s="29"/>
      <c r="E340" s="29"/>
      <c r="F340" s="29"/>
      <c r="G340" s="67"/>
      <c r="H340" s="112"/>
      <c r="I340" s="29"/>
      <c r="J340" s="29"/>
      <c r="K340" s="30"/>
      <c r="L340" s="101"/>
      <c r="M340" s="67"/>
      <c r="N340" s="30"/>
      <c r="O340" s="30"/>
      <c r="P340" s="6" t="s">
        <v>525</v>
      </c>
      <c r="Q340" s="29"/>
      <c r="R340" s="29"/>
      <c r="S340" s="29"/>
      <c r="T340" s="29"/>
      <c r="U340" s="6" t="s">
        <v>428</v>
      </c>
      <c r="V340" s="10">
        <v>41599</v>
      </c>
      <c r="W340" s="11">
        <v>11367</v>
      </c>
      <c r="X340" s="6" t="s">
        <v>501</v>
      </c>
      <c r="Y340" s="10">
        <v>41656</v>
      </c>
      <c r="Z340" s="10">
        <v>41806</v>
      </c>
      <c r="AA340" s="23"/>
      <c r="AB340" s="21"/>
      <c r="AC340" s="24"/>
      <c r="AD340" s="24"/>
      <c r="AE340" s="25"/>
      <c r="AF340" s="25">
        <f>233933.43+400082.33+51770.06+23431.31</f>
        <v>709217.13000000012</v>
      </c>
      <c r="AG340" s="107">
        <v>0</v>
      </c>
      <c r="AH340" s="12">
        <f t="shared" si="15"/>
        <v>709217.13000000012</v>
      </c>
      <c r="AI340" s="21"/>
      <c r="AJ340" s="11"/>
      <c r="AK340" s="21"/>
      <c r="AL340" s="27"/>
      <c r="AM340" s="21"/>
      <c r="AN340" s="21"/>
      <c r="AO340" s="11"/>
      <c r="AP340" s="10"/>
      <c r="AQ340" s="11"/>
      <c r="AR340" s="10"/>
      <c r="AS340" s="29"/>
      <c r="AT340" s="28"/>
      <c r="AU340" s="134"/>
      <c r="AV340" s="134"/>
      <c r="AW340" s="125"/>
      <c r="AX340" s="43"/>
      <c r="AY340" s="43"/>
      <c r="AZ340" s="43"/>
      <c r="BA340" s="43"/>
      <c r="BB340" s="43"/>
      <c r="BC340" s="43"/>
      <c r="BD340" s="43"/>
    </row>
    <row r="341" spans="1:56" s="193" customFormat="1" ht="22.5" customHeight="1" x14ac:dyDescent="0.25">
      <c r="A341" s="268"/>
      <c r="B341" s="252"/>
      <c r="C341" s="29"/>
      <c r="D341" s="29"/>
      <c r="E341" s="29"/>
      <c r="F341" s="29"/>
      <c r="G341" s="67"/>
      <c r="H341" s="112"/>
      <c r="I341" s="29"/>
      <c r="J341" s="29"/>
      <c r="K341" s="30"/>
      <c r="L341" s="101"/>
      <c r="M341" s="67"/>
      <c r="N341" s="30"/>
      <c r="O341" s="30"/>
      <c r="P341" s="109" t="s">
        <v>314</v>
      </c>
      <c r="Q341" s="29"/>
      <c r="R341" s="29"/>
      <c r="S341" s="29"/>
      <c r="T341" s="29"/>
      <c r="U341" s="6" t="s">
        <v>406</v>
      </c>
      <c r="V341" s="10">
        <v>41625</v>
      </c>
      <c r="W341" s="11">
        <v>11367</v>
      </c>
      <c r="X341" s="6" t="s">
        <v>501</v>
      </c>
      <c r="Y341" s="10">
        <v>41656</v>
      </c>
      <c r="Z341" s="10">
        <v>41806</v>
      </c>
      <c r="AA341" s="23"/>
      <c r="AB341" s="21"/>
      <c r="AC341" s="24"/>
      <c r="AD341" s="24"/>
      <c r="AE341" s="25"/>
      <c r="AF341" s="7">
        <f>170232.43+128231.74+67913.23+80694.6+175290.65+433507.49</f>
        <v>1055870.1400000001</v>
      </c>
      <c r="AG341" s="107">
        <v>19388.419999999998</v>
      </c>
      <c r="AH341" s="12">
        <f t="shared" si="15"/>
        <v>1075258.56</v>
      </c>
      <c r="AI341" s="21"/>
      <c r="AJ341" s="11"/>
      <c r="AK341" s="21"/>
      <c r="AL341" s="27"/>
      <c r="AM341" s="21"/>
      <c r="AN341" s="21"/>
      <c r="AO341" s="11"/>
      <c r="AP341" s="10"/>
      <c r="AQ341" s="11"/>
      <c r="AR341" s="10"/>
      <c r="AS341" s="29"/>
      <c r="AT341" s="28"/>
      <c r="AU341" s="134"/>
      <c r="AV341" s="134"/>
      <c r="AW341" s="125"/>
      <c r="AX341" s="43"/>
      <c r="AY341" s="43"/>
      <c r="AZ341" s="43"/>
      <c r="BA341" s="43"/>
      <c r="BB341" s="43"/>
      <c r="BC341" s="43"/>
      <c r="BD341" s="43"/>
    </row>
    <row r="342" spans="1:56" s="193" customFormat="1" ht="22.5" customHeight="1" x14ac:dyDescent="0.25">
      <c r="A342" s="268"/>
      <c r="B342" s="252"/>
      <c r="C342" s="29"/>
      <c r="D342" s="29"/>
      <c r="E342" s="29"/>
      <c r="F342" s="29"/>
      <c r="G342" s="67"/>
      <c r="H342" s="112"/>
      <c r="I342" s="29"/>
      <c r="J342" s="29"/>
      <c r="K342" s="30"/>
      <c r="L342" s="101"/>
      <c r="M342" s="67"/>
      <c r="N342" s="30"/>
      <c r="O342" s="30"/>
      <c r="P342" s="112"/>
      <c r="Q342" s="29"/>
      <c r="R342" s="29"/>
      <c r="S342" s="29"/>
      <c r="T342" s="29"/>
      <c r="U342" s="6" t="s">
        <v>124</v>
      </c>
      <c r="V342" s="10">
        <v>41739</v>
      </c>
      <c r="W342" s="11">
        <v>11356</v>
      </c>
      <c r="X342" s="6" t="s">
        <v>540</v>
      </c>
      <c r="Y342" s="10">
        <v>41806</v>
      </c>
      <c r="Z342" s="10">
        <v>42016</v>
      </c>
      <c r="AA342" s="23"/>
      <c r="AB342" s="21"/>
      <c r="AC342" s="24"/>
      <c r="AD342" s="24"/>
      <c r="AE342" s="25"/>
      <c r="AF342" s="135"/>
      <c r="AG342" s="107">
        <v>0</v>
      </c>
      <c r="AH342" s="12">
        <f t="shared" si="15"/>
        <v>0</v>
      </c>
      <c r="AI342" s="21"/>
      <c r="AJ342" s="11"/>
      <c r="AK342" s="21"/>
      <c r="AL342" s="27"/>
      <c r="AM342" s="21"/>
      <c r="AN342" s="21"/>
      <c r="AO342" s="11"/>
      <c r="AP342" s="10"/>
      <c r="AQ342" s="11"/>
      <c r="AR342" s="10"/>
      <c r="AS342" s="29"/>
      <c r="AT342" s="28"/>
      <c r="AU342" s="134"/>
      <c r="AV342" s="134"/>
      <c r="AW342" s="125"/>
      <c r="AX342" s="43"/>
      <c r="AY342" s="43"/>
      <c r="AZ342" s="43"/>
      <c r="BA342" s="43"/>
      <c r="BB342" s="43"/>
      <c r="BC342" s="43"/>
      <c r="BD342" s="43"/>
    </row>
    <row r="343" spans="1:56" s="193" customFormat="1" ht="22.5" customHeight="1" x14ac:dyDescent="0.25">
      <c r="A343" s="268"/>
      <c r="B343" s="252"/>
      <c r="C343" s="29"/>
      <c r="D343" s="29"/>
      <c r="E343" s="29"/>
      <c r="F343" s="29"/>
      <c r="G343" s="67"/>
      <c r="H343" s="112"/>
      <c r="I343" s="29"/>
      <c r="J343" s="29"/>
      <c r="K343" s="30"/>
      <c r="L343" s="101"/>
      <c r="M343" s="67"/>
      <c r="N343" s="30"/>
      <c r="O343" s="30"/>
      <c r="P343" s="112"/>
      <c r="Q343" s="29"/>
      <c r="R343" s="29"/>
      <c r="S343" s="29"/>
      <c r="T343" s="29"/>
      <c r="U343" s="6" t="s">
        <v>441</v>
      </c>
      <c r="V343" s="10">
        <v>41843</v>
      </c>
      <c r="W343" s="11">
        <v>11364</v>
      </c>
      <c r="X343" s="6" t="s">
        <v>442</v>
      </c>
      <c r="Y343" s="10">
        <v>41806</v>
      </c>
      <c r="Z343" s="10">
        <v>42016</v>
      </c>
      <c r="AA343" s="23">
        <f>AC343/L338</f>
        <v>0.1617999992913407</v>
      </c>
      <c r="AB343" s="21"/>
      <c r="AC343" s="24">
        <v>289507.81</v>
      </c>
      <c r="AD343" s="24"/>
      <c r="AE343" s="25">
        <f>AC343+L338</f>
        <v>2078802.07</v>
      </c>
      <c r="AF343" s="127"/>
      <c r="AG343" s="107">
        <v>0</v>
      </c>
      <c r="AH343" s="12">
        <f t="shared" si="15"/>
        <v>0</v>
      </c>
      <c r="AI343" s="21"/>
      <c r="AJ343" s="11"/>
      <c r="AK343" s="21"/>
      <c r="AL343" s="27"/>
      <c r="AM343" s="21"/>
      <c r="AN343" s="21"/>
      <c r="AO343" s="11"/>
      <c r="AP343" s="10"/>
      <c r="AQ343" s="11"/>
      <c r="AR343" s="10"/>
      <c r="AS343" s="29"/>
      <c r="AT343" s="28"/>
      <c r="AU343" s="134"/>
      <c r="AV343" s="134"/>
      <c r="AW343" s="125"/>
      <c r="AX343" s="43"/>
      <c r="AY343" s="43"/>
      <c r="AZ343" s="43"/>
      <c r="BA343" s="43"/>
      <c r="BB343" s="43"/>
      <c r="BC343" s="43"/>
      <c r="BD343" s="43"/>
    </row>
    <row r="344" spans="1:56" s="193" customFormat="1" ht="22.5" customHeight="1" x14ac:dyDescent="0.25">
      <c r="A344" s="268"/>
      <c r="B344" s="252"/>
      <c r="C344" s="29"/>
      <c r="D344" s="29"/>
      <c r="E344" s="29"/>
      <c r="F344" s="29"/>
      <c r="G344" s="67"/>
      <c r="H344" s="112"/>
      <c r="I344" s="29"/>
      <c r="J344" s="29"/>
      <c r="K344" s="30"/>
      <c r="L344" s="101"/>
      <c r="M344" s="67"/>
      <c r="N344" s="30"/>
      <c r="O344" s="30"/>
      <c r="P344" s="112"/>
      <c r="Q344" s="29"/>
      <c r="R344" s="29"/>
      <c r="S344" s="29"/>
      <c r="T344" s="29"/>
      <c r="U344" s="6" t="s">
        <v>143</v>
      </c>
      <c r="V344" s="10">
        <v>41896</v>
      </c>
      <c r="W344" s="11">
        <v>11447</v>
      </c>
      <c r="X344" s="6" t="s">
        <v>653</v>
      </c>
      <c r="Y344" s="10">
        <v>41806</v>
      </c>
      <c r="Z344" s="10">
        <v>42016</v>
      </c>
      <c r="AA344" s="23"/>
      <c r="AB344" s="21"/>
      <c r="AC344" s="24"/>
      <c r="AD344" s="24"/>
      <c r="AE344" s="25"/>
      <c r="AF344" s="127"/>
      <c r="AG344" s="107">
        <v>0</v>
      </c>
      <c r="AH344" s="12">
        <f t="shared" si="15"/>
        <v>0</v>
      </c>
      <c r="AI344" s="21"/>
      <c r="AJ344" s="11"/>
      <c r="AK344" s="21"/>
      <c r="AL344" s="27"/>
      <c r="AM344" s="21"/>
      <c r="AN344" s="21"/>
      <c r="AO344" s="11"/>
      <c r="AP344" s="10"/>
      <c r="AQ344" s="11"/>
      <c r="AR344" s="10"/>
      <c r="AS344" s="29"/>
      <c r="AT344" s="28"/>
      <c r="AU344" s="131">
        <v>41900</v>
      </c>
      <c r="AV344" s="131">
        <v>42050</v>
      </c>
      <c r="AW344" s="125"/>
      <c r="AX344" s="27"/>
      <c r="AY344" s="27"/>
      <c r="AZ344" s="27"/>
      <c r="BA344" s="27"/>
      <c r="BB344" s="27"/>
      <c r="BC344" s="27"/>
      <c r="BD344" s="27"/>
    </row>
    <row r="345" spans="1:56" s="193" customFormat="1" ht="22.5" customHeight="1" x14ac:dyDescent="0.25">
      <c r="A345" s="268"/>
      <c r="B345" s="252"/>
      <c r="C345" s="29"/>
      <c r="D345" s="29"/>
      <c r="E345" s="29"/>
      <c r="F345" s="29"/>
      <c r="G345" s="67"/>
      <c r="H345" s="112"/>
      <c r="I345" s="29"/>
      <c r="J345" s="29"/>
      <c r="K345" s="30"/>
      <c r="L345" s="101"/>
      <c r="M345" s="67"/>
      <c r="N345" s="30"/>
      <c r="O345" s="30"/>
      <c r="P345" s="112"/>
      <c r="Q345" s="29"/>
      <c r="R345" s="29"/>
      <c r="S345" s="29"/>
      <c r="T345" s="29"/>
      <c r="U345" s="6" t="s">
        <v>126</v>
      </c>
      <c r="V345" s="10">
        <v>42013</v>
      </c>
      <c r="W345" s="11">
        <v>11482</v>
      </c>
      <c r="X345" s="6" t="s">
        <v>540</v>
      </c>
      <c r="Y345" s="10">
        <v>42016</v>
      </c>
      <c r="Z345" s="10">
        <v>42226</v>
      </c>
      <c r="AA345" s="23"/>
      <c r="AB345" s="21"/>
      <c r="AC345" s="24"/>
      <c r="AD345" s="24"/>
      <c r="AE345" s="25"/>
      <c r="AF345" s="127"/>
      <c r="AG345" s="107">
        <v>0</v>
      </c>
      <c r="AH345" s="12">
        <f t="shared" si="15"/>
        <v>0</v>
      </c>
      <c r="AI345" s="21"/>
      <c r="AJ345" s="11"/>
      <c r="AK345" s="21"/>
      <c r="AL345" s="27"/>
      <c r="AM345" s="21"/>
      <c r="AN345" s="21"/>
      <c r="AO345" s="11"/>
      <c r="AP345" s="10"/>
      <c r="AQ345" s="11"/>
      <c r="AR345" s="10"/>
      <c r="AS345" s="29"/>
      <c r="AT345" s="28"/>
      <c r="AU345" s="131">
        <v>42107</v>
      </c>
      <c r="AV345" s="131">
        <v>42197</v>
      </c>
      <c r="AW345" s="125"/>
      <c r="AX345" s="27"/>
      <c r="AY345" s="27"/>
      <c r="AZ345" s="27"/>
      <c r="BA345" s="27"/>
      <c r="BB345" s="27"/>
      <c r="BC345" s="27"/>
      <c r="BD345" s="27"/>
    </row>
    <row r="346" spans="1:56" s="193" customFormat="1" ht="22.5" customHeight="1" x14ac:dyDescent="0.25">
      <c r="A346" s="268"/>
      <c r="B346" s="252"/>
      <c r="C346" s="29"/>
      <c r="D346" s="29"/>
      <c r="E346" s="29"/>
      <c r="F346" s="29"/>
      <c r="G346" s="67"/>
      <c r="H346" s="112"/>
      <c r="I346" s="29"/>
      <c r="J346" s="29"/>
      <c r="K346" s="30"/>
      <c r="L346" s="101"/>
      <c r="M346" s="67"/>
      <c r="N346" s="30"/>
      <c r="O346" s="30"/>
      <c r="P346" s="112"/>
      <c r="Q346" s="29"/>
      <c r="R346" s="29"/>
      <c r="S346" s="29"/>
      <c r="T346" s="29"/>
      <c r="U346" s="6" t="s">
        <v>537</v>
      </c>
      <c r="V346" s="10">
        <v>42062</v>
      </c>
      <c r="W346" s="11"/>
      <c r="X346" s="6" t="s">
        <v>538</v>
      </c>
      <c r="Y346" s="10">
        <v>42016</v>
      </c>
      <c r="Z346" s="10">
        <v>42226</v>
      </c>
      <c r="AA346" s="23"/>
      <c r="AB346" s="21"/>
      <c r="AC346" s="24"/>
      <c r="AD346" s="24"/>
      <c r="AE346" s="25"/>
      <c r="AF346" s="127"/>
      <c r="AG346" s="107">
        <v>0</v>
      </c>
      <c r="AH346" s="12">
        <f t="shared" si="15"/>
        <v>0</v>
      </c>
      <c r="AI346" s="21"/>
      <c r="AJ346" s="11"/>
      <c r="AK346" s="21"/>
      <c r="AL346" s="27"/>
      <c r="AM346" s="21"/>
      <c r="AN346" s="21"/>
      <c r="AO346" s="11"/>
      <c r="AP346" s="10"/>
      <c r="AQ346" s="11"/>
      <c r="AR346" s="10"/>
      <c r="AS346" s="29"/>
      <c r="AT346" s="28"/>
      <c r="AU346" s="134"/>
      <c r="AV346" s="134"/>
      <c r="AW346" s="125"/>
      <c r="AX346" s="27"/>
      <c r="AY346" s="27"/>
      <c r="AZ346" s="27"/>
      <c r="BA346" s="27"/>
      <c r="BB346" s="27"/>
      <c r="BC346" s="27"/>
      <c r="BD346" s="27"/>
    </row>
    <row r="347" spans="1:56" s="193" customFormat="1" ht="22.5" customHeight="1" x14ac:dyDescent="0.25">
      <c r="A347" s="268"/>
      <c r="B347" s="252"/>
      <c r="C347" s="29"/>
      <c r="D347" s="29"/>
      <c r="E347" s="29"/>
      <c r="F347" s="29"/>
      <c r="G347" s="67"/>
      <c r="H347" s="112"/>
      <c r="I347" s="29"/>
      <c r="J347" s="29"/>
      <c r="K347" s="30"/>
      <c r="L347" s="101"/>
      <c r="M347" s="67"/>
      <c r="N347" s="30"/>
      <c r="O347" s="30"/>
      <c r="P347" s="112"/>
      <c r="Q347" s="29"/>
      <c r="R347" s="29"/>
      <c r="S347" s="29"/>
      <c r="T347" s="29"/>
      <c r="U347" s="6" t="s">
        <v>181</v>
      </c>
      <c r="V347" s="10">
        <v>42094</v>
      </c>
      <c r="W347" s="11">
        <v>11529</v>
      </c>
      <c r="X347" s="6" t="s">
        <v>442</v>
      </c>
      <c r="Y347" s="10">
        <v>42016</v>
      </c>
      <c r="Z347" s="10">
        <v>42226</v>
      </c>
      <c r="AA347" s="23">
        <f>AC347/AE338</f>
        <v>0.22359783907203726</v>
      </c>
      <c r="AB347" s="21"/>
      <c r="AC347" s="24">
        <v>400082.33</v>
      </c>
      <c r="AD347" s="24"/>
      <c r="AE347" s="25">
        <f>AE343-AD347+AC347</f>
        <v>2478884.4</v>
      </c>
      <c r="AF347" s="127"/>
      <c r="AG347" s="107"/>
      <c r="AH347" s="12">
        <f t="shared" si="15"/>
        <v>0</v>
      </c>
      <c r="AI347" s="21"/>
      <c r="AJ347" s="11"/>
      <c r="AK347" s="21"/>
      <c r="AL347" s="27"/>
      <c r="AM347" s="21"/>
      <c r="AN347" s="21"/>
      <c r="AO347" s="11"/>
      <c r="AP347" s="10"/>
      <c r="AQ347" s="11"/>
      <c r="AR347" s="10"/>
      <c r="AS347" s="29"/>
      <c r="AT347" s="28"/>
      <c r="AU347" s="134"/>
      <c r="AV347" s="134"/>
      <c r="AW347" s="125"/>
      <c r="AX347" s="27"/>
      <c r="AY347" s="27"/>
      <c r="AZ347" s="27"/>
      <c r="BA347" s="27"/>
      <c r="BB347" s="27"/>
      <c r="BC347" s="27"/>
      <c r="BD347" s="27"/>
    </row>
    <row r="348" spans="1:56" s="193" customFormat="1" ht="22.5" customHeight="1" x14ac:dyDescent="0.25">
      <c r="A348" s="268"/>
      <c r="B348" s="252"/>
      <c r="C348" s="29"/>
      <c r="D348" s="29"/>
      <c r="E348" s="29"/>
      <c r="F348" s="29"/>
      <c r="G348" s="67"/>
      <c r="H348" s="112"/>
      <c r="I348" s="29"/>
      <c r="J348" s="29"/>
      <c r="K348" s="30"/>
      <c r="L348" s="101"/>
      <c r="M348" s="67"/>
      <c r="N348" s="30"/>
      <c r="O348" s="30"/>
      <c r="P348" s="112"/>
      <c r="Q348" s="29"/>
      <c r="R348" s="29"/>
      <c r="S348" s="29"/>
      <c r="T348" s="29"/>
      <c r="U348" s="6" t="s">
        <v>227</v>
      </c>
      <c r="V348" s="10">
        <v>42180</v>
      </c>
      <c r="W348" s="11">
        <v>11593</v>
      </c>
      <c r="X348" s="6" t="s">
        <v>442</v>
      </c>
      <c r="Y348" s="10">
        <v>42016</v>
      </c>
      <c r="Z348" s="10">
        <v>42226</v>
      </c>
      <c r="AA348" s="23">
        <f>AC348/AE338</f>
        <v>2.8537379871771341E-2</v>
      </c>
      <c r="AB348" s="21"/>
      <c r="AC348" s="24">
        <v>51061.77</v>
      </c>
      <c r="AD348" s="24"/>
      <c r="AE348" s="25">
        <f>AE347-AD348+AC348</f>
        <v>2529946.17</v>
      </c>
      <c r="AF348" s="127"/>
      <c r="AG348" s="107"/>
      <c r="AH348" s="12">
        <f t="shared" si="15"/>
        <v>0</v>
      </c>
      <c r="AI348" s="21"/>
      <c r="AJ348" s="11"/>
      <c r="AK348" s="21"/>
      <c r="AL348" s="27"/>
      <c r="AM348" s="21"/>
      <c r="AN348" s="21"/>
      <c r="AO348" s="11"/>
      <c r="AP348" s="10"/>
      <c r="AQ348" s="11"/>
      <c r="AR348" s="10"/>
      <c r="AS348" s="29"/>
      <c r="AT348" s="28"/>
      <c r="AU348" s="134"/>
      <c r="AV348" s="134"/>
      <c r="AW348" s="125"/>
      <c r="AX348" s="27"/>
      <c r="AY348" s="27"/>
      <c r="AZ348" s="27"/>
      <c r="BA348" s="27"/>
      <c r="BB348" s="27"/>
      <c r="BC348" s="27"/>
      <c r="BD348" s="27"/>
    </row>
    <row r="349" spans="1:56" s="193" customFormat="1" ht="22.5" customHeight="1" x14ac:dyDescent="0.25">
      <c r="A349" s="268"/>
      <c r="B349" s="252"/>
      <c r="C349" s="29"/>
      <c r="D349" s="29"/>
      <c r="E349" s="29"/>
      <c r="F349" s="29"/>
      <c r="G349" s="67"/>
      <c r="H349" s="112"/>
      <c r="I349" s="29"/>
      <c r="J349" s="29"/>
      <c r="K349" s="30"/>
      <c r="L349" s="101"/>
      <c r="M349" s="67"/>
      <c r="N349" s="30"/>
      <c r="O349" s="30"/>
      <c r="P349" s="112"/>
      <c r="Q349" s="29"/>
      <c r="R349" s="29"/>
      <c r="S349" s="29"/>
      <c r="T349" s="29"/>
      <c r="U349" s="6" t="s">
        <v>229</v>
      </c>
      <c r="V349" s="10">
        <v>42188</v>
      </c>
      <c r="W349" s="11">
        <v>11601</v>
      </c>
      <c r="X349" s="6" t="s">
        <v>797</v>
      </c>
      <c r="Y349" s="10">
        <v>42226</v>
      </c>
      <c r="Z349" s="10">
        <v>42436</v>
      </c>
      <c r="AA349" s="23"/>
      <c r="AB349" s="21"/>
      <c r="AC349" s="24"/>
      <c r="AD349" s="24"/>
      <c r="AE349" s="25"/>
      <c r="AF349" s="127"/>
      <c r="AG349" s="107"/>
      <c r="AH349" s="12">
        <f t="shared" si="15"/>
        <v>0</v>
      </c>
      <c r="AI349" s="21"/>
      <c r="AJ349" s="11"/>
      <c r="AK349" s="21"/>
      <c r="AL349" s="27"/>
      <c r="AM349" s="21"/>
      <c r="AN349" s="21"/>
      <c r="AO349" s="11"/>
      <c r="AP349" s="10"/>
      <c r="AQ349" s="11"/>
      <c r="AR349" s="10"/>
      <c r="AS349" s="29"/>
      <c r="AT349" s="28"/>
      <c r="AU349" s="131">
        <v>42197</v>
      </c>
      <c r="AV349" s="131">
        <v>42347</v>
      </c>
      <c r="AW349" s="125"/>
      <c r="AX349" s="27"/>
      <c r="AY349" s="27"/>
      <c r="AZ349" s="27"/>
      <c r="BA349" s="27"/>
      <c r="BB349" s="27"/>
      <c r="BC349" s="27"/>
      <c r="BD349" s="27"/>
    </row>
    <row r="350" spans="1:56" s="193" customFormat="1" ht="22.5" customHeight="1" x14ac:dyDescent="0.25">
      <c r="A350" s="269"/>
      <c r="B350" s="253"/>
      <c r="C350" s="35"/>
      <c r="D350" s="35"/>
      <c r="E350" s="35"/>
      <c r="F350" s="35"/>
      <c r="G350" s="73"/>
      <c r="H350" s="110"/>
      <c r="I350" s="35"/>
      <c r="J350" s="35"/>
      <c r="K350" s="36"/>
      <c r="L350" s="108"/>
      <c r="M350" s="73"/>
      <c r="N350" s="36"/>
      <c r="O350" s="36"/>
      <c r="P350" s="110"/>
      <c r="Q350" s="35"/>
      <c r="R350" s="35"/>
      <c r="S350" s="35"/>
      <c r="T350" s="35"/>
      <c r="U350" s="6"/>
      <c r="V350" s="10"/>
      <c r="W350" s="11"/>
      <c r="X350" s="6"/>
      <c r="Y350" s="10"/>
      <c r="Z350" s="10"/>
      <c r="AA350" s="23"/>
      <c r="AB350" s="21"/>
      <c r="AC350" s="24"/>
      <c r="AD350" s="24"/>
      <c r="AE350" s="25"/>
      <c r="AF350" s="127"/>
      <c r="AG350" s="107">
        <v>0</v>
      </c>
      <c r="AH350" s="12">
        <f t="shared" si="15"/>
        <v>0</v>
      </c>
      <c r="AI350" s="21"/>
      <c r="AJ350" s="11"/>
      <c r="AK350" s="21"/>
      <c r="AL350" s="27"/>
      <c r="AM350" s="21"/>
      <c r="AN350" s="21"/>
      <c r="AO350" s="11"/>
      <c r="AP350" s="10"/>
      <c r="AQ350" s="11"/>
      <c r="AR350" s="10"/>
      <c r="AS350" s="35"/>
      <c r="AT350" s="34"/>
      <c r="AU350" s="134"/>
      <c r="AV350" s="134"/>
      <c r="AW350" s="126"/>
      <c r="AX350" s="27"/>
      <c r="AY350" s="27"/>
      <c r="AZ350" s="27"/>
      <c r="BA350" s="27"/>
      <c r="BB350" s="27"/>
      <c r="BC350" s="27"/>
      <c r="BD350" s="27"/>
    </row>
    <row r="351" spans="1:56" s="193" customFormat="1" ht="32.25" customHeight="1" x14ac:dyDescent="0.25">
      <c r="A351" s="271">
        <v>98</v>
      </c>
      <c r="B351" s="255" t="s">
        <v>315</v>
      </c>
      <c r="C351" s="44" t="s">
        <v>385</v>
      </c>
      <c r="D351" s="44" t="s">
        <v>318</v>
      </c>
      <c r="E351" s="44" t="s">
        <v>123</v>
      </c>
      <c r="F351" s="44" t="s">
        <v>304</v>
      </c>
      <c r="G351" s="118">
        <v>10988</v>
      </c>
      <c r="H351" s="116" t="s">
        <v>351</v>
      </c>
      <c r="I351" s="44" t="s">
        <v>310</v>
      </c>
      <c r="J351" s="44" t="s">
        <v>352</v>
      </c>
      <c r="K351" s="45">
        <v>41445</v>
      </c>
      <c r="L351" s="130">
        <v>1929071.85</v>
      </c>
      <c r="M351" s="118">
        <v>11078</v>
      </c>
      <c r="N351" s="45">
        <v>41445</v>
      </c>
      <c r="O351" s="45">
        <v>41655</v>
      </c>
      <c r="P351" s="116" t="s">
        <v>157</v>
      </c>
      <c r="Q351" s="44"/>
      <c r="R351" s="44"/>
      <c r="S351" s="44"/>
      <c r="T351" s="44" t="s">
        <v>208</v>
      </c>
      <c r="U351" s="6"/>
      <c r="V351" s="21"/>
      <c r="W351" s="27"/>
      <c r="X351" s="6"/>
      <c r="Y351" s="21"/>
      <c r="Z351" s="21"/>
      <c r="AA351" s="23"/>
      <c r="AB351" s="21"/>
      <c r="AC351" s="24"/>
      <c r="AD351" s="24"/>
      <c r="AE351" s="25"/>
      <c r="AF351" s="25">
        <f>163523.89+2455.35+41085.4+26594.27+19577.48+352926.09+181000</f>
        <v>787162.48</v>
      </c>
      <c r="AG351" s="107">
        <f>36569.46+70000</f>
        <v>106569.45999999999</v>
      </c>
      <c r="AH351" s="12">
        <f t="shared" si="15"/>
        <v>893731.94</v>
      </c>
      <c r="AI351" s="21"/>
      <c r="AJ351" s="11"/>
      <c r="AK351" s="21"/>
      <c r="AL351" s="27"/>
      <c r="AM351" s="21"/>
      <c r="AN351" s="21"/>
      <c r="AO351" s="11"/>
      <c r="AP351" s="10"/>
      <c r="AQ351" s="11"/>
      <c r="AR351" s="10"/>
      <c r="AS351" s="16" t="s">
        <v>449</v>
      </c>
      <c r="AT351" s="15" t="s">
        <v>448</v>
      </c>
      <c r="AU351" s="131">
        <v>41445</v>
      </c>
      <c r="AV351" s="131">
        <v>41595</v>
      </c>
      <c r="AW351" s="124">
        <f>(AH351+AH353+AH354+AH355+AH357)/AE358</f>
        <v>0.76969796982115024</v>
      </c>
      <c r="AX351" s="43" t="s">
        <v>471</v>
      </c>
      <c r="AY351" s="48">
        <v>41445</v>
      </c>
      <c r="AZ351" s="43" t="s">
        <v>400</v>
      </c>
      <c r="BA351" s="43" t="s">
        <v>401</v>
      </c>
      <c r="BB351" s="43"/>
      <c r="BC351" s="43"/>
      <c r="BD351" s="43"/>
    </row>
    <row r="352" spans="1:56" s="193" customFormat="1" ht="27" customHeight="1" x14ac:dyDescent="0.25">
      <c r="A352" s="271"/>
      <c r="B352" s="255"/>
      <c r="C352" s="44"/>
      <c r="D352" s="44"/>
      <c r="E352" s="44"/>
      <c r="F352" s="44"/>
      <c r="G352" s="118"/>
      <c r="H352" s="116"/>
      <c r="I352" s="44"/>
      <c r="J352" s="44"/>
      <c r="K352" s="45"/>
      <c r="L352" s="130"/>
      <c r="M352" s="118"/>
      <c r="N352" s="45"/>
      <c r="O352" s="45"/>
      <c r="P352" s="116"/>
      <c r="Q352" s="44"/>
      <c r="R352" s="44"/>
      <c r="S352" s="44"/>
      <c r="T352" s="44"/>
      <c r="U352" s="6" t="s">
        <v>141</v>
      </c>
      <c r="V352" s="10">
        <v>41584</v>
      </c>
      <c r="W352" s="11">
        <v>11180</v>
      </c>
      <c r="X352" s="6" t="s">
        <v>481</v>
      </c>
      <c r="Y352" s="10">
        <v>41655</v>
      </c>
      <c r="Z352" s="10">
        <v>41806</v>
      </c>
      <c r="AA352" s="10"/>
      <c r="AB352" s="21"/>
      <c r="AC352" s="24"/>
      <c r="AD352" s="24"/>
      <c r="AE352" s="25"/>
      <c r="AF352" s="25"/>
      <c r="AG352" s="107">
        <v>0</v>
      </c>
      <c r="AH352" s="12">
        <f t="shared" si="15"/>
        <v>0</v>
      </c>
      <c r="AI352" s="21"/>
      <c r="AJ352" s="11"/>
      <c r="AK352" s="21"/>
      <c r="AL352" s="27"/>
      <c r="AM352" s="21"/>
      <c r="AN352" s="21"/>
      <c r="AO352" s="11"/>
      <c r="AP352" s="10"/>
      <c r="AQ352" s="11"/>
      <c r="AR352" s="10"/>
      <c r="AS352" s="29"/>
      <c r="AT352" s="28"/>
      <c r="AU352" s="131">
        <v>41596</v>
      </c>
      <c r="AV352" s="131">
        <v>41746</v>
      </c>
      <c r="AW352" s="125"/>
      <c r="AX352" s="43"/>
      <c r="AY352" s="43"/>
      <c r="AZ352" s="43"/>
      <c r="BA352" s="43"/>
      <c r="BB352" s="43"/>
      <c r="BC352" s="43"/>
      <c r="BD352" s="43"/>
    </row>
    <row r="353" spans="1:56" s="193" customFormat="1" ht="26.25" customHeight="1" x14ac:dyDescent="0.25">
      <c r="A353" s="271"/>
      <c r="B353" s="255"/>
      <c r="C353" s="44"/>
      <c r="D353" s="44"/>
      <c r="E353" s="44"/>
      <c r="F353" s="44"/>
      <c r="G353" s="118"/>
      <c r="H353" s="116"/>
      <c r="I353" s="44"/>
      <c r="J353" s="44"/>
      <c r="K353" s="45"/>
      <c r="L353" s="130"/>
      <c r="M353" s="118"/>
      <c r="N353" s="45"/>
      <c r="O353" s="45"/>
      <c r="P353" s="6" t="s">
        <v>203</v>
      </c>
      <c r="Q353" s="44"/>
      <c r="R353" s="44"/>
      <c r="S353" s="44"/>
      <c r="T353" s="44"/>
      <c r="U353" s="6" t="s">
        <v>425</v>
      </c>
      <c r="V353" s="10">
        <v>41599</v>
      </c>
      <c r="W353" s="11">
        <v>11367</v>
      </c>
      <c r="X353" s="6" t="s">
        <v>482</v>
      </c>
      <c r="Y353" s="10">
        <v>41655</v>
      </c>
      <c r="Z353" s="10">
        <v>41806</v>
      </c>
      <c r="AA353" s="21"/>
      <c r="AB353" s="21"/>
      <c r="AC353" s="24"/>
      <c r="AD353" s="24"/>
      <c r="AE353" s="25"/>
      <c r="AF353" s="107">
        <v>40000</v>
      </c>
      <c r="AG353" s="107">
        <v>0</v>
      </c>
      <c r="AH353" s="12">
        <f t="shared" si="15"/>
        <v>40000</v>
      </c>
      <c r="AI353" s="21"/>
      <c r="AJ353" s="11"/>
      <c r="AK353" s="21"/>
      <c r="AL353" s="27"/>
      <c r="AM353" s="21"/>
      <c r="AN353" s="21"/>
      <c r="AO353" s="11"/>
      <c r="AP353" s="10"/>
      <c r="AQ353" s="11"/>
      <c r="AR353" s="10"/>
      <c r="AS353" s="29"/>
      <c r="AT353" s="28"/>
      <c r="AU353" s="134"/>
      <c r="AV353" s="134"/>
      <c r="AW353" s="125"/>
      <c r="AX353" s="43"/>
      <c r="AY353" s="43"/>
      <c r="AZ353" s="43"/>
      <c r="BA353" s="43"/>
      <c r="BB353" s="43"/>
      <c r="BC353" s="43"/>
      <c r="BD353" s="43"/>
    </row>
    <row r="354" spans="1:56" s="193" customFormat="1" ht="26.25" customHeight="1" x14ac:dyDescent="0.25">
      <c r="A354" s="271"/>
      <c r="B354" s="255"/>
      <c r="C354" s="44"/>
      <c r="D354" s="44"/>
      <c r="E354" s="44"/>
      <c r="F354" s="44"/>
      <c r="G354" s="118"/>
      <c r="H354" s="116"/>
      <c r="I354" s="44"/>
      <c r="J354" s="44"/>
      <c r="K354" s="45"/>
      <c r="L354" s="130"/>
      <c r="M354" s="118"/>
      <c r="N354" s="45"/>
      <c r="O354" s="45"/>
      <c r="P354" s="6" t="s">
        <v>158</v>
      </c>
      <c r="Q354" s="44"/>
      <c r="R354" s="44"/>
      <c r="S354" s="44"/>
      <c r="T354" s="44"/>
      <c r="U354" s="6" t="s">
        <v>426</v>
      </c>
      <c r="V354" s="10">
        <v>41625</v>
      </c>
      <c r="W354" s="11">
        <v>11367</v>
      </c>
      <c r="X354" s="6" t="s">
        <v>482</v>
      </c>
      <c r="Y354" s="10">
        <v>41655</v>
      </c>
      <c r="Z354" s="10">
        <v>41806</v>
      </c>
      <c r="AA354" s="21"/>
      <c r="AB354" s="21"/>
      <c r="AC354" s="24"/>
      <c r="AD354" s="24"/>
      <c r="AE354" s="25"/>
      <c r="AF354" s="25">
        <v>194469.49</v>
      </c>
      <c r="AG354" s="107">
        <v>0</v>
      </c>
      <c r="AH354" s="12">
        <f t="shared" si="15"/>
        <v>194469.49</v>
      </c>
      <c r="AI354" s="21"/>
      <c r="AJ354" s="11"/>
      <c r="AK354" s="21"/>
      <c r="AL354" s="27"/>
      <c r="AM354" s="21"/>
      <c r="AN354" s="21"/>
      <c r="AO354" s="11"/>
      <c r="AP354" s="10"/>
      <c r="AQ354" s="11"/>
      <c r="AR354" s="10"/>
      <c r="AS354" s="29"/>
      <c r="AT354" s="28"/>
      <c r="AU354" s="134"/>
      <c r="AV354" s="134"/>
      <c r="AW354" s="125"/>
      <c r="AX354" s="43"/>
      <c r="AY354" s="43"/>
      <c r="AZ354" s="43"/>
      <c r="BA354" s="43"/>
      <c r="BB354" s="43"/>
      <c r="BC354" s="43"/>
      <c r="BD354" s="43"/>
    </row>
    <row r="355" spans="1:56" s="193" customFormat="1" x14ac:dyDescent="0.25">
      <c r="A355" s="271"/>
      <c r="B355" s="255"/>
      <c r="C355" s="44"/>
      <c r="D355" s="44"/>
      <c r="E355" s="44"/>
      <c r="F355" s="44"/>
      <c r="G355" s="118"/>
      <c r="H355" s="116"/>
      <c r="I355" s="44"/>
      <c r="J355" s="44"/>
      <c r="K355" s="45"/>
      <c r="L355" s="130"/>
      <c r="M355" s="118"/>
      <c r="N355" s="45"/>
      <c r="O355" s="45"/>
      <c r="P355" s="109" t="s">
        <v>525</v>
      </c>
      <c r="Q355" s="44"/>
      <c r="R355" s="44"/>
      <c r="S355" s="44"/>
      <c r="T355" s="44"/>
      <c r="U355" s="6" t="s">
        <v>124</v>
      </c>
      <c r="V355" s="10">
        <v>41631</v>
      </c>
      <c r="W355" s="11">
        <v>11209</v>
      </c>
      <c r="X355" s="6" t="s">
        <v>163</v>
      </c>
      <c r="Y355" s="10">
        <v>41655</v>
      </c>
      <c r="Z355" s="10">
        <v>41806</v>
      </c>
      <c r="AA355" s="23">
        <f>AC355/L351</f>
        <v>2.2339572266320717E-2</v>
      </c>
      <c r="AB355" s="21"/>
      <c r="AC355" s="24">
        <v>43094.64</v>
      </c>
      <c r="AD355" s="24"/>
      <c r="AE355" s="25">
        <f>L351-AD355+AC355</f>
        <v>1972166.49</v>
      </c>
      <c r="AF355" s="136">
        <v>315695.45</v>
      </c>
      <c r="AG355" s="107">
        <v>0</v>
      </c>
      <c r="AH355" s="12">
        <f t="shared" si="15"/>
        <v>315695.45</v>
      </c>
      <c r="AI355" s="21"/>
      <c r="AJ355" s="11"/>
      <c r="AK355" s="21"/>
      <c r="AL355" s="27"/>
      <c r="AM355" s="21"/>
      <c r="AN355" s="21"/>
      <c r="AO355" s="11"/>
      <c r="AP355" s="10"/>
      <c r="AQ355" s="11"/>
      <c r="AR355" s="10"/>
      <c r="AS355" s="29"/>
      <c r="AT355" s="28"/>
      <c r="AU355" s="134"/>
      <c r="AV355" s="134"/>
      <c r="AW355" s="125"/>
      <c r="AX355" s="43"/>
      <c r="AY355" s="43"/>
      <c r="AZ355" s="43"/>
      <c r="BA355" s="43"/>
      <c r="BB355" s="43"/>
      <c r="BC355" s="43"/>
      <c r="BD355" s="43"/>
    </row>
    <row r="356" spans="1:56" s="193" customFormat="1" x14ac:dyDescent="0.25">
      <c r="A356" s="271"/>
      <c r="B356" s="255"/>
      <c r="C356" s="44"/>
      <c r="D356" s="44"/>
      <c r="E356" s="44"/>
      <c r="F356" s="44"/>
      <c r="G356" s="118"/>
      <c r="H356" s="116"/>
      <c r="I356" s="44"/>
      <c r="J356" s="44"/>
      <c r="K356" s="45"/>
      <c r="L356" s="130"/>
      <c r="M356" s="118"/>
      <c r="N356" s="45"/>
      <c r="O356" s="45"/>
      <c r="P356" s="110"/>
      <c r="Q356" s="44"/>
      <c r="R356" s="44"/>
      <c r="S356" s="44"/>
      <c r="T356" s="44"/>
      <c r="U356" s="6" t="s">
        <v>125</v>
      </c>
      <c r="V356" s="10">
        <v>41743</v>
      </c>
      <c r="W356" s="11">
        <v>11502</v>
      </c>
      <c r="X356" s="6" t="s">
        <v>602</v>
      </c>
      <c r="Y356" s="10">
        <v>41806</v>
      </c>
      <c r="Z356" s="10">
        <v>42016</v>
      </c>
      <c r="AA356" s="21"/>
      <c r="AB356" s="21"/>
      <c r="AC356" s="24"/>
      <c r="AD356" s="24"/>
      <c r="AE356" s="25"/>
      <c r="AF356" s="137"/>
      <c r="AG356" s="107">
        <v>0</v>
      </c>
      <c r="AH356" s="12">
        <f t="shared" si="15"/>
        <v>0</v>
      </c>
      <c r="AI356" s="21"/>
      <c r="AJ356" s="11"/>
      <c r="AK356" s="21"/>
      <c r="AL356" s="27"/>
      <c r="AM356" s="21"/>
      <c r="AN356" s="21"/>
      <c r="AO356" s="11"/>
      <c r="AP356" s="10"/>
      <c r="AQ356" s="11"/>
      <c r="AR356" s="10"/>
      <c r="AS356" s="29"/>
      <c r="AT356" s="28"/>
      <c r="AU356" s="123">
        <v>41747</v>
      </c>
      <c r="AV356" s="123">
        <v>41895</v>
      </c>
      <c r="AW356" s="125"/>
      <c r="AX356" s="27"/>
      <c r="AY356" s="27"/>
      <c r="AZ356" s="27"/>
      <c r="BA356" s="27"/>
      <c r="BB356" s="27"/>
      <c r="BC356" s="27"/>
      <c r="BD356" s="27"/>
    </row>
    <row r="357" spans="1:56" s="193" customFormat="1" x14ac:dyDescent="0.25">
      <c r="A357" s="271"/>
      <c r="B357" s="255"/>
      <c r="C357" s="44"/>
      <c r="D357" s="44"/>
      <c r="E357" s="44"/>
      <c r="F357" s="44"/>
      <c r="G357" s="118"/>
      <c r="H357" s="116"/>
      <c r="I357" s="44"/>
      <c r="J357" s="44"/>
      <c r="K357" s="45"/>
      <c r="L357" s="130"/>
      <c r="M357" s="118"/>
      <c r="N357" s="45"/>
      <c r="O357" s="45"/>
      <c r="P357" s="109" t="s">
        <v>314</v>
      </c>
      <c r="Q357" s="44"/>
      <c r="R357" s="44"/>
      <c r="S357" s="44"/>
      <c r="T357" s="44"/>
      <c r="U357" s="6" t="s">
        <v>126</v>
      </c>
      <c r="V357" s="10">
        <v>41800</v>
      </c>
      <c r="W357" s="11">
        <v>11500</v>
      </c>
      <c r="X357" s="6" t="s">
        <v>163</v>
      </c>
      <c r="Y357" s="10">
        <v>41806</v>
      </c>
      <c r="Z357" s="10">
        <v>42016</v>
      </c>
      <c r="AA357" s="23">
        <f>AC357/L351</f>
        <v>0.11494382129934663</v>
      </c>
      <c r="AB357" s="21"/>
      <c r="AC357" s="24">
        <v>221734.89</v>
      </c>
      <c r="AD357" s="24"/>
      <c r="AE357" s="25">
        <f>AE355-AD357+AC357</f>
        <v>2193901.38</v>
      </c>
      <c r="AF357" s="107">
        <f>24666.34+80022.63+54732.61+120395.83+39428.33+153773.71</f>
        <v>473019.45000000007</v>
      </c>
      <c r="AG357" s="107">
        <v>0</v>
      </c>
      <c r="AH357" s="12">
        <f t="shared" si="15"/>
        <v>473019.45000000007</v>
      </c>
      <c r="AI357" s="21"/>
      <c r="AJ357" s="11"/>
      <c r="AK357" s="21"/>
      <c r="AL357" s="27"/>
      <c r="AM357" s="21"/>
      <c r="AN357" s="21"/>
      <c r="AO357" s="11"/>
      <c r="AP357" s="10"/>
      <c r="AQ357" s="11"/>
      <c r="AR357" s="10"/>
      <c r="AS357" s="29"/>
      <c r="AT357" s="28"/>
      <c r="AU357" s="27"/>
      <c r="AV357" s="27"/>
      <c r="AW357" s="125"/>
      <c r="AX357" s="27"/>
      <c r="AY357" s="27"/>
      <c r="AZ357" s="27"/>
      <c r="BA357" s="27"/>
      <c r="BB357" s="27"/>
      <c r="BC357" s="27"/>
      <c r="BD357" s="27"/>
    </row>
    <row r="358" spans="1:56" s="193" customFormat="1" ht="25.5" x14ac:dyDescent="0.25">
      <c r="A358" s="271"/>
      <c r="B358" s="255"/>
      <c r="C358" s="44"/>
      <c r="D358" s="44"/>
      <c r="E358" s="44"/>
      <c r="F358" s="44"/>
      <c r="G358" s="118"/>
      <c r="H358" s="116"/>
      <c r="I358" s="44"/>
      <c r="J358" s="44"/>
      <c r="K358" s="45"/>
      <c r="L358" s="130"/>
      <c r="M358" s="118"/>
      <c r="N358" s="45"/>
      <c r="O358" s="45"/>
      <c r="P358" s="112"/>
      <c r="Q358" s="44"/>
      <c r="R358" s="44"/>
      <c r="S358" s="44"/>
      <c r="T358" s="44"/>
      <c r="U358" s="6" t="s">
        <v>309</v>
      </c>
      <c r="V358" s="10">
        <v>41843</v>
      </c>
      <c r="W358" s="11">
        <v>11364</v>
      </c>
      <c r="X358" s="6" t="s">
        <v>483</v>
      </c>
      <c r="Y358" s="10">
        <v>41806</v>
      </c>
      <c r="Z358" s="10">
        <v>42016</v>
      </c>
      <c r="AA358" s="23">
        <f>AC358/L351</f>
        <v>0.15374089358050608</v>
      </c>
      <c r="AB358" s="21"/>
      <c r="AC358" s="24">
        <v>296577.23</v>
      </c>
      <c r="AD358" s="24"/>
      <c r="AE358" s="25">
        <f>AE357+AC358</f>
        <v>2490478.61</v>
      </c>
      <c r="AF358" s="25"/>
      <c r="AG358" s="107">
        <f>103174.18+76679.22</f>
        <v>179853.4</v>
      </c>
      <c r="AH358" s="12">
        <f t="shared" si="15"/>
        <v>179853.4</v>
      </c>
      <c r="AI358" s="21"/>
      <c r="AJ358" s="11"/>
      <c r="AK358" s="21"/>
      <c r="AL358" s="27"/>
      <c r="AM358" s="21"/>
      <c r="AN358" s="21"/>
      <c r="AO358" s="11"/>
      <c r="AP358" s="10"/>
      <c r="AQ358" s="11"/>
      <c r="AR358" s="10"/>
      <c r="AS358" s="29"/>
      <c r="AT358" s="28"/>
      <c r="AU358" s="27"/>
      <c r="AV358" s="27"/>
      <c r="AW358" s="125"/>
      <c r="AX358" s="27"/>
      <c r="AY358" s="27"/>
      <c r="AZ358" s="27"/>
      <c r="BA358" s="27"/>
      <c r="BB358" s="27"/>
      <c r="BC358" s="27"/>
      <c r="BD358" s="27"/>
    </row>
    <row r="359" spans="1:56" s="193" customFormat="1" x14ac:dyDescent="0.25">
      <c r="A359" s="271"/>
      <c r="B359" s="255"/>
      <c r="C359" s="44"/>
      <c r="D359" s="44"/>
      <c r="E359" s="44"/>
      <c r="F359" s="44"/>
      <c r="G359" s="118"/>
      <c r="H359" s="116"/>
      <c r="I359" s="44"/>
      <c r="J359" s="44"/>
      <c r="K359" s="45"/>
      <c r="L359" s="130"/>
      <c r="M359" s="118"/>
      <c r="N359" s="45"/>
      <c r="O359" s="45"/>
      <c r="P359" s="112"/>
      <c r="Q359" s="44"/>
      <c r="R359" s="44"/>
      <c r="S359" s="44"/>
      <c r="T359" s="44"/>
      <c r="U359" s="6" t="s">
        <v>181</v>
      </c>
      <c r="V359" s="10">
        <v>41892</v>
      </c>
      <c r="W359" s="11">
        <v>11429</v>
      </c>
      <c r="X359" s="6" t="s">
        <v>484</v>
      </c>
      <c r="Y359" s="10">
        <v>41806</v>
      </c>
      <c r="Z359" s="10">
        <v>42016</v>
      </c>
      <c r="AA359" s="23"/>
      <c r="AB359" s="21"/>
      <c r="AC359" s="24"/>
      <c r="AD359" s="24"/>
      <c r="AE359" s="25"/>
      <c r="AF359" s="25"/>
      <c r="AG359" s="107">
        <v>0</v>
      </c>
      <c r="AH359" s="12">
        <f t="shared" si="15"/>
        <v>0</v>
      </c>
      <c r="AI359" s="21"/>
      <c r="AJ359" s="11"/>
      <c r="AK359" s="21"/>
      <c r="AL359" s="27"/>
      <c r="AM359" s="21"/>
      <c r="AN359" s="21"/>
      <c r="AO359" s="11"/>
      <c r="AP359" s="10"/>
      <c r="AQ359" s="11"/>
      <c r="AR359" s="10"/>
      <c r="AS359" s="29"/>
      <c r="AT359" s="28"/>
      <c r="AU359" s="123">
        <v>41747</v>
      </c>
      <c r="AV359" s="123">
        <v>41895</v>
      </c>
      <c r="AW359" s="125"/>
      <c r="AX359" s="27"/>
      <c r="AY359" s="27"/>
      <c r="AZ359" s="27"/>
      <c r="BA359" s="27"/>
      <c r="BB359" s="27"/>
      <c r="BC359" s="27"/>
      <c r="BD359" s="27"/>
    </row>
    <row r="360" spans="1:56" s="193" customFormat="1" ht="25.5" x14ac:dyDescent="0.25">
      <c r="A360" s="271"/>
      <c r="B360" s="255"/>
      <c r="C360" s="44"/>
      <c r="D360" s="44"/>
      <c r="E360" s="44"/>
      <c r="F360" s="44"/>
      <c r="G360" s="118"/>
      <c r="H360" s="116"/>
      <c r="I360" s="44"/>
      <c r="J360" s="44"/>
      <c r="K360" s="45"/>
      <c r="L360" s="130"/>
      <c r="M360" s="118"/>
      <c r="N360" s="45"/>
      <c r="O360" s="45"/>
      <c r="P360" s="112"/>
      <c r="Q360" s="44"/>
      <c r="R360" s="44"/>
      <c r="S360" s="44"/>
      <c r="T360" s="44"/>
      <c r="U360" s="6" t="s">
        <v>227</v>
      </c>
      <c r="V360" s="10">
        <v>42013</v>
      </c>
      <c r="W360" s="11">
        <v>11482</v>
      </c>
      <c r="X360" s="6" t="s">
        <v>552</v>
      </c>
      <c r="Y360" s="10">
        <v>42016</v>
      </c>
      <c r="Z360" s="10">
        <v>42226</v>
      </c>
      <c r="AA360" s="23"/>
      <c r="AB360" s="21"/>
      <c r="AC360" s="24"/>
      <c r="AD360" s="24"/>
      <c r="AE360" s="25"/>
      <c r="AF360" s="25"/>
      <c r="AG360" s="107">
        <v>0</v>
      </c>
      <c r="AH360" s="12">
        <f t="shared" si="15"/>
        <v>0</v>
      </c>
      <c r="AI360" s="21"/>
      <c r="AJ360" s="11"/>
      <c r="AK360" s="21"/>
      <c r="AL360" s="27"/>
      <c r="AM360" s="21"/>
      <c r="AN360" s="21"/>
      <c r="AO360" s="11"/>
      <c r="AP360" s="10"/>
      <c r="AQ360" s="11"/>
      <c r="AR360" s="10"/>
      <c r="AS360" s="29"/>
      <c r="AT360" s="28"/>
      <c r="AU360" s="123">
        <v>41896</v>
      </c>
      <c r="AV360" s="123">
        <v>42046</v>
      </c>
      <c r="AW360" s="125"/>
      <c r="AX360" s="27"/>
      <c r="AY360" s="27"/>
      <c r="AZ360" s="27"/>
      <c r="BA360" s="27"/>
      <c r="BB360" s="27"/>
      <c r="BC360" s="27"/>
      <c r="BD360" s="27"/>
    </row>
    <row r="361" spans="1:56" s="193" customFormat="1" ht="25.5" x14ac:dyDescent="0.25">
      <c r="A361" s="271"/>
      <c r="B361" s="255"/>
      <c r="C361" s="44"/>
      <c r="D361" s="44"/>
      <c r="E361" s="44"/>
      <c r="F361" s="44"/>
      <c r="G361" s="118"/>
      <c r="H361" s="116"/>
      <c r="I361" s="44"/>
      <c r="J361" s="44"/>
      <c r="K361" s="45"/>
      <c r="L361" s="130"/>
      <c r="M361" s="118"/>
      <c r="N361" s="45"/>
      <c r="O361" s="45"/>
      <c r="P361" s="112"/>
      <c r="Q361" s="44"/>
      <c r="R361" s="44"/>
      <c r="S361" s="44"/>
      <c r="T361" s="44"/>
      <c r="U361" s="6" t="s">
        <v>365</v>
      </c>
      <c r="V361" s="10">
        <v>42061</v>
      </c>
      <c r="W361" s="11">
        <v>11495</v>
      </c>
      <c r="X361" s="6" t="s">
        <v>678</v>
      </c>
      <c r="Y361" s="10">
        <v>42016</v>
      </c>
      <c r="Z361" s="10">
        <v>42226</v>
      </c>
      <c r="AA361" s="23"/>
      <c r="AB361" s="21"/>
      <c r="AC361" s="24"/>
      <c r="AD361" s="24"/>
      <c r="AE361" s="25"/>
      <c r="AF361" s="25"/>
      <c r="AG361" s="107">
        <v>0</v>
      </c>
      <c r="AH361" s="12">
        <f t="shared" si="15"/>
        <v>0</v>
      </c>
      <c r="AI361" s="21"/>
      <c r="AJ361" s="11"/>
      <c r="AK361" s="21"/>
      <c r="AL361" s="27"/>
      <c r="AM361" s="21"/>
      <c r="AN361" s="21"/>
      <c r="AO361" s="11"/>
      <c r="AP361" s="10"/>
      <c r="AQ361" s="11"/>
      <c r="AR361" s="10"/>
      <c r="AS361" s="29"/>
      <c r="AT361" s="28"/>
      <c r="AU361" s="123"/>
      <c r="AV361" s="123"/>
      <c r="AW361" s="125"/>
      <c r="AX361" s="27"/>
      <c r="AY361" s="27"/>
      <c r="AZ361" s="27"/>
      <c r="BA361" s="27"/>
      <c r="BB361" s="27"/>
      <c r="BC361" s="27"/>
      <c r="BD361" s="27"/>
    </row>
    <row r="362" spans="1:56" s="193" customFormat="1" ht="25.5" x14ac:dyDescent="0.25">
      <c r="A362" s="271"/>
      <c r="B362" s="255"/>
      <c r="C362" s="44"/>
      <c r="D362" s="44"/>
      <c r="E362" s="44"/>
      <c r="F362" s="44"/>
      <c r="G362" s="118"/>
      <c r="H362" s="116"/>
      <c r="I362" s="44"/>
      <c r="J362" s="44"/>
      <c r="K362" s="45"/>
      <c r="L362" s="130"/>
      <c r="M362" s="118"/>
      <c r="N362" s="45"/>
      <c r="O362" s="45"/>
      <c r="P362" s="112"/>
      <c r="Q362" s="44"/>
      <c r="R362" s="44"/>
      <c r="S362" s="44"/>
      <c r="T362" s="44"/>
      <c r="U362" s="6" t="s">
        <v>229</v>
      </c>
      <c r="V362" s="10">
        <v>42193</v>
      </c>
      <c r="W362" s="11">
        <v>11609</v>
      </c>
      <c r="X362" s="6" t="s">
        <v>552</v>
      </c>
      <c r="Y362" s="10">
        <v>42226</v>
      </c>
      <c r="Z362" s="10">
        <v>42436</v>
      </c>
      <c r="AA362" s="23"/>
      <c r="AB362" s="21"/>
      <c r="AC362" s="24"/>
      <c r="AD362" s="24"/>
      <c r="AE362" s="25"/>
      <c r="AF362" s="25"/>
      <c r="AG362" s="107"/>
      <c r="AH362" s="12">
        <f t="shared" si="15"/>
        <v>0</v>
      </c>
      <c r="AI362" s="21"/>
      <c r="AJ362" s="11"/>
      <c r="AK362" s="21"/>
      <c r="AL362" s="27"/>
      <c r="AM362" s="21"/>
      <c r="AN362" s="21"/>
      <c r="AO362" s="11"/>
      <c r="AP362" s="10"/>
      <c r="AQ362" s="11"/>
      <c r="AR362" s="10"/>
      <c r="AS362" s="29"/>
      <c r="AT362" s="28"/>
      <c r="AU362" s="123">
        <v>42196</v>
      </c>
      <c r="AV362" s="123">
        <v>42346</v>
      </c>
      <c r="AW362" s="125"/>
      <c r="AX362" s="27"/>
      <c r="AY362" s="27"/>
      <c r="AZ362" s="27"/>
      <c r="BA362" s="27"/>
      <c r="BB362" s="27"/>
      <c r="BC362" s="27"/>
      <c r="BD362" s="27"/>
    </row>
    <row r="363" spans="1:56" s="193" customFormat="1" x14ac:dyDescent="0.25">
      <c r="A363" s="271"/>
      <c r="B363" s="255"/>
      <c r="C363" s="44"/>
      <c r="D363" s="44"/>
      <c r="E363" s="44"/>
      <c r="F363" s="44"/>
      <c r="G363" s="118"/>
      <c r="H363" s="116"/>
      <c r="I363" s="44"/>
      <c r="J363" s="44"/>
      <c r="K363" s="45"/>
      <c r="L363" s="130"/>
      <c r="M363" s="118"/>
      <c r="N363" s="45"/>
      <c r="O363" s="45"/>
      <c r="P363" s="110"/>
      <c r="Q363" s="44"/>
      <c r="R363" s="44"/>
      <c r="S363" s="44"/>
      <c r="T363" s="44"/>
      <c r="U363" s="6" t="s">
        <v>184</v>
      </c>
      <c r="V363" s="10">
        <v>42214</v>
      </c>
      <c r="W363" s="11">
        <v>11611</v>
      </c>
      <c r="X363" s="6" t="s">
        <v>163</v>
      </c>
      <c r="Y363" s="10">
        <v>42226</v>
      </c>
      <c r="Z363" s="10">
        <v>42436</v>
      </c>
      <c r="AA363" s="23">
        <f>AC363/AE358</f>
        <v>4.5779545964460225E-2</v>
      </c>
      <c r="AB363" s="21"/>
      <c r="AC363" s="24">
        <v>114012.98</v>
      </c>
      <c r="AD363" s="24"/>
      <c r="AE363" s="25">
        <f>AE358-AD363+AC363</f>
        <v>2604491.59</v>
      </c>
      <c r="AF363" s="25">
        <v>0</v>
      </c>
      <c r="AG363" s="107">
        <v>0</v>
      </c>
      <c r="AH363" s="12">
        <f t="shared" si="15"/>
        <v>0</v>
      </c>
      <c r="AI363" s="21"/>
      <c r="AJ363" s="11"/>
      <c r="AK363" s="21"/>
      <c r="AL363" s="27"/>
      <c r="AM363" s="21"/>
      <c r="AN363" s="21"/>
      <c r="AO363" s="11"/>
      <c r="AP363" s="10"/>
      <c r="AQ363" s="11"/>
      <c r="AR363" s="10"/>
      <c r="AS363" s="35"/>
      <c r="AT363" s="34"/>
      <c r="AU363" s="123"/>
      <c r="AV363" s="123"/>
      <c r="AW363" s="126"/>
      <c r="AX363" s="27"/>
      <c r="AY363" s="27"/>
      <c r="AZ363" s="27"/>
      <c r="BA363" s="27"/>
      <c r="BB363" s="27"/>
      <c r="BC363" s="27"/>
      <c r="BD363" s="27"/>
    </row>
    <row r="364" spans="1:56" s="193" customFormat="1" ht="37.5" customHeight="1" x14ac:dyDescent="0.25">
      <c r="A364" s="271">
        <v>99</v>
      </c>
      <c r="B364" s="255" t="s">
        <v>316</v>
      </c>
      <c r="C364" s="44" t="s">
        <v>114</v>
      </c>
      <c r="D364" s="44" t="s">
        <v>318</v>
      </c>
      <c r="E364" s="44" t="s">
        <v>123</v>
      </c>
      <c r="F364" s="44" t="s">
        <v>305</v>
      </c>
      <c r="G364" s="118">
        <v>11086</v>
      </c>
      <c r="H364" s="116" t="s">
        <v>349</v>
      </c>
      <c r="I364" s="44" t="s">
        <v>312</v>
      </c>
      <c r="J364" s="44" t="s">
        <v>350</v>
      </c>
      <c r="K364" s="45">
        <v>41464</v>
      </c>
      <c r="L364" s="130">
        <v>1824558.03</v>
      </c>
      <c r="M364" s="118">
        <v>11088</v>
      </c>
      <c r="N364" s="45">
        <v>41464</v>
      </c>
      <c r="O364" s="45">
        <f>N364+210</f>
        <v>41674</v>
      </c>
      <c r="P364" s="106" t="s">
        <v>157</v>
      </c>
      <c r="Q364" s="44"/>
      <c r="R364" s="44"/>
      <c r="S364" s="44"/>
      <c r="T364" s="44" t="s">
        <v>208</v>
      </c>
      <c r="U364" s="6"/>
      <c r="V364" s="21"/>
      <c r="W364" s="122"/>
      <c r="X364" s="6"/>
      <c r="Y364" s="21"/>
      <c r="Z364" s="21"/>
      <c r="AA364" s="23"/>
      <c r="AB364" s="21"/>
      <c r="AC364" s="24"/>
      <c r="AD364" s="24"/>
      <c r="AE364" s="25">
        <f>L364</f>
        <v>1824558.03</v>
      </c>
      <c r="AF364" s="25">
        <f>115883.92+29901.45+60459.22+373565.38+60801.21</f>
        <v>640611.17999999993</v>
      </c>
      <c r="AG364" s="107">
        <v>0</v>
      </c>
      <c r="AH364" s="12">
        <f t="shared" ref="AH364:AH401" si="16">AF364+AG364</f>
        <v>640611.17999999993</v>
      </c>
      <c r="AI364" s="21"/>
      <c r="AJ364" s="11"/>
      <c r="AK364" s="21"/>
      <c r="AL364" s="27"/>
      <c r="AM364" s="21"/>
      <c r="AN364" s="21"/>
      <c r="AO364" s="11"/>
      <c r="AP364" s="10"/>
      <c r="AQ364" s="11"/>
      <c r="AR364" s="10"/>
      <c r="AS364" s="44" t="s">
        <v>449</v>
      </c>
      <c r="AT364" s="43" t="s">
        <v>448</v>
      </c>
      <c r="AU364" s="131">
        <v>41464</v>
      </c>
      <c r="AV364" s="131">
        <v>41614</v>
      </c>
      <c r="AW364" s="124">
        <f>(AH364+AH367+AH369+AH375)/AE370</f>
        <v>0.98177139319141182</v>
      </c>
      <c r="AX364" s="43"/>
      <c r="AY364" s="48">
        <v>41464</v>
      </c>
      <c r="AZ364" s="43" t="s">
        <v>400</v>
      </c>
      <c r="BA364" s="43" t="s">
        <v>401</v>
      </c>
      <c r="BB364" s="43"/>
      <c r="BC364" s="43"/>
      <c r="BD364" s="43"/>
    </row>
    <row r="365" spans="1:56" s="193" customFormat="1" x14ac:dyDescent="0.25">
      <c r="A365" s="271"/>
      <c r="B365" s="255"/>
      <c r="C365" s="44"/>
      <c r="D365" s="44"/>
      <c r="E365" s="44"/>
      <c r="F365" s="44"/>
      <c r="G365" s="118"/>
      <c r="H365" s="116"/>
      <c r="I365" s="44"/>
      <c r="J365" s="44"/>
      <c r="K365" s="45"/>
      <c r="L365" s="130"/>
      <c r="M365" s="118"/>
      <c r="N365" s="45"/>
      <c r="O365" s="45"/>
      <c r="P365" s="138"/>
      <c r="Q365" s="44"/>
      <c r="R365" s="44"/>
      <c r="S365" s="44"/>
      <c r="T365" s="44"/>
      <c r="U365" s="6" t="s">
        <v>141</v>
      </c>
      <c r="V365" s="10">
        <v>41598</v>
      </c>
      <c r="W365" s="11">
        <v>11189</v>
      </c>
      <c r="X365" s="6" t="s">
        <v>504</v>
      </c>
      <c r="Y365" s="10">
        <v>41675</v>
      </c>
      <c r="Z365" s="10">
        <v>41886</v>
      </c>
      <c r="AA365" s="23"/>
      <c r="AB365" s="21"/>
      <c r="AC365" s="24"/>
      <c r="AD365" s="24"/>
      <c r="AE365" s="25"/>
      <c r="AF365" s="25"/>
      <c r="AG365" s="107">
        <v>0</v>
      </c>
      <c r="AH365" s="12">
        <f t="shared" si="16"/>
        <v>0</v>
      </c>
      <c r="AI365" s="21"/>
      <c r="AJ365" s="11"/>
      <c r="AK365" s="21"/>
      <c r="AL365" s="27"/>
      <c r="AM365" s="21"/>
      <c r="AN365" s="21"/>
      <c r="AO365" s="11"/>
      <c r="AP365" s="10"/>
      <c r="AQ365" s="11"/>
      <c r="AR365" s="10"/>
      <c r="AS365" s="44"/>
      <c r="AT365" s="43"/>
      <c r="AU365" s="131">
        <v>41615</v>
      </c>
      <c r="AV365" s="131">
        <v>41765</v>
      </c>
      <c r="AW365" s="125"/>
      <c r="AX365" s="43"/>
      <c r="AY365" s="48"/>
      <c r="AZ365" s="43"/>
      <c r="BA365" s="43"/>
      <c r="BB365" s="43"/>
      <c r="BC365" s="43"/>
      <c r="BD365" s="43"/>
    </row>
    <row r="366" spans="1:56" s="193" customFormat="1" ht="25.5" x14ac:dyDescent="0.25">
      <c r="A366" s="271"/>
      <c r="B366" s="255"/>
      <c r="C366" s="44"/>
      <c r="D366" s="44"/>
      <c r="E366" s="44"/>
      <c r="F366" s="44"/>
      <c r="G366" s="118"/>
      <c r="H366" s="116"/>
      <c r="I366" s="44"/>
      <c r="J366" s="44"/>
      <c r="K366" s="45"/>
      <c r="L366" s="130"/>
      <c r="M366" s="118"/>
      <c r="N366" s="45"/>
      <c r="O366" s="45"/>
      <c r="P366" s="80"/>
      <c r="Q366" s="44"/>
      <c r="R366" s="44"/>
      <c r="S366" s="44"/>
      <c r="T366" s="44"/>
      <c r="U366" s="6" t="s">
        <v>425</v>
      </c>
      <c r="V366" s="10">
        <v>41599</v>
      </c>
      <c r="W366" s="11">
        <v>11367</v>
      </c>
      <c r="X366" s="6" t="s">
        <v>501</v>
      </c>
      <c r="Y366" s="10"/>
      <c r="Z366" s="10"/>
      <c r="AA366" s="23"/>
      <c r="AB366" s="21"/>
      <c r="AC366" s="24"/>
      <c r="AD366" s="24"/>
      <c r="AE366" s="25"/>
      <c r="AF366" s="25"/>
      <c r="AG366" s="107">
        <v>0</v>
      </c>
      <c r="AH366" s="12">
        <f t="shared" si="16"/>
        <v>0</v>
      </c>
      <c r="AI366" s="21"/>
      <c r="AJ366" s="11"/>
      <c r="AK366" s="21"/>
      <c r="AL366" s="27"/>
      <c r="AM366" s="21"/>
      <c r="AN366" s="21"/>
      <c r="AO366" s="11"/>
      <c r="AP366" s="10"/>
      <c r="AQ366" s="11"/>
      <c r="AR366" s="10"/>
      <c r="AS366" s="44"/>
      <c r="AT366" s="43"/>
      <c r="AU366" s="131"/>
      <c r="AV366" s="131"/>
      <c r="AW366" s="125"/>
      <c r="AX366" s="43"/>
      <c r="AY366" s="48"/>
      <c r="AZ366" s="43"/>
      <c r="BA366" s="43"/>
      <c r="BB366" s="43"/>
      <c r="BC366" s="43"/>
      <c r="BD366" s="43"/>
    </row>
    <row r="367" spans="1:56" s="193" customFormat="1" ht="25.5" x14ac:dyDescent="0.25">
      <c r="A367" s="271"/>
      <c r="B367" s="255"/>
      <c r="C367" s="44"/>
      <c r="D367" s="44"/>
      <c r="E367" s="44"/>
      <c r="F367" s="44"/>
      <c r="G367" s="118"/>
      <c r="H367" s="116"/>
      <c r="I367" s="44"/>
      <c r="J367" s="44"/>
      <c r="K367" s="45"/>
      <c r="L367" s="130"/>
      <c r="M367" s="118"/>
      <c r="N367" s="45"/>
      <c r="O367" s="45"/>
      <c r="P367" s="112" t="s">
        <v>158</v>
      </c>
      <c r="Q367" s="44"/>
      <c r="R367" s="44"/>
      <c r="S367" s="44"/>
      <c r="T367" s="44"/>
      <c r="U367" s="6" t="s">
        <v>426</v>
      </c>
      <c r="V367" s="10">
        <v>41625</v>
      </c>
      <c r="W367" s="11">
        <v>11367</v>
      </c>
      <c r="X367" s="6" t="s">
        <v>501</v>
      </c>
      <c r="Y367" s="10"/>
      <c r="Z367" s="10"/>
      <c r="AA367" s="23"/>
      <c r="AB367" s="21"/>
      <c r="AC367" s="24"/>
      <c r="AD367" s="24"/>
      <c r="AE367" s="25"/>
      <c r="AF367" s="25">
        <f>146052.99+96112.19+214103.73+361655.98</f>
        <v>817924.89</v>
      </c>
      <c r="AG367" s="107">
        <v>0</v>
      </c>
      <c r="AH367" s="12">
        <f t="shared" si="16"/>
        <v>817924.89</v>
      </c>
      <c r="AI367" s="21"/>
      <c r="AJ367" s="11"/>
      <c r="AK367" s="21"/>
      <c r="AL367" s="27"/>
      <c r="AM367" s="21"/>
      <c r="AN367" s="21"/>
      <c r="AO367" s="11"/>
      <c r="AP367" s="10"/>
      <c r="AQ367" s="11"/>
      <c r="AR367" s="10"/>
      <c r="AS367" s="44"/>
      <c r="AT367" s="43"/>
      <c r="AU367" s="131"/>
      <c r="AV367" s="131"/>
      <c r="AW367" s="125"/>
      <c r="AX367" s="43"/>
      <c r="AY367" s="48"/>
      <c r="AZ367" s="43"/>
      <c r="BA367" s="43"/>
      <c r="BB367" s="43"/>
      <c r="BC367" s="43"/>
      <c r="BD367" s="43"/>
    </row>
    <row r="368" spans="1:56" s="193" customFormat="1" x14ac:dyDescent="0.25">
      <c r="A368" s="271"/>
      <c r="B368" s="255"/>
      <c r="C368" s="44"/>
      <c r="D368" s="44"/>
      <c r="E368" s="44"/>
      <c r="F368" s="44"/>
      <c r="G368" s="118"/>
      <c r="H368" s="116"/>
      <c r="I368" s="44"/>
      <c r="J368" s="44"/>
      <c r="K368" s="45"/>
      <c r="L368" s="130"/>
      <c r="M368" s="118"/>
      <c r="N368" s="45"/>
      <c r="O368" s="45"/>
      <c r="P368" s="110"/>
      <c r="Q368" s="44"/>
      <c r="R368" s="44"/>
      <c r="S368" s="44"/>
      <c r="T368" s="44"/>
      <c r="U368" s="6" t="s">
        <v>124</v>
      </c>
      <c r="V368" s="10">
        <v>41757</v>
      </c>
      <c r="W368" s="11">
        <v>11325</v>
      </c>
      <c r="X368" s="6" t="s">
        <v>504</v>
      </c>
      <c r="Y368" s="10">
        <f t="shared" ref="Y368:Y373" si="17">Z368-210</f>
        <v>41886</v>
      </c>
      <c r="Z368" s="10">
        <v>42096</v>
      </c>
      <c r="AA368" s="23"/>
      <c r="AB368" s="21"/>
      <c r="AC368" s="24"/>
      <c r="AD368" s="24"/>
      <c r="AE368" s="25"/>
      <c r="AF368" s="127"/>
      <c r="AG368" s="107">
        <v>0</v>
      </c>
      <c r="AH368" s="12">
        <f t="shared" si="16"/>
        <v>0</v>
      </c>
      <c r="AI368" s="21"/>
      <c r="AJ368" s="11"/>
      <c r="AK368" s="21"/>
      <c r="AL368" s="27"/>
      <c r="AM368" s="21"/>
      <c r="AN368" s="21"/>
      <c r="AO368" s="11"/>
      <c r="AP368" s="10"/>
      <c r="AQ368" s="11"/>
      <c r="AR368" s="10"/>
      <c r="AS368" s="44"/>
      <c r="AT368" s="43"/>
      <c r="AU368" s="131">
        <v>41766</v>
      </c>
      <c r="AV368" s="131">
        <v>41916</v>
      </c>
      <c r="AW368" s="125"/>
      <c r="AX368" s="43"/>
      <c r="AY368" s="48"/>
      <c r="AZ368" s="43"/>
      <c r="BA368" s="43"/>
      <c r="BB368" s="43"/>
      <c r="BC368" s="43"/>
      <c r="BD368" s="43"/>
    </row>
    <row r="369" spans="1:56" s="193" customFormat="1" ht="25.5" x14ac:dyDescent="0.25">
      <c r="A369" s="271"/>
      <c r="B369" s="255"/>
      <c r="C369" s="44"/>
      <c r="D369" s="44"/>
      <c r="E369" s="44"/>
      <c r="F369" s="44"/>
      <c r="G369" s="118"/>
      <c r="H369" s="116"/>
      <c r="I369" s="44"/>
      <c r="J369" s="44"/>
      <c r="K369" s="45"/>
      <c r="L369" s="130"/>
      <c r="M369" s="118"/>
      <c r="N369" s="45"/>
      <c r="O369" s="45"/>
      <c r="P369" s="6" t="s">
        <v>525</v>
      </c>
      <c r="Q369" s="44"/>
      <c r="R369" s="44"/>
      <c r="S369" s="44"/>
      <c r="T369" s="44"/>
      <c r="U369" s="6" t="s">
        <v>309</v>
      </c>
      <c r="V369" s="10">
        <v>41792</v>
      </c>
      <c r="W369" s="11">
        <v>11321</v>
      </c>
      <c r="X369" s="6" t="s">
        <v>505</v>
      </c>
      <c r="Y369" s="10">
        <f t="shared" si="17"/>
        <v>41886</v>
      </c>
      <c r="Z369" s="10">
        <v>42096</v>
      </c>
      <c r="AA369" s="23">
        <f>AC369/L364</f>
        <v>0.14932447503464716</v>
      </c>
      <c r="AB369" s="21"/>
      <c r="AC369" s="24">
        <v>272451.17</v>
      </c>
      <c r="AD369" s="24"/>
      <c r="AE369" s="25">
        <f>L364-AD369+AC369</f>
        <v>2097009.2</v>
      </c>
      <c r="AF369" s="25">
        <f>39864.6+215611.86+35372.91</f>
        <v>290849.37</v>
      </c>
      <c r="AG369" s="107">
        <v>24016.11</v>
      </c>
      <c r="AH369" s="12">
        <f t="shared" si="16"/>
        <v>314865.48</v>
      </c>
      <c r="AI369" s="21"/>
      <c r="AJ369" s="11"/>
      <c r="AK369" s="21"/>
      <c r="AL369" s="27"/>
      <c r="AM369" s="21"/>
      <c r="AN369" s="21"/>
      <c r="AO369" s="11"/>
      <c r="AP369" s="10"/>
      <c r="AQ369" s="11"/>
      <c r="AR369" s="10"/>
      <c r="AS369" s="44"/>
      <c r="AT369" s="43"/>
      <c r="AU369" s="131"/>
      <c r="AV369" s="131"/>
      <c r="AW369" s="125"/>
      <c r="AX369" s="43"/>
      <c r="AY369" s="48"/>
      <c r="AZ369" s="43"/>
      <c r="BA369" s="43"/>
      <c r="BB369" s="43"/>
      <c r="BC369" s="43"/>
      <c r="BD369" s="43"/>
    </row>
    <row r="370" spans="1:56" s="193" customFormat="1" x14ac:dyDescent="0.25">
      <c r="A370" s="271"/>
      <c r="B370" s="255"/>
      <c r="C370" s="44"/>
      <c r="D370" s="44"/>
      <c r="E370" s="44"/>
      <c r="F370" s="44"/>
      <c r="G370" s="118"/>
      <c r="H370" s="116"/>
      <c r="I370" s="44"/>
      <c r="J370" s="44"/>
      <c r="K370" s="45"/>
      <c r="L370" s="130"/>
      <c r="M370" s="118"/>
      <c r="N370" s="45"/>
      <c r="O370" s="45"/>
      <c r="P370" s="6"/>
      <c r="Q370" s="44"/>
      <c r="R370" s="44"/>
      <c r="S370" s="44"/>
      <c r="T370" s="44"/>
      <c r="U370" s="6" t="s">
        <v>143</v>
      </c>
      <c r="V370" s="10">
        <v>41845</v>
      </c>
      <c r="W370" s="122">
        <v>11364</v>
      </c>
      <c r="X370" s="6" t="s">
        <v>163</v>
      </c>
      <c r="Y370" s="10">
        <f t="shared" si="17"/>
        <v>41886</v>
      </c>
      <c r="Z370" s="10">
        <v>42096</v>
      </c>
      <c r="AA370" s="23">
        <f>AC370/L364</f>
        <v>0.11817210330109368</v>
      </c>
      <c r="AB370" s="21"/>
      <c r="AC370" s="24">
        <v>215611.86</v>
      </c>
      <c r="AD370" s="24"/>
      <c r="AE370" s="25">
        <f>AE369-AD370+AC370</f>
        <v>2312621.06</v>
      </c>
      <c r="AF370" s="25"/>
      <c r="AG370" s="107">
        <v>0</v>
      </c>
      <c r="AH370" s="12">
        <f t="shared" si="16"/>
        <v>0</v>
      </c>
      <c r="AI370" s="21"/>
      <c r="AJ370" s="11"/>
      <c r="AK370" s="21"/>
      <c r="AL370" s="27"/>
      <c r="AM370" s="21"/>
      <c r="AN370" s="21"/>
      <c r="AO370" s="11"/>
      <c r="AP370" s="10"/>
      <c r="AQ370" s="11"/>
      <c r="AR370" s="10"/>
      <c r="AS370" s="44"/>
      <c r="AT370" s="43"/>
      <c r="AU370" s="131"/>
      <c r="AV370" s="131"/>
      <c r="AW370" s="125"/>
      <c r="AX370" s="43"/>
      <c r="AY370" s="48"/>
      <c r="AZ370" s="43"/>
      <c r="BA370" s="43"/>
      <c r="BB370" s="43"/>
      <c r="BC370" s="43"/>
      <c r="BD370" s="43"/>
    </row>
    <row r="371" spans="1:56" s="193" customFormat="1" x14ac:dyDescent="0.25">
      <c r="A371" s="271"/>
      <c r="B371" s="255"/>
      <c r="C371" s="44"/>
      <c r="D371" s="44"/>
      <c r="E371" s="44"/>
      <c r="F371" s="44"/>
      <c r="G371" s="118"/>
      <c r="H371" s="116"/>
      <c r="I371" s="44"/>
      <c r="J371" s="44"/>
      <c r="K371" s="45"/>
      <c r="L371" s="130"/>
      <c r="M371" s="118"/>
      <c r="N371" s="45"/>
      <c r="O371" s="45"/>
      <c r="P371" s="6"/>
      <c r="Q371" s="44"/>
      <c r="R371" s="44"/>
      <c r="S371" s="44"/>
      <c r="T371" s="44"/>
      <c r="U371" s="6" t="s">
        <v>126</v>
      </c>
      <c r="V371" s="10">
        <v>41915</v>
      </c>
      <c r="W371" s="122">
        <v>11431</v>
      </c>
      <c r="X371" s="6" t="s">
        <v>587</v>
      </c>
      <c r="Y371" s="10">
        <f t="shared" si="17"/>
        <v>41886</v>
      </c>
      <c r="Z371" s="10">
        <v>42096</v>
      </c>
      <c r="AA371" s="23"/>
      <c r="AB371" s="21"/>
      <c r="AC371" s="24"/>
      <c r="AD371" s="24"/>
      <c r="AE371" s="25"/>
      <c r="AF371" s="25"/>
      <c r="AG371" s="107">
        <v>0</v>
      </c>
      <c r="AH371" s="12">
        <f t="shared" si="16"/>
        <v>0</v>
      </c>
      <c r="AI371" s="21"/>
      <c r="AJ371" s="11"/>
      <c r="AK371" s="21"/>
      <c r="AL371" s="27"/>
      <c r="AM371" s="21"/>
      <c r="AN371" s="21"/>
      <c r="AO371" s="11"/>
      <c r="AP371" s="10"/>
      <c r="AQ371" s="11"/>
      <c r="AR371" s="10"/>
      <c r="AS371" s="44"/>
      <c r="AT371" s="43"/>
      <c r="AU371" s="131">
        <v>41916</v>
      </c>
      <c r="AV371" s="131">
        <v>42066</v>
      </c>
      <c r="AW371" s="125"/>
      <c r="AX371" s="43"/>
      <c r="AY371" s="48"/>
      <c r="AZ371" s="43"/>
      <c r="BA371" s="43"/>
      <c r="BB371" s="43"/>
      <c r="BC371" s="43"/>
      <c r="BD371" s="43"/>
    </row>
    <row r="372" spans="1:56" s="193" customFormat="1" ht="25.5" x14ac:dyDescent="0.25">
      <c r="A372" s="271"/>
      <c r="B372" s="255"/>
      <c r="C372" s="44"/>
      <c r="D372" s="44"/>
      <c r="E372" s="44"/>
      <c r="F372" s="44"/>
      <c r="G372" s="118"/>
      <c r="H372" s="116"/>
      <c r="I372" s="44"/>
      <c r="J372" s="44"/>
      <c r="K372" s="45"/>
      <c r="L372" s="130"/>
      <c r="M372" s="118"/>
      <c r="N372" s="45"/>
      <c r="O372" s="45"/>
      <c r="P372" s="6"/>
      <c r="Q372" s="44"/>
      <c r="R372" s="44"/>
      <c r="S372" s="44"/>
      <c r="T372" s="44"/>
      <c r="U372" s="6" t="s">
        <v>365</v>
      </c>
      <c r="V372" s="10">
        <v>42061</v>
      </c>
      <c r="W372" s="122"/>
      <c r="X372" s="6" t="s">
        <v>538</v>
      </c>
      <c r="Y372" s="10">
        <f t="shared" si="17"/>
        <v>41886</v>
      </c>
      <c r="Z372" s="10">
        <v>42096</v>
      </c>
      <c r="AA372" s="23"/>
      <c r="AB372" s="21"/>
      <c r="AC372" s="24"/>
      <c r="AD372" s="24"/>
      <c r="AE372" s="25"/>
      <c r="AF372" s="25"/>
      <c r="AG372" s="107">
        <v>0</v>
      </c>
      <c r="AH372" s="12">
        <f t="shared" si="16"/>
        <v>0</v>
      </c>
      <c r="AI372" s="21"/>
      <c r="AJ372" s="11"/>
      <c r="AK372" s="21"/>
      <c r="AL372" s="27"/>
      <c r="AM372" s="21"/>
      <c r="AN372" s="21"/>
      <c r="AO372" s="11"/>
      <c r="AP372" s="10"/>
      <c r="AQ372" s="11"/>
      <c r="AR372" s="10"/>
      <c r="AS372" s="44"/>
      <c r="AT372" s="43"/>
      <c r="AU372" s="131"/>
      <c r="AV372" s="131"/>
      <c r="AW372" s="125"/>
      <c r="AX372" s="43"/>
      <c r="AY372" s="48"/>
      <c r="AZ372" s="43"/>
      <c r="BA372" s="43"/>
      <c r="BB372" s="43"/>
      <c r="BC372" s="43"/>
      <c r="BD372" s="43"/>
    </row>
    <row r="373" spans="1:56" s="193" customFormat="1" ht="25.5" x14ac:dyDescent="0.25">
      <c r="A373" s="271"/>
      <c r="B373" s="255"/>
      <c r="C373" s="44"/>
      <c r="D373" s="44"/>
      <c r="E373" s="44"/>
      <c r="F373" s="44"/>
      <c r="G373" s="118"/>
      <c r="H373" s="116"/>
      <c r="I373" s="44"/>
      <c r="J373" s="44"/>
      <c r="K373" s="45"/>
      <c r="L373" s="130"/>
      <c r="M373" s="118"/>
      <c r="N373" s="45"/>
      <c r="O373" s="45"/>
      <c r="P373" s="6"/>
      <c r="Q373" s="44"/>
      <c r="R373" s="44"/>
      <c r="S373" s="44"/>
      <c r="T373" s="44"/>
      <c r="U373" s="6" t="s">
        <v>588</v>
      </c>
      <c r="V373" s="10">
        <v>42065</v>
      </c>
      <c r="W373" s="122">
        <v>11632</v>
      </c>
      <c r="X373" s="6" t="s">
        <v>538</v>
      </c>
      <c r="Y373" s="10">
        <f t="shared" si="17"/>
        <v>41886</v>
      </c>
      <c r="Z373" s="10">
        <v>42096</v>
      </c>
      <c r="AA373" s="23"/>
      <c r="AB373" s="21"/>
      <c r="AC373" s="24"/>
      <c r="AD373" s="24"/>
      <c r="AE373" s="25"/>
      <c r="AF373" s="25"/>
      <c r="AG373" s="107">
        <v>0</v>
      </c>
      <c r="AH373" s="12">
        <f t="shared" si="16"/>
        <v>0</v>
      </c>
      <c r="AI373" s="21"/>
      <c r="AJ373" s="11"/>
      <c r="AK373" s="21"/>
      <c r="AL373" s="27"/>
      <c r="AM373" s="21"/>
      <c r="AN373" s="21"/>
      <c r="AO373" s="11"/>
      <c r="AP373" s="10"/>
      <c r="AQ373" s="11"/>
      <c r="AR373" s="10"/>
      <c r="AS373" s="44"/>
      <c r="AT373" s="43"/>
      <c r="AU373" s="131">
        <v>42066</v>
      </c>
      <c r="AV373" s="131">
        <v>42216</v>
      </c>
      <c r="AW373" s="125"/>
      <c r="AX373" s="43"/>
      <c r="AY373" s="48"/>
      <c r="AZ373" s="43"/>
      <c r="BA373" s="43"/>
      <c r="BB373" s="43"/>
      <c r="BC373" s="43"/>
      <c r="BD373" s="43"/>
    </row>
    <row r="374" spans="1:56" s="193" customFormat="1" ht="25.5" x14ac:dyDescent="0.25">
      <c r="A374" s="271"/>
      <c r="B374" s="255"/>
      <c r="C374" s="44"/>
      <c r="D374" s="44"/>
      <c r="E374" s="44"/>
      <c r="F374" s="44"/>
      <c r="G374" s="118"/>
      <c r="H374" s="116"/>
      <c r="I374" s="44"/>
      <c r="J374" s="44"/>
      <c r="K374" s="45"/>
      <c r="L374" s="130"/>
      <c r="M374" s="118"/>
      <c r="N374" s="45"/>
      <c r="O374" s="45"/>
      <c r="P374" s="6"/>
      <c r="Q374" s="44"/>
      <c r="R374" s="44"/>
      <c r="S374" s="44"/>
      <c r="T374" s="44"/>
      <c r="U374" s="6" t="s">
        <v>679</v>
      </c>
      <c r="V374" s="10">
        <v>53172</v>
      </c>
      <c r="W374" s="122">
        <v>11621</v>
      </c>
      <c r="X374" s="6" t="s">
        <v>680</v>
      </c>
      <c r="Y374" s="10">
        <v>42306</v>
      </c>
      <c r="Z374" s="10">
        <v>42516</v>
      </c>
      <c r="AA374" s="23"/>
      <c r="AB374" s="21"/>
      <c r="AC374" s="24"/>
      <c r="AD374" s="24"/>
      <c r="AE374" s="25"/>
      <c r="AF374" s="25"/>
      <c r="AG374" s="107"/>
      <c r="AH374" s="12">
        <f t="shared" si="16"/>
        <v>0</v>
      </c>
      <c r="AI374" s="21"/>
      <c r="AJ374" s="11"/>
      <c r="AK374" s="21"/>
      <c r="AL374" s="27"/>
      <c r="AM374" s="21"/>
      <c r="AN374" s="21"/>
      <c r="AO374" s="11"/>
      <c r="AP374" s="10"/>
      <c r="AQ374" s="11"/>
      <c r="AR374" s="10"/>
      <c r="AS374" s="44"/>
      <c r="AT374" s="43"/>
      <c r="AU374" s="131">
        <v>42216</v>
      </c>
      <c r="AV374" s="131">
        <v>42366</v>
      </c>
      <c r="AW374" s="125"/>
      <c r="AX374" s="43"/>
      <c r="AY374" s="48"/>
      <c r="AZ374" s="43"/>
      <c r="BA374" s="43"/>
      <c r="BB374" s="43"/>
      <c r="BC374" s="43"/>
      <c r="BD374" s="43"/>
    </row>
    <row r="375" spans="1:56" s="193" customFormat="1" ht="28.5" customHeight="1" x14ac:dyDescent="0.25">
      <c r="A375" s="271"/>
      <c r="B375" s="255"/>
      <c r="C375" s="44"/>
      <c r="D375" s="44"/>
      <c r="E375" s="44"/>
      <c r="F375" s="44"/>
      <c r="G375" s="118"/>
      <c r="H375" s="116"/>
      <c r="I375" s="44"/>
      <c r="J375" s="44"/>
      <c r="K375" s="45"/>
      <c r="L375" s="130"/>
      <c r="M375" s="118"/>
      <c r="N375" s="45"/>
      <c r="O375" s="45"/>
      <c r="P375" s="6" t="s">
        <v>314</v>
      </c>
      <c r="Q375" s="44"/>
      <c r="R375" s="44"/>
      <c r="S375" s="44"/>
      <c r="T375" s="44"/>
      <c r="U375" s="6" t="s">
        <v>775</v>
      </c>
      <c r="V375" s="10">
        <v>53172</v>
      </c>
      <c r="W375" s="122">
        <v>11621</v>
      </c>
      <c r="X375" s="6" t="s">
        <v>680</v>
      </c>
      <c r="Y375" s="10">
        <v>42308</v>
      </c>
      <c r="Z375" s="10">
        <v>42518</v>
      </c>
      <c r="AA375" s="23"/>
      <c r="AB375" s="21"/>
      <c r="AC375" s="24"/>
      <c r="AD375" s="24"/>
      <c r="AE375" s="25"/>
      <c r="AF375" s="107">
        <f>17930.63+93278.99+102614.97+107175.38+97802.34</f>
        <v>418802.31000000006</v>
      </c>
      <c r="AG375" s="107">
        <v>78261.34</v>
      </c>
      <c r="AH375" s="12">
        <f t="shared" si="16"/>
        <v>497063.65</v>
      </c>
      <c r="AI375" s="21"/>
      <c r="AJ375" s="11"/>
      <c r="AK375" s="21"/>
      <c r="AL375" s="27"/>
      <c r="AM375" s="21"/>
      <c r="AN375" s="21"/>
      <c r="AO375" s="11"/>
      <c r="AP375" s="10"/>
      <c r="AQ375" s="11"/>
      <c r="AR375" s="10"/>
      <c r="AS375" s="44"/>
      <c r="AT375" s="43"/>
      <c r="AU375" s="131">
        <v>42222</v>
      </c>
      <c r="AV375" s="131">
        <v>42372</v>
      </c>
      <c r="AW375" s="126"/>
      <c r="AX375" s="43"/>
      <c r="AY375" s="48"/>
      <c r="AZ375" s="43"/>
      <c r="BA375" s="43"/>
      <c r="BB375" s="43"/>
      <c r="BC375" s="43"/>
      <c r="BD375" s="43"/>
    </row>
    <row r="376" spans="1:56" s="193" customFormat="1" ht="29.25" customHeight="1" x14ac:dyDescent="0.25">
      <c r="A376" s="271">
        <v>100</v>
      </c>
      <c r="B376" s="255" t="s">
        <v>167</v>
      </c>
      <c r="C376" s="139" t="s">
        <v>398</v>
      </c>
      <c r="D376" s="44" t="s">
        <v>318</v>
      </c>
      <c r="E376" s="44" t="s">
        <v>123</v>
      </c>
      <c r="F376" s="44" t="s">
        <v>306</v>
      </c>
      <c r="G376" s="118">
        <v>10988</v>
      </c>
      <c r="H376" s="116" t="s">
        <v>321</v>
      </c>
      <c r="I376" s="44" t="s">
        <v>313</v>
      </c>
      <c r="J376" s="44" t="s">
        <v>322</v>
      </c>
      <c r="K376" s="45">
        <v>41467</v>
      </c>
      <c r="L376" s="130">
        <v>1763829.37</v>
      </c>
      <c r="M376" s="118">
        <v>11092</v>
      </c>
      <c r="N376" s="45">
        <v>41467</v>
      </c>
      <c r="O376" s="45">
        <v>41677</v>
      </c>
      <c r="P376" s="106" t="s">
        <v>157</v>
      </c>
      <c r="Q376" s="44"/>
      <c r="R376" s="44"/>
      <c r="S376" s="44"/>
      <c r="T376" s="44" t="s">
        <v>208</v>
      </c>
      <c r="U376" s="6"/>
      <c r="V376" s="21"/>
      <c r="W376" s="122"/>
      <c r="X376" s="6"/>
      <c r="Y376" s="21"/>
      <c r="Z376" s="21"/>
      <c r="AA376" s="23"/>
      <c r="AB376" s="21"/>
      <c r="AC376" s="24">
        <v>610849.80000000005</v>
      </c>
      <c r="AD376" s="24"/>
      <c r="AE376" s="25">
        <f>L376-AD376+AC376</f>
        <v>2374679.17</v>
      </c>
      <c r="AF376" s="25">
        <f>495765.44+73037.35</f>
        <v>568802.79</v>
      </c>
      <c r="AG376" s="107">
        <v>0</v>
      </c>
      <c r="AH376" s="12">
        <f t="shared" si="16"/>
        <v>568802.79</v>
      </c>
      <c r="AI376" s="21"/>
      <c r="AJ376" s="11"/>
      <c r="AK376" s="21"/>
      <c r="AL376" s="27"/>
      <c r="AM376" s="21"/>
      <c r="AN376" s="21"/>
      <c r="AO376" s="11"/>
      <c r="AP376" s="10"/>
      <c r="AQ376" s="11"/>
      <c r="AR376" s="10"/>
      <c r="AS376" s="44" t="s">
        <v>449</v>
      </c>
      <c r="AT376" s="43" t="s">
        <v>448</v>
      </c>
      <c r="AU376" s="131">
        <v>41467</v>
      </c>
      <c r="AV376" s="131">
        <v>41620</v>
      </c>
      <c r="AW376" s="124">
        <f>(AH376+AH378+AH382+AH384+AH385)/AE383</f>
        <v>0.90462687218501203</v>
      </c>
      <c r="AX376" s="43"/>
      <c r="AY376" s="48">
        <v>41467</v>
      </c>
      <c r="AZ376" s="43" t="s">
        <v>400</v>
      </c>
      <c r="BA376" s="43" t="s">
        <v>401</v>
      </c>
      <c r="BB376" s="43"/>
      <c r="BC376" s="43"/>
      <c r="BD376" s="43"/>
    </row>
    <row r="377" spans="1:56" s="193" customFormat="1" ht="27.75" customHeight="1" x14ac:dyDescent="0.25">
      <c r="A377" s="271"/>
      <c r="B377" s="255"/>
      <c r="C377" s="140"/>
      <c r="D377" s="44"/>
      <c r="E377" s="44"/>
      <c r="F377" s="44"/>
      <c r="G377" s="118"/>
      <c r="H377" s="116"/>
      <c r="I377" s="44"/>
      <c r="J377" s="44"/>
      <c r="K377" s="44"/>
      <c r="L377" s="130"/>
      <c r="M377" s="118"/>
      <c r="N377" s="45"/>
      <c r="O377" s="45"/>
      <c r="P377" s="138"/>
      <c r="Q377" s="44"/>
      <c r="R377" s="44"/>
      <c r="S377" s="44"/>
      <c r="T377" s="44"/>
      <c r="U377" s="6" t="s">
        <v>141</v>
      </c>
      <c r="V377" s="10">
        <v>41611</v>
      </c>
      <c r="W377" s="11">
        <v>11197</v>
      </c>
      <c r="X377" s="6" t="s">
        <v>498</v>
      </c>
      <c r="Y377" s="10">
        <v>41677</v>
      </c>
      <c r="Z377" s="10">
        <v>41889</v>
      </c>
      <c r="AA377" s="10"/>
      <c r="AB377" s="21"/>
      <c r="AC377" s="24"/>
      <c r="AD377" s="24"/>
      <c r="AE377" s="25"/>
      <c r="AF377" s="25"/>
      <c r="AG377" s="107">
        <v>0</v>
      </c>
      <c r="AH377" s="12">
        <f t="shared" si="16"/>
        <v>0</v>
      </c>
      <c r="AI377" s="21"/>
      <c r="AJ377" s="11"/>
      <c r="AK377" s="21"/>
      <c r="AL377" s="27"/>
      <c r="AM377" s="21"/>
      <c r="AN377" s="21"/>
      <c r="AO377" s="11"/>
      <c r="AP377" s="10"/>
      <c r="AQ377" s="11"/>
      <c r="AR377" s="10"/>
      <c r="AS377" s="44"/>
      <c r="AT377" s="43"/>
      <c r="AU377" s="131">
        <v>41621</v>
      </c>
      <c r="AV377" s="131">
        <v>41772</v>
      </c>
      <c r="AW377" s="125"/>
      <c r="AX377" s="43"/>
      <c r="AY377" s="43"/>
      <c r="AZ377" s="43"/>
      <c r="BA377" s="43"/>
      <c r="BB377" s="43"/>
      <c r="BC377" s="43"/>
      <c r="BD377" s="43"/>
    </row>
    <row r="378" spans="1:56" s="193" customFormat="1" ht="26.25" customHeight="1" x14ac:dyDescent="0.25">
      <c r="A378" s="271"/>
      <c r="B378" s="255"/>
      <c r="C378" s="140"/>
      <c r="D378" s="44"/>
      <c r="E378" s="44"/>
      <c r="F378" s="44"/>
      <c r="G378" s="118"/>
      <c r="H378" s="116"/>
      <c r="I378" s="44"/>
      <c r="J378" s="44"/>
      <c r="K378" s="44"/>
      <c r="L378" s="130"/>
      <c r="M378" s="118"/>
      <c r="N378" s="45"/>
      <c r="O378" s="45"/>
      <c r="P378" s="6" t="s">
        <v>158</v>
      </c>
      <c r="Q378" s="44"/>
      <c r="R378" s="44"/>
      <c r="S378" s="44"/>
      <c r="T378" s="44"/>
      <c r="U378" s="6" t="s">
        <v>142</v>
      </c>
      <c r="V378" s="10">
        <v>41631</v>
      </c>
      <c r="W378" s="11">
        <v>11209</v>
      </c>
      <c r="X378" s="6" t="s">
        <v>163</v>
      </c>
      <c r="Y378" s="10">
        <v>41631</v>
      </c>
      <c r="Z378" s="10">
        <v>41889</v>
      </c>
      <c r="AA378" s="23">
        <f>AC378/L376</f>
        <v>7.5291959788604729E-2</v>
      </c>
      <c r="AB378" s="21"/>
      <c r="AC378" s="24">
        <v>132802.17000000001</v>
      </c>
      <c r="AD378" s="24"/>
      <c r="AE378" s="25">
        <f>AC378+L376</f>
        <v>1896631.54</v>
      </c>
      <c r="AF378" s="25">
        <f>160191.72+108725</f>
        <v>268916.71999999997</v>
      </c>
      <c r="AG378" s="107">
        <v>0</v>
      </c>
      <c r="AH378" s="12">
        <f t="shared" si="16"/>
        <v>268916.71999999997</v>
      </c>
      <c r="AI378" s="21"/>
      <c r="AJ378" s="11"/>
      <c r="AK378" s="21"/>
      <c r="AL378" s="27"/>
      <c r="AM378" s="21"/>
      <c r="AN378" s="21"/>
      <c r="AO378" s="11"/>
      <c r="AP378" s="10"/>
      <c r="AQ378" s="11"/>
      <c r="AR378" s="10"/>
      <c r="AS378" s="44"/>
      <c r="AT378" s="43"/>
      <c r="AU378" s="134"/>
      <c r="AV378" s="134"/>
      <c r="AW378" s="125"/>
      <c r="AX378" s="43"/>
      <c r="AY378" s="43"/>
      <c r="AZ378" s="43"/>
      <c r="BA378" s="43"/>
      <c r="BB378" s="43"/>
      <c r="BC378" s="43"/>
      <c r="BD378" s="43"/>
    </row>
    <row r="379" spans="1:56" s="193" customFormat="1" ht="26.25" customHeight="1" x14ac:dyDescent="0.25">
      <c r="A379" s="271"/>
      <c r="B379" s="255"/>
      <c r="C379" s="140"/>
      <c r="D379" s="44"/>
      <c r="E379" s="44"/>
      <c r="F379" s="44"/>
      <c r="G379" s="118"/>
      <c r="H379" s="116"/>
      <c r="I379" s="44"/>
      <c r="J379" s="44"/>
      <c r="K379" s="44"/>
      <c r="L379" s="130"/>
      <c r="M379" s="118"/>
      <c r="N379" s="45"/>
      <c r="O379" s="45"/>
      <c r="P379" s="138"/>
      <c r="Q379" s="44"/>
      <c r="R379" s="44"/>
      <c r="S379" s="44"/>
      <c r="T379" s="44"/>
      <c r="U379" s="6" t="s">
        <v>425</v>
      </c>
      <c r="V379" s="10">
        <v>41599</v>
      </c>
      <c r="W379" s="11">
        <v>11367</v>
      </c>
      <c r="X379" s="6" t="s">
        <v>482</v>
      </c>
      <c r="Y379" s="10">
        <v>41631</v>
      </c>
      <c r="Z379" s="10">
        <v>41889</v>
      </c>
      <c r="AA379" s="23"/>
      <c r="AB379" s="21"/>
      <c r="AC379" s="24"/>
      <c r="AD379" s="24"/>
      <c r="AE379" s="25"/>
      <c r="AF379" s="25"/>
      <c r="AG379" s="107">
        <v>0</v>
      </c>
      <c r="AH379" s="12">
        <f t="shared" si="16"/>
        <v>0</v>
      </c>
      <c r="AI379" s="21"/>
      <c r="AJ379" s="11"/>
      <c r="AK379" s="21"/>
      <c r="AL379" s="27"/>
      <c r="AM379" s="21"/>
      <c r="AN379" s="21"/>
      <c r="AO379" s="11"/>
      <c r="AP379" s="10"/>
      <c r="AQ379" s="11"/>
      <c r="AR379" s="10"/>
      <c r="AS379" s="44"/>
      <c r="AT379" s="43"/>
      <c r="AU379" s="134"/>
      <c r="AV379" s="134"/>
      <c r="AW379" s="125"/>
      <c r="AX379" s="43"/>
      <c r="AY379" s="43"/>
      <c r="AZ379" s="43"/>
      <c r="BA379" s="43"/>
      <c r="BB379" s="43"/>
      <c r="BC379" s="43"/>
      <c r="BD379" s="43"/>
    </row>
    <row r="380" spans="1:56" s="193" customFormat="1" ht="26.25" customHeight="1" x14ac:dyDescent="0.25">
      <c r="A380" s="271"/>
      <c r="B380" s="255"/>
      <c r="C380" s="140"/>
      <c r="D380" s="44"/>
      <c r="E380" s="44"/>
      <c r="F380" s="44"/>
      <c r="G380" s="118"/>
      <c r="H380" s="116"/>
      <c r="I380" s="44"/>
      <c r="J380" s="44"/>
      <c r="K380" s="44"/>
      <c r="L380" s="130"/>
      <c r="M380" s="118"/>
      <c r="N380" s="45"/>
      <c r="O380" s="45"/>
      <c r="P380" s="138"/>
      <c r="Q380" s="44"/>
      <c r="R380" s="44"/>
      <c r="S380" s="44"/>
      <c r="T380" s="44"/>
      <c r="U380" s="6" t="s">
        <v>426</v>
      </c>
      <c r="V380" s="10">
        <v>41625</v>
      </c>
      <c r="W380" s="11">
        <v>11367</v>
      </c>
      <c r="X380" s="6" t="s">
        <v>482</v>
      </c>
      <c r="Y380" s="10">
        <v>41631</v>
      </c>
      <c r="Z380" s="10">
        <v>41889</v>
      </c>
      <c r="AA380" s="23"/>
      <c r="AB380" s="21"/>
      <c r="AC380" s="24"/>
      <c r="AD380" s="24"/>
      <c r="AE380" s="25"/>
      <c r="AF380" s="25"/>
      <c r="AG380" s="107">
        <v>0</v>
      </c>
      <c r="AH380" s="12">
        <f t="shared" si="16"/>
        <v>0</v>
      </c>
      <c r="AI380" s="21"/>
      <c r="AJ380" s="11"/>
      <c r="AK380" s="21"/>
      <c r="AL380" s="27"/>
      <c r="AM380" s="21"/>
      <c r="AN380" s="21"/>
      <c r="AO380" s="11"/>
      <c r="AP380" s="10"/>
      <c r="AQ380" s="11"/>
      <c r="AR380" s="10"/>
      <c r="AS380" s="44"/>
      <c r="AT380" s="43"/>
      <c r="AU380" s="134"/>
      <c r="AV380" s="134"/>
      <c r="AW380" s="125"/>
      <c r="AX380" s="43"/>
      <c r="AY380" s="43"/>
      <c r="AZ380" s="43"/>
      <c r="BA380" s="43"/>
      <c r="BB380" s="43"/>
      <c r="BC380" s="43"/>
      <c r="BD380" s="43"/>
    </row>
    <row r="381" spans="1:56" s="193" customFormat="1" ht="26.25" customHeight="1" x14ac:dyDescent="0.25">
      <c r="A381" s="271"/>
      <c r="B381" s="255"/>
      <c r="C381" s="140"/>
      <c r="D381" s="44"/>
      <c r="E381" s="44"/>
      <c r="F381" s="44"/>
      <c r="G381" s="118"/>
      <c r="H381" s="116"/>
      <c r="I381" s="44"/>
      <c r="J381" s="44"/>
      <c r="K381" s="44"/>
      <c r="L381" s="130"/>
      <c r="M381" s="118"/>
      <c r="N381" s="45"/>
      <c r="O381" s="45"/>
      <c r="P381" s="138"/>
      <c r="Q381" s="44"/>
      <c r="R381" s="44"/>
      <c r="S381" s="44"/>
      <c r="T381" s="44"/>
      <c r="U381" s="6" t="s">
        <v>309</v>
      </c>
      <c r="V381" s="10">
        <v>41638</v>
      </c>
      <c r="W381" s="11">
        <v>11367</v>
      </c>
      <c r="X381" s="6" t="s">
        <v>482</v>
      </c>
      <c r="Y381" s="10">
        <v>41631</v>
      </c>
      <c r="Z381" s="10">
        <v>41889</v>
      </c>
      <c r="AA381" s="23"/>
      <c r="AB381" s="21"/>
      <c r="AC381" s="24"/>
      <c r="AD381" s="24"/>
      <c r="AE381" s="25"/>
      <c r="AF381" s="25"/>
      <c r="AG381" s="107">
        <v>0</v>
      </c>
      <c r="AH381" s="12">
        <f t="shared" si="16"/>
        <v>0</v>
      </c>
      <c r="AI381" s="21"/>
      <c r="AJ381" s="11"/>
      <c r="AK381" s="21"/>
      <c r="AL381" s="27"/>
      <c r="AM381" s="21"/>
      <c r="AN381" s="21"/>
      <c r="AO381" s="11"/>
      <c r="AP381" s="10"/>
      <c r="AQ381" s="11"/>
      <c r="AR381" s="10"/>
      <c r="AS381" s="44"/>
      <c r="AT381" s="43"/>
      <c r="AU381" s="134"/>
      <c r="AV381" s="134"/>
      <c r="AW381" s="125"/>
      <c r="AX381" s="43"/>
      <c r="AY381" s="43"/>
      <c r="AZ381" s="43"/>
      <c r="BA381" s="43"/>
      <c r="BB381" s="43"/>
      <c r="BC381" s="43"/>
      <c r="BD381" s="43"/>
    </row>
    <row r="382" spans="1:56" s="193" customFormat="1" ht="25.5" customHeight="1" x14ac:dyDescent="0.25">
      <c r="A382" s="271"/>
      <c r="B382" s="255"/>
      <c r="C382" s="140"/>
      <c r="D382" s="44"/>
      <c r="E382" s="44"/>
      <c r="F382" s="44"/>
      <c r="G382" s="118"/>
      <c r="H382" s="116"/>
      <c r="I382" s="44"/>
      <c r="J382" s="44"/>
      <c r="K382" s="44"/>
      <c r="L382" s="130"/>
      <c r="M382" s="118"/>
      <c r="N382" s="45"/>
      <c r="O382" s="45"/>
      <c r="P382" s="6" t="s">
        <v>614</v>
      </c>
      <c r="Q382" s="44"/>
      <c r="R382" s="44"/>
      <c r="S382" s="44"/>
      <c r="T382" s="44"/>
      <c r="U382" s="6" t="s">
        <v>143</v>
      </c>
      <c r="V382" s="10">
        <v>41843</v>
      </c>
      <c r="W382" s="11">
        <v>11426</v>
      </c>
      <c r="X382" s="6" t="s">
        <v>163</v>
      </c>
      <c r="Y382" s="10">
        <v>41843</v>
      </c>
      <c r="Z382" s="10">
        <v>41889</v>
      </c>
      <c r="AA382" s="23">
        <f>AC382/AE378</f>
        <v>0.10158010975605732</v>
      </c>
      <c r="AB382" s="21"/>
      <c r="AC382" s="24">
        <v>192660.04</v>
      </c>
      <c r="AD382" s="24"/>
      <c r="AE382" s="25">
        <f>AE378+AC382</f>
        <v>2089291.58</v>
      </c>
      <c r="AF382" s="25">
        <f>69802.17</f>
        <v>69802.17</v>
      </c>
      <c r="AG382" s="107">
        <v>0</v>
      </c>
      <c r="AH382" s="12">
        <f t="shared" si="16"/>
        <v>69802.17</v>
      </c>
      <c r="AI382" s="21"/>
      <c r="AJ382" s="11"/>
      <c r="AK382" s="21"/>
      <c r="AL382" s="27"/>
      <c r="AM382" s="21"/>
      <c r="AN382" s="21"/>
      <c r="AO382" s="11"/>
      <c r="AP382" s="10"/>
      <c r="AQ382" s="11"/>
      <c r="AR382" s="10"/>
      <c r="AS382" s="44"/>
      <c r="AT382" s="43"/>
      <c r="AU382" s="134"/>
      <c r="AV382" s="134"/>
      <c r="AW382" s="125"/>
      <c r="AX382" s="43"/>
      <c r="AY382" s="43"/>
      <c r="AZ382" s="43"/>
      <c r="BA382" s="43"/>
      <c r="BB382" s="43"/>
      <c r="BC382" s="43"/>
      <c r="BD382" s="43"/>
    </row>
    <row r="383" spans="1:56" s="193" customFormat="1" ht="25.5" customHeight="1" x14ac:dyDescent="0.25">
      <c r="A383" s="271"/>
      <c r="B383" s="255"/>
      <c r="C383" s="140"/>
      <c r="D383" s="44"/>
      <c r="E383" s="44"/>
      <c r="F383" s="44"/>
      <c r="G383" s="118"/>
      <c r="H383" s="116"/>
      <c r="I383" s="44"/>
      <c r="J383" s="44"/>
      <c r="K383" s="44"/>
      <c r="L383" s="130"/>
      <c r="M383" s="118"/>
      <c r="N383" s="45"/>
      <c r="O383" s="45"/>
      <c r="P383" s="6"/>
      <c r="Q383" s="44"/>
      <c r="R383" s="44"/>
      <c r="S383" s="44"/>
      <c r="T383" s="44"/>
      <c r="U383" s="6" t="s">
        <v>365</v>
      </c>
      <c r="V383" s="10">
        <v>41843</v>
      </c>
      <c r="W383" s="11">
        <v>11364</v>
      </c>
      <c r="X383" s="6" t="s">
        <v>407</v>
      </c>
      <c r="Y383" s="10">
        <v>41843</v>
      </c>
      <c r="Z383" s="10">
        <v>41889</v>
      </c>
      <c r="AA383" s="23">
        <f>AC383/AE382</f>
        <v>0.13659538607818447</v>
      </c>
      <c r="AB383" s="21"/>
      <c r="AC383" s="24">
        <v>285387.59000000003</v>
      </c>
      <c r="AD383" s="24"/>
      <c r="AE383" s="25">
        <f>AE382+AC383</f>
        <v>2374679.17</v>
      </c>
      <c r="AF383" s="25"/>
      <c r="AG383" s="107">
        <v>0</v>
      </c>
      <c r="AH383" s="12">
        <f t="shared" si="16"/>
        <v>0</v>
      </c>
      <c r="AI383" s="21"/>
      <c r="AJ383" s="11"/>
      <c r="AK383" s="21"/>
      <c r="AL383" s="27"/>
      <c r="AM383" s="21"/>
      <c r="AN383" s="21"/>
      <c r="AO383" s="11"/>
      <c r="AP383" s="10"/>
      <c r="AQ383" s="11"/>
      <c r="AR383" s="10"/>
      <c r="AS383" s="44"/>
      <c r="AT383" s="43"/>
      <c r="AU383" s="134"/>
      <c r="AV383" s="134"/>
      <c r="AW383" s="125"/>
      <c r="AX383" s="43"/>
      <c r="AY383" s="43"/>
      <c r="AZ383" s="43"/>
      <c r="BA383" s="43"/>
      <c r="BB383" s="43"/>
      <c r="BC383" s="43"/>
      <c r="BD383" s="43"/>
    </row>
    <row r="384" spans="1:56" s="193" customFormat="1" ht="25.5" customHeight="1" x14ac:dyDescent="0.25">
      <c r="A384" s="271"/>
      <c r="B384" s="255"/>
      <c r="C384" s="140"/>
      <c r="D384" s="44"/>
      <c r="E384" s="44"/>
      <c r="F384" s="44"/>
      <c r="G384" s="118"/>
      <c r="H384" s="116"/>
      <c r="I384" s="44"/>
      <c r="J384" s="44"/>
      <c r="K384" s="44"/>
      <c r="L384" s="130"/>
      <c r="M384" s="118"/>
      <c r="N384" s="45"/>
      <c r="O384" s="45"/>
      <c r="P384" s="6" t="s">
        <v>525</v>
      </c>
      <c r="Q384" s="44"/>
      <c r="R384" s="44"/>
      <c r="S384" s="44"/>
      <c r="T384" s="44"/>
      <c r="U384" s="6" t="s">
        <v>126</v>
      </c>
      <c r="V384" s="10">
        <v>41887</v>
      </c>
      <c r="W384" s="11">
        <v>11430</v>
      </c>
      <c r="X384" s="6" t="s">
        <v>499</v>
      </c>
      <c r="Y384" s="10">
        <v>41890</v>
      </c>
      <c r="Z384" s="10">
        <v>42098</v>
      </c>
      <c r="AA384" s="23"/>
      <c r="AB384" s="21"/>
      <c r="AC384" s="24"/>
      <c r="AD384" s="24"/>
      <c r="AE384" s="25"/>
      <c r="AF384" s="127">
        <f>89016.2+192660.04+20012.39+48019.91</f>
        <v>349708.54000000004</v>
      </c>
      <c r="AG384" s="107">
        <v>0</v>
      </c>
      <c r="AH384" s="12">
        <f t="shared" si="16"/>
        <v>349708.54000000004</v>
      </c>
      <c r="AI384" s="21"/>
      <c r="AJ384" s="11"/>
      <c r="AK384" s="21"/>
      <c r="AL384" s="27"/>
      <c r="AM384" s="21"/>
      <c r="AN384" s="21"/>
      <c r="AO384" s="11"/>
      <c r="AP384" s="10"/>
      <c r="AQ384" s="11"/>
      <c r="AR384" s="10"/>
      <c r="AS384" s="44"/>
      <c r="AT384" s="43"/>
      <c r="AU384" s="131">
        <v>41773</v>
      </c>
      <c r="AV384" s="131">
        <v>41921</v>
      </c>
      <c r="AW384" s="125"/>
      <c r="AX384" s="43"/>
      <c r="AY384" s="43"/>
      <c r="AZ384" s="43"/>
      <c r="BA384" s="43"/>
      <c r="BB384" s="43"/>
      <c r="BC384" s="43"/>
      <c r="BD384" s="43"/>
    </row>
    <row r="385" spans="1:56" s="193" customFormat="1" ht="25.5" customHeight="1" x14ac:dyDescent="0.25">
      <c r="A385" s="271"/>
      <c r="B385" s="255"/>
      <c r="C385" s="140"/>
      <c r="D385" s="44"/>
      <c r="E385" s="44"/>
      <c r="F385" s="44"/>
      <c r="G385" s="118"/>
      <c r="H385" s="116"/>
      <c r="I385" s="44"/>
      <c r="J385" s="44"/>
      <c r="K385" s="44"/>
      <c r="L385" s="130"/>
      <c r="M385" s="118"/>
      <c r="N385" s="45"/>
      <c r="O385" s="45"/>
      <c r="P385" s="6" t="s">
        <v>314</v>
      </c>
      <c r="Q385" s="44"/>
      <c r="R385" s="44"/>
      <c r="S385" s="44"/>
      <c r="T385" s="44"/>
      <c r="U385" s="6" t="s">
        <v>181</v>
      </c>
      <c r="V385" s="10">
        <v>41921</v>
      </c>
      <c r="W385" s="11">
        <v>11431</v>
      </c>
      <c r="X385" s="6" t="s">
        <v>500</v>
      </c>
      <c r="Y385" s="10">
        <v>41890</v>
      </c>
      <c r="Z385" s="10">
        <v>42098</v>
      </c>
      <c r="AA385" s="23"/>
      <c r="AB385" s="21"/>
      <c r="AC385" s="24"/>
      <c r="AD385" s="24"/>
      <c r="AE385" s="25"/>
      <c r="AF385" s="107">
        <f>137862.29+125483.65+84062.37+1599.86+83702.5+38302.42+124255.63+37849.87+211362.99</f>
        <v>844481.58</v>
      </c>
      <c r="AG385" s="107">
        <v>46486.79</v>
      </c>
      <c r="AH385" s="12">
        <f t="shared" si="16"/>
        <v>890968.37</v>
      </c>
      <c r="AI385" s="21"/>
      <c r="AJ385" s="11"/>
      <c r="AK385" s="21"/>
      <c r="AL385" s="27"/>
      <c r="AM385" s="21"/>
      <c r="AN385" s="21"/>
      <c r="AO385" s="11"/>
      <c r="AP385" s="10"/>
      <c r="AQ385" s="11"/>
      <c r="AR385" s="10"/>
      <c r="AS385" s="44"/>
      <c r="AT385" s="43"/>
      <c r="AU385" s="131">
        <v>41923</v>
      </c>
      <c r="AV385" s="131">
        <v>42072</v>
      </c>
      <c r="AW385" s="125"/>
      <c r="AX385" s="43"/>
      <c r="AY385" s="43"/>
      <c r="AZ385" s="43"/>
      <c r="BA385" s="43"/>
      <c r="BB385" s="43"/>
      <c r="BC385" s="43"/>
      <c r="BD385" s="43"/>
    </row>
    <row r="386" spans="1:56" s="193" customFormat="1" ht="25.5" customHeight="1" x14ac:dyDescent="0.25">
      <c r="A386" s="271"/>
      <c r="B386" s="255"/>
      <c r="C386" s="140"/>
      <c r="D386" s="44"/>
      <c r="E386" s="44"/>
      <c r="F386" s="44"/>
      <c r="G386" s="118"/>
      <c r="H386" s="116"/>
      <c r="I386" s="44"/>
      <c r="J386" s="44"/>
      <c r="K386" s="44"/>
      <c r="L386" s="130"/>
      <c r="M386" s="118"/>
      <c r="N386" s="45"/>
      <c r="O386" s="45"/>
      <c r="P386" s="6"/>
      <c r="Q386" s="44"/>
      <c r="R386" s="44"/>
      <c r="S386" s="44"/>
      <c r="T386" s="44"/>
      <c r="U386" s="6" t="s">
        <v>227</v>
      </c>
      <c r="V386" s="10">
        <v>42072</v>
      </c>
      <c r="W386" s="11">
        <v>11555</v>
      </c>
      <c r="X386" s="6" t="s">
        <v>580</v>
      </c>
      <c r="Y386" s="10">
        <v>42098</v>
      </c>
      <c r="Z386" s="10">
        <v>42307</v>
      </c>
      <c r="AA386" s="23"/>
      <c r="AB386" s="21"/>
      <c r="AC386" s="24"/>
      <c r="AD386" s="24"/>
      <c r="AE386" s="25"/>
      <c r="AF386" s="107"/>
      <c r="AG386" s="107">
        <v>0</v>
      </c>
      <c r="AH386" s="12">
        <f t="shared" si="16"/>
        <v>0</v>
      </c>
      <c r="AI386" s="21"/>
      <c r="AJ386" s="11"/>
      <c r="AK386" s="21"/>
      <c r="AL386" s="27"/>
      <c r="AM386" s="21"/>
      <c r="AN386" s="21"/>
      <c r="AO386" s="11"/>
      <c r="AP386" s="10"/>
      <c r="AQ386" s="11"/>
      <c r="AR386" s="10"/>
      <c r="AS386" s="44"/>
      <c r="AT386" s="43"/>
      <c r="AU386" s="131">
        <v>42072</v>
      </c>
      <c r="AV386" s="131">
        <v>42222</v>
      </c>
      <c r="AW386" s="125"/>
      <c r="AX386" s="43"/>
      <c r="AY386" s="43"/>
      <c r="AZ386" s="43"/>
      <c r="BA386" s="43"/>
      <c r="BB386" s="43"/>
      <c r="BC386" s="43"/>
      <c r="BD386" s="43"/>
    </row>
    <row r="387" spans="1:56" s="193" customFormat="1" ht="25.5" customHeight="1" x14ac:dyDescent="0.25">
      <c r="A387" s="271"/>
      <c r="B387" s="255"/>
      <c r="C387" s="140"/>
      <c r="D387" s="44"/>
      <c r="E387" s="44"/>
      <c r="F387" s="44"/>
      <c r="G387" s="118"/>
      <c r="H387" s="116"/>
      <c r="I387" s="44"/>
      <c r="J387" s="44"/>
      <c r="K387" s="44"/>
      <c r="L387" s="130"/>
      <c r="M387" s="118"/>
      <c r="N387" s="45"/>
      <c r="O387" s="45"/>
      <c r="P387" s="6"/>
      <c r="Q387" s="44"/>
      <c r="R387" s="44"/>
      <c r="S387" s="44"/>
      <c r="T387" s="44"/>
      <c r="U387" s="6" t="s">
        <v>229</v>
      </c>
      <c r="V387" s="10">
        <v>42129</v>
      </c>
      <c r="W387" s="11">
        <v>11614</v>
      </c>
      <c r="X387" s="6" t="s">
        <v>580</v>
      </c>
      <c r="Y387" s="10">
        <v>42307</v>
      </c>
      <c r="Z387" s="10">
        <v>42517</v>
      </c>
      <c r="AA387" s="23"/>
      <c r="AB387" s="21"/>
      <c r="AC387" s="24"/>
      <c r="AD387" s="24"/>
      <c r="AE387" s="25"/>
      <c r="AF387" s="107"/>
      <c r="AG387" s="107"/>
      <c r="AH387" s="12">
        <f t="shared" si="16"/>
        <v>0</v>
      </c>
      <c r="AI387" s="21"/>
      <c r="AJ387" s="11"/>
      <c r="AK387" s="21"/>
      <c r="AL387" s="27"/>
      <c r="AM387" s="21"/>
      <c r="AN387" s="21"/>
      <c r="AO387" s="11"/>
      <c r="AP387" s="10"/>
      <c r="AQ387" s="11"/>
      <c r="AR387" s="10"/>
      <c r="AS387" s="44"/>
      <c r="AT387" s="43"/>
      <c r="AU387" s="131">
        <v>42222</v>
      </c>
      <c r="AV387" s="131">
        <v>42372</v>
      </c>
      <c r="AW387" s="125"/>
      <c r="AX387" s="43"/>
      <c r="AY387" s="43"/>
      <c r="AZ387" s="43"/>
      <c r="BA387" s="43"/>
      <c r="BB387" s="43"/>
      <c r="BC387" s="43"/>
      <c r="BD387" s="43"/>
    </row>
    <row r="388" spans="1:56" s="193" customFormat="1" ht="25.5" customHeight="1" x14ac:dyDescent="0.25">
      <c r="A388" s="271"/>
      <c r="B388" s="255"/>
      <c r="C388" s="140"/>
      <c r="D388" s="44"/>
      <c r="E388" s="44"/>
      <c r="F388" s="44"/>
      <c r="G388" s="118"/>
      <c r="H388" s="116"/>
      <c r="I388" s="44"/>
      <c r="J388" s="44"/>
      <c r="K388" s="44"/>
      <c r="L388" s="130"/>
      <c r="M388" s="118"/>
      <c r="N388" s="45"/>
      <c r="O388" s="45"/>
      <c r="P388" s="6"/>
      <c r="Q388" s="44"/>
      <c r="R388" s="44"/>
      <c r="S388" s="44"/>
      <c r="T388" s="44"/>
      <c r="U388" s="6" t="s">
        <v>184</v>
      </c>
      <c r="V388" s="10">
        <v>42367</v>
      </c>
      <c r="W388" s="11">
        <v>11739</v>
      </c>
      <c r="X388" s="6" t="s">
        <v>580</v>
      </c>
      <c r="Y388" s="10">
        <v>42518</v>
      </c>
      <c r="Z388" s="10">
        <v>42728</v>
      </c>
      <c r="AA388" s="23"/>
      <c r="AB388" s="21"/>
      <c r="AC388" s="24"/>
      <c r="AD388" s="24"/>
      <c r="AE388" s="25"/>
      <c r="AF388" s="107"/>
      <c r="AG388" s="107"/>
      <c r="AH388" s="12">
        <f t="shared" si="16"/>
        <v>0</v>
      </c>
      <c r="AI388" s="21"/>
      <c r="AJ388" s="11"/>
      <c r="AK388" s="21"/>
      <c r="AL388" s="27"/>
      <c r="AM388" s="21"/>
      <c r="AN388" s="21"/>
      <c r="AO388" s="11"/>
      <c r="AP388" s="10"/>
      <c r="AQ388" s="11"/>
      <c r="AR388" s="10"/>
      <c r="AS388" s="44"/>
      <c r="AT388" s="43"/>
      <c r="AU388" s="131">
        <v>42372</v>
      </c>
      <c r="AV388" s="131">
        <v>42522</v>
      </c>
      <c r="AW388" s="125"/>
      <c r="AX388" s="43"/>
      <c r="AY388" s="43"/>
      <c r="AZ388" s="43"/>
      <c r="BA388" s="43"/>
      <c r="BB388" s="43"/>
      <c r="BC388" s="43"/>
      <c r="BD388" s="43"/>
    </row>
    <row r="389" spans="1:56" s="193" customFormat="1" ht="25.5" customHeight="1" x14ac:dyDescent="0.25">
      <c r="A389" s="271"/>
      <c r="B389" s="255"/>
      <c r="C389" s="140"/>
      <c r="D389" s="44"/>
      <c r="E389" s="44"/>
      <c r="F389" s="44"/>
      <c r="G389" s="118"/>
      <c r="H389" s="116"/>
      <c r="I389" s="44"/>
      <c r="J389" s="44"/>
      <c r="K389" s="44"/>
      <c r="L389" s="130"/>
      <c r="M389" s="118"/>
      <c r="N389" s="45"/>
      <c r="O389" s="45"/>
      <c r="P389" s="6"/>
      <c r="Q389" s="44"/>
      <c r="R389" s="44"/>
      <c r="S389" s="44"/>
      <c r="T389" s="44"/>
      <c r="U389" s="6"/>
      <c r="V389" s="10"/>
      <c r="W389" s="11"/>
      <c r="X389" s="6"/>
      <c r="Y389" s="10"/>
      <c r="Z389" s="10"/>
      <c r="AA389" s="23"/>
      <c r="AB389" s="21"/>
      <c r="AC389" s="24"/>
      <c r="AD389" s="24"/>
      <c r="AE389" s="25"/>
      <c r="AF389" s="107"/>
      <c r="AG389" s="107">
        <v>0</v>
      </c>
      <c r="AH389" s="12">
        <f t="shared" si="16"/>
        <v>0</v>
      </c>
      <c r="AI389" s="21"/>
      <c r="AJ389" s="11"/>
      <c r="AK389" s="21"/>
      <c r="AL389" s="27"/>
      <c r="AM389" s="21"/>
      <c r="AN389" s="21"/>
      <c r="AO389" s="11"/>
      <c r="AP389" s="10"/>
      <c r="AQ389" s="11"/>
      <c r="AR389" s="10"/>
      <c r="AS389" s="44"/>
      <c r="AT389" s="43"/>
      <c r="AU389" s="131"/>
      <c r="AV389" s="131"/>
      <c r="AW389" s="125"/>
      <c r="AX389" s="43"/>
      <c r="AY389" s="43"/>
      <c r="AZ389" s="43"/>
      <c r="BA389" s="43"/>
      <c r="BB389" s="43"/>
      <c r="BC389" s="43"/>
      <c r="BD389" s="43"/>
    </row>
    <row r="390" spans="1:56" s="193" customFormat="1" ht="66" customHeight="1" x14ac:dyDescent="0.25">
      <c r="A390" s="271">
        <v>101</v>
      </c>
      <c r="B390" s="259" t="s">
        <v>317</v>
      </c>
      <c r="C390" s="44" t="s">
        <v>384</v>
      </c>
      <c r="D390" s="44" t="s">
        <v>397</v>
      </c>
      <c r="E390" s="44" t="s">
        <v>123</v>
      </c>
      <c r="F390" s="44" t="s">
        <v>307</v>
      </c>
      <c r="G390" s="118">
        <v>11087</v>
      </c>
      <c r="H390" s="116" t="s">
        <v>356</v>
      </c>
      <c r="I390" s="44" t="s">
        <v>313</v>
      </c>
      <c r="J390" s="44" t="s">
        <v>334</v>
      </c>
      <c r="K390" s="45">
        <v>41467</v>
      </c>
      <c r="L390" s="130">
        <v>1818268.3</v>
      </c>
      <c r="M390" s="118">
        <v>11092</v>
      </c>
      <c r="N390" s="45">
        <v>41467</v>
      </c>
      <c r="O390" s="45">
        <v>41677</v>
      </c>
      <c r="P390" s="109" t="s">
        <v>157</v>
      </c>
      <c r="Q390" s="44"/>
      <c r="R390" s="44"/>
      <c r="S390" s="44"/>
      <c r="T390" s="44" t="s">
        <v>208</v>
      </c>
      <c r="U390" s="6"/>
      <c r="V390" s="21"/>
      <c r="W390" s="122"/>
      <c r="X390" s="6"/>
      <c r="Y390" s="21"/>
      <c r="Z390" s="21"/>
      <c r="AA390" s="23"/>
      <c r="AB390" s="21"/>
      <c r="AC390" s="24"/>
      <c r="AD390" s="24"/>
      <c r="AE390" s="25"/>
      <c r="AF390" s="70">
        <f>92696.61+674191.52</f>
        <v>766888.13</v>
      </c>
      <c r="AG390" s="107">
        <v>0</v>
      </c>
      <c r="AH390" s="12">
        <f t="shared" si="16"/>
        <v>766888.13</v>
      </c>
      <c r="AI390" s="44"/>
      <c r="AJ390" s="118"/>
      <c r="AK390" s="44"/>
      <c r="AL390" s="43"/>
      <c r="AM390" s="44"/>
      <c r="AN390" s="44"/>
      <c r="AO390" s="11"/>
      <c r="AP390" s="10"/>
      <c r="AQ390" s="11"/>
      <c r="AR390" s="10"/>
      <c r="AS390" s="44" t="s">
        <v>449</v>
      </c>
      <c r="AT390" s="43" t="s">
        <v>448</v>
      </c>
      <c r="AU390" s="131">
        <v>41467</v>
      </c>
      <c r="AV390" s="131">
        <v>41617</v>
      </c>
      <c r="AW390" s="124">
        <f>(AH390+AH395+AH396+AH401)/AE398</f>
        <v>0.61033372092990879</v>
      </c>
      <c r="AX390" s="43"/>
      <c r="AY390" s="48">
        <v>41471</v>
      </c>
      <c r="AZ390" s="43" t="s">
        <v>400</v>
      </c>
      <c r="BA390" s="43" t="s">
        <v>401</v>
      </c>
      <c r="BB390" s="43"/>
      <c r="BC390" s="43"/>
      <c r="BD390" s="43"/>
    </row>
    <row r="391" spans="1:56" s="193" customFormat="1" ht="28.5" customHeight="1" x14ac:dyDescent="0.25">
      <c r="A391" s="271"/>
      <c r="B391" s="259"/>
      <c r="C391" s="44"/>
      <c r="D391" s="44"/>
      <c r="E391" s="44"/>
      <c r="F391" s="44"/>
      <c r="G391" s="118"/>
      <c r="H391" s="116"/>
      <c r="I391" s="44"/>
      <c r="J391" s="44"/>
      <c r="K391" s="45"/>
      <c r="L391" s="130"/>
      <c r="M391" s="118"/>
      <c r="N391" s="45"/>
      <c r="O391" s="45"/>
      <c r="P391" s="112"/>
      <c r="Q391" s="44"/>
      <c r="R391" s="44"/>
      <c r="S391" s="44"/>
      <c r="T391" s="44"/>
      <c r="U391" s="6" t="s">
        <v>141</v>
      </c>
      <c r="V391" s="10">
        <v>41589</v>
      </c>
      <c r="W391" s="11">
        <v>11189</v>
      </c>
      <c r="X391" s="6" t="s">
        <v>498</v>
      </c>
      <c r="Y391" s="10">
        <v>41678</v>
      </c>
      <c r="Z391" s="10">
        <v>41889</v>
      </c>
      <c r="AA391" s="23"/>
      <c r="AB391" s="21"/>
      <c r="AC391" s="24"/>
      <c r="AD391" s="24"/>
      <c r="AE391" s="25"/>
      <c r="AF391" s="135"/>
      <c r="AG391" s="107">
        <v>0</v>
      </c>
      <c r="AH391" s="12">
        <f t="shared" si="16"/>
        <v>0</v>
      </c>
      <c r="AI391" s="44"/>
      <c r="AJ391" s="118"/>
      <c r="AK391" s="44"/>
      <c r="AL391" s="43"/>
      <c r="AM391" s="44"/>
      <c r="AN391" s="44"/>
      <c r="AO391" s="11"/>
      <c r="AP391" s="10"/>
      <c r="AQ391" s="11"/>
      <c r="AR391" s="10"/>
      <c r="AS391" s="44"/>
      <c r="AT391" s="43"/>
      <c r="AU391" s="131">
        <v>41621</v>
      </c>
      <c r="AV391" s="131">
        <v>41772</v>
      </c>
      <c r="AW391" s="125"/>
      <c r="AX391" s="43"/>
      <c r="AY391" s="43"/>
      <c r="AZ391" s="43"/>
      <c r="BA391" s="43"/>
      <c r="BB391" s="43"/>
      <c r="BC391" s="43"/>
      <c r="BD391" s="43"/>
    </row>
    <row r="392" spans="1:56" s="193" customFormat="1" ht="31.5" customHeight="1" x14ac:dyDescent="0.25">
      <c r="A392" s="271"/>
      <c r="B392" s="259"/>
      <c r="C392" s="44"/>
      <c r="D392" s="44"/>
      <c r="E392" s="44"/>
      <c r="F392" s="44"/>
      <c r="G392" s="118"/>
      <c r="H392" s="116"/>
      <c r="I392" s="44"/>
      <c r="J392" s="44"/>
      <c r="K392" s="45"/>
      <c r="L392" s="130"/>
      <c r="M392" s="118"/>
      <c r="N392" s="45"/>
      <c r="O392" s="45"/>
      <c r="P392" s="112"/>
      <c r="Q392" s="44"/>
      <c r="R392" s="44"/>
      <c r="S392" s="44"/>
      <c r="T392" s="44"/>
      <c r="U392" s="6" t="s">
        <v>124</v>
      </c>
      <c r="V392" s="10">
        <v>41653</v>
      </c>
      <c r="W392" s="11">
        <v>11224</v>
      </c>
      <c r="X392" s="6" t="s">
        <v>163</v>
      </c>
      <c r="Y392" s="10">
        <v>41653</v>
      </c>
      <c r="Z392" s="10">
        <v>41889</v>
      </c>
      <c r="AA392" s="23">
        <f>AC392/L390</f>
        <v>2.249128470204315E-2</v>
      </c>
      <c r="AB392" s="21"/>
      <c r="AC392" s="24">
        <v>40895.19</v>
      </c>
      <c r="AD392" s="24"/>
      <c r="AE392" s="25">
        <f>L390-AD392+AC392</f>
        <v>1859163.49</v>
      </c>
      <c r="AF392" s="135"/>
      <c r="AG392" s="107">
        <v>0</v>
      </c>
      <c r="AH392" s="12">
        <f t="shared" si="16"/>
        <v>0</v>
      </c>
      <c r="AI392" s="44"/>
      <c r="AJ392" s="118"/>
      <c r="AK392" s="44"/>
      <c r="AL392" s="43"/>
      <c r="AM392" s="44"/>
      <c r="AN392" s="44"/>
      <c r="AO392" s="11"/>
      <c r="AP392" s="10"/>
      <c r="AQ392" s="11"/>
      <c r="AR392" s="10"/>
      <c r="AS392" s="44"/>
      <c r="AT392" s="43"/>
      <c r="AU392" s="134"/>
      <c r="AV392" s="134"/>
      <c r="AW392" s="125"/>
      <c r="AX392" s="43"/>
      <c r="AY392" s="43"/>
      <c r="AZ392" s="43"/>
      <c r="BA392" s="43"/>
      <c r="BB392" s="43"/>
      <c r="BC392" s="43"/>
      <c r="BD392" s="43"/>
    </row>
    <row r="393" spans="1:56" s="193" customFormat="1" ht="31.5" customHeight="1" x14ac:dyDescent="0.25">
      <c r="A393" s="271"/>
      <c r="B393" s="259"/>
      <c r="C393" s="44"/>
      <c r="D393" s="44"/>
      <c r="E393" s="44"/>
      <c r="F393" s="44"/>
      <c r="G393" s="118"/>
      <c r="H393" s="116"/>
      <c r="I393" s="44"/>
      <c r="J393" s="44"/>
      <c r="K393" s="45"/>
      <c r="L393" s="130"/>
      <c r="M393" s="118"/>
      <c r="N393" s="45"/>
      <c r="O393" s="45"/>
      <c r="P393" s="112"/>
      <c r="Q393" s="44"/>
      <c r="R393" s="44"/>
      <c r="S393" s="44"/>
      <c r="T393" s="44"/>
      <c r="U393" s="6" t="s">
        <v>425</v>
      </c>
      <c r="V393" s="10">
        <v>41599</v>
      </c>
      <c r="W393" s="11">
        <v>11367</v>
      </c>
      <c r="X393" s="6" t="s">
        <v>482</v>
      </c>
      <c r="Y393" s="10">
        <v>41653</v>
      </c>
      <c r="Z393" s="10">
        <v>41889</v>
      </c>
      <c r="AA393" s="23"/>
      <c r="AB393" s="21"/>
      <c r="AC393" s="24"/>
      <c r="AD393" s="24"/>
      <c r="AE393" s="25"/>
      <c r="AF393" s="135"/>
      <c r="AG393" s="107">
        <v>0</v>
      </c>
      <c r="AH393" s="12">
        <f t="shared" si="16"/>
        <v>0</v>
      </c>
      <c r="AI393" s="21"/>
      <c r="AJ393" s="11"/>
      <c r="AK393" s="21"/>
      <c r="AL393" s="27"/>
      <c r="AM393" s="21"/>
      <c r="AN393" s="21"/>
      <c r="AO393" s="11"/>
      <c r="AP393" s="10"/>
      <c r="AQ393" s="11"/>
      <c r="AR393" s="10"/>
      <c r="AS393" s="44"/>
      <c r="AT393" s="43"/>
      <c r="AU393" s="134"/>
      <c r="AV393" s="134"/>
      <c r="AW393" s="125"/>
      <c r="AX393" s="43"/>
      <c r="AY393" s="43"/>
      <c r="AZ393" s="43"/>
      <c r="BA393" s="43"/>
      <c r="BB393" s="43"/>
      <c r="BC393" s="43"/>
      <c r="BD393" s="43"/>
    </row>
    <row r="394" spans="1:56" s="193" customFormat="1" ht="31.5" customHeight="1" x14ac:dyDescent="0.25">
      <c r="A394" s="271"/>
      <c r="B394" s="259"/>
      <c r="C394" s="44"/>
      <c r="D394" s="44"/>
      <c r="E394" s="44"/>
      <c r="F394" s="44"/>
      <c r="G394" s="118"/>
      <c r="H394" s="116"/>
      <c r="I394" s="44"/>
      <c r="J394" s="44"/>
      <c r="K394" s="45"/>
      <c r="L394" s="130"/>
      <c r="M394" s="118"/>
      <c r="N394" s="45"/>
      <c r="O394" s="45"/>
      <c r="P394" s="110"/>
      <c r="Q394" s="44"/>
      <c r="R394" s="44"/>
      <c r="S394" s="44"/>
      <c r="T394" s="44"/>
      <c r="U394" s="6" t="s">
        <v>426</v>
      </c>
      <c r="V394" s="10">
        <v>41625</v>
      </c>
      <c r="W394" s="11">
        <v>11367</v>
      </c>
      <c r="X394" s="6" t="s">
        <v>482</v>
      </c>
      <c r="Y394" s="10">
        <v>41653</v>
      </c>
      <c r="Z394" s="10">
        <v>41889</v>
      </c>
      <c r="AA394" s="23"/>
      <c r="AB394" s="21"/>
      <c r="AC394" s="24"/>
      <c r="AD394" s="24"/>
      <c r="AE394" s="25"/>
      <c r="AF394" s="127"/>
      <c r="AG394" s="107">
        <v>0</v>
      </c>
      <c r="AH394" s="12">
        <f t="shared" si="16"/>
        <v>0</v>
      </c>
      <c r="AI394" s="21"/>
      <c r="AJ394" s="11"/>
      <c r="AK394" s="21"/>
      <c r="AL394" s="27"/>
      <c r="AM394" s="21"/>
      <c r="AN394" s="21"/>
      <c r="AO394" s="11"/>
      <c r="AP394" s="10"/>
      <c r="AQ394" s="11"/>
      <c r="AR394" s="10"/>
      <c r="AS394" s="44"/>
      <c r="AT394" s="43"/>
      <c r="AU394" s="134"/>
      <c r="AV394" s="134"/>
      <c r="AW394" s="125"/>
      <c r="AX394" s="43"/>
      <c r="AY394" s="43"/>
      <c r="AZ394" s="43"/>
      <c r="BA394" s="43"/>
      <c r="BB394" s="43"/>
      <c r="BC394" s="43"/>
      <c r="BD394" s="43"/>
    </row>
    <row r="395" spans="1:56" s="193" customFormat="1" ht="31.5" customHeight="1" x14ac:dyDescent="0.25">
      <c r="A395" s="271"/>
      <c r="B395" s="259"/>
      <c r="C395" s="44"/>
      <c r="D395" s="44"/>
      <c r="E395" s="44"/>
      <c r="F395" s="44"/>
      <c r="G395" s="118"/>
      <c r="H395" s="116"/>
      <c r="I395" s="44"/>
      <c r="J395" s="44"/>
      <c r="K395" s="45"/>
      <c r="L395" s="130"/>
      <c r="M395" s="118"/>
      <c r="N395" s="45"/>
      <c r="O395" s="45"/>
      <c r="P395" s="6" t="s">
        <v>314</v>
      </c>
      <c r="Q395" s="44"/>
      <c r="R395" s="44"/>
      <c r="S395" s="44"/>
      <c r="T395" s="44"/>
      <c r="U395" s="6" t="s">
        <v>309</v>
      </c>
      <c r="V395" s="10">
        <v>41625</v>
      </c>
      <c r="W395" s="11">
        <v>11367</v>
      </c>
      <c r="X395" s="6" t="s">
        <v>482</v>
      </c>
      <c r="Y395" s="10">
        <v>41653</v>
      </c>
      <c r="Z395" s="10">
        <v>41889</v>
      </c>
      <c r="AA395" s="23"/>
      <c r="AB395" s="21"/>
      <c r="AC395" s="24"/>
      <c r="AD395" s="24"/>
      <c r="AE395" s="25"/>
      <c r="AF395" s="107">
        <f>70593.21+77668.2+54838.57+29649.53+118652.41</f>
        <v>351401.92000000004</v>
      </c>
      <c r="AG395" s="107">
        <v>170994.54</v>
      </c>
      <c r="AH395" s="12">
        <f t="shared" si="16"/>
        <v>522396.46000000008</v>
      </c>
      <c r="AI395" s="21"/>
      <c r="AJ395" s="11"/>
      <c r="AK395" s="21"/>
      <c r="AL395" s="27"/>
      <c r="AM395" s="21"/>
      <c r="AN395" s="21"/>
      <c r="AO395" s="11"/>
      <c r="AP395" s="10"/>
      <c r="AQ395" s="11"/>
      <c r="AR395" s="10"/>
      <c r="AS395" s="44"/>
      <c r="AT395" s="43"/>
      <c r="AU395" s="134"/>
      <c r="AV395" s="134"/>
      <c r="AW395" s="125"/>
      <c r="AX395" s="43"/>
      <c r="AY395" s="43"/>
      <c r="AZ395" s="43"/>
      <c r="BA395" s="43"/>
      <c r="BB395" s="43"/>
      <c r="BC395" s="43"/>
      <c r="BD395" s="43"/>
    </row>
    <row r="396" spans="1:56" s="193" customFormat="1" x14ac:dyDescent="0.25">
      <c r="A396" s="271"/>
      <c r="B396" s="259"/>
      <c r="C396" s="44"/>
      <c r="D396" s="44"/>
      <c r="E396" s="44"/>
      <c r="F396" s="44"/>
      <c r="G396" s="118"/>
      <c r="H396" s="116"/>
      <c r="I396" s="44"/>
      <c r="J396" s="44"/>
      <c r="K396" s="45"/>
      <c r="L396" s="130"/>
      <c r="M396" s="118"/>
      <c r="N396" s="45"/>
      <c r="O396" s="45"/>
      <c r="P396" s="116" t="s">
        <v>444</v>
      </c>
      <c r="Q396" s="44"/>
      <c r="R396" s="44"/>
      <c r="S396" s="44"/>
      <c r="T396" s="44"/>
      <c r="U396" s="6" t="s">
        <v>143</v>
      </c>
      <c r="V396" s="10">
        <v>41800</v>
      </c>
      <c r="W396" s="11">
        <v>11332</v>
      </c>
      <c r="X396" s="6" t="s">
        <v>163</v>
      </c>
      <c r="Y396" s="10">
        <v>41800</v>
      </c>
      <c r="Z396" s="10">
        <v>41889</v>
      </c>
      <c r="AA396" s="23">
        <f>AC396/AE392</f>
        <v>0.15969011418140533</v>
      </c>
      <c r="AB396" s="21"/>
      <c r="AC396" s="24">
        <v>296890.03000000003</v>
      </c>
      <c r="AD396" s="24"/>
      <c r="AE396" s="25">
        <f>AE392-AD396+AC396</f>
        <v>2156053.52</v>
      </c>
      <c r="AF396" s="70">
        <v>107739.83</v>
      </c>
      <c r="AG396" s="107">
        <v>0</v>
      </c>
      <c r="AH396" s="12">
        <f t="shared" si="16"/>
        <v>107739.83</v>
      </c>
      <c r="AI396" s="44"/>
      <c r="AJ396" s="118"/>
      <c r="AK396" s="44"/>
      <c r="AL396" s="43"/>
      <c r="AM396" s="44"/>
      <c r="AN396" s="44"/>
      <c r="AO396" s="11"/>
      <c r="AP396" s="10"/>
      <c r="AQ396" s="11"/>
      <c r="AR396" s="10"/>
      <c r="AS396" s="44"/>
      <c r="AT396" s="43"/>
      <c r="AU396" s="134"/>
      <c r="AV396" s="134"/>
      <c r="AW396" s="125"/>
      <c r="AX396" s="43"/>
      <c r="AY396" s="43"/>
      <c r="AZ396" s="43"/>
      <c r="BA396" s="43"/>
      <c r="BB396" s="43"/>
      <c r="BC396" s="43"/>
      <c r="BD396" s="43"/>
    </row>
    <row r="397" spans="1:56" s="193" customFormat="1" x14ac:dyDescent="0.25">
      <c r="A397" s="271"/>
      <c r="B397" s="259"/>
      <c r="C397" s="44"/>
      <c r="D397" s="44"/>
      <c r="E397" s="44"/>
      <c r="F397" s="44"/>
      <c r="G397" s="118"/>
      <c r="H397" s="116"/>
      <c r="I397" s="44"/>
      <c r="J397" s="44"/>
      <c r="K397" s="45"/>
      <c r="L397" s="130"/>
      <c r="M397" s="118"/>
      <c r="N397" s="45"/>
      <c r="O397" s="45"/>
      <c r="P397" s="116"/>
      <c r="Q397" s="44"/>
      <c r="R397" s="44"/>
      <c r="S397" s="44"/>
      <c r="T397" s="44"/>
      <c r="U397" s="6" t="s">
        <v>126</v>
      </c>
      <c r="V397" s="10">
        <v>41822</v>
      </c>
      <c r="W397" s="11">
        <v>11364</v>
      </c>
      <c r="X397" s="6" t="s">
        <v>333</v>
      </c>
      <c r="Y397" s="10">
        <v>41889</v>
      </c>
      <c r="Z397" s="10">
        <v>42099</v>
      </c>
      <c r="AA397" s="23"/>
      <c r="AB397" s="21"/>
      <c r="AC397" s="24"/>
      <c r="AD397" s="24"/>
      <c r="AE397" s="25"/>
      <c r="AF397" s="127"/>
      <c r="AG397" s="107">
        <v>0</v>
      </c>
      <c r="AH397" s="12">
        <f t="shared" si="16"/>
        <v>0</v>
      </c>
      <c r="AI397" s="44"/>
      <c r="AJ397" s="118"/>
      <c r="AK397" s="44"/>
      <c r="AL397" s="43"/>
      <c r="AM397" s="44"/>
      <c r="AN397" s="44"/>
      <c r="AO397" s="11"/>
      <c r="AP397" s="10"/>
      <c r="AQ397" s="11"/>
      <c r="AR397" s="10"/>
      <c r="AS397" s="44"/>
      <c r="AT397" s="43"/>
      <c r="AU397" s="131">
        <v>41773</v>
      </c>
      <c r="AV397" s="131">
        <v>41923</v>
      </c>
      <c r="AW397" s="125"/>
      <c r="AX397" s="43"/>
      <c r="AY397" s="43"/>
      <c r="AZ397" s="43"/>
      <c r="BA397" s="43"/>
      <c r="BB397" s="43"/>
      <c r="BC397" s="43"/>
      <c r="BD397" s="43"/>
    </row>
    <row r="398" spans="1:56" s="193" customFormat="1" ht="25.5" x14ac:dyDescent="0.25">
      <c r="A398" s="271"/>
      <c r="B398" s="259"/>
      <c r="C398" s="44"/>
      <c r="D398" s="44"/>
      <c r="E398" s="44"/>
      <c r="F398" s="44"/>
      <c r="G398" s="118"/>
      <c r="H398" s="116"/>
      <c r="I398" s="44"/>
      <c r="J398" s="44"/>
      <c r="K398" s="45"/>
      <c r="L398" s="130"/>
      <c r="M398" s="118"/>
      <c r="N398" s="45"/>
      <c r="O398" s="45"/>
      <c r="P398" s="6"/>
      <c r="Q398" s="44"/>
      <c r="R398" s="44"/>
      <c r="S398" s="44"/>
      <c r="T398" s="44"/>
      <c r="U398" s="6" t="s">
        <v>365</v>
      </c>
      <c r="V398" s="10">
        <v>41843</v>
      </c>
      <c r="W398" s="11">
        <v>11364</v>
      </c>
      <c r="X398" s="6" t="s">
        <v>483</v>
      </c>
      <c r="Y398" s="10">
        <v>41889</v>
      </c>
      <c r="Z398" s="10">
        <v>42099</v>
      </c>
      <c r="AA398" s="23">
        <f>AC398/AE396</f>
        <v>0.13247635893565388</v>
      </c>
      <c r="AB398" s="21"/>
      <c r="AC398" s="24">
        <v>285626.12</v>
      </c>
      <c r="AD398" s="24"/>
      <c r="AE398" s="25">
        <f>AE396+AC398-AD398</f>
        <v>2441679.64</v>
      </c>
      <c r="AF398" s="127"/>
      <c r="AG398" s="107">
        <v>0</v>
      </c>
      <c r="AH398" s="12">
        <f t="shared" si="16"/>
        <v>0</v>
      </c>
      <c r="AI398" s="21"/>
      <c r="AJ398" s="11"/>
      <c r="AK398" s="21"/>
      <c r="AL398" s="27"/>
      <c r="AM398" s="21"/>
      <c r="AN398" s="21"/>
      <c r="AO398" s="11"/>
      <c r="AP398" s="10"/>
      <c r="AQ398" s="11"/>
      <c r="AR398" s="10"/>
      <c r="AS398" s="44"/>
      <c r="AT398" s="43"/>
      <c r="AU398" s="131"/>
      <c r="AV398" s="131"/>
      <c r="AW398" s="125"/>
      <c r="AX398" s="43"/>
      <c r="AY398" s="43"/>
      <c r="AZ398" s="43"/>
      <c r="BA398" s="43"/>
      <c r="BB398" s="43"/>
      <c r="BC398" s="43"/>
      <c r="BD398" s="43"/>
    </row>
    <row r="399" spans="1:56" s="193" customFormat="1" x14ac:dyDescent="0.25">
      <c r="A399" s="271"/>
      <c r="B399" s="259"/>
      <c r="C399" s="44"/>
      <c r="D399" s="44"/>
      <c r="E399" s="44"/>
      <c r="F399" s="44"/>
      <c r="G399" s="118"/>
      <c r="H399" s="116"/>
      <c r="I399" s="44"/>
      <c r="J399" s="44"/>
      <c r="K399" s="45"/>
      <c r="L399" s="130"/>
      <c r="M399" s="118"/>
      <c r="N399" s="45"/>
      <c r="O399" s="45"/>
      <c r="P399" s="6"/>
      <c r="Q399" s="44"/>
      <c r="R399" s="44"/>
      <c r="S399" s="44"/>
      <c r="T399" s="44"/>
      <c r="U399" s="6" t="s">
        <v>181</v>
      </c>
      <c r="V399" s="10">
        <v>41981</v>
      </c>
      <c r="W399" s="11">
        <v>11532</v>
      </c>
      <c r="X399" s="6" t="s">
        <v>684</v>
      </c>
      <c r="Y399" s="10">
        <v>41889</v>
      </c>
      <c r="Z399" s="10">
        <v>42099</v>
      </c>
      <c r="AA399" s="23"/>
      <c r="AB399" s="21"/>
      <c r="AC399" s="24"/>
      <c r="AD399" s="24"/>
      <c r="AE399" s="25"/>
      <c r="AF399" s="127"/>
      <c r="AG399" s="107">
        <v>0</v>
      </c>
      <c r="AH399" s="12">
        <f t="shared" si="16"/>
        <v>0</v>
      </c>
      <c r="AI399" s="21"/>
      <c r="AJ399" s="11"/>
      <c r="AK399" s="21"/>
      <c r="AL399" s="27"/>
      <c r="AM399" s="21"/>
      <c r="AN399" s="21"/>
      <c r="AO399" s="11"/>
      <c r="AP399" s="10"/>
      <c r="AQ399" s="11"/>
      <c r="AR399" s="10"/>
      <c r="AS399" s="44"/>
      <c r="AT399" s="43"/>
      <c r="AU399" s="131">
        <v>41983</v>
      </c>
      <c r="AV399" s="131">
        <v>42465</v>
      </c>
      <c r="AW399" s="125"/>
      <c r="AX399" s="43"/>
      <c r="AY399" s="43"/>
      <c r="AZ399" s="43"/>
      <c r="BA399" s="43"/>
      <c r="BB399" s="43"/>
      <c r="BC399" s="43"/>
      <c r="BD399" s="43"/>
    </row>
    <row r="400" spans="1:56" s="193" customFormat="1" ht="25.5" x14ac:dyDescent="0.25">
      <c r="A400" s="271"/>
      <c r="B400" s="259"/>
      <c r="C400" s="44"/>
      <c r="D400" s="44"/>
      <c r="E400" s="44"/>
      <c r="F400" s="44"/>
      <c r="G400" s="118"/>
      <c r="H400" s="116"/>
      <c r="I400" s="44"/>
      <c r="J400" s="44"/>
      <c r="K400" s="45"/>
      <c r="L400" s="130"/>
      <c r="M400" s="118"/>
      <c r="N400" s="45"/>
      <c r="O400" s="45"/>
      <c r="P400" s="6"/>
      <c r="Q400" s="44"/>
      <c r="R400" s="44"/>
      <c r="S400" s="44"/>
      <c r="T400" s="44"/>
      <c r="U400" s="6" t="s">
        <v>682</v>
      </c>
      <c r="V400" s="10">
        <v>42061</v>
      </c>
      <c r="W400" s="11"/>
      <c r="X400" s="6" t="s">
        <v>683</v>
      </c>
      <c r="Y400" s="10">
        <v>41889</v>
      </c>
      <c r="Z400" s="10">
        <v>42099</v>
      </c>
      <c r="AA400" s="23"/>
      <c r="AB400" s="21"/>
      <c r="AC400" s="24"/>
      <c r="AD400" s="24"/>
      <c r="AE400" s="25"/>
      <c r="AF400" s="127"/>
      <c r="AG400" s="107">
        <v>0</v>
      </c>
      <c r="AH400" s="12">
        <f t="shared" si="16"/>
        <v>0</v>
      </c>
      <c r="AI400" s="21"/>
      <c r="AJ400" s="11"/>
      <c r="AK400" s="21"/>
      <c r="AL400" s="27"/>
      <c r="AM400" s="21"/>
      <c r="AN400" s="21"/>
      <c r="AO400" s="11"/>
      <c r="AP400" s="10"/>
      <c r="AQ400" s="11"/>
      <c r="AR400" s="10"/>
      <c r="AS400" s="44"/>
      <c r="AT400" s="43"/>
      <c r="AU400" s="131"/>
      <c r="AV400" s="131"/>
      <c r="AW400" s="125"/>
      <c r="AX400" s="43"/>
      <c r="AY400" s="43"/>
      <c r="AZ400" s="43"/>
      <c r="BA400" s="43"/>
      <c r="BB400" s="43"/>
      <c r="BC400" s="43"/>
      <c r="BD400" s="43"/>
    </row>
    <row r="401" spans="1:56" s="193" customFormat="1" ht="25.5" x14ac:dyDescent="0.25">
      <c r="A401" s="271"/>
      <c r="B401" s="259"/>
      <c r="C401" s="44"/>
      <c r="D401" s="44"/>
      <c r="E401" s="44"/>
      <c r="F401" s="44"/>
      <c r="G401" s="118"/>
      <c r="H401" s="116"/>
      <c r="I401" s="44"/>
      <c r="J401" s="44"/>
      <c r="K401" s="45"/>
      <c r="L401" s="130"/>
      <c r="M401" s="118"/>
      <c r="N401" s="45"/>
      <c r="O401" s="45"/>
      <c r="P401" s="6" t="s">
        <v>525</v>
      </c>
      <c r="Q401" s="44"/>
      <c r="R401" s="44"/>
      <c r="S401" s="44"/>
      <c r="T401" s="44"/>
      <c r="U401" s="6" t="s">
        <v>227</v>
      </c>
      <c r="V401" s="10">
        <v>42095</v>
      </c>
      <c r="W401" s="11">
        <v>11555</v>
      </c>
      <c r="X401" s="6" t="s">
        <v>685</v>
      </c>
      <c r="Y401" s="10">
        <v>42099</v>
      </c>
      <c r="Z401" s="10">
        <v>42309</v>
      </c>
      <c r="AA401" s="23"/>
      <c r="AB401" s="21"/>
      <c r="AC401" s="24"/>
      <c r="AD401" s="24"/>
      <c r="AE401" s="25"/>
      <c r="AF401" s="127">
        <f>27528.73+54574.25</f>
        <v>82102.98</v>
      </c>
      <c r="AG401" s="107">
        <v>11112.02</v>
      </c>
      <c r="AH401" s="12">
        <f t="shared" si="16"/>
        <v>93215</v>
      </c>
      <c r="AI401" s="21"/>
      <c r="AJ401" s="11"/>
      <c r="AK401" s="21"/>
      <c r="AL401" s="27"/>
      <c r="AM401" s="21"/>
      <c r="AN401" s="21"/>
      <c r="AO401" s="11"/>
      <c r="AP401" s="10"/>
      <c r="AQ401" s="11"/>
      <c r="AR401" s="10"/>
      <c r="AS401" s="44"/>
      <c r="AT401" s="43"/>
      <c r="AU401" s="131">
        <v>42099</v>
      </c>
      <c r="AV401" s="131">
        <v>42249</v>
      </c>
      <c r="AW401" s="126"/>
      <c r="AX401" s="43"/>
      <c r="AY401" s="43"/>
      <c r="AZ401" s="43"/>
      <c r="BA401" s="43"/>
      <c r="BB401" s="43"/>
      <c r="BC401" s="43"/>
      <c r="BD401" s="43"/>
    </row>
    <row r="402" spans="1:56" s="193" customFormat="1" ht="24.75" customHeight="1" x14ac:dyDescent="0.25">
      <c r="A402" s="271">
        <v>102</v>
      </c>
      <c r="B402" s="259" t="s">
        <v>120</v>
      </c>
      <c r="C402" s="44" t="s">
        <v>129</v>
      </c>
      <c r="D402" s="44" t="s">
        <v>318</v>
      </c>
      <c r="E402" s="44" t="s">
        <v>123</v>
      </c>
      <c r="F402" s="44" t="s">
        <v>308</v>
      </c>
      <c r="G402" s="118">
        <v>10988</v>
      </c>
      <c r="H402" s="116" t="s">
        <v>354</v>
      </c>
      <c r="I402" s="44" t="s">
        <v>311</v>
      </c>
      <c r="J402" s="44" t="s">
        <v>353</v>
      </c>
      <c r="K402" s="45">
        <v>41572</v>
      </c>
      <c r="L402" s="130">
        <v>120467.06</v>
      </c>
      <c r="M402" s="118">
        <v>11172</v>
      </c>
      <c r="N402" s="45">
        <v>41572</v>
      </c>
      <c r="O402" s="45">
        <v>41662</v>
      </c>
      <c r="P402" s="116" t="s">
        <v>157</v>
      </c>
      <c r="Q402" s="44"/>
      <c r="R402" s="44"/>
      <c r="S402" s="44"/>
      <c r="T402" s="44" t="s">
        <v>208</v>
      </c>
      <c r="U402" s="6"/>
      <c r="V402" s="21"/>
      <c r="W402" s="122"/>
      <c r="X402" s="6"/>
      <c r="Y402" s="21"/>
      <c r="Z402" s="21"/>
      <c r="AA402" s="23"/>
      <c r="AB402" s="21"/>
      <c r="AC402" s="24"/>
      <c r="AD402" s="24"/>
      <c r="AE402" s="25"/>
      <c r="AF402" s="107">
        <f>91199.2+8911.68+61472.96</f>
        <v>161583.84</v>
      </c>
      <c r="AG402" s="107">
        <f>7932.83</f>
        <v>7932.83</v>
      </c>
      <c r="AH402" s="12">
        <f t="shared" ref="AH402:AH425" si="18">AF402+AG402</f>
        <v>169516.66999999998</v>
      </c>
      <c r="AI402" s="21"/>
      <c r="AJ402" s="11"/>
      <c r="AK402" s="21"/>
      <c r="AL402" s="27"/>
      <c r="AM402" s="21"/>
      <c r="AN402" s="21"/>
      <c r="AO402" s="11"/>
      <c r="AP402" s="10"/>
      <c r="AQ402" s="11"/>
      <c r="AR402" s="10"/>
      <c r="AS402" s="44" t="s">
        <v>449</v>
      </c>
      <c r="AT402" s="43" t="s">
        <v>448</v>
      </c>
      <c r="AU402" s="131">
        <v>41572</v>
      </c>
      <c r="AV402" s="131">
        <v>41632</v>
      </c>
      <c r="AW402" s="124">
        <f>AH402/AE415</f>
        <v>0.94445911910965485</v>
      </c>
      <c r="AX402" s="43"/>
      <c r="AY402" s="48">
        <v>41572</v>
      </c>
      <c r="AZ402" s="43" t="s">
        <v>400</v>
      </c>
      <c r="BA402" s="43" t="s">
        <v>401</v>
      </c>
      <c r="BB402" s="43"/>
      <c r="BC402" s="43"/>
      <c r="BD402" s="43"/>
    </row>
    <row r="403" spans="1:56" s="193" customFormat="1" ht="28.5" customHeight="1" x14ac:dyDescent="0.25">
      <c r="A403" s="271"/>
      <c r="B403" s="259"/>
      <c r="C403" s="44"/>
      <c r="D403" s="44"/>
      <c r="E403" s="44"/>
      <c r="F403" s="44"/>
      <c r="G403" s="118"/>
      <c r="H403" s="116"/>
      <c r="I403" s="44"/>
      <c r="J403" s="44"/>
      <c r="K403" s="45"/>
      <c r="L403" s="130"/>
      <c r="M403" s="118"/>
      <c r="N403" s="45"/>
      <c r="O403" s="45"/>
      <c r="P403" s="116"/>
      <c r="Q403" s="44"/>
      <c r="R403" s="44"/>
      <c r="S403" s="44"/>
      <c r="T403" s="44"/>
      <c r="U403" s="6" t="s">
        <v>141</v>
      </c>
      <c r="V403" s="10">
        <v>41647</v>
      </c>
      <c r="W403" s="122">
        <v>11254</v>
      </c>
      <c r="X403" s="6" t="s">
        <v>506</v>
      </c>
      <c r="Y403" s="10">
        <v>41663</v>
      </c>
      <c r="Z403" s="10">
        <v>41752</v>
      </c>
      <c r="AA403" s="23"/>
      <c r="AB403" s="21"/>
      <c r="AC403" s="24"/>
      <c r="AD403" s="24"/>
      <c r="AE403" s="25">
        <f>L402-AD403+AC403</f>
        <v>120467.06</v>
      </c>
      <c r="AF403" s="25"/>
      <c r="AG403" s="107">
        <v>0</v>
      </c>
      <c r="AH403" s="12">
        <f t="shared" si="18"/>
        <v>0</v>
      </c>
      <c r="AI403" s="21"/>
      <c r="AJ403" s="11"/>
      <c r="AK403" s="21"/>
      <c r="AL403" s="27"/>
      <c r="AM403" s="21"/>
      <c r="AN403" s="21"/>
      <c r="AO403" s="11"/>
      <c r="AP403" s="10"/>
      <c r="AQ403" s="11"/>
      <c r="AR403" s="10"/>
      <c r="AS403" s="44"/>
      <c r="AT403" s="43"/>
      <c r="AU403" s="131">
        <v>41633</v>
      </c>
      <c r="AV403" s="131">
        <v>41693</v>
      </c>
      <c r="AW403" s="125"/>
      <c r="AX403" s="43"/>
      <c r="AY403" s="43"/>
      <c r="AZ403" s="43"/>
      <c r="BA403" s="43"/>
      <c r="BB403" s="43"/>
      <c r="BC403" s="43"/>
      <c r="BD403" s="43"/>
    </row>
    <row r="404" spans="1:56" s="193" customFormat="1" ht="28.5" customHeight="1" x14ac:dyDescent="0.25">
      <c r="A404" s="271"/>
      <c r="B404" s="259"/>
      <c r="C404" s="44"/>
      <c r="D404" s="44"/>
      <c r="E404" s="44"/>
      <c r="F404" s="44"/>
      <c r="G404" s="118"/>
      <c r="H404" s="116"/>
      <c r="I404" s="44"/>
      <c r="J404" s="44"/>
      <c r="K404" s="45"/>
      <c r="L404" s="130"/>
      <c r="M404" s="118"/>
      <c r="N404" s="45"/>
      <c r="O404" s="45"/>
      <c r="P404" s="116"/>
      <c r="Q404" s="44"/>
      <c r="R404" s="44"/>
      <c r="S404" s="44"/>
      <c r="T404" s="44"/>
      <c r="U404" s="6" t="s">
        <v>507</v>
      </c>
      <c r="V404" s="10">
        <v>41599</v>
      </c>
      <c r="W404" s="122">
        <v>11367</v>
      </c>
      <c r="X404" s="6" t="s">
        <v>482</v>
      </c>
      <c r="Y404" s="10">
        <v>41663</v>
      </c>
      <c r="Z404" s="10">
        <v>41752</v>
      </c>
      <c r="AA404" s="23"/>
      <c r="AB404" s="21"/>
      <c r="AC404" s="24"/>
      <c r="AD404" s="24"/>
      <c r="AE404" s="25"/>
      <c r="AF404" s="25"/>
      <c r="AG404" s="107">
        <v>0</v>
      </c>
      <c r="AH404" s="12">
        <f t="shared" si="18"/>
        <v>0</v>
      </c>
      <c r="AI404" s="21"/>
      <c r="AJ404" s="11"/>
      <c r="AK404" s="21"/>
      <c r="AL404" s="27"/>
      <c r="AM404" s="21"/>
      <c r="AN404" s="21"/>
      <c r="AO404" s="11"/>
      <c r="AP404" s="10"/>
      <c r="AQ404" s="11"/>
      <c r="AR404" s="10"/>
      <c r="AS404" s="44"/>
      <c r="AT404" s="43"/>
      <c r="AU404" s="134"/>
      <c r="AV404" s="134"/>
      <c r="AW404" s="125"/>
      <c r="AX404" s="43"/>
      <c r="AY404" s="43"/>
      <c r="AZ404" s="43"/>
      <c r="BA404" s="43"/>
      <c r="BB404" s="43"/>
      <c r="BC404" s="43"/>
      <c r="BD404" s="43"/>
    </row>
    <row r="405" spans="1:56" s="193" customFormat="1" ht="28.5" customHeight="1" x14ac:dyDescent="0.25">
      <c r="A405" s="271"/>
      <c r="B405" s="259"/>
      <c r="C405" s="44"/>
      <c r="D405" s="44"/>
      <c r="E405" s="44"/>
      <c r="F405" s="44"/>
      <c r="G405" s="118"/>
      <c r="H405" s="116"/>
      <c r="I405" s="44"/>
      <c r="J405" s="44"/>
      <c r="K405" s="45"/>
      <c r="L405" s="130"/>
      <c r="M405" s="118"/>
      <c r="N405" s="45"/>
      <c r="O405" s="45"/>
      <c r="P405" s="116"/>
      <c r="Q405" s="44"/>
      <c r="R405" s="44"/>
      <c r="S405" s="44"/>
      <c r="T405" s="44"/>
      <c r="U405" s="6" t="s">
        <v>508</v>
      </c>
      <c r="V405" s="10">
        <v>41625</v>
      </c>
      <c r="W405" s="122">
        <v>11367</v>
      </c>
      <c r="X405" s="6" t="s">
        <v>482</v>
      </c>
      <c r="Y405" s="10">
        <v>41663</v>
      </c>
      <c r="Z405" s="10">
        <v>41752</v>
      </c>
      <c r="AA405" s="23"/>
      <c r="AB405" s="21"/>
      <c r="AC405" s="24"/>
      <c r="AD405" s="24"/>
      <c r="AE405" s="25"/>
      <c r="AF405" s="25"/>
      <c r="AG405" s="107">
        <v>0</v>
      </c>
      <c r="AH405" s="12">
        <f t="shared" si="18"/>
        <v>0</v>
      </c>
      <c r="AI405" s="21"/>
      <c r="AJ405" s="11"/>
      <c r="AK405" s="21"/>
      <c r="AL405" s="27"/>
      <c r="AM405" s="21"/>
      <c r="AN405" s="21"/>
      <c r="AO405" s="11"/>
      <c r="AP405" s="10"/>
      <c r="AQ405" s="11"/>
      <c r="AR405" s="10"/>
      <c r="AS405" s="44"/>
      <c r="AT405" s="43"/>
      <c r="AU405" s="134"/>
      <c r="AV405" s="134"/>
      <c r="AW405" s="125"/>
      <c r="AX405" s="43"/>
      <c r="AY405" s="43"/>
      <c r="AZ405" s="43"/>
      <c r="BA405" s="43"/>
      <c r="BB405" s="43"/>
      <c r="BC405" s="43"/>
      <c r="BD405" s="43"/>
    </row>
    <row r="406" spans="1:56" s="193" customFormat="1" ht="28.5" customHeight="1" x14ac:dyDescent="0.25">
      <c r="A406" s="271"/>
      <c r="B406" s="259"/>
      <c r="C406" s="44"/>
      <c r="D406" s="44"/>
      <c r="E406" s="44"/>
      <c r="F406" s="44"/>
      <c r="G406" s="118"/>
      <c r="H406" s="116"/>
      <c r="I406" s="44"/>
      <c r="J406" s="44"/>
      <c r="K406" s="45"/>
      <c r="L406" s="130"/>
      <c r="M406" s="118"/>
      <c r="N406" s="45"/>
      <c r="O406" s="45"/>
      <c r="P406" s="116"/>
      <c r="Q406" s="44"/>
      <c r="R406" s="44"/>
      <c r="S406" s="44"/>
      <c r="T406" s="44"/>
      <c r="U406" s="6" t="s">
        <v>355</v>
      </c>
      <c r="V406" s="10">
        <v>41792</v>
      </c>
      <c r="W406" s="122">
        <v>11347</v>
      </c>
      <c r="X406" s="6" t="s">
        <v>407</v>
      </c>
      <c r="Y406" s="10">
        <v>41663</v>
      </c>
      <c r="Z406" s="10">
        <v>41752</v>
      </c>
      <c r="AA406" s="23">
        <f>AC406/L402</f>
        <v>0.16180016346377177</v>
      </c>
      <c r="AB406" s="21"/>
      <c r="AC406" s="24">
        <v>19491.59</v>
      </c>
      <c r="AD406" s="24"/>
      <c r="AE406" s="25">
        <f>AE403-AD406+AC406</f>
        <v>139958.65</v>
      </c>
      <c r="AF406" s="25"/>
      <c r="AG406" s="107">
        <v>0</v>
      </c>
      <c r="AH406" s="12">
        <f t="shared" si="18"/>
        <v>0</v>
      </c>
      <c r="AI406" s="21"/>
      <c r="AJ406" s="11"/>
      <c r="AK406" s="21"/>
      <c r="AL406" s="27"/>
      <c r="AM406" s="21"/>
      <c r="AN406" s="21"/>
      <c r="AO406" s="11"/>
      <c r="AP406" s="10"/>
      <c r="AQ406" s="11"/>
      <c r="AR406" s="10"/>
      <c r="AS406" s="44"/>
      <c r="AT406" s="43"/>
      <c r="AU406" s="134"/>
      <c r="AV406" s="134"/>
      <c r="AW406" s="125"/>
      <c r="AX406" s="43"/>
      <c r="AY406" s="43"/>
      <c r="AZ406" s="43"/>
      <c r="BA406" s="43"/>
      <c r="BB406" s="43"/>
      <c r="BC406" s="43"/>
      <c r="BD406" s="43"/>
    </row>
    <row r="407" spans="1:56" s="193" customFormat="1" ht="28.5" customHeight="1" x14ac:dyDescent="0.25">
      <c r="A407" s="271"/>
      <c r="B407" s="259"/>
      <c r="C407" s="44"/>
      <c r="D407" s="44"/>
      <c r="E407" s="44"/>
      <c r="F407" s="44"/>
      <c r="G407" s="118"/>
      <c r="H407" s="116"/>
      <c r="I407" s="44"/>
      <c r="J407" s="44"/>
      <c r="K407" s="45"/>
      <c r="L407" s="130"/>
      <c r="M407" s="118"/>
      <c r="N407" s="45"/>
      <c r="O407" s="45"/>
      <c r="P407" s="116"/>
      <c r="Q407" s="44"/>
      <c r="R407" s="44"/>
      <c r="S407" s="44"/>
      <c r="T407" s="44"/>
      <c r="U407" s="6" t="s">
        <v>124</v>
      </c>
      <c r="V407" s="10">
        <v>41739</v>
      </c>
      <c r="W407" s="122">
        <v>11566</v>
      </c>
      <c r="X407" s="6" t="s">
        <v>606</v>
      </c>
      <c r="Y407" s="10">
        <v>41752</v>
      </c>
      <c r="Z407" s="10">
        <v>41843</v>
      </c>
      <c r="AA407" s="23"/>
      <c r="AB407" s="21"/>
      <c r="AC407" s="24"/>
      <c r="AD407" s="24"/>
      <c r="AE407" s="25"/>
      <c r="AF407" s="25"/>
      <c r="AG407" s="107">
        <v>0</v>
      </c>
      <c r="AH407" s="12">
        <f t="shared" si="18"/>
        <v>0</v>
      </c>
      <c r="AI407" s="21"/>
      <c r="AJ407" s="11"/>
      <c r="AK407" s="21"/>
      <c r="AL407" s="27"/>
      <c r="AM407" s="21"/>
      <c r="AN407" s="21"/>
      <c r="AO407" s="11"/>
      <c r="AP407" s="10"/>
      <c r="AQ407" s="11"/>
      <c r="AR407" s="10"/>
      <c r="AS407" s="44"/>
      <c r="AT407" s="43"/>
      <c r="AU407" s="131">
        <v>41716</v>
      </c>
      <c r="AV407" s="131">
        <v>41806</v>
      </c>
      <c r="AW407" s="125"/>
      <c r="AX407" s="43"/>
      <c r="AY407" s="43"/>
      <c r="AZ407" s="43"/>
      <c r="BA407" s="43"/>
      <c r="BB407" s="43"/>
      <c r="BC407" s="43"/>
      <c r="BD407" s="43"/>
    </row>
    <row r="408" spans="1:56" s="193" customFormat="1" ht="28.5" customHeight="1" x14ac:dyDescent="0.25">
      <c r="A408" s="271"/>
      <c r="B408" s="259"/>
      <c r="C408" s="44"/>
      <c r="D408" s="44"/>
      <c r="E408" s="44"/>
      <c r="F408" s="44"/>
      <c r="G408" s="118"/>
      <c r="H408" s="116"/>
      <c r="I408" s="44"/>
      <c r="J408" s="44"/>
      <c r="K408" s="45"/>
      <c r="L408" s="130"/>
      <c r="M408" s="118"/>
      <c r="N408" s="45"/>
      <c r="O408" s="45"/>
      <c r="P408" s="116"/>
      <c r="Q408" s="44"/>
      <c r="R408" s="44"/>
      <c r="S408" s="44"/>
      <c r="T408" s="44"/>
      <c r="U408" s="6" t="s">
        <v>143</v>
      </c>
      <c r="V408" s="10">
        <v>41801</v>
      </c>
      <c r="W408" s="122">
        <v>11481</v>
      </c>
      <c r="X408" s="6" t="s">
        <v>606</v>
      </c>
      <c r="Y408" s="10">
        <v>41843</v>
      </c>
      <c r="Z408" s="10">
        <v>41932</v>
      </c>
      <c r="AA408" s="23"/>
      <c r="AB408" s="21"/>
      <c r="AC408" s="24"/>
      <c r="AD408" s="24"/>
      <c r="AE408" s="25"/>
      <c r="AF408" s="25"/>
      <c r="AG408" s="107">
        <v>0</v>
      </c>
      <c r="AH408" s="12">
        <f t="shared" si="18"/>
        <v>0</v>
      </c>
      <c r="AI408" s="21"/>
      <c r="AJ408" s="11"/>
      <c r="AK408" s="21"/>
      <c r="AL408" s="27"/>
      <c r="AM408" s="21"/>
      <c r="AN408" s="21"/>
      <c r="AO408" s="11"/>
      <c r="AP408" s="10"/>
      <c r="AQ408" s="11"/>
      <c r="AR408" s="10"/>
      <c r="AS408" s="44"/>
      <c r="AT408" s="43"/>
      <c r="AU408" s="131">
        <v>41806</v>
      </c>
      <c r="AV408" s="131">
        <v>41897</v>
      </c>
      <c r="AW408" s="125"/>
      <c r="AX408" s="43"/>
      <c r="AY408" s="43"/>
      <c r="AZ408" s="43"/>
      <c r="BA408" s="43"/>
      <c r="BB408" s="43"/>
      <c r="BC408" s="43"/>
      <c r="BD408" s="43"/>
    </row>
    <row r="409" spans="1:56" s="193" customFormat="1" ht="28.5" customHeight="1" x14ac:dyDescent="0.25">
      <c r="A409" s="271"/>
      <c r="B409" s="259"/>
      <c r="C409" s="44"/>
      <c r="D409" s="44"/>
      <c r="E409" s="44"/>
      <c r="F409" s="44"/>
      <c r="G409" s="118"/>
      <c r="H409" s="116"/>
      <c r="I409" s="44"/>
      <c r="J409" s="44"/>
      <c r="K409" s="45"/>
      <c r="L409" s="130"/>
      <c r="M409" s="118"/>
      <c r="N409" s="45"/>
      <c r="O409" s="45"/>
      <c r="P409" s="116"/>
      <c r="Q409" s="44"/>
      <c r="R409" s="44"/>
      <c r="S409" s="44"/>
      <c r="T409" s="44"/>
      <c r="U409" s="6" t="s">
        <v>126</v>
      </c>
      <c r="V409" s="10">
        <v>41929</v>
      </c>
      <c r="W409" s="122">
        <v>11482</v>
      </c>
      <c r="X409" s="6" t="s">
        <v>592</v>
      </c>
      <c r="Y409" s="10">
        <v>41932</v>
      </c>
      <c r="Z409" s="10">
        <v>42022</v>
      </c>
      <c r="AA409" s="23"/>
      <c r="AB409" s="21"/>
      <c r="AC409" s="24"/>
      <c r="AD409" s="24"/>
      <c r="AE409" s="25"/>
      <c r="AF409" s="25"/>
      <c r="AG409" s="107">
        <v>0</v>
      </c>
      <c r="AH409" s="12">
        <f t="shared" si="18"/>
        <v>0</v>
      </c>
      <c r="AI409" s="21"/>
      <c r="AJ409" s="11"/>
      <c r="AK409" s="21"/>
      <c r="AL409" s="27"/>
      <c r="AM409" s="21"/>
      <c r="AN409" s="21"/>
      <c r="AO409" s="11"/>
      <c r="AP409" s="10"/>
      <c r="AQ409" s="11"/>
      <c r="AR409" s="10"/>
      <c r="AS409" s="44"/>
      <c r="AT409" s="43"/>
      <c r="AU409" s="131">
        <v>41897</v>
      </c>
      <c r="AV409" s="131">
        <v>41987</v>
      </c>
      <c r="AW409" s="125"/>
      <c r="AX409" s="43"/>
      <c r="AY409" s="43"/>
      <c r="AZ409" s="43"/>
      <c r="BA409" s="43"/>
      <c r="BB409" s="43"/>
      <c r="BC409" s="43"/>
      <c r="BD409" s="43"/>
    </row>
    <row r="410" spans="1:56" s="193" customFormat="1" ht="28.5" customHeight="1" x14ac:dyDescent="0.25">
      <c r="A410" s="271"/>
      <c r="B410" s="259"/>
      <c r="C410" s="44"/>
      <c r="D410" s="44"/>
      <c r="E410" s="44"/>
      <c r="F410" s="44"/>
      <c r="G410" s="118"/>
      <c r="H410" s="116"/>
      <c r="I410" s="44"/>
      <c r="J410" s="44"/>
      <c r="K410" s="45"/>
      <c r="L410" s="130"/>
      <c r="M410" s="118"/>
      <c r="N410" s="45"/>
      <c r="O410" s="45"/>
      <c r="P410" s="116"/>
      <c r="Q410" s="44"/>
      <c r="R410" s="44"/>
      <c r="S410" s="44"/>
      <c r="T410" s="44"/>
      <c r="U410" s="6" t="s">
        <v>181</v>
      </c>
      <c r="V410" s="10">
        <v>42020</v>
      </c>
      <c r="W410" s="122">
        <v>11483</v>
      </c>
      <c r="X410" s="6" t="s">
        <v>592</v>
      </c>
      <c r="Y410" s="10" t="s">
        <v>607</v>
      </c>
      <c r="Z410" s="10">
        <v>42112</v>
      </c>
      <c r="AA410" s="23"/>
      <c r="AB410" s="21"/>
      <c r="AC410" s="24"/>
      <c r="AD410" s="24"/>
      <c r="AE410" s="25"/>
      <c r="AF410" s="25"/>
      <c r="AG410" s="107">
        <v>0</v>
      </c>
      <c r="AH410" s="12">
        <f t="shared" si="18"/>
        <v>0</v>
      </c>
      <c r="AI410" s="21"/>
      <c r="AJ410" s="11"/>
      <c r="AK410" s="21"/>
      <c r="AL410" s="27"/>
      <c r="AM410" s="21"/>
      <c r="AN410" s="21"/>
      <c r="AO410" s="11"/>
      <c r="AP410" s="10"/>
      <c r="AQ410" s="11"/>
      <c r="AR410" s="10"/>
      <c r="AS410" s="44"/>
      <c r="AT410" s="43"/>
      <c r="AU410" s="131">
        <v>41987</v>
      </c>
      <c r="AV410" s="131">
        <v>42077</v>
      </c>
      <c r="AW410" s="125"/>
      <c r="AX410" s="43"/>
      <c r="AY410" s="43"/>
      <c r="AZ410" s="43"/>
      <c r="BA410" s="43"/>
      <c r="BB410" s="43"/>
      <c r="BC410" s="43"/>
      <c r="BD410" s="43"/>
    </row>
    <row r="411" spans="1:56" s="193" customFormat="1" ht="28.5" customHeight="1" x14ac:dyDescent="0.25">
      <c r="A411" s="271"/>
      <c r="B411" s="259"/>
      <c r="C411" s="44"/>
      <c r="D411" s="44"/>
      <c r="E411" s="44"/>
      <c r="F411" s="44"/>
      <c r="G411" s="118"/>
      <c r="H411" s="116"/>
      <c r="I411" s="44"/>
      <c r="J411" s="44"/>
      <c r="K411" s="45"/>
      <c r="L411" s="130"/>
      <c r="M411" s="118"/>
      <c r="N411" s="45"/>
      <c r="O411" s="45"/>
      <c r="P411" s="116"/>
      <c r="Q411" s="44"/>
      <c r="R411" s="44"/>
      <c r="S411" s="44"/>
      <c r="T411" s="44"/>
      <c r="U411" s="6" t="s">
        <v>687</v>
      </c>
      <c r="V411" s="10">
        <v>42055</v>
      </c>
      <c r="W411" s="122" t="s">
        <v>688</v>
      </c>
      <c r="X411" s="6" t="s">
        <v>741</v>
      </c>
      <c r="Y411" s="10" t="s">
        <v>607</v>
      </c>
      <c r="Z411" s="10">
        <v>42112</v>
      </c>
      <c r="AA411" s="23"/>
      <c r="AB411" s="21"/>
      <c r="AC411" s="24"/>
      <c r="AD411" s="24"/>
      <c r="AE411" s="25"/>
      <c r="AF411" s="25"/>
      <c r="AG411" s="107">
        <v>0</v>
      </c>
      <c r="AH411" s="12">
        <f t="shared" si="18"/>
        <v>0</v>
      </c>
      <c r="AI411" s="21"/>
      <c r="AJ411" s="11"/>
      <c r="AK411" s="21"/>
      <c r="AL411" s="27"/>
      <c r="AM411" s="21"/>
      <c r="AN411" s="21"/>
      <c r="AO411" s="11"/>
      <c r="AP411" s="10"/>
      <c r="AQ411" s="11"/>
      <c r="AR411" s="10"/>
      <c r="AS411" s="44"/>
      <c r="AT411" s="43"/>
      <c r="AU411" s="131"/>
      <c r="AV411" s="131"/>
      <c r="AW411" s="125"/>
      <c r="AX411" s="43"/>
      <c r="AY411" s="43"/>
      <c r="AZ411" s="43"/>
      <c r="BA411" s="43"/>
      <c r="BB411" s="43"/>
      <c r="BC411" s="43"/>
      <c r="BD411" s="43"/>
    </row>
    <row r="412" spans="1:56" s="193" customFormat="1" ht="28.5" customHeight="1" x14ac:dyDescent="0.25">
      <c r="A412" s="271"/>
      <c r="B412" s="259"/>
      <c r="C412" s="44"/>
      <c r="D412" s="44"/>
      <c r="E412" s="44"/>
      <c r="F412" s="44"/>
      <c r="G412" s="118"/>
      <c r="H412" s="116"/>
      <c r="I412" s="44"/>
      <c r="J412" s="44"/>
      <c r="K412" s="45"/>
      <c r="L412" s="130"/>
      <c r="M412" s="118"/>
      <c r="N412" s="45"/>
      <c r="O412" s="45"/>
      <c r="P412" s="116"/>
      <c r="Q412" s="44"/>
      <c r="R412" s="44"/>
      <c r="S412" s="44"/>
      <c r="T412" s="44"/>
      <c r="U412" s="6" t="s">
        <v>227</v>
      </c>
      <c r="V412" s="10">
        <v>42076</v>
      </c>
      <c r="W412" s="122">
        <v>11537</v>
      </c>
      <c r="X412" s="6" t="s">
        <v>592</v>
      </c>
      <c r="Y412" s="10">
        <v>42100</v>
      </c>
      <c r="Z412" s="10">
        <v>42190</v>
      </c>
      <c r="AA412" s="23"/>
      <c r="AB412" s="21"/>
      <c r="AC412" s="24"/>
      <c r="AD412" s="24"/>
      <c r="AE412" s="25"/>
      <c r="AF412" s="25"/>
      <c r="AG412" s="107">
        <v>0</v>
      </c>
      <c r="AH412" s="12">
        <f t="shared" si="18"/>
        <v>0</v>
      </c>
      <c r="AI412" s="21"/>
      <c r="AJ412" s="11"/>
      <c r="AK412" s="21"/>
      <c r="AL412" s="27"/>
      <c r="AM412" s="21"/>
      <c r="AN412" s="21"/>
      <c r="AO412" s="11"/>
      <c r="AP412" s="10"/>
      <c r="AQ412" s="11"/>
      <c r="AR412" s="10"/>
      <c r="AS412" s="44"/>
      <c r="AT412" s="43"/>
      <c r="AU412" s="131">
        <v>42077</v>
      </c>
      <c r="AV412" s="131">
        <v>42169</v>
      </c>
      <c r="AW412" s="125"/>
      <c r="AX412" s="43"/>
      <c r="AY412" s="43"/>
      <c r="AZ412" s="43"/>
      <c r="BA412" s="43"/>
      <c r="BB412" s="43"/>
      <c r="BC412" s="43"/>
      <c r="BD412" s="43"/>
    </row>
    <row r="413" spans="1:56" s="193" customFormat="1" ht="28.5" customHeight="1" x14ac:dyDescent="0.25">
      <c r="A413" s="271"/>
      <c r="B413" s="259"/>
      <c r="C413" s="44"/>
      <c r="D413" s="44"/>
      <c r="E413" s="44"/>
      <c r="F413" s="44"/>
      <c r="G413" s="118"/>
      <c r="H413" s="116"/>
      <c r="I413" s="44"/>
      <c r="J413" s="44"/>
      <c r="K413" s="45"/>
      <c r="L413" s="130"/>
      <c r="M413" s="118"/>
      <c r="N413" s="45"/>
      <c r="O413" s="45"/>
      <c r="P413" s="116"/>
      <c r="Q413" s="44"/>
      <c r="R413" s="44"/>
      <c r="S413" s="44"/>
      <c r="T413" s="44"/>
      <c r="U413" s="6" t="s">
        <v>229</v>
      </c>
      <c r="V413" s="10">
        <v>42164</v>
      </c>
      <c r="W413" s="122">
        <v>11614</v>
      </c>
      <c r="X413" s="6" t="s">
        <v>740</v>
      </c>
      <c r="Y413" s="10">
        <v>42202</v>
      </c>
      <c r="Z413" s="10">
        <v>42292</v>
      </c>
      <c r="AA413" s="23"/>
      <c r="AB413" s="21"/>
      <c r="AC413" s="24">
        <v>29574.37</v>
      </c>
      <c r="AD413" s="24"/>
      <c r="AE413" s="25">
        <f>AE406-AD413+AC413</f>
        <v>169533.02</v>
      </c>
      <c r="AF413" s="25"/>
      <c r="AG413" s="107">
        <v>0</v>
      </c>
      <c r="AH413" s="12">
        <f t="shared" si="18"/>
        <v>0</v>
      </c>
      <c r="AI413" s="21"/>
      <c r="AJ413" s="11"/>
      <c r="AK413" s="21"/>
      <c r="AL413" s="27"/>
      <c r="AM413" s="21"/>
      <c r="AN413" s="21"/>
      <c r="AO413" s="11"/>
      <c r="AP413" s="10"/>
      <c r="AQ413" s="11"/>
      <c r="AR413" s="10"/>
      <c r="AS413" s="44"/>
      <c r="AT413" s="43"/>
      <c r="AU413" s="131">
        <v>42169</v>
      </c>
      <c r="AV413" s="131">
        <v>42257</v>
      </c>
      <c r="AW413" s="125"/>
      <c r="AX413" s="43"/>
      <c r="AY413" s="43"/>
      <c r="AZ413" s="43"/>
      <c r="BA413" s="43"/>
      <c r="BB413" s="43"/>
      <c r="BC413" s="43"/>
      <c r="BD413" s="43"/>
    </row>
    <row r="414" spans="1:56" s="193" customFormat="1" ht="28.5" customHeight="1" x14ac:dyDescent="0.25">
      <c r="A414" s="271"/>
      <c r="B414" s="259"/>
      <c r="C414" s="44"/>
      <c r="D414" s="44"/>
      <c r="E414" s="44"/>
      <c r="F414" s="44"/>
      <c r="G414" s="118"/>
      <c r="H414" s="116"/>
      <c r="I414" s="44"/>
      <c r="J414" s="44"/>
      <c r="K414" s="45"/>
      <c r="L414" s="130"/>
      <c r="M414" s="118"/>
      <c r="N414" s="45"/>
      <c r="O414" s="45"/>
      <c r="P414" s="116"/>
      <c r="Q414" s="44"/>
      <c r="R414" s="44"/>
      <c r="S414" s="44"/>
      <c r="T414" s="44"/>
      <c r="U414" s="6" t="s">
        <v>184</v>
      </c>
      <c r="V414" s="10">
        <v>42255</v>
      </c>
      <c r="W414" s="122">
        <v>11648</v>
      </c>
      <c r="X414" s="6" t="s">
        <v>592</v>
      </c>
      <c r="Y414" s="10">
        <v>42292</v>
      </c>
      <c r="Z414" s="10">
        <v>42382</v>
      </c>
      <c r="AA414" s="23"/>
      <c r="AB414" s="21"/>
      <c r="AC414" s="24"/>
      <c r="AD414" s="24"/>
      <c r="AE414" s="25"/>
      <c r="AF414" s="25"/>
      <c r="AG414" s="107"/>
      <c r="AH414" s="12">
        <f t="shared" si="18"/>
        <v>0</v>
      </c>
      <c r="AI414" s="21"/>
      <c r="AJ414" s="11"/>
      <c r="AK414" s="21"/>
      <c r="AL414" s="27"/>
      <c r="AM414" s="21"/>
      <c r="AN414" s="21"/>
      <c r="AO414" s="11"/>
      <c r="AP414" s="10"/>
      <c r="AQ414" s="11"/>
      <c r="AR414" s="10"/>
      <c r="AS414" s="44"/>
      <c r="AT414" s="43"/>
      <c r="AU414" s="131">
        <v>42257</v>
      </c>
      <c r="AV414" s="131">
        <v>42347</v>
      </c>
      <c r="AW414" s="125"/>
      <c r="AX414" s="43"/>
      <c r="AY414" s="43"/>
      <c r="AZ414" s="43"/>
      <c r="BA414" s="43"/>
      <c r="BB414" s="43"/>
      <c r="BC414" s="43"/>
      <c r="BD414" s="43"/>
    </row>
    <row r="415" spans="1:56" s="193" customFormat="1" ht="28.5" customHeight="1" thickBot="1" x14ac:dyDescent="0.3">
      <c r="A415" s="271"/>
      <c r="B415" s="259"/>
      <c r="C415" s="44"/>
      <c r="D415" s="44"/>
      <c r="E415" s="44"/>
      <c r="F415" s="44"/>
      <c r="G415" s="118"/>
      <c r="H415" s="116"/>
      <c r="I415" s="44"/>
      <c r="J415" s="44"/>
      <c r="K415" s="45"/>
      <c r="L415" s="130"/>
      <c r="M415" s="118"/>
      <c r="N415" s="45"/>
      <c r="O415" s="45"/>
      <c r="P415" s="116"/>
      <c r="Q415" s="44"/>
      <c r="R415" s="44"/>
      <c r="S415" s="44"/>
      <c r="T415" s="44"/>
      <c r="U415" s="6" t="s">
        <v>686</v>
      </c>
      <c r="V415" s="10">
        <v>42264</v>
      </c>
      <c r="W415" s="122">
        <v>11646</v>
      </c>
      <c r="X415" s="6" t="s">
        <v>407</v>
      </c>
      <c r="Y415" s="10">
        <v>42202</v>
      </c>
      <c r="Z415" s="10">
        <v>42292</v>
      </c>
      <c r="AA415" s="23">
        <f>AC415/AE406</f>
        <v>7.1109788498245743E-2</v>
      </c>
      <c r="AB415" s="21"/>
      <c r="AC415" s="24">
        <v>9952.43</v>
      </c>
      <c r="AD415" s="24"/>
      <c r="AE415" s="25">
        <f>AE413-AD415+AC415</f>
        <v>179485.44999999998</v>
      </c>
      <c r="AF415" s="25"/>
      <c r="AG415" s="107">
        <v>0</v>
      </c>
      <c r="AH415" s="12">
        <f t="shared" si="18"/>
        <v>0</v>
      </c>
      <c r="AI415" s="21"/>
      <c r="AJ415" s="11"/>
      <c r="AK415" s="21"/>
      <c r="AL415" s="27"/>
      <c r="AM415" s="21"/>
      <c r="AN415" s="21"/>
      <c r="AO415" s="11"/>
      <c r="AP415" s="10"/>
      <c r="AQ415" s="11"/>
      <c r="AR415" s="10"/>
      <c r="AS415" s="44"/>
      <c r="AT415" s="43"/>
      <c r="AU415" s="131"/>
      <c r="AV415" s="131"/>
      <c r="AW415" s="125"/>
      <c r="AX415" s="43"/>
      <c r="AY415" s="43"/>
      <c r="AZ415" s="43"/>
      <c r="BA415" s="43"/>
      <c r="BB415" s="43"/>
      <c r="BC415" s="43"/>
      <c r="BD415" s="43"/>
    </row>
    <row r="416" spans="1:56" s="193" customFormat="1" ht="35.25" customHeight="1" x14ac:dyDescent="0.25">
      <c r="A416" s="270">
        <v>103</v>
      </c>
      <c r="B416" s="254" t="s">
        <v>527</v>
      </c>
      <c r="C416" s="16" t="s">
        <v>113</v>
      </c>
      <c r="D416" s="16" t="s">
        <v>528</v>
      </c>
      <c r="E416" s="16" t="s">
        <v>123</v>
      </c>
      <c r="F416" s="16" t="s">
        <v>529</v>
      </c>
      <c r="G416" s="63">
        <v>11420</v>
      </c>
      <c r="H416" s="16" t="s">
        <v>530</v>
      </c>
      <c r="I416" s="16" t="s">
        <v>366</v>
      </c>
      <c r="J416" s="16" t="s">
        <v>367</v>
      </c>
      <c r="K416" s="17">
        <v>42009</v>
      </c>
      <c r="L416" s="12">
        <v>800000</v>
      </c>
      <c r="M416" s="63">
        <v>11497</v>
      </c>
      <c r="N416" s="78">
        <v>42009</v>
      </c>
      <c r="O416" s="78">
        <v>42373</v>
      </c>
      <c r="P416" s="109" t="s">
        <v>157</v>
      </c>
      <c r="Q416" s="16"/>
      <c r="R416" s="16"/>
      <c r="S416" s="16"/>
      <c r="T416" s="16" t="s">
        <v>581</v>
      </c>
      <c r="U416" s="6"/>
      <c r="V416" s="10"/>
      <c r="W416" s="122"/>
      <c r="X416" s="6"/>
      <c r="Y416" s="10"/>
      <c r="Z416" s="10"/>
      <c r="AA416" s="23"/>
      <c r="AB416" s="21"/>
      <c r="AC416" s="24"/>
      <c r="AD416" s="24"/>
      <c r="AE416" s="60">
        <f>L416-AD416+AC416</f>
        <v>800000</v>
      </c>
      <c r="AF416" s="12">
        <f>59963.38+59204+100000+150000+149660.74+100000+50000+60000+20000+23386.76+32000+32000</f>
        <v>836214.88</v>
      </c>
      <c r="AG416" s="12">
        <f>21102.01+10219.35+60789.5+109630.98+65394.67+189398.34+81773.2</f>
        <v>538308.04999999993</v>
      </c>
      <c r="AH416" s="12">
        <f t="shared" si="18"/>
        <v>1374522.93</v>
      </c>
      <c r="AI416" s="21"/>
      <c r="AJ416" s="11"/>
      <c r="AK416" s="21"/>
      <c r="AL416" s="27"/>
      <c r="AM416" s="21"/>
      <c r="AN416" s="21"/>
      <c r="AO416" s="11"/>
      <c r="AP416" s="10"/>
      <c r="AQ416" s="11"/>
      <c r="AR416" s="10"/>
      <c r="AS416" s="51"/>
      <c r="AT416" s="115"/>
      <c r="AU416" s="131"/>
      <c r="AV416" s="131"/>
      <c r="AW416" s="141"/>
      <c r="AX416" s="27"/>
      <c r="AY416" s="27"/>
      <c r="AZ416" s="27"/>
      <c r="BA416" s="27"/>
      <c r="BB416" s="27"/>
      <c r="BC416" s="27"/>
      <c r="BD416" s="27"/>
    </row>
    <row r="417" spans="1:56" s="193" customFormat="1" ht="35.25" customHeight="1" x14ac:dyDescent="0.25">
      <c r="A417" s="268"/>
      <c r="B417" s="252"/>
      <c r="C417" s="29"/>
      <c r="D417" s="29"/>
      <c r="E417" s="29"/>
      <c r="F417" s="29"/>
      <c r="G417" s="67"/>
      <c r="H417" s="29"/>
      <c r="I417" s="29"/>
      <c r="J417" s="29"/>
      <c r="K417" s="30"/>
      <c r="L417" s="13"/>
      <c r="M417" s="67"/>
      <c r="N417" s="30"/>
      <c r="O417" s="30"/>
      <c r="P417" s="112"/>
      <c r="Q417" s="29"/>
      <c r="R417" s="29"/>
      <c r="S417" s="29"/>
      <c r="T417" s="29"/>
      <c r="U417" s="6" t="s">
        <v>141</v>
      </c>
      <c r="V417" s="10">
        <v>42244</v>
      </c>
      <c r="W417" s="122">
        <v>11704</v>
      </c>
      <c r="X417" s="6" t="s">
        <v>601</v>
      </c>
      <c r="Y417" s="10">
        <v>42244</v>
      </c>
      <c r="Z417" s="10">
        <v>42373</v>
      </c>
      <c r="AA417" s="23">
        <f>AC417/AE416</f>
        <v>0.25</v>
      </c>
      <c r="AB417" s="21"/>
      <c r="AC417" s="24">
        <v>200000</v>
      </c>
      <c r="AD417" s="24"/>
      <c r="AE417" s="60">
        <f>AE416-AD417+AC417</f>
        <v>1000000</v>
      </c>
      <c r="AF417" s="13"/>
      <c r="AG417" s="13"/>
      <c r="AH417" s="12">
        <f t="shared" si="18"/>
        <v>0</v>
      </c>
      <c r="AI417" s="21"/>
      <c r="AJ417" s="11"/>
      <c r="AK417" s="21"/>
      <c r="AL417" s="27"/>
      <c r="AM417" s="21"/>
      <c r="AN417" s="21"/>
      <c r="AO417" s="11"/>
      <c r="AP417" s="10"/>
      <c r="AQ417" s="11"/>
      <c r="AR417" s="10"/>
      <c r="AS417" s="51"/>
      <c r="AT417" s="115"/>
      <c r="AU417" s="131"/>
      <c r="AV417" s="131"/>
      <c r="AW417" s="141"/>
      <c r="AX417" s="27"/>
      <c r="AY417" s="27"/>
      <c r="AZ417" s="27"/>
      <c r="BA417" s="27"/>
      <c r="BB417" s="27"/>
      <c r="BC417" s="27"/>
      <c r="BD417" s="27"/>
    </row>
    <row r="418" spans="1:56" s="193" customFormat="1" ht="35.25" customHeight="1" x14ac:dyDescent="0.25">
      <c r="A418" s="268"/>
      <c r="B418" s="252"/>
      <c r="C418" s="29"/>
      <c r="D418" s="29"/>
      <c r="E418" s="29"/>
      <c r="F418" s="29"/>
      <c r="G418" s="67"/>
      <c r="H418" s="29"/>
      <c r="I418" s="29"/>
      <c r="J418" s="29"/>
      <c r="K418" s="30"/>
      <c r="L418" s="13"/>
      <c r="M418" s="67"/>
      <c r="N418" s="30"/>
      <c r="O418" s="30"/>
      <c r="P418" s="112"/>
      <c r="Q418" s="29"/>
      <c r="R418" s="29"/>
      <c r="S418" s="29"/>
      <c r="T418" s="29"/>
      <c r="U418" s="6" t="s">
        <v>124</v>
      </c>
      <c r="V418" s="10">
        <v>42368</v>
      </c>
      <c r="W418" s="122">
        <v>11733</v>
      </c>
      <c r="X418" s="6" t="s">
        <v>696</v>
      </c>
      <c r="Y418" s="10">
        <v>42374</v>
      </c>
      <c r="Z418" s="10">
        <v>42739</v>
      </c>
      <c r="AA418" s="23"/>
      <c r="AB418" s="21"/>
      <c r="AC418" s="24"/>
      <c r="AD418" s="24"/>
      <c r="AE418" s="60">
        <f>AE417</f>
        <v>1000000</v>
      </c>
      <c r="AF418" s="13"/>
      <c r="AG418" s="13"/>
      <c r="AH418" s="12">
        <f t="shared" si="18"/>
        <v>0</v>
      </c>
      <c r="AI418" s="21"/>
      <c r="AJ418" s="11"/>
      <c r="AK418" s="21"/>
      <c r="AL418" s="27"/>
      <c r="AM418" s="21"/>
      <c r="AN418" s="21"/>
      <c r="AO418" s="11"/>
      <c r="AP418" s="10"/>
      <c r="AQ418" s="11"/>
      <c r="AR418" s="10"/>
      <c r="AS418" s="51"/>
      <c r="AT418" s="115"/>
      <c r="AU418" s="131"/>
      <c r="AV418" s="131"/>
      <c r="AW418" s="141"/>
      <c r="AX418" s="27"/>
      <c r="AY418" s="27"/>
      <c r="AZ418" s="27"/>
      <c r="BA418" s="27"/>
      <c r="BB418" s="27"/>
      <c r="BC418" s="27"/>
      <c r="BD418" s="27"/>
    </row>
    <row r="419" spans="1:56" s="193" customFormat="1" ht="34.5" customHeight="1" x14ac:dyDescent="0.25">
      <c r="A419" s="269"/>
      <c r="B419" s="253"/>
      <c r="C419" s="35"/>
      <c r="D419" s="35"/>
      <c r="E419" s="35"/>
      <c r="F419" s="35"/>
      <c r="G419" s="73"/>
      <c r="H419" s="35"/>
      <c r="I419" s="35"/>
      <c r="J419" s="35"/>
      <c r="K419" s="36"/>
      <c r="L419" s="14"/>
      <c r="M419" s="73"/>
      <c r="N419" s="36"/>
      <c r="O419" s="36"/>
      <c r="P419" s="110"/>
      <c r="Q419" s="35"/>
      <c r="R419" s="35"/>
      <c r="S419" s="35"/>
      <c r="T419" s="35"/>
      <c r="U419" s="6"/>
      <c r="V419" s="10"/>
      <c r="W419" s="122"/>
      <c r="X419" s="6"/>
      <c r="Y419" s="10"/>
      <c r="Z419" s="10"/>
      <c r="AA419" s="23"/>
      <c r="AB419" s="21"/>
      <c r="AC419" s="24"/>
      <c r="AD419" s="24"/>
      <c r="AE419" s="60"/>
      <c r="AF419" s="14"/>
      <c r="AG419" s="14"/>
      <c r="AH419" s="12">
        <f t="shared" si="18"/>
        <v>0</v>
      </c>
      <c r="AI419" s="21"/>
      <c r="AJ419" s="11"/>
      <c r="AK419" s="21"/>
      <c r="AL419" s="27"/>
      <c r="AM419" s="21"/>
      <c r="AN419" s="21"/>
      <c r="AO419" s="11"/>
      <c r="AP419" s="10"/>
      <c r="AQ419" s="11"/>
      <c r="AR419" s="10"/>
      <c r="AS419" s="21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</row>
    <row r="420" spans="1:56" s="193" customFormat="1" ht="29.25" customHeight="1" x14ac:dyDescent="0.25">
      <c r="A420" s="271">
        <v>104</v>
      </c>
      <c r="B420" s="255">
        <v>130360050</v>
      </c>
      <c r="C420" s="44" t="s">
        <v>170</v>
      </c>
      <c r="D420" s="44" t="s">
        <v>450</v>
      </c>
      <c r="E420" s="44" t="s">
        <v>123</v>
      </c>
      <c r="F420" s="44" t="s">
        <v>211</v>
      </c>
      <c r="G420" s="118">
        <v>11143</v>
      </c>
      <c r="H420" s="116" t="s">
        <v>373</v>
      </c>
      <c r="I420" s="44" t="s">
        <v>212</v>
      </c>
      <c r="J420" s="44" t="s">
        <v>383</v>
      </c>
      <c r="K420" s="45">
        <v>41487</v>
      </c>
      <c r="L420" s="130">
        <v>1910208</v>
      </c>
      <c r="M420" s="118">
        <v>11132</v>
      </c>
      <c r="N420" s="45">
        <v>41487</v>
      </c>
      <c r="O420" s="45">
        <v>41852</v>
      </c>
      <c r="P420" s="109" t="s">
        <v>157</v>
      </c>
      <c r="Q420" s="16"/>
      <c r="R420" s="16"/>
      <c r="S420" s="16"/>
      <c r="T420" s="44" t="s">
        <v>160</v>
      </c>
      <c r="U420" s="6"/>
      <c r="V420" s="21"/>
      <c r="W420" s="11"/>
      <c r="X420" s="21"/>
      <c r="Y420" s="21"/>
      <c r="Z420" s="21"/>
      <c r="AA420" s="23"/>
      <c r="AB420" s="21"/>
      <c r="AC420" s="24"/>
      <c r="AD420" s="24"/>
      <c r="AE420" s="25">
        <f>L420</f>
        <v>1910208</v>
      </c>
      <c r="AF420" s="70">
        <f>156530.93+453793.2+1083940</f>
        <v>1694264.13</v>
      </c>
      <c r="AG420" s="107">
        <f>114238.8+97500+107281.95+112774.2+119218.44</f>
        <v>551013.39</v>
      </c>
      <c r="AH420" s="12">
        <f t="shared" si="18"/>
        <v>2245277.52</v>
      </c>
      <c r="AI420" s="44" t="s">
        <v>113</v>
      </c>
      <c r="AJ420" s="118">
        <v>11021</v>
      </c>
      <c r="AK420" s="44" t="s">
        <v>115</v>
      </c>
      <c r="AL420" s="43"/>
      <c r="AM420" s="21"/>
      <c r="AN420" s="21"/>
      <c r="AO420" s="11"/>
      <c r="AP420" s="10"/>
      <c r="AQ420" s="11"/>
      <c r="AR420" s="10"/>
      <c r="AS420" s="21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</row>
    <row r="421" spans="1:56" s="193" customFormat="1" ht="60.75" customHeight="1" x14ac:dyDescent="0.25">
      <c r="A421" s="271"/>
      <c r="B421" s="255"/>
      <c r="C421" s="44"/>
      <c r="D421" s="44"/>
      <c r="E421" s="44"/>
      <c r="F421" s="44"/>
      <c r="G421" s="118"/>
      <c r="H421" s="116"/>
      <c r="I421" s="44"/>
      <c r="J421" s="44"/>
      <c r="K421" s="45"/>
      <c r="L421" s="130"/>
      <c r="M421" s="118"/>
      <c r="N421" s="45"/>
      <c r="O421" s="45"/>
      <c r="P421" s="112"/>
      <c r="Q421" s="29"/>
      <c r="R421" s="29"/>
      <c r="S421" s="29"/>
      <c r="T421" s="44"/>
      <c r="U421" s="6" t="s">
        <v>145</v>
      </c>
      <c r="V421" s="10">
        <v>41732</v>
      </c>
      <c r="W421" s="11">
        <v>11478</v>
      </c>
      <c r="X421" s="21" t="s">
        <v>495</v>
      </c>
      <c r="Y421" s="10">
        <v>41732</v>
      </c>
      <c r="Z421" s="10">
        <v>41852</v>
      </c>
      <c r="AA421" s="23"/>
      <c r="AB421" s="23">
        <f>AD421/L420</f>
        <v>0.21250041880255971</v>
      </c>
      <c r="AC421" s="24"/>
      <c r="AD421" s="24">
        <v>405920</v>
      </c>
      <c r="AE421" s="25">
        <f>L420-AD421</f>
        <v>1504288</v>
      </c>
      <c r="AF421" s="135"/>
      <c r="AG421" s="107">
        <v>0</v>
      </c>
      <c r="AH421" s="12">
        <f t="shared" si="18"/>
        <v>0</v>
      </c>
      <c r="AI421" s="44"/>
      <c r="AJ421" s="118"/>
      <c r="AK421" s="44"/>
      <c r="AL421" s="43"/>
      <c r="AM421" s="21"/>
      <c r="AN421" s="21"/>
      <c r="AO421" s="11"/>
      <c r="AP421" s="10"/>
      <c r="AQ421" s="11"/>
      <c r="AR421" s="10"/>
      <c r="AS421" s="21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</row>
    <row r="422" spans="1:56" s="193" customFormat="1" ht="39.75" customHeight="1" x14ac:dyDescent="0.25">
      <c r="A422" s="271"/>
      <c r="B422" s="255"/>
      <c r="C422" s="44"/>
      <c r="D422" s="44"/>
      <c r="E422" s="44"/>
      <c r="F422" s="44"/>
      <c r="G422" s="118"/>
      <c r="H422" s="116"/>
      <c r="I422" s="44"/>
      <c r="J422" s="44"/>
      <c r="K422" s="45"/>
      <c r="L422" s="130"/>
      <c r="M422" s="118"/>
      <c r="N422" s="45"/>
      <c r="O422" s="45"/>
      <c r="P422" s="112"/>
      <c r="Q422" s="29"/>
      <c r="R422" s="29"/>
      <c r="S422" s="29"/>
      <c r="T422" s="44"/>
      <c r="U422" s="6" t="s">
        <v>142</v>
      </c>
      <c r="V422" s="10">
        <v>41851</v>
      </c>
      <c r="W422" s="11">
        <v>11478</v>
      </c>
      <c r="X422" s="21" t="s">
        <v>496</v>
      </c>
      <c r="Y422" s="10">
        <v>41853</v>
      </c>
      <c r="Z422" s="10">
        <v>42004</v>
      </c>
      <c r="AA422" s="23"/>
      <c r="AB422" s="23"/>
      <c r="AC422" s="24"/>
      <c r="AD422" s="24"/>
      <c r="AE422" s="107"/>
      <c r="AF422" s="135"/>
      <c r="AG422" s="107">
        <v>0</v>
      </c>
      <c r="AH422" s="12">
        <f t="shared" si="18"/>
        <v>0</v>
      </c>
      <c r="AI422" s="21"/>
      <c r="AJ422" s="11"/>
      <c r="AK422" s="21"/>
      <c r="AL422" s="27"/>
      <c r="AM422" s="21"/>
      <c r="AN422" s="21"/>
      <c r="AO422" s="11"/>
      <c r="AP422" s="10"/>
      <c r="AQ422" s="11"/>
      <c r="AR422" s="10"/>
      <c r="AS422" s="21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</row>
    <row r="423" spans="1:56" s="193" customFormat="1" ht="39.75" customHeight="1" x14ac:dyDescent="0.25">
      <c r="A423" s="271"/>
      <c r="B423" s="255"/>
      <c r="C423" s="44"/>
      <c r="D423" s="44"/>
      <c r="E423" s="44"/>
      <c r="F423" s="44"/>
      <c r="G423" s="118"/>
      <c r="H423" s="116"/>
      <c r="I423" s="44"/>
      <c r="J423" s="44"/>
      <c r="K423" s="45"/>
      <c r="L423" s="130"/>
      <c r="M423" s="118"/>
      <c r="N423" s="45"/>
      <c r="O423" s="45"/>
      <c r="P423" s="112"/>
      <c r="Q423" s="29"/>
      <c r="R423" s="29"/>
      <c r="S423" s="29"/>
      <c r="T423" s="44"/>
      <c r="U423" s="6" t="s">
        <v>125</v>
      </c>
      <c r="V423" s="10">
        <v>41995</v>
      </c>
      <c r="W423" s="11">
        <v>11478</v>
      </c>
      <c r="X423" s="21" t="s">
        <v>497</v>
      </c>
      <c r="Y423" s="10">
        <v>42005</v>
      </c>
      <c r="Z423" s="10">
        <v>42369</v>
      </c>
      <c r="AA423" s="23">
        <f>AC423/AE421</f>
        <v>0.15555531919419685</v>
      </c>
      <c r="AB423" s="23"/>
      <c r="AC423" s="24">
        <f>19500*12</f>
        <v>234000</v>
      </c>
      <c r="AD423" s="24"/>
      <c r="AE423" s="107">
        <f>AE421-AD423+AC423</f>
        <v>1738288</v>
      </c>
      <c r="AF423" s="135"/>
      <c r="AG423" s="107"/>
      <c r="AH423" s="12">
        <f t="shared" si="18"/>
        <v>0</v>
      </c>
      <c r="AI423" s="21"/>
      <c r="AJ423" s="11"/>
      <c r="AK423" s="21"/>
      <c r="AL423" s="27"/>
      <c r="AM423" s="21"/>
      <c r="AN423" s="21"/>
      <c r="AO423" s="11"/>
      <c r="AP423" s="10"/>
      <c r="AQ423" s="11"/>
      <c r="AR423" s="10"/>
      <c r="AS423" s="21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</row>
    <row r="424" spans="1:56" s="193" customFormat="1" ht="39.75" customHeight="1" x14ac:dyDescent="0.25">
      <c r="A424" s="271"/>
      <c r="B424" s="255"/>
      <c r="C424" s="44"/>
      <c r="D424" s="44"/>
      <c r="E424" s="44"/>
      <c r="F424" s="44"/>
      <c r="G424" s="118"/>
      <c r="H424" s="116"/>
      <c r="I424" s="44"/>
      <c r="J424" s="44"/>
      <c r="K424" s="45"/>
      <c r="L424" s="130"/>
      <c r="M424" s="118"/>
      <c r="N424" s="45"/>
      <c r="O424" s="45"/>
      <c r="P424" s="112"/>
      <c r="Q424" s="29"/>
      <c r="R424" s="29"/>
      <c r="S424" s="29"/>
      <c r="T424" s="44"/>
      <c r="U424" s="6" t="s">
        <v>188</v>
      </c>
      <c r="V424" s="10">
        <v>42275</v>
      </c>
      <c r="W424" s="11">
        <v>11720</v>
      </c>
      <c r="X424" s="21" t="s">
        <v>407</v>
      </c>
      <c r="Y424" s="10">
        <v>42644</v>
      </c>
      <c r="Z424" s="10">
        <v>42369</v>
      </c>
      <c r="AA424" s="23">
        <f>AC424/AE421</f>
        <v>9.3333191516518116E-2</v>
      </c>
      <c r="AB424" s="23"/>
      <c r="AC424" s="24">
        <v>140400</v>
      </c>
      <c r="AD424" s="24"/>
      <c r="AE424" s="107">
        <f>AE423-AD424+AC424</f>
        <v>1878688</v>
      </c>
      <c r="AF424" s="135"/>
      <c r="AG424" s="107"/>
      <c r="AH424" s="12">
        <f t="shared" si="18"/>
        <v>0</v>
      </c>
      <c r="AI424" s="21"/>
      <c r="AJ424" s="11"/>
      <c r="AK424" s="21"/>
      <c r="AL424" s="27"/>
      <c r="AM424" s="21"/>
      <c r="AN424" s="21"/>
      <c r="AO424" s="11"/>
      <c r="AP424" s="10"/>
      <c r="AQ424" s="11"/>
      <c r="AR424" s="10"/>
      <c r="AS424" s="21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</row>
    <row r="425" spans="1:56" s="193" customFormat="1" ht="39.75" customHeight="1" x14ac:dyDescent="0.25">
      <c r="A425" s="271"/>
      <c r="B425" s="255"/>
      <c r="C425" s="44"/>
      <c r="D425" s="44"/>
      <c r="E425" s="44"/>
      <c r="F425" s="44"/>
      <c r="G425" s="118"/>
      <c r="H425" s="116"/>
      <c r="I425" s="44"/>
      <c r="J425" s="44"/>
      <c r="K425" s="45"/>
      <c r="L425" s="130"/>
      <c r="M425" s="118"/>
      <c r="N425" s="45"/>
      <c r="O425" s="45"/>
      <c r="P425" s="110"/>
      <c r="Q425" s="35"/>
      <c r="R425" s="35"/>
      <c r="S425" s="35"/>
      <c r="T425" s="44"/>
      <c r="U425" s="6" t="s">
        <v>127</v>
      </c>
      <c r="V425" s="10">
        <v>42367</v>
      </c>
      <c r="W425" s="11"/>
      <c r="X425" s="21" t="s">
        <v>748</v>
      </c>
      <c r="Y425" s="10">
        <v>42370</v>
      </c>
      <c r="Z425" s="10">
        <v>42551</v>
      </c>
      <c r="AA425" s="23"/>
      <c r="AB425" s="23"/>
      <c r="AC425" s="24"/>
      <c r="AD425" s="24"/>
      <c r="AE425" s="25"/>
      <c r="AF425" s="127"/>
      <c r="AG425" s="107">
        <v>0</v>
      </c>
      <c r="AH425" s="12">
        <f t="shared" si="18"/>
        <v>0</v>
      </c>
      <c r="AI425" s="21"/>
      <c r="AJ425" s="11"/>
      <c r="AK425" s="21"/>
      <c r="AL425" s="27"/>
      <c r="AM425" s="21"/>
      <c r="AN425" s="21"/>
      <c r="AO425" s="11"/>
      <c r="AP425" s="10"/>
      <c r="AQ425" s="11"/>
      <c r="AR425" s="10"/>
      <c r="AS425" s="21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</row>
    <row r="426" spans="1:56" s="193" customFormat="1" ht="21" customHeight="1" x14ac:dyDescent="0.25">
      <c r="A426" s="270">
        <v>105</v>
      </c>
      <c r="B426" s="256" t="s">
        <v>553</v>
      </c>
      <c r="C426" s="16" t="s">
        <v>554</v>
      </c>
      <c r="D426" s="16" t="s">
        <v>566</v>
      </c>
      <c r="E426" s="142" t="s">
        <v>123</v>
      </c>
      <c r="F426" s="16" t="s">
        <v>555</v>
      </c>
      <c r="G426" s="62"/>
      <c r="H426" s="16" t="s">
        <v>556</v>
      </c>
      <c r="I426" s="16" t="s">
        <v>557</v>
      </c>
      <c r="J426" s="15" t="s">
        <v>558</v>
      </c>
      <c r="K426" s="20">
        <v>41612</v>
      </c>
      <c r="L426" s="18">
        <v>288088</v>
      </c>
      <c r="M426" s="63">
        <v>11202</v>
      </c>
      <c r="N426" s="20">
        <v>41612</v>
      </c>
      <c r="O426" s="20">
        <v>41977</v>
      </c>
      <c r="P426" s="15">
        <v>16</v>
      </c>
      <c r="Q426" s="128"/>
      <c r="R426" s="128"/>
      <c r="S426" s="128"/>
      <c r="T426" s="16" t="s">
        <v>281</v>
      </c>
      <c r="U426" s="21"/>
      <c r="V426" s="10"/>
      <c r="W426" s="11"/>
      <c r="X426" s="21"/>
      <c r="Y426" s="10"/>
      <c r="Z426" s="10"/>
      <c r="AA426" s="23"/>
      <c r="AB426" s="21"/>
      <c r="AC426" s="24"/>
      <c r="AD426" s="24"/>
      <c r="AE426" s="25">
        <f>L426</f>
        <v>288088</v>
      </c>
      <c r="AF426" s="49">
        <v>196888</v>
      </c>
      <c r="AG426" s="107">
        <f>22620+8580</f>
        <v>31200</v>
      </c>
      <c r="AH426" s="12">
        <f t="shared" ref="AH426:AH484" si="19">AF426+AG426</f>
        <v>228088</v>
      </c>
      <c r="AI426" s="6" t="s">
        <v>564</v>
      </c>
      <c r="AJ426" s="6"/>
      <c r="AK426" s="6" t="s">
        <v>565</v>
      </c>
      <c r="AL426" s="6"/>
      <c r="AM426" s="21"/>
      <c r="AN426" s="21"/>
      <c r="AO426" s="11"/>
      <c r="AP426" s="10"/>
      <c r="AQ426" s="11"/>
      <c r="AR426" s="10"/>
      <c r="AS426" s="21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</row>
    <row r="427" spans="1:56" s="193" customFormat="1" ht="28.5" customHeight="1" x14ac:dyDescent="0.25">
      <c r="A427" s="268"/>
      <c r="B427" s="257"/>
      <c r="C427" s="29"/>
      <c r="D427" s="29"/>
      <c r="E427" s="143"/>
      <c r="F427" s="29"/>
      <c r="G427" s="66"/>
      <c r="H427" s="29"/>
      <c r="I427" s="29"/>
      <c r="J427" s="28"/>
      <c r="K427" s="33"/>
      <c r="L427" s="31"/>
      <c r="M427" s="67"/>
      <c r="N427" s="33"/>
      <c r="O427" s="33"/>
      <c r="P427" s="28"/>
      <c r="Q427" s="144"/>
      <c r="R427" s="144"/>
      <c r="S427" s="144"/>
      <c r="T427" s="29"/>
      <c r="U427" s="21" t="s">
        <v>559</v>
      </c>
      <c r="V427" s="10">
        <v>41638</v>
      </c>
      <c r="W427" s="11">
        <v>11367</v>
      </c>
      <c r="X427" s="21" t="s">
        <v>560</v>
      </c>
      <c r="Y427" s="10">
        <v>41612</v>
      </c>
      <c r="Z427" s="10">
        <v>41977</v>
      </c>
      <c r="AA427" s="23"/>
      <c r="AB427" s="21"/>
      <c r="AC427" s="24"/>
      <c r="AD427" s="24"/>
      <c r="AE427" s="25">
        <f>L426-AD427+AC427</f>
        <v>288088</v>
      </c>
      <c r="AF427" s="58"/>
      <c r="AG427" s="107"/>
      <c r="AH427" s="12">
        <f t="shared" si="19"/>
        <v>0</v>
      </c>
      <c r="AI427" s="6"/>
      <c r="AJ427" s="6"/>
      <c r="AK427" s="6"/>
      <c r="AL427" s="6"/>
      <c r="AM427" s="21"/>
      <c r="AN427" s="21"/>
      <c r="AO427" s="11"/>
      <c r="AP427" s="10"/>
      <c r="AQ427" s="11"/>
      <c r="AR427" s="10"/>
      <c r="AS427" s="21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</row>
    <row r="428" spans="1:56" s="193" customFormat="1" ht="21" customHeight="1" x14ac:dyDescent="0.25">
      <c r="A428" s="268"/>
      <c r="B428" s="257"/>
      <c r="C428" s="29"/>
      <c r="D428" s="29"/>
      <c r="E428" s="143"/>
      <c r="F428" s="29"/>
      <c r="G428" s="66"/>
      <c r="H428" s="29"/>
      <c r="I428" s="29"/>
      <c r="J428" s="28"/>
      <c r="K428" s="33"/>
      <c r="L428" s="31"/>
      <c r="M428" s="67"/>
      <c r="N428" s="33"/>
      <c r="O428" s="33"/>
      <c r="P428" s="28"/>
      <c r="Q428" s="144"/>
      <c r="R428" s="144"/>
      <c r="S428" s="144"/>
      <c r="T428" s="29"/>
      <c r="U428" s="6" t="s">
        <v>141</v>
      </c>
      <c r="V428" s="10">
        <v>41690</v>
      </c>
      <c r="W428" s="11">
        <v>11266</v>
      </c>
      <c r="X428" s="21" t="s">
        <v>561</v>
      </c>
      <c r="Y428" s="10">
        <v>41703</v>
      </c>
      <c r="Z428" s="10">
        <v>41793</v>
      </c>
      <c r="AA428" s="23"/>
      <c r="AB428" s="21"/>
      <c r="AC428" s="24"/>
      <c r="AD428" s="24"/>
      <c r="AE428" s="25"/>
      <c r="AF428" s="58"/>
      <c r="AG428" s="107">
        <v>0</v>
      </c>
      <c r="AH428" s="12">
        <f t="shared" si="19"/>
        <v>0</v>
      </c>
      <c r="AI428" s="6"/>
      <c r="AJ428" s="6"/>
      <c r="AK428" s="6"/>
      <c r="AL428" s="6"/>
      <c r="AM428" s="21"/>
      <c r="AN428" s="21"/>
      <c r="AO428" s="11"/>
      <c r="AP428" s="10"/>
      <c r="AQ428" s="11"/>
      <c r="AR428" s="10"/>
      <c r="AS428" s="21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</row>
    <row r="429" spans="1:56" s="193" customFormat="1" ht="22.5" customHeight="1" x14ac:dyDescent="0.25">
      <c r="A429" s="268"/>
      <c r="B429" s="257"/>
      <c r="C429" s="29"/>
      <c r="D429" s="29"/>
      <c r="E429" s="143"/>
      <c r="F429" s="29"/>
      <c r="G429" s="66"/>
      <c r="H429" s="29"/>
      <c r="I429" s="29"/>
      <c r="J429" s="28"/>
      <c r="K429" s="33"/>
      <c r="L429" s="31"/>
      <c r="M429" s="67"/>
      <c r="N429" s="33"/>
      <c r="O429" s="33"/>
      <c r="P429" s="28"/>
      <c r="Q429" s="144"/>
      <c r="R429" s="144"/>
      <c r="S429" s="144"/>
      <c r="T429" s="29"/>
      <c r="U429" s="6" t="s">
        <v>124</v>
      </c>
      <c r="V429" s="10">
        <v>41793</v>
      </c>
      <c r="W429" s="11">
        <v>11336</v>
      </c>
      <c r="X429" s="21" t="s">
        <v>561</v>
      </c>
      <c r="Y429" s="10">
        <v>41793</v>
      </c>
      <c r="Z429" s="10">
        <v>41883</v>
      </c>
      <c r="AA429" s="23"/>
      <c r="AB429" s="21"/>
      <c r="AC429" s="24"/>
      <c r="AD429" s="24"/>
      <c r="AE429" s="25"/>
      <c r="AF429" s="58"/>
      <c r="AG429" s="107">
        <v>0</v>
      </c>
      <c r="AH429" s="12">
        <f t="shared" si="19"/>
        <v>0</v>
      </c>
      <c r="AI429" s="6"/>
      <c r="AJ429" s="6"/>
      <c r="AK429" s="6"/>
      <c r="AL429" s="6"/>
      <c r="AM429" s="21"/>
      <c r="AN429" s="21"/>
      <c r="AO429" s="11"/>
      <c r="AP429" s="10"/>
      <c r="AQ429" s="11"/>
      <c r="AR429" s="10"/>
      <c r="AS429" s="21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</row>
    <row r="430" spans="1:56" s="193" customFormat="1" ht="19.5" customHeight="1" x14ac:dyDescent="0.25">
      <c r="A430" s="268"/>
      <c r="B430" s="257"/>
      <c r="C430" s="29"/>
      <c r="D430" s="29"/>
      <c r="E430" s="143"/>
      <c r="F430" s="29"/>
      <c r="G430" s="66"/>
      <c r="H430" s="29"/>
      <c r="I430" s="29"/>
      <c r="J430" s="28"/>
      <c r="K430" s="33"/>
      <c r="L430" s="31"/>
      <c r="M430" s="67"/>
      <c r="N430" s="33"/>
      <c r="O430" s="33"/>
      <c r="P430" s="28"/>
      <c r="Q430" s="144"/>
      <c r="R430" s="144"/>
      <c r="S430" s="144"/>
      <c r="T430" s="29"/>
      <c r="U430" s="21" t="s">
        <v>562</v>
      </c>
      <c r="V430" s="10">
        <v>42061</v>
      </c>
      <c r="W430" s="11">
        <v>11527</v>
      </c>
      <c r="X430" s="21" t="s">
        <v>563</v>
      </c>
      <c r="Y430" s="10">
        <v>41793</v>
      </c>
      <c r="Z430" s="10">
        <v>41883</v>
      </c>
      <c r="AA430" s="23"/>
      <c r="AB430" s="21"/>
      <c r="AC430" s="24"/>
      <c r="AD430" s="24"/>
      <c r="AE430" s="25"/>
      <c r="AF430" s="58"/>
      <c r="AG430" s="107">
        <v>0</v>
      </c>
      <c r="AH430" s="12">
        <f t="shared" si="19"/>
        <v>0</v>
      </c>
      <c r="AI430" s="6"/>
      <c r="AJ430" s="6"/>
      <c r="AK430" s="6"/>
      <c r="AL430" s="6"/>
      <c r="AM430" s="21"/>
      <c r="AN430" s="21"/>
      <c r="AO430" s="11"/>
      <c r="AP430" s="10"/>
      <c r="AQ430" s="11"/>
      <c r="AR430" s="10"/>
      <c r="AS430" s="21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</row>
    <row r="431" spans="1:56" s="193" customFormat="1" ht="16.5" customHeight="1" x14ac:dyDescent="0.25">
      <c r="A431" s="268"/>
      <c r="B431" s="257"/>
      <c r="C431" s="29"/>
      <c r="D431" s="29"/>
      <c r="E431" s="143"/>
      <c r="F431" s="29"/>
      <c r="G431" s="66"/>
      <c r="H431" s="29"/>
      <c r="I431" s="29"/>
      <c r="J431" s="28"/>
      <c r="K431" s="33"/>
      <c r="L431" s="31"/>
      <c r="M431" s="67"/>
      <c r="N431" s="33"/>
      <c r="O431" s="33"/>
      <c r="P431" s="28"/>
      <c r="Q431" s="144"/>
      <c r="R431" s="144"/>
      <c r="S431" s="144"/>
      <c r="T431" s="29"/>
      <c r="U431" s="6" t="s">
        <v>143</v>
      </c>
      <c r="V431" s="10">
        <v>41880</v>
      </c>
      <c r="W431" s="11">
        <v>11471</v>
      </c>
      <c r="X431" s="21" t="s">
        <v>561</v>
      </c>
      <c r="Y431" s="10">
        <v>41793</v>
      </c>
      <c r="Z431" s="10">
        <v>41883</v>
      </c>
      <c r="AA431" s="23"/>
      <c r="AB431" s="21"/>
      <c r="AC431" s="24"/>
      <c r="AD431" s="24"/>
      <c r="AE431" s="25"/>
      <c r="AF431" s="58"/>
      <c r="AG431" s="107">
        <v>0</v>
      </c>
      <c r="AH431" s="12">
        <f t="shared" si="19"/>
        <v>0</v>
      </c>
      <c r="AI431" s="6"/>
      <c r="AJ431" s="6"/>
      <c r="AK431" s="6"/>
      <c r="AL431" s="6"/>
      <c r="AM431" s="21"/>
      <c r="AN431" s="21"/>
      <c r="AO431" s="11"/>
      <c r="AP431" s="10"/>
      <c r="AQ431" s="11"/>
      <c r="AR431" s="10"/>
      <c r="AS431" s="21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</row>
    <row r="432" spans="1:56" s="193" customFormat="1" ht="16.5" customHeight="1" x14ac:dyDescent="0.25">
      <c r="A432" s="268"/>
      <c r="B432" s="257"/>
      <c r="C432" s="29"/>
      <c r="D432" s="29"/>
      <c r="E432" s="143"/>
      <c r="F432" s="29"/>
      <c r="G432" s="66"/>
      <c r="H432" s="29"/>
      <c r="I432" s="29"/>
      <c r="J432" s="28"/>
      <c r="K432" s="33"/>
      <c r="L432" s="31"/>
      <c r="M432" s="67"/>
      <c r="N432" s="33"/>
      <c r="O432" s="33"/>
      <c r="P432" s="28"/>
      <c r="Q432" s="144"/>
      <c r="R432" s="144"/>
      <c r="S432" s="144"/>
      <c r="T432" s="29"/>
      <c r="U432" s="6" t="s">
        <v>126</v>
      </c>
      <c r="V432" s="10">
        <v>41971</v>
      </c>
      <c r="W432" s="11">
        <v>11473</v>
      </c>
      <c r="X432" s="21" t="s">
        <v>561</v>
      </c>
      <c r="Y432" s="10">
        <v>41883</v>
      </c>
      <c r="Z432" s="10">
        <v>41972</v>
      </c>
      <c r="AA432" s="23"/>
      <c r="AB432" s="21"/>
      <c r="AC432" s="24"/>
      <c r="AD432" s="24"/>
      <c r="AE432" s="25"/>
      <c r="AF432" s="58"/>
      <c r="AG432" s="107">
        <v>0</v>
      </c>
      <c r="AH432" s="12">
        <f t="shared" si="19"/>
        <v>0</v>
      </c>
      <c r="AI432" s="6"/>
      <c r="AJ432" s="6"/>
      <c r="AK432" s="6"/>
      <c r="AL432" s="6"/>
      <c r="AM432" s="21"/>
      <c r="AN432" s="21"/>
      <c r="AO432" s="11"/>
      <c r="AP432" s="10"/>
      <c r="AQ432" s="11"/>
      <c r="AR432" s="10"/>
      <c r="AS432" s="21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</row>
    <row r="433" spans="1:56" s="193" customFormat="1" ht="16.5" customHeight="1" x14ac:dyDescent="0.25">
      <c r="A433" s="268"/>
      <c r="B433" s="257"/>
      <c r="C433" s="29"/>
      <c r="D433" s="29"/>
      <c r="E433" s="143"/>
      <c r="F433" s="29"/>
      <c r="G433" s="66"/>
      <c r="H433" s="29"/>
      <c r="I433" s="29"/>
      <c r="J433" s="28"/>
      <c r="K433" s="33"/>
      <c r="L433" s="31"/>
      <c r="M433" s="67"/>
      <c r="N433" s="33"/>
      <c r="O433" s="33"/>
      <c r="P433" s="28"/>
      <c r="Q433" s="144"/>
      <c r="R433" s="144"/>
      <c r="S433" s="144"/>
      <c r="T433" s="29"/>
      <c r="U433" s="6" t="s">
        <v>181</v>
      </c>
      <c r="V433" s="10">
        <v>41974</v>
      </c>
      <c r="W433" s="11">
        <v>11505</v>
      </c>
      <c r="X433" s="21" t="s">
        <v>604</v>
      </c>
      <c r="Y433" s="10">
        <v>41972</v>
      </c>
      <c r="Z433" s="10">
        <v>42341</v>
      </c>
      <c r="AA433" s="23"/>
      <c r="AB433" s="21"/>
      <c r="AC433" s="24"/>
      <c r="AD433" s="24"/>
      <c r="AE433" s="25"/>
      <c r="AF433" s="58"/>
      <c r="AG433" s="107">
        <v>0</v>
      </c>
      <c r="AH433" s="12">
        <f t="shared" si="19"/>
        <v>0</v>
      </c>
      <c r="AI433" s="6"/>
      <c r="AJ433" s="6"/>
      <c r="AK433" s="6"/>
      <c r="AL433" s="6"/>
      <c r="AM433" s="21"/>
      <c r="AN433" s="21"/>
      <c r="AO433" s="11"/>
      <c r="AP433" s="10"/>
      <c r="AQ433" s="11"/>
      <c r="AR433" s="10"/>
      <c r="AS433" s="21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</row>
    <row r="434" spans="1:56" s="193" customFormat="1" ht="24" customHeight="1" x14ac:dyDescent="0.25">
      <c r="A434" s="269"/>
      <c r="B434" s="258"/>
      <c r="C434" s="35"/>
      <c r="D434" s="35"/>
      <c r="E434" s="145"/>
      <c r="F434" s="29"/>
      <c r="G434" s="66"/>
      <c r="H434" s="29"/>
      <c r="I434" s="29"/>
      <c r="J434" s="28"/>
      <c r="K434" s="39"/>
      <c r="L434" s="37"/>
      <c r="M434" s="73"/>
      <c r="N434" s="39"/>
      <c r="O434" s="39"/>
      <c r="P434" s="34"/>
      <c r="Q434" s="146"/>
      <c r="R434" s="146"/>
      <c r="S434" s="146"/>
      <c r="T434" s="35"/>
      <c r="U434" s="21" t="s">
        <v>628</v>
      </c>
      <c r="V434" s="10">
        <v>42061</v>
      </c>
      <c r="W434" s="11"/>
      <c r="X434" s="21" t="s">
        <v>563</v>
      </c>
      <c r="Y434" s="10">
        <v>41972</v>
      </c>
      <c r="Z434" s="10">
        <v>42341</v>
      </c>
      <c r="AA434" s="23"/>
      <c r="AB434" s="21"/>
      <c r="AC434" s="24"/>
      <c r="AD434" s="24"/>
      <c r="AE434" s="25"/>
      <c r="AF434" s="50"/>
      <c r="AG434" s="107">
        <v>0</v>
      </c>
      <c r="AH434" s="12">
        <f t="shared" si="19"/>
        <v>0</v>
      </c>
      <c r="AI434" s="6"/>
      <c r="AJ434" s="6"/>
      <c r="AK434" s="6"/>
      <c r="AL434" s="6"/>
      <c r="AM434" s="21"/>
      <c r="AN434" s="21"/>
      <c r="AO434" s="11"/>
      <c r="AP434" s="10"/>
      <c r="AQ434" s="11"/>
      <c r="AR434" s="10"/>
      <c r="AS434" s="21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</row>
    <row r="435" spans="1:56" s="193" customFormat="1" ht="45" customHeight="1" x14ac:dyDescent="0.25">
      <c r="A435" s="270">
        <v>106</v>
      </c>
      <c r="B435" s="256" t="s">
        <v>616</v>
      </c>
      <c r="C435" s="16" t="s">
        <v>668</v>
      </c>
      <c r="D435" s="16" t="s">
        <v>549</v>
      </c>
      <c r="E435" s="16" t="s">
        <v>123</v>
      </c>
      <c r="F435" s="16" t="s">
        <v>735</v>
      </c>
      <c r="G435" s="16">
        <v>11513</v>
      </c>
      <c r="H435" s="109" t="s">
        <v>736</v>
      </c>
      <c r="I435" s="16" t="s">
        <v>737</v>
      </c>
      <c r="J435" s="16" t="s">
        <v>738</v>
      </c>
      <c r="K435" s="45">
        <v>42117</v>
      </c>
      <c r="L435" s="49">
        <v>27937.200000000001</v>
      </c>
      <c r="M435" s="16">
        <v>11576</v>
      </c>
      <c r="N435" s="20">
        <v>42117</v>
      </c>
      <c r="O435" s="20">
        <v>42369</v>
      </c>
      <c r="P435" s="15">
        <v>1</v>
      </c>
      <c r="Q435" s="21"/>
      <c r="R435" s="21"/>
      <c r="S435" s="21"/>
      <c r="T435" s="16" t="s">
        <v>159</v>
      </c>
      <c r="U435" s="6"/>
      <c r="V435" s="10"/>
      <c r="W435" s="11"/>
      <c r="X435" s="21"/>
      <c r="Y435" s="10"/>
      <c r="Z435" s="10"/>
      <c r="AA435" s="23"/>
      <c r="AB435" s="21"/>
      <c r="AC435" s="24"/>
      <c r="AD435" s="24"/>
      <c r="AE435" s="60">
        <f>L435-AD435+AC435</f>
        <v>27937.200000000001</v>
      </c>
      <c r="AF435" s="49">
        <f>7660.2+3379.5+3379.5+3379.5+3379.5+3379.5+3379.5</f>
        <v>27937.200000000001</v>
      </c>
      <c r="AG435" s="12">
        <v>3379.5</v>
      </c>
      <c r="AH435" s="12">
        <f t="shared" si="19"/>
        <v>31316.7</v>
      </c>
      <c r="AI435" s="21"/>
      <c r="AJ435" s="11"/>
      <c r="AK435" s="21"/>
      <c r="AL435" s="122"/>
      <c r="AM435" s="21"/>
      <c r="AN435" s="21"/>
      <c r="AO435" s="11"/>
      <c r="AP435" s="10"/>
      <c r="AQ435" s="11"/>
      <c r="AR435" s="10"/>
      <c r="AS435" s="21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</row>
    <row r="436" spans="1:56" s="193" customFormat="1" ht="45" customHeight="1" x14ac:dyDescent="0.25">
      <c r="A436" s="269"/>
      <c r="B436" s="258"/>
      <c r="C436" s="35"/>
      <c r="D436" s="35"/>
      <c r="E436" s="35"/>
      <c r="F436" s="35"/>
      <c r="G436" s="35"/>
      <c r="H436" s="110"/>
      <c r="I436" s="35"/>
      <c r="J436" s="35"/>
      <c r="K436" s="45"/>
      <c r="L436" s="50"/>
      <c r="M436" s="35"/>
      <c r="N436" s="39"/>
      <c r="O436" s="39"/>
      <c r="P436" s="34"/>
      <c r="Q436" s="21"/>
      <c r="R436" s="21"/>
      <c r="S436" s="21"/>
      <c r="T436" s="35"/>
      <c r="U436" s="6" t="s">
        <v>141</v>
      </c>
      <c r="V436" s="10">
        <v>42368</v>
      </c>
      <c r="W436" s="11">
        <v>11730</v>
      </c>
      <c r="X436" s="21" t="s">
        <v>753</v>
      </c>
      <c r="Y436" s="10">
        <v>42370</v>
      </c>
      <c r="Z436" s="10">
        <v>42735</v>
      </c>
      <c r="AA436" s="23"/>
      <c r="AB436" s="21"/>
      <c r="AC436" s="24"/>
      <c r="AD436" s="24"/>
      <c r="AE436" s="60">
        <f>(3379.5*3)+(112.65*22)+AE435</f>
        <v>40554</v>
      </c>
      <c r="AF436" s="50"/>
      <c r="AG436" s="14"/>
      <c r="AH436" s="12">
        <f t="shared" si="19"/>
        <v>0</v>
      </c>
      <c r="AI436" s="21" t="s">
        <v>668</v>
      </c>
      <c r="AJ436" s="11">
        <v>11576</v>
      </c>
      <c r="AK436" s="21" t="s">
        <v>739</v>
      </c>
      <c r="AL436" s="122">
        <v>11576</v>
      </c>
      <c r="AM436" s="21"/>
      <c r="AN436" s="21"/>
      <c r="AO436" s="11"/>
      <c r="AP436" s="10"/>
      <c r="AQ436" s="11"/>
      <c r="AR436" s="10"/>
      <c r="AS436" s="21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</row>
    <row r="437" spans="1:56" s="193" customFormat="1" ht="45" customHeight="1" x14ac:dyDescent="0.25">
      <c r="A437" s="270">
        <v>107</v>
      </c>
      <c r="B437" s="254" t="s">
        <v>691</v>
      </c>
      <c r="C437" s="16" t="s">
        <v>689</v>
      </c>
      <c r="D437" s="16" t="s">
        <v>549</v>
      </c>
      <c r="E437" s="16" t="s">
        <v>123</v>
      </c>
      <c r="F437" s="16" t="s">
        <v>690</v>
      </c>
      <c r="G437" s="15">
        <v>11652</v>
      </c>
      <c r="H437" s="16" t="s">
        <v>692</v>
      </c>
      <c r="I437" s="16" t="s">
        <v>693</v>
      </c>
      <c r="J437" s="16" t="s">
        <v>694</v>
      </c>
      <c r="K437" s="17">
        <v>42186</v>
      </c>
      <c r="L437" s="105">
        <v>129709.27</v>
      </c>
      <c r="M437" s="63">
        <v>11652</v>
      </c>
      <c r="N437" s="17">
        <v>42186</v>
      </c>
      <c r="O437" s="17">
        <v>42369</v>
      </c>
      <c r="P437" s="109" t="s">
        <v>157</v>
      </c>
      <c r="Q437" s="69"/>
      <c r="R437" s="69"/>
      <c r="S437" s="69"/>
      <c r="T437" s="16" t="s">
        <v>160</v>
      </c>
      <c r="U437" s="21"/>
      <c r="V437" s="21"/>
      <c r="W437" s="11"/>
      <c r="X437" s="6"/>
      <c r="Y437" s="10"/>
      <c r="Z437" s="10"/>
      <c r="AA437" s="23"/>
      <c r="AB437" s="21"/>
      <c r="AC437" s="24"/>
      <c r="AD437" s="24"/>
      <c r="AE437" s="82">
        <f t="shared" ref="AE437" si="20">L437</f>
        <v>129709.27</v>
      </c>
      <c r="AF437" s="26"/>
      <c r="AG437" s="107">
        <v>59709.27</v>
      </c>
      <c r="AH437" s="12">
        <f t="shared" si="19"/>
        <v>59709.27</v>
      </c>
      <c r="AI437" s="147"/>
      <c r="AJ437" s="11"/>
      <c r="AK437" s="21"/>
      <c r="AL437" s="122"/>
      <c r="AM437" s="21"/>
      <c r="AN437" s="21"/>
      <c r="AO437" s="11"/>
      <c r="AP437" s="10"/>
      <c r="AQ437" s="11"/>
      <c r="AR437" s="10"/>
      <c r="AS437" s="21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</row>
    <row r="438" spans="1:56" s="193" customFormat="1" ht="45" customHeight="1" x14ac:dyDescent="0.25">
      <c r="A438" s="269"/>
      <c r="B438" s="253"/>
      <c r="C438" s="35"/>
      <c r="D438" s="35"/>
      <c r="E438" s="35"/>
      <c r="F438" s="35"/>
      <c r="G438" s="34"/>
      <c r="H438" s="35"/>
      <c r="I438" s="35"/>
      <c r="J438" s="35"/>
      <c r="K438" s="36"/>
      <c r="L438" s="108"/>
      <c r="M438" s="73"/>
      <c r="N438" s="36"/>
      <c r="O438" s="36"/>
      <c r="P438" s="110"/>
      <c r="Q438" s="69"/>
      <c r="R438" s="69"/>
      <c r="S438" s="69"/>
      <c r="T438" s="35"/>
      <c r="U438" s="6" t="s">
        <v>141</v>
      </c>
      <c r="V438" s="10">
        <v>42367</v>
      </c>
      <c r="W438" s="11"/>
      <c r="X438" s="6" t="s">
        <v>747</v>
      </c>
      <c r="Y438" s="10">
        <v>42370</v>
      </c>
      <c r="Z438" s="10">
        <v>42551</v>
      </c>
      <c r="AA438" s="23"/>
      <c r="AB438" s="21"/>
      <c r="AC438" s="24"/>
      <c r="AD438" s="24"/>
      <c r="AE438" s="92"/>
      <c r="AF438" s="26">
        <v>40000</v>
      </c>
      <c r="AG438" s="107">
        <v>0</v>
      </c>
      <c r="AH438" s="12">
        <f t="shared" si="19"/>
        <v>40000</v>
      </c>
      <c r="AI438" s="148" t="s">
        <v>469</v>
      </c>
      <c r="AJ438" s="11">
        <v>11418</v>
      </c>
      <c r="AK438" s="21" t="s">
        <v>695</v>
      </c>
      <c r="AL438" s="122">
        <v>11652</v>
      </c>
      <c r="AM438" s="21"/>
      <c r="AN438" s="21"/>
      <c r="AO438" s="11"/>
      <c r="AP438" s="10"/>
      <c r="AQ438" s="11"/>
      <c r="AR438" s="10"/>
      <c r="AS438" s="21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</row>
    <row r="439" spans="1:56" s="193" customFormat="1" ht="45" customHeight="1" x14ac:dyDescent="0.25">
      <c r="A439" s="270">
        <v>108</v>
      </c>
      <c r="B439" s="254" t="s">
        <v>697</v>
      </c>
      <c r="C439" s="16" t="s">
        <v>698</v>
      </c>
      <c r="D439" s="16" t="s">
        <v>549</v>
      </c>
      <c r="E439" s="16" t="s">
        <v>123</v>
      </c>
      <c r="F439" s="16" t="s">
        <v>699</v>
      </c>
      <c r="G439" s="15">
        <v>11330</v>
      </c>
      <c r="H439" s="16" t="s">
        <v>700</v>
      </c>
      <c r="I439" s="16" t="s">
        <v>701</v>
      </c>
      <c r="J439" s="16" t="s">
        <v>702</v>
      </c>
      <c r="K439" s="17">
        <v>42186</v>
      </c>
      <c r="L439" s="105">
        <v>495141</v>
      </c>
      <c r="M439" s="63">
        <v>11591</v>
      </c>
      <c r="N439" s="17">
        <v>42186</v>
      </c>
      <c r="O439" s="17">
        <v>42369</v>
      </c>
      <c r="P439" s="109" t="s">
        <v>157</v>
      </c>
      <c r="Q439" s="69"/>
      <c r="R439" s="69"/>
      <c r="S439" s="69"/>
      <c r="T439" s="16" t="s">
        <v>160</v>
      </c>
      <c r="U439" s="21"/>
      <c r="V439" s="21"/>
      <c r="W439" s="11"/>
      <c r="X439" s="6"/>
      <c r="Y439" s="10"/>
      <c r="Z439" s="10"/>
      <c r="AA439" s="23"/>
      <c r="AB439" s="21"/>
      <c r="AC439" s="24"/>
      <c r="AD439" s="24"/>
      <c r="AE439" s="60">
        <f>L439</f>
        <v>495141</v>
      </c>
      <c r="AF439" s="49">
        <f>23483.49+41697.05+52699.18</f>
        <v>117879.72</v>
      </c>
      <c r="AG439" s="12">
        <f>58246.44+58246.44+55472.8+58246.44</f>
        <v>230212.12</v>
      </c>
      <c r="AH439" s="12">
        <f t="shared" si="19"/>
        <v>348091.83999999997</v>
      </c>
      <c r="AI439" s="148"/>
      <c r="AJ439" s="11"/>
      <c r="AK439" s="21"/>
      <c r="AL439" s="122"/>
      <c r="AM439" s="21"/>
      <c r="AN439" s="21"/>
      <c r="AO439" s="11"/>
      <c r="AP439" s="10"/>
      <c r="AQ439" s="11"/>
      <c r="AR439" s="10"/>
      <c r="AS439" s="21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</row>
    <row r="440" spans="1:56" s="193" customFormat="1" ht="45" customHeight="1" x14ac:dyDescent="0.25">
      <c r="A440" s="269"/>
      <c r="B440" s="253"/>
      <c r="C440" s="35"/>
      <c r="D440" s="35"/>
      <c r="E440" s="35"/>
      <c r="F440" s="35"/>
      <c r="G440" s="34"/>
      <c r="H440" s="35"/>
      <c r="I440" s="35"/>
      <c r="J440" s="35"/>
      <c r="K440" s="36"/>
      <c r="L440" s="108"/>
      <c r="M440" s="73"/>
      <c r="N440" s="36"/>
      <c r="O440" s="36"/>
      <c r="P440" s="110"/>
      <c r="Q440" s="69"/>
      <c r="R440" s="69"/>
      <c r="S440" s="69"/>
      <c r="T440" s="35"/>
      <c r="U440" s="6" t="s">
        <v>141</v>
      </c>
      <c r="V440" s="10">
        <v>42368</v>
      </c>
      <c r="W440" s="11">
        <v>11731</v>
      </c>
      <c r="X440" s="6" t="s">
        <v>551</v>
      </c>
      <c r="Y440" s="10">
        <v>42370</v>
      </c>
      <c r="Z440" s="10">
        <v>42735</v>
      </c>
      <c r="AA440" s="23"/>
      <c r="AB440" s="21"/>
      <c r="AC440" s="24"/>
      <c r="AD440" s="24"/>
      <c r="AE440" s="92">
        <f>82523.5*12</f>
        <v>990282</v>
      </c>
      <c r="AF440" s="50"/>
      <c r="AG440" s="14"/>
      <c r="AH440" s="12">
        <f t="shared" si="19"/>
        <v>0</v>
      </c>
      <c r="AI440" s="148" t="s">
        <v>395</v>
      </c>
      <c r="AJ440" s="11"/>
      <c r="AK440" s="21" t="s">
        <v>703</v>
      </c>
      <c r="AL440" s="122">
        <v>11350</v>
      </c>
      <c r="AM440" s="21"/>
      <c r="AN440" s="21"/>
      <c r="AO440" s="11"/>
      <c r="AP440" s="10"/>
      <c r="AQ440" s="11"/>
      <c r="AR440" s="10"/>
      <c r="AS440" s="21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</row>
    <row r="441" spans="1:56" s="193" customFormat="1" ht="27" customHeight="1" x14ac:dyDescent="0.25">
      <c r="A441" s="270">
        <v>109</v>
      </c>
      <c r="B441" s="256">
        <v>1474</v>
      </c>
      <c r="C441" s="16"/>
      <c r="D441" s="16" t="s">
        <v>292</v>
      </c>
      <c r="E441" s="16" t="s">
        <v>123</v>
      </c>
      <c r="F441" s="16" t="s">
        <v>219</v>
      </c>
      <c r="G441" s="63">
        <v>9186</v>
      </c>
      <c r="H441" s="109" t="s">
        <v>225</v>
      </c>
      <c r="I441" s="16" t="s">
        <v>213</v>
      </c>
      <c r="J441" s="16" t="s">
        <v>369</v>
      </c>
      <c r="K441" s="17">
        <v>38688</v>
      </c>
      <c r="L441" s="105">
        <v>151200</v>
      </c>
      <c r="M441" s="16">
        <v>9186</v>
      </c>
      <c r="N441" s="17">
        <v>38688</v>
      </c>
      <c r="O441" s="17">
        <v>39418</v>
      </c>
      <c r="P441" s="109" t="s">
        <v>157</v>
      </c>
      <c r="Q441" s="16"/>
      <c r="R441" s="16"/>
      <c r="S441" s="16"/>
      <c r="T441" s="16" t="s">
        <v>159</v>
      </c>
      <c r="U441" s="21"/>
      <c r="V441" s="21"/>
      <c r="W441" s="11"/>
      <c r="X441" s="6"/>
      <c r="Y441" s="21"/>
      <c r="Z441" s="21"/>
      <c r="AA441" s="23"/>
      <c r="AB441" s="21"/>
      <c r="AC441" s="24"/>
      <c r="AD441" s="24"/>
      <c r="AE441" s="25">
        <f>L441</f>
        <v>151200</v>
      </c>
      <c r="AF441" s="25">
        <f>760047.9+81812.72+137430.19</f>
        <v>979290.81</v>
      </c>
      <c r="AG441" s="107">
        <f>32933.79+11733.19</f>
        <v>44666.98</v>
      </c>
      <c r="AH441" s="12">
        <f t="shared" si="19"/>
        <v>1023957.79</v>
      </c>
      <c r="AI441" s="21"/>
      <c r="AJ441" s="11"/>
      <c r="AK441" s="21"/>
      <c r="AL441" s="27"/>
      <c r="AM441" s="44" t="s">
        <v>452</v>
      </c>
      <c r="AN441" s="44" t="s">
        <v>243</v>
      </c>
      <c r="AO441" s="118">
        <v>9186</v>
      </c>
      <c r="AP441" s="11"/>
      <c r="AQ441" s="11"/>
      <c r="AR441" s="11"/>
      <c r="AS441" s="21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</row>
    <row r="442" spans="1:56" s="193" customFormat="1" ht="24" customHeight="1" x14ac:dyDescent="0.25">
      <c r="A442" s="268"/>
      <c r="B442" s="257"/>
      <c r="C442" s="29"/>
      <c r="D442" s="29"/>
      <c r="E442" s="29"/>
      <c r="F442" s="29"/>
      <c r="G442" s="67"/>
      <c r="H442" s="112"/>
      <c r="I442" s="29"/>
      <c r="J442" s="29"/>
      <c r="K442" s="30"/>
      <c r="L442" s="101"/>
      <c r="M442" s="29"/>
      <c r="N442" s="30"/>
      <c r="O442" s="30"/>
      <c r="P442" s="112"/>
      <c r="Q442" s="29"/>
      <c r="R442" s="29"/>
      <c r="S442" s="29"/>
      <c r="T442" s="29"/>
      <c r="U442" s="6" t="s">
        <v>141</v>
      </c>
      <c r="V442" s="10">
        <v>39052</v>
      </c>
      <c r="W442" s="11">
        <v>9579</v>
      </c>
      <c r="X442" s="6" t="s">
        <v>483</v>
      </c>
      <c r="Y442" s="10">
        <v>39053</v>
      </c>
      <c r="Z442" s="10">
        <v>39418</v>
      </c>
      <c r="AA442" s="23">
        <f>220.5/6300</f>
        <v>3.5000000000000003E-2</v>
      </c>
      <c r="AB442" s="21"/>
      <c r="AC442" s="24">
        <f>220.5*12</f>
        <v>2646</v>
      </c>
      <c r="AD442" s="24"/>
      <c r="AE442" s="25">
        <f>L441-AD442+AC442</f>
        <v>153846</v>
      </c>
      <c r="AF442" s="25"/>
      <c r="AG442" s="107">
        <v>0</v>
      </c>
      <c r="AH442" s="12">
        <f t="shared" si="19"/>
        <v>0</v>
      </c>
      <c r="AI442" s="21"/>
      <c r="AJ442" s="11"/>
      <c r="AK442" s="21"/>
      <c r="AL442" s="27"/>
      <c r="AM442" s="44"/>
      <c r="AN442" s="44"/>
      <c r="AO442" s="118"/>
      <c r="AP442" s="11"/>
      <c r="AQ442" s="11"/>
      <c r="AR442" s="11"/>
      <c r="AS442" s="21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</row>
    <row r="443" spans="1:56" s="193" customFormat="1" ht="25.5" x14ac:dyDescent="0.25">
      <c r="A443" s="268"/>
      <c r="B443" s="257"/>
      <c r="C443" s="29"/>
      <c r="D443" s="29"/>
      <c r="E443" s="29"/>
      <c r="F443" s="29"/>
      <c r="G443" s="67"/>
      <c r="H443" s="112"/>
      <c r="I443" s="29"/>
      <c r="J443" s="29"/>
      <c r="K443" s="30"/>
      <c r="L443" s="101"/>
      <c r="M443" s="29"/>
      <c r="N443" s="30"/>
      <c r="O443" s="30"/>
      <c r="P443" s="112"/>
      <c r="Q443" s="29"/>
      <c r="R443" s="29"/>
      <c r="S443" s="29"/>
      <c r="T443" s="29"/>
      <c r="U443" s="6" t="s">
        <v>124</v>
      </c>
      <c r="V443" s="10">
        <v>39417</v>
      </c>
      <c r="W443" s="11">
        <v>9702</v>
      </c>
      <c r="X443" s="6" t="s">
        <v>485</v>
      </c>
      <c r="Y443" s="10">
        <v>39418</v>
      </c>
      <c r="Z443" s="10">
        <v>39813</v>
      </c>
      <c r="AA443" s="23">
        <f>405.68/6520.5</f>
        <v>6.2216087723334104E-2</v>
      </c>
      <c r="AB443" s="21"/>
      <c r="AC443" s="24">
        <f>405.68*13</f>
        <v>5273.84</v>
      </c>
      <c r="AD443" s="24"/>
      <c r="AE443" s="25">
        <f>AE442+AC443+(6520.5*13)</f>
        <v>243886.34</v>
      </c>
      <c r="AF443" s="25"/>
      <c r="AG443" s="107">
        <v>0</v>
      </c>
      <c r="AH443" s="12">
        <f t="shared" si="19"/>
        <v>0</v>
      </c>
      <c r="AI443" s="21"/>
      <c r="AJ443" s="11"/>
      <c r="AK443" s="21"/>
      <c r="AL443" s="27"/>
      <c r="AM443" s="44"/>
      <c r="AN443" s="44"/>
      <c r="AO443" s="118"/>
      <c r="AP443" s="11"/>
      <c r="AQ443" s="11"/>
      <c r="AR443" s="11"/>
      <c r="AS443" s="21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</row>
    <row r="444" spans="1:56" s="193" customFormat="1" ht="25.5" x14ac:dyDescent="0.25">
      <c r="A444" s="268"/>
      <c r="B444" s="257"/>
      <c r="C444" s="29"/>
      <c r="D444" s="29"/>
      <c r="E444" s="29"/>
      <c r="F444" s="29"/>
      <c r="G444" s="67"/>
      <c r="H444" s="112"/>
      <c r="I444" s="29"/>
      <c r="J444" s="29"/>
      <c r="K444" s="30"/>
      <c r="L444" s="101"/>
      <c r="M444" s="29"/>
      <c r="N444" s="30"/>
      <c r="O444" s="30"/>
      <c r="P444" s="112"/>
      <c r="Q444" s="29"/>
      <c r="R444" s="29"/>
      <c r="S444" s="29"/>
      <c r="T444" s="29"/>
      <c r="U444" s="6" t="s">
        <v>143</v>
      </c>
      <c r="V444" s="10">
        <v>39799</v>
      </c>
      <c r="W444" s="11">
        <v>9960</v>
      </c>
      <c r="X444" s="6" t="s">
        <v>486</v>
      </c>
      <c r="Y444" s="10">
        <v>39814</v>
      </c>
      <c r="Z444" s="10">
        <v>40178</v>
      </c>
      <c r="AA444" s="23">
        <f>823.07/6926.18</f>
        <v>0.11883462456938745</v>
      </c>
      <c r="AB444" s="21"/>
      <c r="AC444" s="24">
        <f>823.07*13</f>
        <v>10699.91</v>
      </c>
      <c r="AD444" s="24"/>
      <c r="AE444" s="25">
        <f>AE443+AC444+(6926.8*12)</f>
        <v>337707.85</v>
      </c>
      <c r="AF444" s="25"/>
      <c r="AG444" s="107">
        <v>0</v>
      </c>
      <c r="AH444" s="12">
        <f t="shared" si="19"/>
        <v>0</v>
      </c>
      <c r="AI444" s="21"/>
      <c r="AJ444" s="11"/>
      <c r="AK444" s="21"/>
      <c r="AL444" s="27"/>
      <c r="AM444" s="44"/>
      <c r="AN444" s="44"/>
      <c r="AO444" s="118"/>
      <c r="AP444" s="11"/>
      <c r="AQ444" s="11"/>
      <c r="AR444" s="11"/>
      <c r="AS444" s="21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</row>
    <row r="445" spans="1:56" s="193" customFormat="1" x14ac:dyDescent="0.25">
      <c r="A445" s="268"/>
      <c r="B445" s="257"/>
      <c r="C445" s="29"/>
      <c r="D445" s="29"/>
      <c r="E445" s="29"/>
      <c r="F445" s="29"/>
      <c r="G445" s="67"/>
      <c r="H445" s="112"/>
      <c r="I445" s="29"/>
      <c r="J445" s="29"/>
      <c r="K445" s="30"/>
      <c r="L445" s="101"/>
      <c r="M445" s="29"/>
      <c r="N445" s="30"/>
      <c r="O445" s="30"/>
      <c r="P445" s="112"/>
      <c r="Q445" s="29"/>
      <c r="R445" s="29"/>
      <c r="S445" s="29"/>
      <c r="T445" s="29"/>
      <c r="U445" s="6" t="s">
        <v>126</v>
      </c>
      <c r="V445" s="10">
        <v>40161</v>
      </c>
      <c r="W445" s="11">
        <v>10209</v>
      </c>
      <c r="X445" s="6" t="s">
        <v>487</v>
      </c>
      <c r="Y445" s="10">
        <v>40179</v>
      </c>
      <c r="Z445" s="10">
        <v>40512</v>
      </c>
      <c r="AA445" s="23"/>
      <c r="AB445" s="21"/>
      <c r="AC445" s="24"/>
      <c r="AD445" s="24"/>
      <c r="AE445" s="25"/>
      <c r="AF445" s="25"/>
      <c r="AG445" s="107">
        <v>0</v>
      </c>
      <c r="AH445" s="12">
        <f t="shared" si="19"/>
        <v>0</v>
      </c>
      <c r="AI445" s="21"/>
      <c r="AJ445" s="11"/>
      <c r="AK445" s="21"/>
      <c r="AL445" s="27"/>
      <c r="AM445" s="44"/>
      <c r="AN445" s="44"/>
      <c r="AO445" s="118"/>
      <c r="AP445" s="11"/>
      <c r="AQ445" s="11"/>
      <c r="AR445" s="11"/>
      <c r="AS445" s="21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</row>
    <row r="446" spans="1:56" s="193" customFormat="1" x14ac:dyDescent="0.25">
      <c r="A446" s="268"/>
      <c r="B446" s="257"/>
      <c r="C446" s="29"/>
      <c r="D446" s="29"/>
      <c r="E446" s="29"/>
      <c r="F446" s="29"/>
      <c r="G446" s="67"/>
      <c r="H446" s="112"/>
      <c r="I446" s="29"/>
      <c r="J446" s="29"/>
      <c r="K446" s="30"/>
      <c r="L446" s="101"/>
      <c r="M446" s="29"/>
      <c r="N446" s="30"/>
      <c r="O446" s="30"/>
      <c r="P446" s="112"/>
      <c r="Q446" s="29"/>
      <c r="R446" s="29"/>
      <c r="S446" s="29"/>
      <c r="T446" s="29"/>
      <c r="U446" s="6" t="s">
        <v>181</v>
      </c>
      <c r="V446" s="10">
        <v>40500</v>
      </c>
      <c r="W446" s="11">
        <v>10439</v>
      </c>
      <c r="X446" s="6" t="s">
        <v>477</v>
      </c>
      <c r="Y446" s="10">
        <v>40513</v>
      </c>
      <c r="Z446" s="10">
        <v>40878</v>
      </c>
      <c r="AA446" s="23"/>
      <c r="AB446" s="21"/>
      <c r="AC446" s="24"/>
      <c r="AD446" s="24"/>
      <c r="AE446" s="25"/>
      <c r="AF446" s="25"/>
      <c r="AG446" s="107">
        <v>0</v>
      </c>
      <c r="AH446" s="12">
        <f t="shared" si="19"/>
        <v>0</v>
      </c>
      <c r="AI446" s="21"/>
      <c r="AJ446" s="11"/>
      <c r="AK446" s="21"/>
      <c r="AL446" s="27"/>
      <c r="AM446" s="44"/>
      <c r="AN446" s="44"/>
      <c r="AO446" s="118"/>
      <c r="AP446" s="11"/>
      <c r="AQ446" s="11"/>
      <c r="AR446" s="11"/>
      <c r="AS446" s="21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</row>
    <row r="447" spans="1:56" s="193" customFormat="1" x14ac:dyDescent="0.25">
      <c r="A447" s="268"/>
      <c r="B447" s="257"/>
      <c r="C447" s="29"/>
      <c r="D447" s="29"/>
      <c r="E447" s="29"/>
      <c r="F447" s="29"/>
      <c r="G447" s="67"/>
      <c r="H447" s="112"/>
      <c r="I447" s="29"/>
      <c r="J447" s="29"/>
      <c r="K447" s="30"/>
      <c r="L447" s="101"/>
      <c r="M447" s="29"/>
      <c r="N447" s="30"/>
      <c r="O447" s="30"/>
      <c r="P447" s="112"/>
      <c r="Q447" s="29"/>
      <c r="R447" s="29"/>
      <c r="S447" s="29"/>
      <c r="T447" s="29"/>
      <c r="U447" s="6" t="s">
        <v>226</v>
      </c>
      <c r="V447" s="10">
        <v>40521</v>
      </c>
      <c r="W447" s="11"/>
      <c r="X447" s="6" t="s">
        <v>483</v>
      </c>
      <c r="Y447" s="10">
        <v>40514</v>
      </c>
      <c r="Z447" s="10">
        <v>40878</v>
      </c>
      <c r="AA447" s="23">
        <f>795.98/7749.25</f>
        <v>0.10271703713262574</v>
      </c>
      <c r="AB447" s="21"/>
      <c r="AC447" s="24">
        <f>795.98*12</f>
        <v>9551.76</v>
      </c>
      <c r="AD447" s="24"/>
      <c r="AE447" s="25">
        <f>AE444-AD447+AC447</f>
        <v>347259.61</v>
      </c>
      <c r="AF447" s="25"/>
      <c r="AG447" s="107">
        <v>0</v>
      </c>
      <c r="AH447" s="12">
        <f t="shared" si="19"/>
        <v>0</v>
      </c>
      <c r="AI447" s="21"/>
      <c r="AJ447" s="11"/>
      <c r="AK447" s="21"/>
      <c r="AL447" s="27"/>
      <c r="AM447" s="44"/>
      <c r="AN447" s="44"/>
      <c r="AO447" s="118"/>
      <c r="AP447" s="11"/>
      <c r="AQ447" s="11"/>
      <c r="AR447" s="11"/>
      <c r="AS447" s="21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</row>
    <row r="448" spans="1:56" s="193" customFormat="1" x14ac:dyDescent="0.25">
      <c r="A448" s="268"/>
      <c r="B448" s="257"/>
      <c r="C448" s="29"/>
      <c r="D448" s="29"/>
      <c r="E448" s="29"/>
      <c r="F448" s="29"/>
      <c r="G448" s="67"/>
      <c r="H448" s="112"/>
      <c r="I448" s="29"/>
      <c r="J448" s="29"/>
      <c r="K448" s="30"/>
      <c r="L448" s="101"/>
      <c r="M448" s="29"/>
      <c r="N448" s="30"/>
      <c r="O448" s="30"/>
      <c r="P448" s="112"/>
      <c r="Q448" s="29"/>
      <c r="R448" s="29"/>
      <c r="S448" s="29"/>
      <c r="T448" s="29"/>
      <c r="U448" s="6" t="s">
        <v>227</v>
      </c>
      <c r="V448" s="10">
        <v>40857</v>
      </c>
      <c r="W448" s="11">
        <v>10694</v>
      </c>
      <c r="X448" s="6" t="s">
        <v>477</v>
      </c>
      <c r="Y448" s="10">
        <v>40878</v>
      </c>
      <c r="Z448" s="10">
        <v>41244</v>
      </c>
      <c r="AA448" s="23"/>
      <c r="AB448" s="21"/>
      <c r="AC448" s="24"/>
      <c r="AD448" s="24"/>
      <c r="AE448" s="25"/>
      <c r="AF448" s="25"/>
      <c r="AG448" s="107">
        <v>0</v>
      </c>
      <c r="AH448" s="12">
        <f t="shared" si="19"/>
        <v>0</v>
      </c>
      <c r="AI448" s="21"/>
      <c r="AJ448" s="11"/>
      <c r="AK448" s="21"/>
      <c r="AL448" s="27"/>
      <c r="AM448" s="44"/>
      <c r="AN448" s="44"/>
      <c r="AO448" s="118"/>
      <c r="AP448" s="10">
        <v>38688</v>
      </c>
      <c r="AQ448" s="11">
        <v>9186</v>
      </c>
      <c r="AR448" s="10">
        <v>38688</v>
      </c>
      <c r="AS448" s="21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</row>
    <row r="449" spans="1:56" s="193" customFormat="1" x14ac:dyDescent="0.25">
      <c r="A449" s="268"/>
      <c r="B449" s="257"/>
      <c r="C449" s="29"/>
      <c r="D449" s="29"/>
      <c r="E449" s="29"/>
      <c r="F449" s="29"/>
      <c r="G449" s="67"/>
      <c r="H449" s="112"/>
      <c r="I449" s="29"/>
      <c r="J449" s="29"/>
      <c r="K449" s="30"/>
      <c r="L449" s="101"/>
      <c r="M449" s="29"/>
      <c r="N449" s="30"/>
      <c r="O449" s="30"/>
      <c r="P449" s="112"/>
      <c r="Q449" s="29"/>
      <c r="R449" s="29"/>
      <c r="S449" s="29"/>
      <c r="T449" s="29"/>
      <c r="U449" s="6" t="s">
        <v>228</v>
      </c>
      <c r="V449" s="10">
        <v>40879</v>
      </c>
      <c r="W449" s="11"/>
      <c r="X449" s="6" t="s">
        <v>242</v>
      </c>
      <c r="Y449" s="10">
        <v>40879</v>
      </c>
      <c r="Z449" s="10">
        <v>41245</v>
      </c>
      <c r="AA449" s="23">
        <f>508.15/8545.53</f>
        <v>5.9463836649101924E-2</v>
      </c>
      <c r="AB449" s="21"/>
      <c r="AC449" s="24">
        <f>508.15*12</f>
        <v>6097.7999999999993</v>
      </c>
      <c r="AD449" s="24"/>
      <c r="AE449" s="25">
        <f>AE447-AD449+AC449</f>
        <v>353357.41</v>
      </c>
      <c r="AF449" s="25"/>
      <c r="AG449" s="107">
        <v>0</v>
      </c>
      <c r="AH449" s="12">
        <f t="shared" si="19"/>
        <v>0</v>
      </c>
      <c r="AI449" s="21"/>
      <c r="AJ449" s="11"/>
      <c r="AK449" s="21"/>
      <c r="AL449" s="27"/>
      <c r="AM449" s="44"/>
      <c r="AN449" s="44"/>
      <c r="AO449" s="118"/>
      <c r="AP449" s="11"/>
      <c r="AQ449" s="11"/>
      <c r="AR449" s="11"/>
      <c r="AS449" s="21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</row>
    <row r="450" spans="1:56" s="193" customFormat="1" x14ac:dyDescent="0.25">
      <c r="A450" s="268"/>
      <c r="B450" s="257"/>
      <c r="C450" s="29"/>
      <c r="D450" s="29"/>
      <c r="E450" s="29"/>
      <c r="F450" s="29"/>
      <c r="G450" s="67"/>
      <c r="H450" s="112"/>
      <c r="I450" s="29"/>
      <c r="J450" s="29"/>
      <c r="K450" s="30"/>
      <c r="L450" s="101"/>
      <c r="M450" s="29"/>
      <c r="N450" s="30"/>
      <c r="O450" s="30"/>
      <c r="P450" s="112"/>
      <c r="Q450" s="29"/>
      <c r="R450" s="29"/>
      <c r="S450" s="29"/>
      <c r="T450" s="29"/>
      <c r="U450" s="6" t="s">
        <v>229</v>
      </c>
      <c r="V450" s="10">
        <v>41239</v>
      </c>
      <c r="W450" s="11">
        <v>10939</v>
      </c>
      <c r="X450" s="6" t="s">
        <v>477</v>
      </c>
      <c r="Y450" s="10">
        <v>41244</v>
      </c>
      <c r="Z450" s="10">
        <v>41609</v>
      </c>
      <c r="AA450" s="23"/>
      <c r="AB450" s="21"/>
      <c r="AC450" s="24"/>
      <c r="AD450" s="24"/>
      <c r="AE450" s="25"/>
      <c r="AF450" s="25"/>
      <c r="AG450" s="107">
        <v>0</v>
      </c>
      <c r="AH450" s="12">
        <f t="shared" si="19"/>
        <v>0</v>
      </c>
      <c r="AI450" s="21"/>
      <c r="AJ450" s="11"/>
      <c r="AK450" s="21"/>
      <c r="AL450" s="27"/>
      <c r="AM450" s="44"/>
      <c r="AN450" s="44"/>
      <c r="AO450" s="118"/>
      <c r="AP450" s="11"/>
      <c r="AQ450" s="11"/>
      <c r="AR450" s="11"/>
      <c r="AS450" s="21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</row>
    <row r="451" spans="1:56" s="193" customFormat="1" x14ac:dyDescent="0.25">
      <c r="A451" s="268"/>
      <c r="B451" s="257"/>
      <c r="C451" s="29"/>
      <c r="D451" s="29"/>
      <c r="E451" s="29"/>
      <c r="F451" s="29"/>
      <c r="G451" s="67"/>
      <c r="H451" s="112"/>
      <c r="I451" s="29"/>
      <c r="J451" s="29"/>
      <c r="K451" s="30"/>
      <c r="L451" s="101"/>
      <c r="M451" s="29"/>
      <c r="N451" s="30"/>
      <c r="O451" s="30"/>
      <c r="P451" s="112"/>
      <c r="Q451" s="29"/>
      <c r="R451" s="29"/>
      <c r="S451" s="29"/>
      <c r="T451" s="29"/>
      <c r="U451" s="6" t="s">
        <v>230</v>
      </c>
      <c r="V451" s="10">
        <v>41249</v>
      </c>
      <c r="W451" s="11"/>
      <c r="X451" s="6" t="s">
        <v>242</v>
      </c>
      <c r="Y451" s="10">
        <v>41245</v>
      </c>
      <c r="Z451" s="10">
        <v>41609</v>
      </c>
      <c r="AA451" s="23">
        <f>629.71/9053.68</f>
        <v>6.9552933171925665E-2</v>
      </c>
      <c r="AB451" s="21"/>
      <c r="AC451" s="24">
        <f>629.71*12</f>
        <v>7556.52</v>
      </c>
      <c r="AD451" s="24"/>
      <c r="AE451" s="25">
        <f>AE449-AD451+AC451</f>
        <v>360913.93</v>
      </c>
      <c r="AF451" s="25"/>
      <c r="AG451" s="107">
        <v>0</v>
      </c>
      <c r="AH451" s="12">
        <f t="shared" si="19"/>
        <v>0</v>
      </c>
      <c r="AI451" s="21"/>
      <c r="AJ451" s="11"/>
      <c r="AK451" s="21"/>
      <c r="AL451" s="27"/>
      <c r="AM451" s="44"/>
      <c r="AN451" s="44"/>
      <c r="AO451" s="118"/>
      <c r="AP451" s="11"/>
      <c r="AQ451" s="11"/>
      <c r="AR451" s="11"/>
      <c r="AS451" s="21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</row>
    <row r="452" spans="1:56" s="193" customFormat="1" x14ac:dyDescent="0.25">
      <c r="A452" s="268"/>
      <c r="B452" s="257"/>
      <c r="C452" s="29"/>
      <c r="D452" s="29"/>
      <c r="E452" s="29"/>
      <c r="F452" s="29"/>
      <c r="G452" s="67"/>
      <c r="H452" s="112"/>
      <c r="I452" s="29"/>
      <c r="J452" s="29"/>
      <c r="K452" s="30"/>
      <c r="L452" s="101"/>
      <c r="M452" s="29"/>
      <c r="N452" s="30"/>
      <c r="O452" s="30"/>
      <c r="P452" s="112"/>
      <c r="Q452" s="29"/>
      <c r="R452" s="29"/>
      <c r="S452" s="29"/>
      <c r="T452" s="29"/>
      <c r="U452" s="6" t="s">
        <v>184</v>
      </c>
      <c r="V452" s="10">
        <v>41604</v>
      </c>
      <c r="W452" s="11">
        <v>11219</v>
      </c>
      <c r="X452" s="6" t="s">
        <v>477</v>
      </c>
      <c r="Y452" s="10">
        <v>41609</v>
      </c>
      <c r="Z452" s="10">
        <v>41974</v>
      </c>
      <c r="AA452" s="23"/>
      <c r="AB452" s="21"/>
      <c r="AC452" s="24"/>
      <c r="AD452" s="24"/>
      <c r="AE452" s="25"/>
      <c r="AF452" s="25"/>
      <c r="AG452" s="107">
        <v>0</v>
      </c>
      <c r="AH452" s="12">
        <f t="shared" si="19"/>
        <v>0</v>
      </c>
      <c r="AI452" s="21"/>
      <c r="AJ452" s="11"/>
      <c r="AK452" s="21"/>
      <c r="AL452" s="27"/>
      <c r="AM452" s="44"/>
      <c r="AN452" s="44"/>
      <c r="AO452" s="118"/>
      <c r="AP452" s="11"/>
      <c r="AQ452" s="11"/>
      <c r="AR452" s="11"/>
      <c r="AS452" s="21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</row>
    <row r="453" spans="1:56" s="193" customFormat="1" x14ac:dyDescent="0.25">
      <c r="A453" s="268"/>
      <c r="B453" s="257"/>
      <c r="C453" s="29"/>
      <c r="D453" s="29"/>
      <c r="E453" s="29"/>
      <c r="F453" s="29"/>
      <c r="G453" s="67"/>
      <c r="H453" s="112"/>
      <c r="I453" s="29"/>
      <c r="J453" s="29"/>
      <c r="K453" s="30"/>
      <c r="L453" s="101"/>
      <c r="M453" s="29"/>
      <c r="N453" s="30"/>
      <c r="O453" s="30"/>
      <c r="P453" s="112"/>
      <c r="Q453" s="29"/>
      <c r="R453" s="29"/>
      <c r="S453" s="29"/>
      <c r="T453" s="29"/>
      <c r="U453" s="6" t="s">
        <v>231</v>
      </c>
      <c r="V453" s="10">
        <v>41634</v>
      </c>
      <c r="W453" s="11"/>
      <c r="X453" s="6" t="s">
        <v>242</v>
      </c>
      <c r="Y453" s="10">
        <v>41609</v>
      </c>
      <c r="Z453" s="10">
        <v>41974</v>
      </c>
      <c r="AA453" s="23">
        <f>543.2/9683.39</f>
        <v>5.6096057269200153E-2</v>
      </c>
      <c r="AB453" s="21"/>
      <c r="AC453" s="24">
        <f>543.2*12</f>
        <v>6518.4000000000005</v>
      </c>
      <c r="AD453" s="24"/>
      <c r="AE453" s="25">
        <f>AE451-AD453+AC453</f>
        <v>367432.33</v>
      </c>
      <c r="AF453" s="25"/>
      <c r="AG453" s="107">
        <v>0</v>
      </c>
      <c r="AH453" s="12">
        <f t="shared" si="19"/>
        <v>0</v>
      </c>
      <c r="AI453" s="21"/>
      <c r="AJ453" s="11"/>
      <c r="AK453" s="21"/>
      <c r="AL453" s="27"/>
      <c r="AM453" s="44"/>
      <c r="AN453" s="44"/>
      <c r="AO453" s="118"/>
      <c r="AP453" s="11"/>
      <c r="AQ453" s="11"/>
      <c r="AR453" s="11"/>
      <c r="AS453" s="21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</row>
    <row r="454" spans="1:56" s="193" customFormat="1" x14ac:dyDescent="0.25">
      <c r="A454" s="268"/>
      <c r="B454" s="257"/>
      <c r="C454" s="29"/>
      <c r="D454" s="29"/>
      <c r="E454" s="29"/>
      <c r="F454" s="29"/>
      <c r="G454" s="67"/>
      <c r="H454" s="112"/>
      <c r="I454" s="29"/>
      <c r="J454" s="29"/>
      <c r="K454" s="30"/>
      <c r="L454" s="101"/>
      <c r="M454" s="29"/>
      <c r="N454" s="30"/>
      <c r="O454" s="30"/>
      <c r="P454" s="112"/>
      <c r="Q454" s="29"/>
      <c r="R454" s="29"/>
      <c r="S454" s="29"/>
      <c r="T454" s="29"/>
      <c r="U454" s="6" t="s">
        <v>185</v>
      </c>
      <c r="V454" s="10">
        <v>41969</v>
      </c>
      <c r="W454" s="11">
        <v>11479</v>
      </c>
      <c r="X454" s="6" t="s">
        <v>477</v>
      </c>
      <c r="Y454" s="10">
        <v>41974</v>
      </c>
      <c r="Z454" s="10">
        <v>42338</v>
      </c>
      <c r="AA454" s="23"/>
      <c r="AB454" s="21"/>
      <c r="AC454" s="24"/>
      <c r="AD454" s="24"/>
      <c r="AE454" s="25"/>
      <c r="AF454" s="25"/>
      <c r="AG454" s="107"/>
      <c r="AH454" s="12">
        <f t="shared" si="19"/>
        <v>0</v>
      </c>
      <c r="AI454" s="21"/>
      <c r="AJ454" s="11"/>
      <c r="AK454" s="21"/>
      <c r="AL454" s="27"/>
      <c r="AM454" s="21"/>
      <c r="AN454" s="21"/>
      <c r="AO454" s="11"/>
      <c r="AP454" s="11"/>
      <c r="AQ454" s="11"/>
      <c r="AR454" s="11"/>
      <c r="AS454" s="21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</row>
    <row r="455" spans="1:56" s="193" customFormat="1" ht="25.5" x14ac:dyDescent="0.25">
      <c r="A455" s="268"/>
      <c r="B455" s="257"/>
      <c r="C455" s="29"/>
      <c r="D455" s="29"/>
      <c r="E455" s="29"/>
      <c r="F455" s="29"/>
      <c r="G455" s="67"/>
      <c r="H455" s="112"/>
      <c r="I455" s="29"/>
      <c r="J455" s="29"/>
      <c r="K455" s="30"/>
      <c r="L455" s="101"/>
      <c r="M455" s="29"/>
      <c r="N455" s="30"/>
      <c r="O455" s="30"/>
      <c r="P455" s="112"/>
      <c r="Q455" s="29"/>
      <c r="R455" s="29"/>
      <c r="S455" s="29"/>
      <c r="T455" s="29"/>
      <c r="U455" s="6" t="s">
        <v>872</v>
      </c>
      <c r="V455" s="10">
        <v>42039</v>
      </c>
      <c r="W455" s="11"/>
      <c r="X455" s="6" t="s">
        <v>242</v>
      </c>
      <c r="Y455" s="10">
        <v>42039</v>
      </c>
      <c r="Z455" s="10">
        <v>42338</v>
      </c>
      <c r="AA455" s="23">
        <f>373.71/10226.59</f>
        <v>3.6542972779782898E-2</v>
      </c>
      <c r="AB455" s="21"/>
      <c r="AC455" s="24">
        <f>373.71*12</f>
        <v>4484.5199999999995</v>
      </c>
      <c r="AD455" s="24"/>
      <c r="AE455" s="25">
        <f>AE453-AD455+AC455</f>
        <v>371916.85000000003</v>
      </c>
      <c r="AF455" s="25"/>
      <c r="AG455" s="107"/>
      <c r="AH455" s="12">
        <f t="shared" si="19"/>
        <v>0</v>
      </c>
      <c r="AI455" s="21"/>
      <c r="AJ455" s="11"/>
      <c r="AK455" s="21"/>
      <c r="AL455" s="27"/>
      <c r="AM455" s="21"/>
      <c r="AN455" s="21"/>
      <c r="AO455" s="11"/>
      <c r="AP455" s="11"/>
      <c r="AQ455" s="11"/>
      <c r="AR455" s="11"/>
      <c r="AS455" s="21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</row>
    <row r="456" spans="1:56" s="193" customFormat="1" x14ac:dyDescent="0.25">
      <c r="A456" s="268"/>
      <c r="B456" s="257"/>
      <c r="C456" s="29"/>
      <c r="D456" s="29"/>
      <c r="E456" s="29"/>
      <c r="F456" s="29"/>
      <c r="G456" s="67"/>
      <c r="H456" s="112"/>
      <c r="I456" s="29"/>
      <c r="J456" s="29"/>
      <c r="K456" s="30"/>
      <c r="L456" s="101"/>
      <c r="M456" s="29"/>
      <c r="N456" s="30"/>
      <c r="O456" s="30"/>
      <c r="P456" s="112"/>
      <c r="Q456" s="29"/>
      <c r="R456" s="29"/>
      <c r="S456" s="29"/>
      <c r="T456" s="29"/>
      <c r="U456" s="6" t="s">
        <v>186</v>
      </c>
      <c r="V456" s="10">
        <v>42334</v>
      </c>
      <c r="W456" s="11">
        <v>11706</v>
      </c>
      <c r="X456" s="6" t="s">
        <v>477</v>
      </c>
      <c r="Y456" s="10">
        <v>42339</v>
      </c>
      <c r="Z456" s="10">
        <v>42704</v>
      </c>
      <c r="AA456" s="23"/>
      <c r="AB456" s="21"/>
      <c r="AC456" s="24"/>
      <c r="AD456" s="24"/>
      <c r="AE456" s="25"/>
      <c r="AF456" s="25"/>
      <c r="AG456" s="107"/>
      <c r="AH456" s="12">
        <f t="shared" si="19"/>
        <v>0</v>
      </c>
      <c r="AI456" s="21"/>
      <c r="AJ456" s="11"/>
      <c r="AK456" s="21"/>
      <c r="AL456" s="27"/>
      <c r="AM456" s="21"/>
      <c r="AN456" s="21"/>
      <c r="AO456" s="11"/>
      <c r="AP456" s="11"/>
      <c r="AQ456" s="11"/>
      <c r="AR456" s="11"/>
      <c r="AS456" s="21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</row>
    <row r="457" spans="1:56" s="193" customFormat="1" ht="25.5" x14ac:dyDescent="0.25">
      <c r="A457" s="268"/>
      <c r="B457" s="257"/>
      <c r="C457" s="29"/>
      <c r="D457" s="29"/>
      <c r="E457" s="29"/>
      <c r="F457" s="29"/>
      <c r="G457" s="67"/>
      <c r="H457" s="112"/>
      <c r="I457" s="29"/>
      <c r="J457" s="29"/>
      <c r="K457" s="30"/>
      <c r="L457" s="101"/>
      <c r="M457" s="29"/>
      <c r="N457" s="30"/>
      <c r="O457" s="30"/>
      <c r="P457" s="112"/>
      <c r="Q457" s="29"/>
      <c r="R457" s="29"/>
      <c r="S457" s="29"/>
      <c r="T457" s="29"/>
      <c r="U457" s="6" t="s">
        <v>873</v>
      </c>
      <c r="V457" s="10">
        <v>42340</v>
      </c>
      <c r="W457" s="11">
        <v>11724</v>
      </c>
      <c r="X457" s="6" t="s">
        <v>874</v>
      </c>
      <c r="Y457" s="10">
        <v>42340</v>
      </c>
      <c r="Z457" s="10">
        <v>42704</v>
      </c>
      <c r="AA457" s="23">
        <f>1132.89/10600.3</f>
        <v>0.1068733903757441</v>
      </c>
      <c r="AB457" s="21"/>
      <c r="AC457" s="24">
        <f>1132.89*12</f>
        <v>13594.68</v>
      </c>
      <c r="AD457" s="24"/>
      <c r="AE457" s="25">
        <f>AE455-AD457+AC457</f>
        <v>385511.53</v>
      </c>
      <c r="AF457" s="25"/>
      <c r="AG457" s="107"/>
      <c r="AH457" s="12">
        <f t="shared" si="19"/>
        <v>0</v>
      </c>
      <c r="AI457" s="21"/>
      <c r="AJ457" s="11"/>
      <c r="AK457" s="21"/>
      <c r="AL457" s="27"/>
      <c r="AM457" s="21"/>
      <c r="AN457" s="21"/>
      <c r="AO457" s="11"/>
      <c r="AP457" s="11"/>
      <c r="AQ457" s="11"/>
      <c r="AR457" s="11"/>
      <c r="AS457" s="21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</row>
    <row r="458" spans="1:56" s="193" customFormat="1" x14ac:dyDescent="0.25">
      <c r="A458" s="269"/>
      <c r="B458" s="258"/>
      <c r="C458" s="35"/>
      <c r="D458" s="35"/>
      <c r="E458" s="35"/>
      <c r="F458" s="35"/>
      <c r="G458" s="73"/>
      <c r="H458" s="110"/>
      <c r="I458" s="35"/>
      <c r="J458" s="35"/>
      <c r="K458" s="36"/>
      <c r="L458" s="108"/>
      <c r="M458" s="35"/>
      <c r="N458" s="36"/>
      <c r="O458" s="36"/>
      <c r="P458" s="110"/>
      <c r="Q458" s="35"/>
      <c r="R458" s="35"/>
      <c r="S458" s="35"/>
      <c r="T458" s="35"/>
      <c r="U458" s="6"/>
      <c r="V458" s="10"/>
      <c r="W458" s="11"/>
      <c r="X458" s="6"/>
      <c r="Y458" s="10"/>
      <c r="Z458" s="10"/>
      <c r="AA458" s="23"/>
      <c r="AB458" s="21"/>
      <c r="AC458" s="24"/>
      <c r="AD458" s="24"/>
      <c r="AE458" s="25"/>
      <c r="AF458" s="25"/>
      <c r="AG458" s="107">
        <v>0</v>
      </c>
      <c r="AH458" s="12">
        <f t="shared" si="19"/>
        <v>0</v>
      </c>
      <c r="AI458" s="21"/>
      <c r="AJ458" s="11"/>
      <c r="AK458" s="21"/>
      <c r="AL458" s="27"/>
      <c r="AM458" s="21"/>
      <c r="AN458" s="21"/>
      <c r="AO458" s="11"/>
      <c r="AP458" s="11"/>
      <c r="AQ458" s="11"/>
      <c r="AR458" s="11"/>
      <c r="AS458" s="21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</row>
    <row r="459" spans="1:56" s="193" customFormat="1" ht="28.5" customHeight="1" x14ac:dyDescent="0.25">
      <c r="A459" s="270">
        <v>110</v>
      </c>
      <c r="B459" s="256" t="s">
        <v>116</v>
      </c>
      <c r="C459" s="16"/>
      <c r="D459" s="16" t="s">
        <v>292</v>
      </c>
      <c r="E459" s="16" t="s">
        <v>123</v>
      </c>
      <c r="F459" s="16" t="s">
        <v>221</v>
      </c>
      <c r="G459" s="63">
        <v>10723</v>
      </c>
      <c r="H459" s="109" t="s">
        <v>235</v>
      </c>
      <c r="I459" s="16" t="s">
        <v>216</v>
      </c>
      <c r="J459" s="16" t="s">
        <v>405</v>
      </c>
      <c r="K459" s="17">
        <v>40940</v>
      </c>
      <c r="L459" s="105">
        <v>27500</v>
      </c>
      <c r="M459" s="63">
        <v>10733</v>
      </c>
      <c r="N459" s="17">
        <v>40940</v>
      </c>
      <c r="O459" s="17">
        <v>41274</v>
      </c>
      <c r="P459" s="109" t="s">
        <v>157</v>
      </c>
      <c r="Q459" s="16"/>
      <c r="R459" s="16"/>
      <c r="S459" s="16"/>
      <c r="T459" s="16" t="s">
        <v>159</v>
      </c>
      <c r="U459" s="6"/>
      <c r="V459" s="21"/>
      <c r="W459" s="11"/>
      <c r="X459" s="6"/>
      <c r="Y459" s="21"/>
      <c r="Z459" s="21"/>
      <c r="AA459" s="23"/>
      <c r="AB459" s="21"/>
      <c r="AC459" s="24"/>
      <c r="AD459" s="24"/>
      <c r="AE459" s="25">
        <f>L459-AC459+AD459</f>
        <v>27500</v>
      </c>
      <c r="AF459" s="25">
        <f>59674.92+22653.04+37340.64</f>
        <v>119668.59999999999</v>
      </c>
      <c r="AG459" s="107">
        <f>1243+3338.57+2913.81</f>
        <v>7495.3799999999992</v>
      </c>
      <c r="AH459" s="12">
        <f t="shared" si="19"/>
        <v>127163.98</v>
      </c>
      <c r="AI459" s="21"/>
      <c r="AJ459" s="11"/>
      <c r="AK459" s="21"/>
      <c r="AL459" s="27"/>
      <c r="AM459" s="44" t="s">
        <v>452</v>
      </c>
      <c r="AN459" s="44" t="s">
        <v>243</v>
      </c>
      <c r="AO459" s="118">
        <v>10723</v>
      </c>
      <c r="AP459" s="45">
        <v>40925</v>
      </c>
      <c r="AQ459" s="118">
        <v>10723</v>
      </c>
      <c r="AR459" s="45">
        <v>40925</v>
      </c>
      <c r="AS459" s="21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</row>
    <row r="460" spans="1:56" s="193" customFormat="1" ht="22.5" customHeight="1" x14ac:dyDescent="0.25">
      <c r="A460" s="268"/>
      <c r="B460" s="257"/>
      <c r="C460" s="29"/>
      <c r="D460" s="29"/>
      <c r="E460" s="29"/>
      <c r="F460" s="29"/>
      <c r="G460" s="67"/>
      <c r="H460" s="112"/>
      <c r="I460" s="29"/>
      <c r="J460" s="29"/>
      <c r="K460" s="30"/>
      <c r="L460" s="101"/>
      <c r="M460" s="67"/>
      <c r="N460" s="30"/>
      <c r="O460" s="30"/>
      <c r="P460" s="112"/>
      <c r="Q460" s="29"/>
      <c r="R460" s="29"/>
      <c r="S460" s="29"/>
      <c r="T460" s="29"/>
      <c r="U460" s="6" t="s">
        <v>141</v>
      </c>
      <c r="V460" s="10">
        <v>41246</v>
      </c>
      <c r="W460" s="11">
        <v>10951</v>
      </c>
      <c r="X460" s="6" t="s">
        <v>477</v>
      </c>
      <c r="Y460" s="10">
        <v>41275</v>
      </c>
      <c r="Z460" s="10">
        <v>41639</v>
      </c>
      <c r="AA460" s="23"/>
      <c r="AB460" s="21"/>
      <c r="AC460" s="24">
        <f>(2500*1)</f>
        <v>2500</v>
      </c>
      <c r="AD460" s="24"/>
      <c r="AE460" s="25">
        <f>AE459-AD460+AC460</f>
        <v>30000</v>
      </c>
      <c r="AF460" s="25"/>
      <c r="AG460" s="107">
        <v>0</v>
      </c>
      <c r="AH460" s="12">
        <f t="shared" si="19"/>
        <v>0</v>
      </c>
      <c r="AI460" s="21"/>
      <c r="AJ460" s="11"/>
      <c r="AK460" s="21"/>
      <c r="AL460" s="27"/>
      <c r="AM460" s="44"/>
      <c r="AN460" s="44"/>
      <c r="AO460" s="118"/>
      <c r="AP460" s="45"/>
      <c r="AQ460" s="118"/>
      <c r="AR460" s="45"/>
      <c r="AS460" s="21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</row>
    <row r="461" spans="1:56" s="193" customFormat="1" ht="25.5" x14ac:dyDescent="0.25">
      <c r="A461" s="268"/>
      <c r="B461" s="257"/>
      <c r="C461" s="29"/>
      <c r="D461" s="29"/>
      <c r="E461" s="29"/>
      <c r="F461" s="29"/>
      <c r="G461" s="67"/>
      <c r="H461" s="112"/>
      <c r="I461" s="29"/>
      <c r="J461" s="29"/>
      <c r="K461" s="30"/>
      <c r="L461" s="101"/>
      <c r="M461" s="67"/>
      <c r="N461" s="30"/>
      <c r="O461" s="30"/>
      <c r="P461" s="112"/>
      <c r="Q461" s="29"/>
      <c r="R461" s="29"/>
      <c r="S461" s="29"/>
      <c r="T461" s="29"/>
      <c r="U461" s="6" t="s">
        <v>428</v>
      </c>
      <c r="V461" s="10">
        <v>41766</v>
      </c>
      <c r="W461" s="11">
        <v>11301</v>
      </c>
      <c r="X461" s="6" t="s">
        <v>399</v>
      </c>
      <c r="Y461" s="10">
        <v>41306</v>
      </c>
      <c r="Z461" s="10">
        <v>41639</v>
      </c>
      <c r="AA461" s="23">
        <f>AC461/L459</f>
        <v>7.9088000000000006E-2</v>
      </c>
      <c r="AB461" s="21"/>
      <c r="AC461" s="24">
        <f>197.72*11</f>
        <v>2174.92</v>
      </c>
      <c r="AD461" s="24"/>
      <c r="AE461" s="25">
        <f>AE460+AC461</f>
        <v>32174.92</v>
      </c>
      <c r="AF461" s="25"/>
      <c r="AG461" s="107">
        <v>0</v>
      </c>
      <c r="AH461" s="12">
        <f t="shared" si="19"/>
        <v>0</v>
      </c>
      <c r="AI461" s="21"/>
      <c r="AJ461" s="11"/>
      <c r="AK461" s="21"/>
      <c r="AL461" s="27"/>
      <c r="AM461" s="44"/>
      <c r="AN461" s="44"/>
      <c r="AO461" s="118"/>
      <c r="AP461" s="45"/>
      <c r="AQ461" s="118"/>
      <c r="AR461" s="45"/>
      <c r="AS461" s="21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</row>
    <row r="462" spans="1:56" s="193" customFormat="1" ht="18.75" customHeight="1" x14ac:dyDescent="0.25">
      <c r="A462" s="268"/>
      <c r="B462" s="257"/>
      <c r="C462" s="29"/>
      <c r="D462" s="29"/>
      <c r="E462" s="29"/>
      <c r="F462" s="29"/>
      <c r="G462" s="67"/>
      <c r="H462" s="112"/>
      <c r="I462" s="29"/>
      <c r="J462" s="29"/>
      <c r="K462" s="30"/>
      <c r="L462" s="101"/>
      <c r="M462" s="67"/>
      <c r="N462" s="30"/>
      <c r="O462" s="30"/>
      <c r="P462" s="112"/>
      <c r="Q462" s="29"/>
      <c r="R462" s="29"/>
      <c r="S462" s="29"/>
      <c r="T462" s="29"/>
      <c r="U462" s="6" t="s">
        <v>124</v>
      </c>
      <c r="V462" s="10">
        <v>41631</v>
      </c>
      <c r="W462" s="11">
        <v>11226</v>
      </c>
      <c r="X462" s="6" t="s">
        <v>478</v>
      </c>
      <c r="Y462" s="10">
        <v>41640</v>
      </c>
      <c r="Z462" s="10">
        <v>41820</v>
      </c>
      <c r="AA462" s="23"/>
      <c r="AB462" s="21"/>
      <c r="AC462" s="24"/>
      <c r="AD462" s="24"/>
      <c r="AE462" s="25"/>
      <c r="AF462" s="25"/>
      <c r="AG462" s="107">
        <v>0</v>
      </c>
      <c r="AH462" s="12">
        <f t="shared" si="19"/>
        <v>0</v>
      </c>
      <c r="AI462" s="21"/>
      <c r="AJ462" s="11"/>
      <c r="AK462" s="21"/>
      <c r="AL462" s="27"/>
      <c r="AM462" s="44"/>
      <c r="AN462" s="44"/>
      <c r="AO462" s="118"/>
      <c r="AP462" s="45"/>
      <c r="AQ462" s="118"/>
      <c r="AR462" s="45"/>
      <c r="AS462" s="21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</row>
    <row r="463" spans="1:56" s="193" customFormat="1" ht="25.5" x14ac:dyDescent="0.25">
      <c r="A463" s="268"/>
      <c r="B463" s="257"/>
      <c r="C463" s="29"/>
      <c r="D463" s="29"/>
      <c r="E463" s="29"/>
      <c r="F463" s="29"/>
      <c r="G463" s="67"/>
      <c r="H463" s="112"/>
      <c r="I463" s="29"/>
      <c r="J463" s="29"/>
      <c r="K463" s="30"/>
      <c r="L463" s="101"/>
      <c r="M463" s="67"/>
      <c r="N463" s="30"/>
      <c r="O463" s="30"/>
      <c r="P463" s="112"/>
      <c r="Q463" s="29"/>
      <c r="R463" s="29"/>
      <c r="S463" s="29"/>
      <c r="T463" s="29"/>
      <c r="U463" s="6" t="s">
        <v>406</v>
      </c>
      <c r="V463" s="10">
        <v>41766</v>
      </c>
      <c r="W463" s="11">
        <v>11301</v>
      </c>
      <c r="X463" s="6" t="s">
        <v>399</v>
      </c>
      <c r="Y463" s="10">
        <v>41671</v>
      </c>
      <c r="Z463" s="10">
        <v>41820</v>
      </c>
      <c r="AA463" s="23">
        <f>AC463/L459</f>
        <v>2.7825454545454542E-2</v>
      </c>
      <c r="AB463" s="21"/>
      <c r="AC463" s="24">
        <f>153.04*5</f>
        <v>765.19999999999993</v>
      </c>
      <c r="AD463" s="24"/>
      <c r="AE463" s="25">
        <f>AE461-AD463+AC463</f>
        <v>32940.119999999995</v>
      </c>
      <c r="AF463" s="25"/>
      <c r="AG463" s="107">
        <v>0</v>
      </c>
      <c r="AH463" s="12">
        <f t="shared" si="19"/>
        <v>0</v>
      </c>
      <c r="AI463" s="21"/>
      <c r="AJ463" s="11"/>
      <c r="AK463" s="21"/>
      <c r="AL463" s="27"/>
      <c r="AM463" s="44"/>
      <c r="AN463" s="44"/>
      <c r="AO463" s="118"/>
      <c r="AP463" s="45"/>
      <c r="AQ463" s="118"/>
      <c r="AR463" s="45"/>
      <c r="AS463" s="21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</row>
    <row r="464" spans="1:56" s="193" customFormat="1" x14ac:dyDescent="0.25">
      <c r="A464" s="268"/>
      <c r="B464" s="257"/>
      <c r="C464" s="29"/>
      <c r="D464" s="29"/>
      <c r="E464" s="29"/>
      <c r="F464" s="29"/>
      <c r="G464" s="67"/>
      <c r="H464" s="112"/>
      <c r="I464" s="29"/>
      <c r="J464" s="29"/>
      <c r="K464" s="30"/>
      <c r="L464" s="101"/>
      <c r="M464" s="67"/>
      <c r="N464" s="30"/>
      <c r="O464" s="30"/>
      <c r="P464" s="112"/>
      <c r="Q464" s="29"/>
      <c r="R464" s="29"/>
      <c r="S464" s="29"/>
      <c r="T464" s="29"/>
      <c r="U464" s="6" t="s">
        <v>143</v>
      </c>
      <c r="V464" s="10">
        <v>41820</v>
      </c>
      <c r="W464" s="11">
        <v>11351</v>
      </c>
      <c r="X464" s="6" t="s">
        <v>479</v>
      </c>
      <c r="Y464" s="10">
        <v>41821</v>
      </c>
      <c r="Z464" s="10">
        <v>42004</v>
      </c>
      <c r="AA464" s="23"/>
      <c r="AB464" s="21"/>
      <c r="AC464" s="24">
        <f>(2850.76*6)</f>
        <v>17104.560000000001</v>
      </c>
      <c r="AD464" s="24"/>
      <c r="AE464" s="107">
        <f>(2850.76*6)</f>
        <v>17104.560000000001</v>
      </c>
      <c r="AF464" s="25"/>
      <c r="AG464" s="107">
        <v>0</v>
      </c>
      <c r="AH464" s="12">
        <f t="shared" si="19"/>
        <v>0</v>
      </c>
      <c r="AI464" s="21"/>
      <c r="AJ464" s="11"/>
      <c r="AK464" s="21"/>
      <c r="AL464" s="27"/>
      <c r="AM464" s="21"/>
      <c r="AN464" s="21"/>
      <c r="AO464" s="11"/>
      <c r="AP464" s="10"/>
      <c r="AQ464" s="11"/>
      <c r="AR464" s="10"/>
      <c r="AS464" s="21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</row>
    <row r="465" spans="1:56" s="193" customFormat="1" x14ac:dyDescent="0.25">
      <c r="A465" s="268"/>
      <c r="B465" s="257"/>
      <c r="C465" s="29"/>
      <c r="D465" s="29"/>
      <c r="E465" s="29"/>
      <c r="F465" s="29"/>
      <c r="G465" s="67"/>
      <c r="H465" s="112"/>
      <c r="I465" s="29"/>
      <c r="J465" s="29"/>
      <c r="K465" s="30"/>
      <c r="L465" s="101"/>
      <c r="M465" s="67"/>
      <c r="N465" s="30"/>
      <c r="O465" s="30"/>
      <c r="P465" s="112"/>
      <c r="Q465" s="29"/>
      <c r="R465" s="29"/>
      <c r="S465" s="29"/>
      <c r="T465" s="29"/>
      <c r="U465" s="6" t="s">
        <v>126</v>
      </c>
      <c r="V465" s="10">
        <v>41996</v>
      </c>
      <c r="W465" s="11">
        <v>11478</v>
      </c>
      <c r="X465" s="6" t="s">
        <v>477</v>
      </c>
      <c r="Y465" s="10">
        <v>42005</v>
      </c>
      <c r="Z465" s="10">
        <v>42369</v>
      </c>
      <c r="AA465" s="23"/>
      <c r="AB465" s="21"/>
      <c r="AC465" s="24">
        <f>(2850.76*6)</f>
        <v>17104.560000000001</v>
      </c>
      <c r="AD465" s="24"/>
      <c r="AE465" s="25">
        <f>SUM(2850.76*12)</f>
        <v>34209.120000000003</v>
      </c>
      <c r="AF465" s="25"/>
      <c r="AG465" s="107"/>
      <c r="AH465" s="12">
        <f t="shared" si="19"/>
        <v>0</v>
      </c>
      <c r="AI465" s="21"/>
      <c r="AJ465" s="11"/>
      <c r="AK465" s="21"/>
      <c r="AL465" s="27"/>
      <c r="AM465" s="21"/>
      <c r="AN465" s="21"/>
      <c r="AO465" s="11"/>
      <c r="AP465" s="10"/>
      <c r="AQ465" s="11"/>
      <c r="AR465" s="10"/>
      <c r="AS465" s="21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</row>
    <row r="466" spans="1:56" s="193" customFormat="1" ht="25.5" x14ac:dyDescent="0.25">
      <c r="A466" s="268"/>
      <c r="B466" s="257"/>
      <c r="C466" s="29"/>
      <c r="D466" s="29"/>
      <c r="E466" s="29"/>
      <c r="F466" s="29"/>
      <c r="G466" s="67"/>
      <c r="H466" s="112"/>
      <c r="I466" s="29"/>
      <c r="J466" s="29"/>
      <c r="K466" s="30"/>
      <c r="L466" s="101"/>
      <c r="M466" s="67"/>
      <c r="N466" s="30"/>
      <c r="O466" s="30"/>
      <c r="P466" s="112"/>
      <c r="Q466" s="29"/>
      <c r="R466" s="29"/>
      <c r="S466" s="29"/>
      <c r="T466" s="29"/>
      <c r="U466" s="6" t="s">
        <v>441</v>
      </c>
      <c r="V466" s="10">
        <v>42286</v>
      </c>
      <c r="W466" s="11">
        <v>11663</v>
      </c>
      <c r="X466" s="6" t="s">
        <v>399</v>
      </c>
      <c r="Y466" s="10">
        <v>42036</v>
      </c>
      <c r="Z466" s="10">
        <v>42369</v>
      </c>
      <c r="AA466" s="23"/>
      <c r="AB466" s="21"/>
      <c r="AC466" s="24">
        <f>113*11</f>
        <v>1243</v>
      </c>
      <c r="AD466" s="24"/>
      <c r="AE466" s="25">
        <f>AE465-AD466+AC466</f>
        <v>35452.120000000003</v>
      </c>
      <c r="AF466" s="25"/>
      <c r="AG466" s="107"/>
      <c r="AH466" s="12">
        <f t="shared" si="19"/>
        <v>0</v>
      </c>
      <c r="AI466" s="21"/>
      <c r="AJ466" s="11"/>
      <c r="AK466" s="21"/>
      <c r="AL466" s="27"/>
      <c r="AM466" s="21"/>
      <c r="AN466" s="21"/>
      <c r="AO466" s="11"/>
      <c r="AP466" s="10"/>
      <c r="AQ466" s="11"/>
      <c r="AR466" s="10"/>
      <c r="AS466" s="21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</row>
    <row r="467" spans="1:56" s="193" customFormat="1" x14ac:dyDescent="0.25">
      <c r="A467" s="268"/>
      <c r="B467" s="257"/>
      <c r="C467" s="29"/>
      <c r="D467" s="29"/>
      <c r="E467" s="29"/>
      <c r="F467" s="29"/>
      <c r="G467" s="67"/>
      <c r="H467" s="112"/>
      <c r="I467" s="29"/>
      <c r="J467" s="29"/>
      <c r="K467" s="30"/>
      <c r="L467" s="101"/>
      <c r="M467" s="67"/>
      <c r="N467" s="30"/>
      <c r="O467" s="30"/>
      <c r="P467" s="112"/>
      <c r="Q467" s="29"/>
      <c r="R467" s="29"/>
      <c r="S467" s="29"/>
      <c r="T467" s="29"/>
      <c r="U467" s="6" t="s">
        <v>181</v>
      </c>
      <c r="V467" s="10">
        <v>42361</v>
      </c>
      <c r="W467" s="11"/>
      <c r="X467" s="6" t="s">
        <v>477</v>
      </c>
      <c r="Y467" s="10">
        <v>42370</v>
      </c>
      <c r="Z467" s="10">
        <v>42735</v>
      </c>
      <c r="AA467" s="23"/>
      <c r="AB467" s="21"/>
      <c r="AC467" s="24"/>
      <c r="AD467" s="24"/>
      <c r="AE467" s="25">
        <f>SUM(2963.76*12)</f>
        <v>35565.120000000003</v>
      </c>
      <c r="AF467" s="25"/>
      <c r="AG467" s="107"/>
      <c r="AH467" s="12">
        <f t="shared" si="19"/>
        <v>0</v>
      </c>
      <c r="AI467" s="21"/>
      <c r="AJ467" s="11"/>
      <c r="AK467" s="21"/>
      <c r="AL467" s="27"/>
      <c r="AM467" s="21"/>
      <c r="AN467" s="21"/>
      <c r="AO467" s="11"/>
      <c r="AP467" s="10"/>
      <c r="AQ467" s="11"/>
      <c r="AR467" s="10"/>
      <c r="AS467" s="21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</row>
    <row r="468" spans="1:56" s="193" customFormat="1" ht="25.5" x14ac:dyDescent="0.25">
      <c r="A468" s="268"/>
      <c r="B468" s="257"/>
      <c r="C468" s="29"/>
      <c r="D468" s="29"/>
      <c r="E468" s="29"/>
      <c r="F468" s="29"/>
      <c r="G468" s="67"/>
      <c r="H468" s="112"/>
      <c r="I468" s="29"/>
      <c r="J468" s="29"/>
      <c r="K468" s="30"/>
      <c r="L468" s="101"/>
      <c r="M468" s="67"/>
      <c r="N468" s="30"/>
      <c r="O468" s="30"/>
      <c r="P468" s="112"/>
      <c r="Q468" s="29"/>
      <c r="R468" s="29"/>
      <c r="S468" s="29"/>
      <c r="T468" s="29"/>
      <c r="U468" s="6" t="s">
        <v>537</v>
      </c>
      <c r="V468" s="10">
        <v>42401</v>
      </c>
      <c r="W468" s="11"/>
      <c r="X468" s="6" t="s">
        <v>399</v>
      </c>
      <c r="Y468" s="10">
        <v>42401</v>
      </c>
      <c r="Z468" s="10">
        <v>42735</v>
      </c>
      <c r="AA468" s="23"/>
      <c r="AB468" s="21"/>
      <c r="AC468" s="24">
        <f>324.86*11</f>
        <v>3573.46</v>
      </c>
      <c r="AD468" s="24"/>
      <c r="AE468" s="25">
        <f>AE467-AD468+AC468</f>
        <v>39138.58</v>
      </c>
      <c r="AF468" s="25"/>
      <c r="AG468" s="107"/>
      <c r="AH468" s="12">
        <f t="shared" si="19"/>
        <v>0</v>
      </c>
      <c r="AI468" s="21"/>
      <c r="AJ468" s="11"/>
      <c r="AK468" s="21"/>
      <c r="AL468" s="27"/>
      <c r="AM468" s="21"/>
      <c r="AN468" s="21"/>
      <c r="AO468" s="11"/>
      <c r="AP468" s="10"/>
      <c r="AQ468" s="11"/>
      <c r="AR468" s="10"/>
      <c r="AS468" s="21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</row>
    <row r="469" spans="1:56" s="193" customFormat="1" x14ac:dyDescent="0.25">
      <c r="A469" s="269"/>
      <c r="B469" s="258"/>
      <c r="C469" s="35"/>
      <c r="D469" s="35"/>
      <c r="E469" s="35"/>
      <c r="F469" s="35"/>
      <c r="G469" s="73"/>
      <c r="H469" s="110"/>
      <c r="I469" s="35"/>
      <c r="J469" s="35"/>
      <c r="K469" s="36"/>
      <c r="L469" s="108"/>
      <c r="M469" s="73"/>
      <c r="N469" s="36"/>
      <c r="O469" s="36"/>
      <c r="P469" s="110"/>
      <c r="Q469" s="35"/>
      <c r="R469" s="35"/>
      <c r="S469" s="35"/>
      <c r="T469" s="35"/>
      <c r="U469" s="6"/>
      <c r="V469" s="10"/>
      <c r="W469" s="11"/>
      <c r="X469" s="6"/>
      <c r="Y469" s="10"/>
      <c r="Z469" s="10"/>
      <c r="AA469" s="23"/>
      <c r="AB469" s="21"/>
      <c r="AC469" s="24"/>
      <c r="AD469" s="24"/>
      <c r="AE469" s="25"/>
      <c r="AF469" s="25"/>
      <c r="AG469" s="107">
        <v>0</v>
      </c>
      <c r="AH469" s="12">
        <f t="shared" si="19"/>
        <v>0</v>
      </c>
      <c r="AI469" s="21"/>
      <c r="AJ469" s="11"/>
      <c r="AK469" s="21"/>
      <c r="AL469" s="27"/>
      <c r="AM469" s="21"/>
      <c r="AN469" s="21"/>
      <c r="AO469" s="11"/>
      <c r="AP469" s="10"/>
      <c r="AQ469" s="11"/>
      <c r="AR469" s="10"/>
      <c r="AS469" s="21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</row>
    <row r="470" spans="1:56" s="193" customFormat="1" ht="20.25" customHeight="1" x14ac:dyDescent="0.25">
      <c r="A470" s="271">
        <v>111</v>
      </c>
      <c r="B470" s="255" t="s">
        <v>117</v>
      </c>
      <c r="C470" s="44"/>
      <c r="D470" s="44" t="s">
        <v>292</v>
      </c>
      <c r="E470" s="44" t="s">
        <v>123</v>
      </c>
      <c r="F470" s="44" t="s">
        <v>222</v>
      </c>
      <c r="G470" s="44">
        <v>10951</v>
      </c>
      <c r="H470" s="116" t="s">
        <v>236</v>
      </c>
      <c r="I470" s="44" t="s">
        <v>214</v>
      </c>
      <c r="J470" s="44" t="s">
        <v>299</v>
      </c>
      <c r="K470" s="45">
        <v>41246</v>
      </c>
      <c r="L470" s="130">
        <v>338000</v>
      </c>
      <c r="M470" s="44">
        <v>10733</v>
      </c>
      <c r="N470" s="45">
        <v>40932</v>
      </c>
      <c r="O470" s="45">
        <v>41274</v>
      </c>
      <c r="P470" s="116" t="s">
        <v>157</v>
      </c>
      <c r="Q470" s="44"/>
      <c r="R470" s="44"/>
      <c r="S470" s="44"/>
      <c r="T470" s="44" t="s">
        <v>160</v>
      </c>
      <c r="U470" s="6"/>
      <c r="V470" s="21"/>
      <c r="W470" s="11"/>
      <c r="X470" s="6"/>
      <c r="Y470" s="21"/>
      <c r="Z470" s="21"/>
      <c r="AA470" s="23"/>
      <c r="AB470" s="21"/>
      <c r="AC470" s="24"/>
      <c r="AD470" s="24"/>
      <c r="AE470" s="25">
        <f>L470</f>
        <v>338000</v>
      </c>
      <c r="AF470" s="25">
        <f>724404.33+271735.63+418438.39</f>
        <v>1414578.35</v>
      </c>
      <c r="AG470" s="107">
        <f>35385.05+106155.15</f>
        <v>141540.20000000001</v>
      </c>
      <c r="AH470" s="12">
        <f t="shared" si="19"/>
        <v>1556118.55</v>
      </c>
      <c r="AI470" s="21"/>
      <c r="AJ470" s="11"/>
      <c r="AK470" s="21"/>
      <c r="AL470" s="27"/>
      <c r="AM470" s="44" t="s">
        <v>452</v>
      </c>
      <c r="AN470" s="44" t="s">
        <v>243</v>
      </c>
      <c r="AO470" s="118">
        <v>10723</v>
      </c>
      <c r="AP470" s="45">
        <v>40925</v>
      </c>
      <c r="AQ470" s="118">
        <v>10723</v>
      </c>
      <c r="AR470" s="45">
        <v>40925</v>
      </c>
      <c r="AS470" s="21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</row>
    <row r="471" spans="1:56" s="193" customFormat="1" x14ac:dyDescent="0.25">
      <c r="A471" s="271"/>
      <c r="B471" s="255"/>
      <c r="C471" s="44"/>
      <c r="D471" s="44"/>
      <c r="E471" s="44"/>
      <c r="F471" s="44"/>
      <c r="G471" s="44"/>
      <c r="H471" s="116"/>
      <c r="I471" s="44"/>
      <c r="J471" s="44"/>
      <c r="K471" s="44"/>
      <c r="L471" s="130"/>
      <c r="M471" s="44"/>
      <c r="N471" s="45"/>
      <c r="O471" s="45"/>
      <c r="P471" s="116"/>
      <c r="Q471" s="44"/>
      <c r="R471" s="44"/>
      <c r="S471" s="44"/>
      <c r="T471" s="44"/>
      <c r="U471" s="6" t="s">
        <v>141</v>
      </c>
      <c r="V471" s="10">
        <v>41246</v>
      </c>
      <c r="W471" s="11">
        <v>10951</v>
      </c>
      <c r="X471" s="6" t="s">
        <v>477</v>
      </c>
      <c r="Y471" s="10">
        <v>41275</v>
      </c>
      <c r="Z471" s="10">
        <v>41639</v>
      </c>
      <c r="AA471" s="23"/>
      <c r="AB471" s="21"/>
      <c r="AC471" s="24"/>
      <c r="AD471" s="24"/>
      <c r="AE471" s="25">
        <f>(30000*12)+L470</f>
        <v>698000</v>
      </c>
      <c r="AF471" s="25"/>
      <c r="AG471" s="107">
        <v>0</v>
      </c>
      <c r="AH471" s="12">
        <f t="shared" si="19"/>
        <v>0</v>
      </c>
      <c r="AI471" s="21"/>
      <c r="AJ471" s="11"/>
      <c r="AK471" s="21"/>
      <c r="AL471" s="27"/>
      <c r="AM471" s="44"/>
      <c r="AN471" s="44"/>
      <c r="AO471" s="118"/>
      <c r="AP471" s="45"/>
      <c r="AQ471" s="118"/>
      <c r="AR471" s="45"/>
      <c r="AS471" s="21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</row>
    <row r="472" spans="1:56" s="193" customFormat="1" x14ac:dyDescent="0.25">
      <c r="A472" s="271"/>
      <c r="B472" s="255"/>
      <c r="C472" s="44"/>
      <c r="D472" s="44"/>
      <c r="E472" s="44"/>
      <c r="F472" s="44"/>
      <c r="G472" s="44"/>
      <c r="H472" s="116"/>
      <c r="I472" s="44"/>
      <c r="J472" s="44"/>
      <c r="K472" s="44"/>
      <c r="L472" s="130"/>
      <c r="M472" s="44"/>
      <c r="N472" s="45"/>
      <c r="O472" s="45"/>
      <c r="P472" s="116"/>
      <c r="Q472" s="44"/>
      <c r="R472" s="44"/>
      <c r="S472" s="44"/>
      <c r="T472" s="44"/>
      <c r="U472" s="6" t="s">
        <v>237</v>
      </c>
      <c r="V472" s="10">
        <v>41333</v>
      </c>
      <c r="W472" s="11"/>
      <c r="X472" s="6" t="s">
        <v>407</v>
      </c>
      <c r="Y472" s="10">
        <v>41298</v>
      </c>
      <c r="Z472" s="10">
        <v>41639</v>
      </c>
      <c r="AA472" s="23">
        <f>AC472/L470</f>
        <v>7.8119319526627221E-2</v>
      </c>
      <c r="AB472" s="21"/>
      <c r="AC472" s="24">
        <v>26404.33</v>
      </c>
      <c r="AD472" s="24"/>
      <c r="AE472" s="25">
        <f>AE471+AC472</f>
        <v>724404.33</v>
      </c>
      <c r="AF472" s="25"/>
      <c r="AG472" s="107">
        <v>0</v>
      </c>
      <c r="AH472" s="12">
        <f t="shared" si="19"/>
        <v>0</v>
      </c>
      <c r="AI472" s="21"/>
      <c r="AJ472" s="11"/>
      <c r="AK472" s="21"/>
      <c r="AL472" s="27"/>
      <c r="AM472" s="44"/>
      <c r="AN472" s="44"/>
      <c r="AO472" s="118"/>
      <c r="AP472" s="45"/>
      <c r="AQ472" s="118"/>
      <c r="AR472" s="45"/>
      <c r="AS472" s="21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</row>
    <row r="473" spans="1:56" s="193" customFormat="1" x14ac:dyDescent="0.25">
      <c r="A473" s="271"/>
      <c r="B473" s="255"/>
      <c r="C473" s="44"/>
      <c r="D473" s="44"/>
      <c r="E473" s="44"/>
      <c r="F473" s="44"/>
      <c r="G473" s="44"/>
      <c r="H473" s="116"/>
      <c r="I473" s="44"/>
      <c r="J473" s="44"/>
      <c r="K473" s="44"/>
      <c r="L473" s="130"/>
      <c r="M473" s="44"/>
      <c r="N473" s="45"/>
      <c r="O473" s="45"/>
      <c r="P473" s="116"/>
      <c r="Q473" s="44"/>
      <c r="R473" s="44"/>
      <c r="S473" s="44"/>
      <c r="T473" s="44"/>
      <c r="U473" s="6" t="s">
        <v>124</v>
      </c>
      <c r="V473" s="10">
        <v>41631</v>
      </c>
      <c r="W473" s="11">
        <v>11219</v>
      </c>
      <c r="X473" s="6" t="s">
        <v>477</v>
      </c>
      <c r="Y473" s="10">
        <v>41640</v>
      </c>
      <c r="Z473" s="10">
        <v>42004</v>
      </c>
      <c r="AA473" s="23"/>
      <c r="AB473" s="21"/>
      <c r="AC473" s="24"/>
      <c r="AD473" s="24"/>
      <c r="AE473" s="25">
        <f>AE472+(32343.58*12)</f>
        <v>1112527.29</v>
      </c>
      <c r="AF473" s="25"/>
      <c r="AG473" s="107">
        <v>0</v>
      </c>
      <c r="AH473" s="12">
        <f t="shared" si="19"/>
        <v>0</v>
      </c>
      <c r="AI473" s="21"/>
      <c r="AJ473" s="11"/>
      <c r="AK473" s="21"/>
      <c r="AL473" s="27"/>
      <c r="AM473" s="44"/>
      <c r="AN473" s="44"/>
      <c r="AO473" s="118"/>
      <c r="AP473" s="45"/>
      <c r="AQ473" s="118"/>
      <c r="AR473" s="45"/>
      <c r="AS473" s="21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</row>
    <row r="474" spans="1:56" s="193" customFormat="1" ht="25.5" x14ac:dyDescent="0.25">
      <c r="A474" s="271"/>
      <c r="B474" s="255"/>
      <c r="C474" s="44"/>
      <c r="D474" s="44"/>
      <c r="E474" s="44"/>
      <c r="F474" s="44"/>
      <c r="G474" s="44"/>
      <c r="H474" s="116"/>
      <c r="I474" s="44"/>
      <c r="J474" s="44"/>
      <c r="K474" s="44"/>
      <c r="L474" s="130"/>
      <c r="M474" s="44"/>
      <c r="N474" s="45"/>
      <c r="O474" s="45"/>
      <c r="P474" s="116"/>
      <c r="Q474" s="44"/>
      <c r="R474" s="44"/>
      <c r="S474" s="44"/>
      <c r="T474" s="44"/>
      <c r="U474" s="6" t="s">
        <v>426</v>
      </c>
      <c r="V474" s="10">
        <v>41738</v>
      </c>
      <c r="W474" s="11">
        <v>11425</v>
      </c>
      <c r="X474" s="6" t="s">
        <v>399</v>
      </c>
      <c r="Y474" s="10">
        <v>41640</v>
      </c>
      <c r="Z474" s="10">
        <v>42004</v>
      </c>
      <c r="AA474" s="23">
        <f>AC474/L470</f>
        <v>5.9573343195266276E-2</v>
      </c>
      <c r="AB474" s="21"/>
      <c r="AC474" s="24">
        <v>20135.79</v>
      </c>
      <c r="AD474" s="24"/>
      <c r="AE474" s="25">
        <f>AE473+AC474</f>
        <v>1132663.08</v>
      </c>
      <c r="AF474" s="25"/>
      <c r="AG474" s="107">
        <v>0</v>
      </c>
      <c r="AH474" s="12">
        <f t="shared" si="19"/>
        <v>0</v>
      </c>
      <c r="AI474" s="21"/>
      <c r="AJ474" s="11"/>
      <c r="AK474" s="21"/>
      <c r="AL474" s="27"/>
      <c r="AM474" s="44"/>
      <c r="AN474" s="44"/>
      <c r="AO474" s="118"/>
      <c r="AP474" s="45"/>
      <c r="AQ474" s="118"/>
      <c r="AR474" s="45"/>
      <c r="AS474" s="21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</row>
    <row r="475" spans="1:56" s="193" customFormat="1" x14ac:dyDescent="0.25">
      <c r="A475" s="271"/>
      <c r="B475" s="255"/>
      <c r="C475" s="44"/>
      <c r="D475" s="44"/>
      <c r="E475" s="44"/>
      <c r="F475" s="44"/>
      <c r="G475" s="44"/>
      <c r="H475" s="116"/>
      <c r="I475" s="44"/>
      <c r="J475" s="44"/>
      <c r="K475" s="44"/>
      <c r="L475" s="130"/>
      <c r="M475" s="44"/>
      <c r="N475" s="45"/>
      <c r="O475" s="45"/>
      <c r="P475" s="116"/>
      <c r="Q475" s="44"/>
      <c r="R475" s="44"/>
      <c r="S475" s="44"/>
      <c r="T475" s="44"/>
      <c r="U475" s="6" t="s">
        <v>143</v>
      </c>
      <c r="V475" s="10">
        <v>42003</v>
      </c>
      <c r="W475" s="11">
        <v>11485</v>
      </c>
      <c r="X475" s="6" t="s">
        <v>477</v>
      </c>
      <c r="Y475" s="10">
        <v>42005</v>
      </c>
      <c r="Z475" s="10">
        <v>42369</v>
      </c>
      <c r="AA475" s="23"/>
      <c r="AB475" s="21"/>
      <c r="AC475" s="24"/>
      <c r="AD475" s="24"/>
      <c r="AE475" s="25">
        <f>AE474+(34130.78*12)</f>
        <v>1542232.44</v>
      </c>
      <c r="AF475" s="25"/>
      <c r="AG475" s="107">
        <v>0</v>
      </c>
      <c r="AH475" s="12">
        <f t="shared" si="19"/>
        <v>0</v>
      </c>
      <c r="AI475" s="21"/>
      <c r="AJ475" s="11"/>
      <c r="AK475" s="21"/>
      <c r="AL475" s="27"/>
      <c r="AM475" s="44"/>
      <c r="AN475" s="44"/>
      <c r="AO475" s="118"/>
      <c r="AP475" s="45"/>
      <c r="AQ475" s="118"/>
      <c r="AR475" s="45"/>
      <c r="AS475" s="21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</row>
    <row r="476" spans="1:56" s="193" customFormat="1" ht="25.5" x14ac:dyDescent="0.25">
      <c r="A476" s="271"/>
      <c r="B476" s="255"/>
      <c r="C476" s="44"/>
      <c r="D476" s="44"/>
      <c r="E476" s="44"/>
      <c r="F476" s="44"/>
      <c r="G476" s="44"/>
      <c r="H476" s="116"/>
      <c r="I476" s="44"/>
      <c r="J476" s="44"/>
      <c r="K476" s="44"/>
      <c r="L476" s="130"/>
      <c r="M476" s="44"/>
      <c r="N476" s="45"/>
      <c r="O476" s="45"/>
      <c r="P476" s="116"/>
      <c r="Q476" s="44"/>
      <c r="R476" s="44"/>
      <c r="S476" s="44"/>
      <c r="T476" s="44"/>
      <c r="U476" s="6" t="s">
        <v>441</v>
      </c>
      <c r="V476" s="10">
        <v>42040</v>
      </c>
      <c r="W476" s="11">
        <v>11493</v>
      </c>
      <c r="X476" s="6" t="s">
        <v>399</v>
      </c>
      <c r="Y476" s="10">
        <v>42005</v>
      </c>
      <c r="Z476" s="10">
        <v>42369</v>
      </c>
      <c r="AA476" s="23">
        <f>AC476/AE470</f>
        <v>4.1808994082840237E-2</v>
      </c>
      <c r="AB476" s="21"/>
      <c r="AC476" s="24">
        <v>14131.44</v>
      </c>
      <c r="AD476" s="24"/>
      <c r="AE476" s="25">
        <f>AE475-AD476+AC476</f>
        <v>1556363.88</v>
      </c>
      <c r="AF476" s="25"/>
      <c r="AG476" s="107"/>
      <c r="AH476" s="12">
        <f t="shared" si="19"/>
        <v>0</v>
      </c>
      <c r="AI476" s="21"/>
      <c r="AJ476" s="11"/>
      <c r="AK476" s="21"/>
      <c r="AL476" s="27"/>
      <c r="AM476" s="44"/>
      <c r="AN476" s="44"/>
      <c r="AO476" s="118"/>
      <c r="AP476" s="45"/>
      <c r="AQ476" s="118"/>
      <c r="AR476" s="45"/>
      <c r="AS476" s="21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</row>
    <row r="477" spans="1:56" s="193" customFormat="1" x14ac:dyDescent="0.25">
      <c r="A477" s="271"/>
      <c r="B477" s="255"/>
      <c r="C477" s="44"/>
      <c r="D477" s="44"/>
      <c r="E477" s="44"/>
      <c r="F477" s="44"/>
      <c r="G477" s="44"/>
      <c r="H477" s="116"/>
      <c r="I477" s="44"/>
      <c r="J477" s="44"/>
      <c r="K477" s="44"/>
      <c r="L477" s="130"/>
      <c r="M477" s="44"/>
      <c r="N477" s="45"/>
      <c r="O477" s="45"/>
      <c r="P477" s="116"/>
      <c r="Q477" s="44"/>
      <c r="R477" s="44"/>
      <c r="S477" s="44"/>
      <c r="T477" s="44"/>
      <c r="U477" s="6" t="s">
        <v>126</v>
      </c>
      <c r="V477" s="10">
        <v>42360</v>
      </c>
      <c r="W477" s="11">
        <v>11719</v>
      </c>
      <c r="X477" s="6" t="s">
        <v>477</v>
      </c>
      <c r="Y477" s="10">
        <v>42370</v>
      </c>
      <c r="Z477" s="10">
        <v>42735</v>
      </c>
      <c r="AA477" s="23"/>
      <c r="AB477" s="21"/>
      <c r="AC477" s="24"/>
      <c r="AD477" s="24"/>
      <c r="AE477" s="25"/>
      <c r="AF477" s="25"/>
      <c r="AG477" s="107"/>
      <c r="AH477" s="12">
        <f t="shared" si="19"/>
        <v>0</v>
      </c>
      <c r="AI477" s="21"/>
      <c r="AJ477" s="11"/>
      <c r="AK477" s="21"/>
      <c r="AL477" s="27"/>
      <c r="AM477" s="44"/>
      <c r="AN477" s="44"/>
      <c r="AO477" s="118"/>
      <c r="AP477" s="45"/>
      <c r="AQ477" s="118"/>
      <c r="AR477" s="45"/>
      <c r="AS477" s="21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</row>
    <row r="478" spans="1:56" s="193" customFormat="1" ht="25.5" x14ac:dyDescent="0.25">
      <c r="A478" s="271"/>
      <c r="B478" s="255"/>
      <c r="C478" s="44"/>
      <c r="D478" s="44"/>
      <c r="E478" s="44"/>
      <c r="F478" s="44"/>
      <c r="G478" s="44"/>
      <c r="H478" s="116"/>
      <c r="I478" s="44"/>
      <c r="J478" s="44"/>
      <c r="K478" s="44"/>
      <c r="L478" s="130"/>
      <c r="M478" s="44"/>
      <c r="N478" s="45"/>
      <c r="O478" s="45"/>
      <c r="P478" s="116"/>
      <c r="Q478" s="44"/>
      <c r="R478" s="44"/>
      <c r="S478" s="44"/>
      <c r="T478" s="44"/>
      <c r="U478" s="6" t="s">
        <v>537</v>
      </c>
      <c r="V478" s="10">
        <v>42393</v>
      </c>
      <c r="W478" s="11">
        <v>11741</v>
      </c>
      <c r="X478" s="6" t="s">
        <v>399</v>
      </c>
      <c r="Y478" s="10">
        <v>42393</v>
      </c>
      <c r="Z478" s="10">
        <v>42735</v>
      </c>
      <c r="AA478" s="23">
        <f>AC478/AE470</f>
        <v>0.12437032544378698</v>
      </c>
      <c r="AB478" s="21"/>
      <c r="AC478" s="24">
        <v>42037.17</v>
      </c>
      <c r="AD478" s="24"/>
      <c r="AE478" s="25">
        <f>AE476-AD478+AC478</f>
        <v>1598401.0499999998</v>
      </c>
      <c r="AF478" s="25"/>
      <c r="AG478" s="107"/>
      <c r="AH478" s="12">
        <f t="shared" si="19"/>
        <v>0</v>
      </c>
      <c r="AI478" s="21"/>
      <c r="AJ478" s="11"/>
      <c r="AK478" s="21"/>
      <c r="AL478" s="27"/>
      <c r="AM478" s="44"/>
      <c r="AN478" s="44"/>
      <c r="AO478" s="118"/>
      <c r="AP478" s="45"/>
      <c r="AQ478" s="118"/>
      <c r="AR478" s="45"/>
      <c r="AS478" s="21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</row>
    <row r="479" spans="1:56" s="193" customFormat="1" x14ac:dyDescent="0.25">
      <c r="A479" s="271"/>
      <c r="B479" s="255"/>
      <c r="C479" s="44"/>
      <c r="D479" s="44"/>
      <c r="E479" s="44"/>
      <c r="F479" s="44"/>
      <c r="G479" s="44"/>
      <c r="H479" s="116"/>
      <c r="I479" s="44"/>
      <c r="J479" s="44"/>
      <c r="K479" s="44"/>
      <c r="L479" s="130"/>
      <c r="M479" s="44"/>
      <c r="N479" s="45"/>
      <c r="O479" s="45"/>
      <c r="P479" s="116"/>
      <c r="Q479" s="44"/>
      <c r="R479" s="44"/>
      <c r="S479" s="44"/>
      <c r="T479" s="44"/>
      <c r="U479" s="6"/>
      <c r="V479" s="10"/>
      <c r="W479" s="11"/>
      <c r="X479" s="6"/>
      <c r="Y479" s="10"/>
      <c r="Z479" s="10"/>
      <c r="AA479" s="23"/>
      <c r="AB479" s="21"/>
      <c r="AC479" s="24"/>
      <c r="AD479" s="24"/>
      <c r="AE479" s="25">
        <f>AE475+AC479</f>
        <v>1542232.44</v>
      </c>
      <c r="AF479" s="25"/>
      <c r="AG479" s="107">
        <v>0</v>
      </c>
      <c r="AH479" s="12">
        <f t="shared" si="19"/>
        <v>0</v>
      </c>
      <c r="AI479" s="21"/>
      <c r="AJ479" s="11"/>
      <c r="AK479" s="21"/>
      <c r="AL479" s="27"/>
      <c r="AM479" s="44"/>
      <c r="AN479" s="44"/>
      <c r="AO479" s="118"/>
      <c r="AP479" s="45"/>
      <c r="AQ479" s="118"/>
      <c r="AR479" s="45"/>
      <c r="AS479" s="21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</row>
    <row r="480" spans="1:56" s="193" customFormat="1" ht="26.25" customHeight="1" x14ac:dyDescent="0.25">
      <c r="A480" s="270">
        <v>112</v>
      </c>
      <c r="B480" s="256" t="s">
        <v>118</v>
      </c>
      <c r="C480" s="16"/>
      <c r="D480" s="16" t="s">
        <v>292</v>
      </c>
      <c r="E480" s="16" t="s">
        <v>123</v>
      </c>
      <c r="F480" s="16" t="s">
        <v>223</v>
      </c>
      <c r="G480" s="63"/>
      <c r="H480" s="109" t="s">
        <v>238</v>
      </c>
      <c r="I480" s="16" t="s">
        <v>217</v>
      </c>
      <c r="J480" s="16" t="s">
        <v>300</v>
      </c>
      <c r="K480" s="17">
        <v>40990</v>
      </c>
      <c r="L480" s="12">
        <v>102903.13</v>
      </c>
      <c r="M480" s="16">
        <v>10769</v>
      </c>
      <c r="N480" s="17">
        <v>40988</v>
      </c>
      <c r="O480" s="17">
        <v>41639</v>
      </c>
      <c r="P480" s="109" t="s">
        <v>157</v>
      </c>
      <c r="Q480" s="16"/>
      <c r="R480" s="16"/>
      <c r="S480" s="16"/>
      <c r="T480" s="16" t="s">
        <v>160</v>
      </c>
      <c r="U480" s="6"/>
      <c r="V480" s="21"/>
      <c r="W480" s="11"/>
      <c r="X480" s="6"/>
      <c r="Y480" s="21"/>
      <c r="Z480" s="21"/>
      <c r="AA480" s="23"/>
      <c r="AB480" s="27"/>
      <c r="AC480" s="24"/>
      <c r="AD480" s="24"/>
      <c r="AE480" s="25">
        <f>L480</f>
        <v>102903.13</v>
      </c>
      <c r="AF480" s="70">
        <f>243471.51+111577.8+113386.95</f>
        <v>468436.26</v>
      </c>
      <c r="AG480" s="107">
        <f>29740.32+13083.58+13083.53</f>
        <v>55907.43</v>
      </c>
      <c r="AH480" s="12">
        <f t="shared" si="19"/>
        <v>524343.69000000006</v>
      </c>
      <c r="AI480" s="21"/>
      <c r="AJ480" s="11"/>
      <c r="AK480" s="21"/>
      <c r="AL480" s="27"/>
      <c r="AM480" s="44" t="s">
        <v>452</v>
      </c>
      <c r="AN480" s="44" t="s">
        <v>243</v>
      </c>
      <c r="AO480" s="118">
        <v>10759</v>
      </c>
      <c r="AP480" s="45">
        <v>40975</v>
      </c>
      <c r="AQ480" s="118">
        <v>10759</v>
      </c>
      <c r="AR480" s="45">
        <v>40977</v>
      </c>
      <c r="AS480" s="21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</row>
    <row r="481" spans="1:61" s="193" customFormat="1" ht="18.75" customHeight="1" x14ac:dyDescent="0.25">
      <c r="A481" s="268"/>
      <c r="B481" s="257"/>
      <c r="C481" s="29"/>
      <c r="D481" s="29"/>
      <c r="E481" s="29"/>
      <c r="F481" s="29"/>
      <c r="G481" s="67"/>
      <c r="H481" s="112"/>
      <c r="I481" s="29"/>
      <c r="J481" s="29"/>
      <c r="K481" s="30"/>
      <c r="L481" s="13"/>
      <c r="M481" s="29"/>
      <c r="N481" s="30"/>
      <c r="O481" s="30"/>
      <c r="P481" s="112"/>
      <c r="Q481" s="29"/>
      <c r="R481" s="29"/>
      <c r="S481" s="29"/>
      <c r="T481" s="29"/>
      <c r="U481" s="6" t="s">
        <v>145</v>
      </c>
      <c r="V481" s="10">
        <v>41275</v>
      </c>
      <c r="W481" s="11">
        <v>10951</v>
      </c>
      <c r="X481" s="6" t="s">
        <v>477</v>
      </c>
      <c r="Y481" s="10">
        <v>41275</v>
      </c>
      <c r="Z481" s="10">
        <v>41639</v>
      </c>
      <c r="AA481" s="23"/>
      <c r="AB481" s="21"/>
      <c r="AC481" s="24"/>
      <c r="AD481" s="24"/>
      <c r="AE481" s="107">
        <f>(11000*12)</f>
        <v>132000</v>
      </c>
      <c r="AF481" s="135"/>
      <c r="AG481" s="107">
        <v>0</v>
      </c>
      <c r="AH481" s="12">
        <f t="shared" si="19"/>
        <v>0</v>
      </c>
      <c r="AI481" s="21"/>
      <c r="AJ481" s="11"/>
      <c r="AK481" s="21"/>
      <c r="AL481" s="27"/>
      <c r="AM481" s="44"/>
      <c r="AN481" s="44"/>
      <c r="AO481" s="118"/>
      <c r="AP481" s="45"/>
      <c r="AQ481" s="118"/>
      <c r="AR481" s="45"/>
      <c r="AS481" s="21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</row>
    <row r="482" spans="1:61" s="193" customFormat="1" ht="18.75" customHeight="1" x14ac:dyDescent="0.25">
      <c r="A482" s="268"/>
      <c r="B482" s="257"/>
      <c r="C482" s="29"/>
      <c r="D482" s="29"/>
      <c r="E482" s="29"/>
      <c r="F482" s="29"/>
      <c r="G482" s="67"/>
      <c r="H482" s="112"/>
      <c r="I482" s="29"/>
      <c r="J482" s="29"/>
      <c r="K482" s="30"/>
      <c r="L482" s="13"/>
      <c r="M482" s="29"/>
      <c r="N482" s="30"/>
      <c r="O482" s="30"/>
      <c r="P482" s="112"/>
      <c r="Q482" s="29"/>
      <c r="R482" s="29"/>
      <c r="S482" s="29"/>
      <c r="T482" s="29"/>
      <c r="U482" s="6" t="s">
        <v>239</v>
      </c>
      <c r="V482" s="10">
        <v>41366</v>
      </c>
      <c r="W482" s="11"/>
      <c r="X482" s="6" t="s">
        <v>483</v>
      </c>
      <c r="Y482" s="10">
        <v>41275</v>
      </c>
      <c r="Z482" s="10">
        <v>41639</v>
      </c>
      <c r="AA482" s="23">
        <f>(11911.53-11000)/11000</f>
        <v>8.2866363636363696E-2</v>
      </c>
      <c r="AB482" s="21"/>
      <c r="AC482" s="24">
        <f>(911.53*9)+364.61</f>
        <v>8568.380000000001</v>
      </c>
      <c r="AD482" s="24"/>
      <c r="AE482" s="107">
        <f>11911.53*12</f>
        <v>142938.36000000002</v>
      </c>
      <c r="AF482" s="135"/>
      <c r="AG482" s="107">
        <v>0</v>
      </c>
      <c r="AH482" s="12">
        <f t="shared" si="19"/>
        <v>0</v>
      </c>
      <c r="AI482" s="21"/>
      <c r="AJ482" s="11"/>
      <c r="AK482" s="21"/>
      <c r="AL482" s="27"/>
      <c r="AM482" s="44"/>
      <c r="AN482" s="44"/>
      <c r="AO482" s="118"/>
      <c r="AP482" s="45"/>
      <c r="AQ482" s="118"/>
      <c r="AR482" s="45"/>
      <c r="AS482" s="21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</row>
    <row r="483" spans="1:61" s="193" customFormat="1" ht="18.75" customHeight="1" x14ac:dyDescent="0.25">
      <c r="A483" s="268"/>
      <c r="B483" s="257"/>
      <c r="C483" s="29"/>
      <c r="D483" s="29"/>
      <c r="E483" s="29"/>
      <c r="F483" s="29"/>
      <c r="G483" s="67"/>
      <c r="H483" s="112"/>
      <c r="I483" s="29"/>
      <c r="J483" s="29"/>
      <c r="K483" s="30"/>
      <c r="L483" s="13"/>
      <c r="M483" s="29"/>
      <c r="N483" s="30"/>
      <c r="O483" s="30"/>
      <c r="P483" s="112"/>
      <c r="Q483" s="29"/>
      <c r="R483" s="29"/>
      <c r="S483" s="29"/>
      <c r="T483" s="29"/>
      <c r="U483" s="6" t="s">
        <v>142</v>
      </c>
      <c r="V483" s="10">
        <v>41631</v>
      </c>
      <c r="W483" s="11">
        <v>11221</v>
      </c>
      <c r="X483" s="6" t="s">
        <v>477</v>
      </c>
      <c r="Y483" s="10">
        <v>41640</v>
      </c>
      <c r="Z483" s="10">
        <v>42004</v>
      </c>
      <c r="AA483" s="23"/>
      <c r="AB483" s="21"/>
      <c r="AC483" s="24">
        <v>2369.98</v>
      </c>
      <c r="AD483" s="24"/>
      <c r="AE483" s="107">
        <f>(12*11911.53)</f>
        <v>142938.36000000002</v>
      </c>
      <c r="AF483" s="135"/>
      <c r="AG483" s="107">
        <v>0</v>
      </c>
      <c r="AH483" s="12">
        <f t="shared" si="19"/>
        <v>0</v>
      </c>
      <c r="AI483" s="21"/>
      <c r="AJ483" s="11"/>
      <c r="AK483" s="21"/>
      <c r="AL483" s="27"/>
      <c r="AM483" s="44"/>
      <c r="AN483" s="44"/>
      <c r="AO483" s="118"/>
      <c r="AP483" s="45"/>
      <c r="AQ483" s="118"/>
      <c r="AR483" s="45"/>
      <c r="AS483" s="21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</row>
    <row r="484" spans="1:61" s="193" customFormat="1" ht="25.5" x14ac:dyDescent="0.25">
      <c r="A484" s="268"/>
      <c r="B484" s="257"/>
      <c r="C484" s="29"/>
      <c r="D484" s="29"/>
      <c r="E484" s="29"/>
      <c r="F484" s="29"/>
      <c r="G484" s="67"/>
      <c r="H484" s="112"/>
      <c r="I484" s="29"/>
      <c r="J484" s="29"/>
      <c r="K484" s="30"/>
      <c r="L484" s="13"/>
      <c r="M484" s="29"/>
      <c r="N484" s="30"/>
      <c r="O484" s="30"/>
      <c r="P484" s="112"/>
      <c r="Q484" s="29"/>
      <c r="R484" s="29"/>
      <c r="S484" s="29"/>
      <c r="T484" s="29"/>
      <c r="U484" s="6" t="s">
        <v>301</v>
      </c>
      <c r="V484" s="10">
        <v>41738</v>
      </c>
      <c r="W484" s="11">
        <v>11288</v>
      </c>
      <c r="X484" s="6" t="s">
        <v>483</v>
      </c>
      <c r="Y484" s="10">
        <v>41640</v>
      </c>
      <c r="Z484" s="10">
        <v>42004</v>
      </c>
      <c r="AA484" s="23">
        <f>(12598.55-11911.53)/11911.53</f>
        <v>5.7676889534761577E-2</v>
      </c>
      <c r="AB484" s="21"/>
      <c r="AC484" s="24">
        <f>(687.02*9)+251.91</f>
        <v>6435.09</v>
      </c>
      <c r="AD484" s="24"/>
      <c r="AE484" s="107">
        <f>AE483+AC484</f>
        <v>149373.45000000001</v>
      </c>
      <c r="AF484" s="127"/>
      <c r="AG484" s="107">
        <v>0</v>
      </c>
      <c r="AH484" s="12">
        <f t="shared" si="19"/>
        <v>0</v>
      </c>
      <c r="AI484" s="21"/>
      <c r="AJ484" s="11"/>
      <c r="AK484" s="21"/>
      <c r="AL484" s="27"/>
      <c r="AM484" s="44"/>
      <c r="AN484" s="44"/>
      <c r="AO484" s="118"/>
      <c r="AP484" s="45"/>
      <c r="AQ484" s="118"/>
      <c r="AR484" s="45"/>
      <c r="AS484" s="21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</row>
    <row r="485" spans="1:61" s="193" customFormat="1" ht="27" customHeight="1" x14ac:dyDescent="0.25">
      <c r="A485" s="268"/>
      <c r="B485" s="257"/>
      <c r="C485" s="29"/>
      <c r="D485" s="29"/>
      <c r="E485" s="29"/>
      <c r="F485" s="29"/>
      <c r="G485" s="67"/>
      <c r="H485" s="112"/>
      <c r="I485" s="29"/>
      <c r="J485" s="29"/>
      <c r="K485" s="30"/>
      <c r="L485" s="13"/>
      <c r="M485" s="29"/>
      <c r="N485" s="30"/>
      <c r="O485" s="30"/>
      <c r="P485" s="112"/>
      <c r="Q485" s="29"/>
      <c r="R485" s="29"/>
      <c r="S485" s="29"/>
      <c r="T485" s="29"/>
      <c r="U485" s="6" t="s">
        <v>125</v>
      </c>
      <c r="V485" s="10">
        <v>42003</v>
      </c>
      <c r="W485" s="11">
        <v>11646</v>
      </c>
      <c r="X485" s="6" t="s">
        <v>477</v>
      </c>
      <c r="Y485" s="10">
        <v>42005</v>
      </c>
      <c r="Z485" s="10">
        <v>42369</v>
      </c>
      <c r="AA485" s="23"/>
      <c r="AB485" s="21"/>
      <c r="AC485" s="24"/>
      <c r="AD485" s="24"/>
      <c r="AE485" s="107">
        <f>12598.55*12</f>
        <v>151182.59999999998</v>
      </c>
      <c r="AF485" s="127"/>
      <c r="AG485" s="107">
        <v>0</v>
      </c>
      <c r="AH485" s="12">
        <f t="shared" ref="AH485:AH515" si="21">AF485+AG485</f>
        <v>0</v>
      </c>
      <c r="AI485" s="21"/>
      <c r="AJ485" s="11"/>
      <c r="AK485" s="21"/>
      <c r="AL485" s="27"/>
      <c r="AM485" s="21"/>
      <c r="AN485" s="21"/>
      <c r="AO485" s="11"/>
      <c r="AP485" s="10"/>
      <c r="AQ485" s="11"/>
      <c r="AR485" s="10"/>
      <c r="AS485" s="21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</row>
    <row r="486" spans="1:61" s="193" customFormat="1" ht="27" customHeight="1" x14ac:dyDescent="0.25">
      <c r="A486" s="268"/>
      <c r="B486" s="257"/>
      <c r="C486" s="29"/>
      <c r="D486" s="29"/>
      <c r="E486" s="29"/>
      <c r="F486" s="29"/>
      <c r="G486" s="67"/>
      <c r="H486" s="112"/>
      <c r="I486" s="29"/>
      <c r="J486" s="29"/>
      <c r="K486" s="30"/>
      <c r="L486" s="13"/>
      <c r="M486" s="29"/>
      <c r="N486" s="30"/>
      <c r="O486" s="30"/>
      <c r="P486" s="112"/>
      <c r="Q486" s="29"/>
      <c r="R486" s="29"/>
      <c r="S486" s="29"/>
      <c r="T486" s="29"/>
      <c r="U486" s="6" t="s">
        <v>758</v>
      </c>
      <c r="V486" s="10">
        <v>42285</v>
      </c>
      <c r="W486" s="11"/>
      <c r="X486" s="6" t="s">
        <v>483</v>
      </c>
      <c r="Y486" s="10">
        <v>42095</v>
      </c>
      <c r="Z486" s="10">
        <v>42369</v>
      </c>
      <c r="AA486" s="23">
        <f>AC486/AE485</f>
        <v>3.0050481999912691E-2</v>
      </c>
      <c r="AB486" s="21"/>
      <c r="AC486" s="24">
        <v>4543.1099999999997</v>
      </c>
      <c r="AD486" s="24"/>
      <c r="AE486" s="107">
        <f>AE485-AD486+AC486</f>
        <v>155725.70999999996</v>
      </c>
      <c r="AF486" s="127"/>
      <c r="AG486" s="107"/>
      <c r="AH486" s="12">
        <f t="shared" si="21"/>
        <v>0</v>
      </c>
      <c r="AI486" s="21"/>
      <c r="AJ486" s="11"/>
      <c r="AK486" s="21"/>
      <c r="AL486" s="27"/>
      <c r="AM486" s="21"/>
      <c r="AN486" s="21"/>
      <c r="AO486" s="11"/>
      <c r="AP486" s="10"/>
      <c r="AQ486" s="11"/>
      <c r="AR486" s="10"/>
      <c r="AS486" s="21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</row>
    <row r="487" spans="1:61" s="193" customFormat="1" x14ac:dyDescent="0.25">
      <c r="A487" s="269"/>
      <c r="B487" s="258"/>
      <c r="C487" s="35"/>
      <c r="D487" s="35"/>
      <c r="E487" s="35"/>
      <c r="F487" s="35"/>
      <c r="G487" s="73"/>
      <c r="H487" s="110"/>
      <c r="I487" s="35"/>
      <c r="J487" s="35"/>
      <c r="K487" s="36"/>
      <c r="L487" s="14"/>
      <c r="M487" s="35"/>
      <c r="N487" s="36"/>
      <c r="O487" s="36"/>
      <c r="P487" s="110"/>
      <c r="Q487" s="35"/>
      <c r="R487" s="35"/>
      <c r="S487" s="35"/>
      <c r="T487" s="35"/>
      <c r="U487" s="6" t="s">
        <v>188</v>
      </c>
      <c r="V487" s="10">
        <v>42360</v>
      </c>
      <c r="W487" s="11"/>
      <c r="X487" s="6" t="s">
        <v>477</v>
      </c>
      <c r="Y487" s="10">
        <v>42370</v>
      </c>
      <c r="Z487" s="10">
        <v>42735</v>
      </c>
      <c r="AA487" s="23"/>
      <c r="AB487" s="21"/>
      <c r="AC487" s="24"/>
      <c r="AD487" s="24"/>
      <c r="AE487" s="107">
        <f>13083.58*12</f>
        <v>157002.96</v>
      </c>
      <c r="AF487" s="127"/>
      <c r="AG487" s="107">
        <v>0</v>
      </c>
      <c r="AH487" s="12">
        <f t="shared" si="21"/>
        <v>0</v>
      </c>
      <c r="AI487" s="21"/>
      <c r="AJ487" s="11"/>
      <c r="AK487" s="21"/>
      <c r="AL487" s="27"/>
      <c r="AM487" s="21"/>
      <c r="AN487" s="21"/>
      <c r="AO487" s="11"/>
      <c r="AP487" s="10"/>
      <c r="AQ487" s="11"/>
      <c r="AR487" s="10"/>
      <c r="AS487" s="21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</row>
    <row r="488" spans="1:61" s="193" customFormat="1" ht="29.25" customHeight="1" x14ac:dyDescent="0.25">
      <c r="A488" s="271">
        <v>113</v>
      </c>
      <c r="B488" s="255" t="s">
        <v>439</v>
      </c>
      <c r="C488" s="44"/>
      <c r="D488" s="44" t="s">
        <v>292</v>
      </c>
      <c r="E488" s="44" t="s">
        <v>123</v>
      </c>
      <c r="F488" s="44" t="s">
        <v>220</v>
      </c>
      <c r="G488" s="118"/>
      <c r="H488" s="116" t="s">
        <v>440</v>
      </c>
      <c r="I488" s="44" t="s">
        <v>215</v>
      </c>
      <c r="J488" s="44" t="s">
        <v>341</v>
      </c>
      <c r="K488" s="45">
        <v>41821</v>
      </c>
      <c r="L488" s="130">
        <v>5000</v>
      </c>
      <c r="M488" s="44">
        <v>11351</v>
      </c>
      <c r="N488" s="45">
        <v>41821</v>
      </c>
      <c r="O488" s="45">
        <v>42003</v>
      </c>
      <c r="P488" s="116" t="s">
        <v>157</v>
      </c>
      <c r="Q488" s="16"/>
      <c r="R488" s="44"/>
      <c r="S488" s="44"/>
      <c r="T488" s="44" t="s">
        <v>160</v>
      </c>
      <c r="U488" s="6"/>
      <c r="V488" s="10"/>
      <c r="W488" s="11"/>
      <c r="X488" s="6"/>
      <c r="Y488" s="10"/>
      <c r="Z488" s="10"/>
      <c r="AA488" s="23"/>
      <c r="AB488" s="21"/>
      <c r="AC488" s="24"/>
      <c r="AD488" s="24"/>
      <c r="AE488" s="25">
        <f>L488</f>
        <v>5000</v>
      </c>
      <c r="AF488" s="107">
        <f>439.64+187.72+110.67+111.57+1833.22</f>
        <v>2682.8199999999997</v>
      </c>
      <c r="AG488" s="107">
        <f>375.88+398.38</f>
        <v>774.26</v>
      </c>
      <c r="AH488" s="12">
        <f t="shared" si="21"/>
        <v>3457.08</v>
      </c>
      <c r="AI488" s="21"/>
      <c r="AJ488" s="11"/>
      <c r="AK488" s="21"/>
      <c r="AL488" s="27"/>
      <c r="AM488" s="21" t="s">
        <v>452</v>
      </c>
      <c r="AN488" s="21" t="s">
        <v>244</v>
      </c>
      <c r="AO488" s="11">
        <v>11345</v>
      </c>
      <c r="AP488" s="10">
        <v>41830</v>
      </c>
      <c r="AQ488" s="11">
        <v>11345</v>
      </c>
      <c r="AR488" s="10"/>
      <c r="AS488" s="21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</row>
    <row r="489" spans="1:61" s="193" customFormat="1" ht="27.75" customHeight="1" x14ac:dyDescent="0.25">
      <c r="A489" s="271"/>
      <c r="B489" s="255"/>
      <c r="C489" s="44"/>
      <c r="D489" s="44"/>
      <c r="E489" s="44"/>
      <c r="F489" s="44"/>
      <c r="G489" s="118"/>
      <c r="H489" s="116"/>
      <c r="I489" s="44"/>
      <c r="J489" s="44"/>
      <c r="K489" s="45"/>
      <c r="L489" s="130"/>
      <c r="M489" s="44"/>
      <c r="N489" s="45"/>
      <c r="O489" s="45"/>
      <c r="P489" s="116"/>
      <c r="Q489" s="35"/>
      <c r="R489" s="44"/>
      <c r="S489" s="44"/>
      <c r="T489" s="44"/>
      <c r="U489" s="6" t="s">
        <v>145</v>
      </c>
      <c r="V489" s="10" t="s">
        <v>603</v>
      </c>
      <c r="W489" s="11">
        <v>11488</v>
      </c>
      <c r="X489" s="6" t="s">
        <v>509</v>
      </c>
      <c r="Y489" s="10">
        <v>42005</v>
      </c>
      <c r="Z489" s="10">
        <v>42185</v>
      </c>
      <c r="AA489" s="23"/>
      <c r="AB489" s="23"/>
      <c r="AC489" s="24"/>
      <c r="AD489" s="24"/>
      <c r="AE489" s="107">
        <f>L488-AD489</f>
        <v>5000</v>
      </c>
      <c r="AF489" s="107"/>
      <c r="AG489" s="107">
        <v>0</v>
      </c>
      <c r="AH489" s="12">
        <f t="shared" si="21"/>
        <v>0</v>
      </c>
      <c r="AI489" s="21"/>
      <c r="AJ489" s="11"/>
      <c r="AK489" s="21"/>
      <c r="AL489" s="27"/>
      <c r="AM489" s="21"/>
      <c r="AN489" s="21"/>
      <c r="AO489" s="11"/>
      <c r="AP489" s="10"/>
      <c r="AQ489" s="11"/>
      <c r="AR489" s="10"/>
      <c r="AS489" s="21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</row>
    <row r="490" spans="1:61" s="193" customFormat="1" ht="33.75" customHeight="1" x14ac:dyDescent="0.25">
      <c r="A490" s="270">
        <v>114</v>
      </c>
      <c r="B490" s="256" t="s">
        <v>567</v>
      </c>
      <c r="C490" s="16"/>
      <c r="D490" s="16" t="s">
        <v>292</v>
      </c>
      <c r="E490" s="16" t="s">
        <v>123</v>
      </c>
      <c r="F490" s="16" t="s">
        <v>568</v>
      </c>
      <c r="G490" s="63"/>
      <c r="H490" s="109" t="s">
        <v>569</v>
      </c>
      <c r="I490" s="16" t="s">
        <v>214</v>
      </c>
      <c r="J490" s="16" t="s">
        <v>570</v>
      </c>
      <c r="K490" s="17">
        <v>41981</v>
      </c>
      <c r="L490" s="105">
        <v>120000</v>
      </c>
      <c r="M490" s="16"/>
      <c r="N490" s="17">
        <v>41981</v>
      </c>
      <c r="O490" s="17">
        <v>42345</v>
      </c>
      <c r="P490" s="109" t="s">
        <v>157</v>
      </c>
      <c r="Q490" s="21"/>
      <c r="R490" s="21"/>
      <c r="S490" s="21"/>
      <c r="T490" s="16" t="s">
        <v>160</v>
      </c>
      <c r="U490" s="6"/>
      <c r="V490" s="10"/>
      <c r="W490" s="11"/>
      <c r="X490" s="6"/>
      <c r="Y490" s="10"/>
      <c r="Z490" s="10"/>
      <c r="AA490" s="23"/>
      <c r="AB490" s="21"/>
      <c r="AC490" s="24"/>
      <c r="AD490" s="24"/>
      <c r="AE490" s="25">
        <f>L490-AD490+AC490</f>
        <v>120000</v>
      </c>
      <c r="AF490" s="107">
        <f>7666.59+10000+10000+10000+10000+20000+20000+40000</f>
        <v>127666.59</v>
      </c>
      <c r="AG490" s="107">
        <v>11068.73</v>
      </c>
      <c r="AH490" s="12">
        <f t="shared" si="21"/>
        <v>138735.32</v>
      </c>
      <c r="AI490" s="21"/>
      <c r="AJ490" s="11"/>
      <c r="AK490" s="21"/>
      <c r="AL490" s="27"/>
      <c r="AM490" s="21" t="s">
        <v>452</v>
      </c>
      <c r="AN490" s="21" t="s">
        <v>571</v>
      </c>
      <c r="AO490" s="11"/>
      <c r="AP490" s="10"/>
      <c r="AQ490" s="11"/>
      <c r="AR490" s="10"/>
      <c r="AS490" s="21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15"/>
      <c r="BF490" s="215"/>
      <c r="BG490" s="215"/>
      <c r="BH490" s="215"/>
      <c r="BI490" s="215"/>
    </row>
    <row r="491" spans="1:61" s="193" customFormat="1" ht="27.75" customHeight="1" x14ac:dyDescent="0.25">
      <c r="A491" s="269"/>
      <c r="B491" s="258"/>
      <c r="C491" s="35"/>
      <c r="D491" s="35"/>
      <c r="E491" s="35"/>
      <c r="F491" s="35"/>
      <c r="G491" s="73"/>
      <c r="H491" s="110"/>
      <c r="I491" s="35"/>
      <c r="J491" s="35"/>
      <c r="K491" s="36"/>
      <c r="L491" s="108"/>
      <c r="M491" s="35"/>
      <c r="N491" s="36"/>
      <c r="O491" s="36"/>
      <c r="P491" s="110"/>
      <c r="Q491" s="69"/>
      <c r="R491" s="69"/>
      <c r="S491" s="69"/>
      <c r="T491" s="35"/>
      <c r="U491" s="6" t="s">
        <v>240</v>
      </c>
      <c r="V491" s="10">
        <v>42345</v>
      </c>
      <c r="W491" s="11"/>
      <c r="X491" s="6" t="s">
        <v>728</v>
      </c>
      <c r="Y491" s="10">
        <v>42346</v>
      </c>
      <c r="Z491" s="10">
        <v>42711</v>
      </c>
      <c r="AA491" s="23">
        <f>AC491/L490</f>
        <v>0.106873</v>
      </c>
      <c r="AB491" s="21"/>
      <c r="AC491" s="24">
        <v>12824.76</v>
      </c>
      <c r="AD491" s="24"/>
      <c r="AE491" s="25">
        <f>AE490-AD491+AC491</f>
        <v>132824.76</v>
      </c>
      <c r="AF491" s="107"/>
      <c r="AG491" s="107">
        <v>0</v>
      </c>
      <c r="AH491" s="12">
        <f t="shared" si="21"/>
        <v>0</v>
      </c>
      <c r="AI491" s="21"/>
      <c r="AJ491" s="11"/>
      <c r="AK491" s="21"/>
      <c r="AL491" s="27"/>
      <c r="AM491" s="21"/>
      <c r="AN491" s="21"/>
      <c r="AO491" s="11"/>
      <c r="AP491" s="10"/>
      <c r="AQ491" s="11"/>
      <c r="AR491" s="10"/>
      <c r="AS491" s="21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15"/>
      <c r="BF491" s="215"/>
      <c r="BG491" s="215"/>
      <c r="BH491" s="215"/>
      <c r="BI491" s="215"/>
    </row>
    <row r="492" spans="1:61" s="193" customFormat="1" ht="32.25" customHeight="1" x14ac:dyDescent="0.25">
      <c r="A492" s="271">
        <v>115</v>
      </c>
      <c r="B492" s="255" t="s">
        <v>119</v>
      </c>
      <c r="C492" s="43"/>
      <c r="D492" s="44" t="s">
        <v>292</v>
      </c>
      <c r="E492" s="44" t="s">
        <v>123</v>
      </c>
      <c r="F492" s="44" t="s">
        <v>224</v>
      </c>
      <c r="G492" s="118"/>
      <c r="H492" s="116" t="s">
        <v>370</v>
      </c>
      <c r="I492" s="44" t="s">
        <v>218</v>
      </c>
      <c r="J492" s="44" t="s">
        <v>371</v>
      </c>
      <c r="K492" s="45">
        <v>41530</v>
      </c>
      <c r="L492" s="130">
        <v>19800</v>
      </c>
      <c r="M492" s="116" t="s">
        <v>372</v>
      </c>
      <c r="N492" s="45">
        <v>41530</v>
      </c>
      <c r="O492" s="45">
        <v>41639</v>
      </c>
      <c r="P492" s="116" t="s">
        <v>157</v>
      </c>
      <c r="Q492" s="149"/>
      <c r="R492" s="44"/>
      <c r="S492" s="44"/>
      <c r="T492" s="44" t="s">
        <v>159</v>
      </c>
      <c r="U492" s="6"/>
      <c r="V492" s="21"/>
      <c r="W492" s="11"/>
      <c r="X492" s="6"/>
      <c r="Y492" s="21"/>
      <c r="Z492" s="21"/>
      <c r="AA492" s="23"/>
      <c r="AB492" s="21"/>
      <c r="AC492" s="24"/>
      <c r="AD492" s="24"/>
      <c r="AE492" s="25">
        <f>L492</f>
        <v>19800</v>
      </c>
      <c r="AF492" s="25">
        <f>19800+44000+80558.1</f>
        <v>144358.1</v>
      </c>
      <c r="AG492" s="107">
        <f>12408.82+6204.41</f>
        <v>18613.23</v>
      </c>
      <c r="AH492" s="12">
        <f t="shared" si="21"/>
        <v>162971.33000000002</v>
      </c>
      <c r="AI492" s="21"/>
      <c r="AJ492" s="150"/>
      <c r="AK492" s="21"/>
      <c r="AL492" s="21"/>
      <c r="AM492" s="44" t="s">
        <v>452</v>
      </c>
      <c r="AN492" s="44" t="s">
        <v>243</v>
      </c>
      <c r="AO492" s="118">
        <v>11078</v>
      </c>
      <c r="AP492" s="45">
        <v>41529</v>
      </c>
      <c r="AQ492" s="118">
        <v>11078</v>
      </c>
      <c r="AR492" s="45">
        <v>41530</v>
      </c>
      <c r="AS492" s="21"/>
      <c r="AT492" s="11"/>
      <c r="AU492" s="10"/>
      <c r="AV492" s="11"/>
      <c r="AW492" s="10"/>
      <c r="AX492" s="21"/>
      <c r="AY492" s="27"/>
      <c r="AZ492" s="27"/>
      <c r="BA492" s="27"/>
      <c r="BB492" s="27"/>
      <c r="BC492" s="27"/>
      <c r="BD492" s="27"/>
      <c r="BE492" s="27"/>
      <c r="BF492" s="215"/>
      <c r="BG492" s="215"/>
      <c r="BH492" s="215"/>
      <c r="BI492" s="215"/>
    </row>
    <row r="493" spans="1:61" s="193" customFormat="1" ht="23.25" customHeight="1" x14ac:dyDescent="0.25">
      <c r="A493" s="271"/>
      <c r="B493" s="255"/>
      <c r="C493" s="43"/>
      <c r="D493" s="44"/>
      <c r="E493" s="44"/>
      <c r="F493" s="44"/>
      <c r="G493" s="118"/>
      <c r="H493" s="116"/>
      <c r="I493" s="44"/>
      <c r="J493" s="44"/>
      <c r="K493" s="45"/>
      <c r="L493" s="130"/>
      <c r="M493" s="116"/>
      <c r="N493" s="45"/>
      <c r="O493" s="45"/>
      <c r="P493" s="116"/>
      <c r="Q493" s="149"/>
      <c r="R493" s="44"/>
      <c r="S493" s="44"/>
      <c r="T493" s="44"/>
      <c r="U493" s="6" t="s">
        <v>241</v>
      </c>
      <c r="V493" s="10">
        <v>41631</v>
      </c>
      <c r="W493" s="11">
        <v>11221</v>
      </c>
      <c r="X493" s="6" t="s">
        <v>477</v>
      </c>
      <c r="Y493" s="10">
        <v>41640</v>
      </c>
      <c r="Z493" s="10">
        <v>42004</v>
      </c>
      <c r="AA493" s="23"/>
      <c r="AB493" s="21"/>
      <c r="AC493" s="24"/>
      <c r="AD493" s="24"/>
      <c r="AE493" s="25">
        <f>(5500*8)+2200+AE492</f>
        <v>66000</v>
      </c>
      <c r="AF493" s="25"/>
      <c r="AG493" s="107">
        <v>0</v>
      </c>
      <c r="AH493" s="12">
        <f t="shared" si="21"/>
        <v>0</v>
      </c>
      <c r="AI493" s="21"/>
      <c r="AJ493" s="150"/>
      <c r="AK493" s="21"/>
      <c r="AL493" s="21"/>
      <c r="AM493" s="44"/>
      <c r="AN493" s="44"/>
      <c r="AO493" s="118"/>
      <c r="AP493" s="45"/>
      <c r="AQ493" s="118"/>
      <c r="AR493" s="45"/>
      <c r="AS493" s="21"/>
      <c r="AT493" s="11"/>
      <c r="AU493" s="10"/>
      <c r="AV493" s="11"/>
      <c r="AW493" s="10"/>
      <c r="AX493" s="21"/>
      <c r="AY493" s="27"/>
      <c r="AZ493" s="27"/>
      <c r="BA493" s="27"/>
      <c r="BB493" s="27"/>
      <c r="BC493" s="27"/>
      <c r="BD493" s="27"/>
      <c r="BE493" s="27"/>
      <c r="BF493" s="215"/>
      <c r="BG493" s="215"/>
      <c r="BH493" s="215"/>
      <c r="BI493" s="215"/>
    </row>
    <row r="494" spans="1:61" s="193" customFormat="1" ht="35.25" customHeight="1" x14ac:dyDescent="0.25">
      <c r="A494" s="271"/>
      <c r="B494" s="255"/>
      <c r="C494" s="43"/>
      <c r="D494" s="44"/>
      <c r="E494" s="44"/>
      <c r="F494" s="44"/>
      <c r="G494" s="118"/>
      <c r="H494" s="116"/>
      <c r="I494" s="44"/>
      <c r="J494" s="44"/>
      <c r="K494" s="45"/>
      <c r="L494" s="130"/>
      <c r="M494" s="116"/>
      <c r="N494" s="45"/>
      <c r="O494" s="45"/>
      <c r="P494" s="116"/>
      <c r="Q494" s="149"/>
      <c r="R494" s="44"/>
      <c r="S494" s="44"/>
      <c r="T494" s="44"/>
      <c r="U494" s="6" t="s">
        <v>428</v>
      </c>
      <c r="V494" s="10">
        <v>41981</v>
      </c>
      <c r="W494" s="11">
        <v>11454</v>
      </c>
      <c r="X494" s="6" t="s">
        <v>407</v>
      </c>
      <c r="Y494" s="10">
        <v>41895</v>
      </c>
      <c r="Z494" s="10">
        <v>42004</v>
      </c>
      <c r="AA494" s="23">
        <f>268.66/5500</f>
        <v>4.8847272727272732E-2</v>
      </c>
      <c r="AB494" s="21"/>
      <c r="AC494" s="24">
        <f>(268.66*3)+161.2</f>
        <v>967.18000000000006</v>
      </c>
      <c r="AD494" s="24"/>
      <c r="AE494" s="25">
        <f>AE493+AC494</f>
        <v>66967.179999999993</v>
      </c>
      <c r="AF494" s="25"/>
      <c r="AG494" s="107">
        <v>0</v>
      </c>
      <c r="AH494" s="12">
        <f t="shared" si="21"/>
        <v>0</v>
      </c>
      <c r="AI494" s="21"/>
      <c r="AJ494" s="150"/>
      <c r="AK494" s="21"/>
      <c r="AL494" s="21"/>
      <c r="AM494" s="44"/>
      <c r="AN494" s="44"/>
      <c r="AO494" s="118"/>
      <c r="AP494" s="45"/>
      <c r="AQ494" s="118"/>
      <c r="AR494" s="45"/>
      <c r="AS494" s="21"/>
      <c r="AT494" s="11"/>
      <c r="AU494" s="10"/>
      <c r="AV494" s="11"/>
      <c r="AW494" s="10"/>
      <c r="AX494" s="21"/>
      <c r="AY494" s="27"/>
      <c r="AZ494" s="27"/>
      <c r="BA494" s="27"/>
      <c r="BB494" s="27"/>
      <c r="BC494" s="27"/>
      <c r="BD494" s="27"/>
      <c r="BE494" s="27"/>
      <c r="BF494" s="215"/>
      <c r="BG494" s="215"/>
      <c r="BH494" s="215"/>
      <c r="BI494" s="215"/>
    </row>
    <row r="495" spans="1:61" s="193" customFormat="1" ht="35.25" customHeight="1" x14ac:dyDescent="0.25">
      <c r="A495" s="271"/>
      <c r="B495" s="255"/>
      <c r="C495" s="43"/>
      <c r="D495" s="44"/>
      <c r="E495" s="44"/>
      <c r="F495" s="44"/>
      <c r="G495" s="118"/>
      <c r="H495" s="116"/>
      <c r="I495" s="44"/>
      <c r="J495" s="44"/>
      <c r="K495" s="45"/>
      <c r="L495" s="130"/>
      <c r="M495" s="116"/>
      <c r="N495" s="45"/>
      <c r="O495" s="45"/>
      <c r="P495" s="116"/>
      <c r="Q495" s="149"/>
      <c r="R495" s="44"/>
      <c r="S495" s="44"/>
      <c r="T495" s="44"/>
      <c r="U495" s="6" t="s">
        <v>535</v>
      </c>
      <c r="V495" s="10">
        <v>41999</v>
      </c>
      <c r="W495" s="11">
        <v>11479</v>
      </c>
      <c r="X495" s="6" t="s">
        <v>477</v>
      </c>
      <c r="Y495" s="10">
        <v>42005</v>
      </c>
      <c r="Z495" s="10">
        <v>42369</v>
      </c>
      <c r="AA495" s="23"/>
      <c r="AB495" s="21"/>
      <c r="AC495" s="24"/>
      <c r="AD495" s="24"/>
      <c r="AE495" s="25">
        <f>(268.66*8)+107.46+AE494</f>
        <v>69223.92</v>
      </c>
      <c r="AF495" s="25"/>
      <c r="AG495" s="107"/>
      <c r="AH495" s="12">
        <f t="shared" si="21"/>
        <v>0</v>
      </c>
      <c r="AI495" s="21"/>
      <c r="AJ495" s="150"/>
      <c r="AK495" s="21"/>
      <c r="AL495" s="21"/>
      <c r="AM495" s="44"/>
      <c r="AN495" s="44"/>
      <c r="AO495" s="118"/>
      <c r="AP495" s="45"/>
      <c r="AQ495" s="118"/>
      <c r="AR495" s="45"/>
      <c r="AS495" s="21"/>
      <c r="AT495" s="11"/>
      <c r="AU495" s="10"/>
      <c r="AV495" s="11"/>
      <c r="AW495" s="10"/>
      <c r="AX495" s="21"/>
      <c r="AY495" s="27"/>
      <c r="AZ495" s="27"/>
      <c r="BA495" s="27"/>
      <c r="BB495" s="27"/>
      <c r="BC495" s="27"/>
      <c r="BD495" s="27"/>
      <c r="BE495" s="27"/>
      <c r="BF495" s="215"/>
      <c r="BG495" s="215"/>
      <c r="BH495" s="215"/>
      <c r="BI495" s="215"/>
    </row>
    <row r="496" spans="1:61" s="193" customFormat="1" ht="35.25" customHeight="1" x14ac:dyDescent="0.25">
      <c r="A496" s="271"/>
      <c r="B496" s="255"/>
      <c r="C496" s="43"/>
      <c r="D496" s="44"/>
      <c r="E496" s="44"/>
      <c r="F496" s="44"/>
      <c r="G496" s="118"/>
      <c r="H496" s="116"/>
      <c r="I496" s="44"/>
      <c r="J496" s="44"/>
      <c r="K496" s="45"/>
      <c r="L496" s="130"/>
      <c r="M496" s="116"/>
      <c r="N496" s="45"/>
      <c r="O496" s="45"/>
      <c r="P496" s="116"/>
      <c r="Q496" s="149"/>
      <c r="R496" s="44"/>
      <c r="S496" s="44"/>
      <c r="T496" s="44"/>
      <c r="U496" s="6" t="s">
        <v>406</v>
      </c>
      <c r="V496" s="10">
        <v>42300</v>
      </c>
      <c r="W496" s="11">
        <v>11479</v>
      </c>
      <c r="X496" s="6" t="s">
        <v>407</v>
      </c>
      <c r="Y496" s="10">
        <v>42260</v>
      </c>
      <c r="Z496" s="10">
        <v>42369</v>
      </c>
      <c r="AA496" s="23">
        <f>AC496/AE495</f>
        <v>2.2661241952203807E-2</v>
      </c>
      <c r="AB496" s="21"/>
      <c r="AC496" s="24">
        <f>(435.75*3)+261.45</f>
        <v>1568.7</v>
      </c>
      <c r="AD496" s="24"/>
      <c r="AE496" s="25">
        <f>AE495-AD496+AC496</f>
        <v>70792.62</v>
      </c>
      <c r="AF496" s="25"/>
      <c r="AG496" s="107"/>
      <c r="AH496" s="12">
        <f t="shared" si="21"/>
        <v>0</v>
      </c>
      <c r="AI496" s="21"/>
      <c r="AJ496" s="150"/>
      <c r="AK496" s="21"/>
      <c r="AL496" s="21"/>
      <c r="AM496" s="44"/>
      <c r="AN496" s="44"/>
      <c r="AO496" s="118"/>
      <c r="AP496" s="45"/>
      <c r="AQ496" s="118"/>
      <c r="AR496" s="45"/>
      <c r="AS496" s="21"/>
      <c r="AT496" s="11"/>
      <c r="AU496" s="10"/>
      <c r="AV496" s="11"/>
      <c r="AW496" s="10"/>
      <c r="AX496" s="21"/>
      <c r="AY496" s="27"/>
      <c r="AZ496" s="27"/>
      <c r="BA496" s="27"/>
      <c r="BB496" s="27"/>
      <c r="BC496" s="27"/>
      <c r="BD496" s="27"/>
      <c r="BE496" s="27"/>
      <c r="BF496" s="215"/>
      <c r="BG496" s="215"/>
      <c r="BH496" s="215"/>
      <c r="BI496" s="215"/>
    </row>
    <row r="497" spans="1:61" s="193" customFormat="1" ht="27" customHeight="1" x14ac:dyDescent="0.25">
      <c r="A497" s="271"/>
      <c r="B497" s="255"/>
      <c r="C497" s="43"/>
      <c r="D497" s="44"/>
      <c r="E497" s="44"/>
      <c r="F497" s="44"/>
      <c r="G497" s="44"/>
      <c r="H497" s="116"/>
      <c r="I497" s="44"/>
      <c r="J497" s="44"/>
      <c r="K497" s="44"/>
      <c r="L497" s="130"/>
      <c r="M497" s="116"/>
      <c r="N497" s="45"/>
      <c r="O497" s="45"/>
      <c r="P497" s="116"/>
      <c r="Q497" s="149"/>
      <c r="R497" s="44"/>
      <c r="S497" s="44"/>
      <c r="T497" s="44"/>
      <c r="U497" s="6" t="s">
        <v>776</v>
      </c>
      <c r="V497" s="10">
        <v>42300</v>
      </c>
      <c r="W497" s="11">
        <v>11723</v>
      </c>
      <c r="X497" s="6" t="s">
        <v>477</v>
      </c>
      <c r="Y497" s="10">
        <v>42370</v>
      </c>
      <c r="Z497" s="10">
        <v>42612</v>
      </c>
      <c r="AA497" s="23"/>
      <c r="AB497" s="21"/>
      <c r="AC497" s="24"/>
      <c r="AD497" s="24"/>
      <c r="AE497" s="25">
        <f>(435.75*8)+174.3+AE496</f>
        <v>74452.92</v>
      </c>
      <c r="AF497" s="25"/>
      <c r="AG497" s="107">
        <v>0</v>
      </c>
      <c r="AH497" s="12">
        <f t="shared" si="21"/>
        <v>0</v>
      </c>
      <c r="AI497" s="21"/>
      <c r="AJ497" s="150"/>
      <c r="AK497" s="21"/>
      <c r="AL497" s="21"/>
      <c r="AM497" s="44"/>
      <c r="AN497" s="44"/>
      <c r="AO497" s="118"/>
      <c r="AP497" s="45"/>
      <c r="AQ497" s="118"/>
      <c r="AR497" s="45"/>
      <c r="AS497" s="21"/>
      <c r="AT497" s="11"/>
      <c r="AU497" s="10"/>
      <c r="AV497" s="11"/>
      <c r="AW497" s="10"/>
      <c r="AX497" s="21"/>
      <c r="AY497" s="27"/>
      <c r="AZ497" s="27"/>
      <c r="BA497" s="27"/>
      <c r="BB497" s="27"/>
      <c r="BC497" s="27"/>
      <c r="BD497" s="27"/>
      <c r="BE497" s="27"/>
      <c r="BF497" s="215"/>
      <c r="BG497" s="215"/>
      <c r="BH497" s="215"/>
      <c r="BI497" s="215"/>
    </row>
    <row r="498" spans="1:61" s="193" customFormat="1" ht="49.5" customHeight="1" x14ac:dyDescent="0.25">
      <c r="A498" s="270">
        <v>116</v>
      </c>
      <c r="B498" s="254" t="s">
        <v>668</v>
      </c>
      <c r="C498" s="16"/>
      <c r="D498" s="44" t="s">
        <v>292</v>
      </c>
      <c r="E498" s="44" t="s">
        <v>123</v>
      </c>
      <c r="F498" s="16" t="s">
        <v>719</v>
      </c>
      <c r="G498" s="62"/>
      <c r="H498" s="44" t="s">
        <v>675</v>
      </c>
      <c r="I498" s="16" t="s">
        <v>288</v>
      </c>
      <c r="J498" s="16" t="s">
        <v>352</v>
      </c>
      <c r="K498" s="45">
        <v>42114</v>
      </c>
      <c r="L498" s="105">
        <v>1019572.26</v>
      </c>
      <c r="M498" s="63">
        <v>11547</v>
      </c>
      <c r="N498" s="45">
        <v>42114</v>
      </c>
      <c r="O498" s="45">
        <v>42324</v>
      </c>
      <c r="P498" s="6" t="s">
        <v>525</v>
      </c>
      <c r="Q498" s="16"/>
      <c r="R498" s="16"/>
      <c r="S498" s="16"/>
      <c r="T498" s="16" t="s">
        <v>208</v>
      </c>
      <c r="U498" s="6"/>
      <c r="V498" s="10"/>
      <c r="W498" s="11"/>
      <c r="X498" s="6"/>
      <c r="Y498" s="10"/>
      <c r="Z498" s="10"/>
      <c r="AA498" s="23"/>
      <c r="AB498" s="21"/>
      <c r="AC498" s="24"/>
      <c r="AD498" s="24"/>
      <c r="AE498" s="25">
        <f>L498-AD498+AC498</f>
        <v>1019572.26</v>
      </c>
      <c r="AF498" s="107">
        <f>64490.11+70006.54</f>
        <v>134496.65</v>
      </c>
      <c r="AG498" s="107">
        <v>35228.050000000003</v>
      </c>
      <c r="AH498" s="12">
        <f t="shared" si="21"/>
        <v>169724.7</v>
      </c>
      <c r="AI498" s="21"/>
      <c r="AJ498" s="150"/>
      <c r="AK498" s="21"/>
      <c r="AL498" s="21"/>
      <c r="AM498" s="16" t="s">
        <v>452</v>
      </c>
      <c r="AN498" s="16" t="s">
        <v>244</v>
      </c>
      <c r="AO498" s="63"/>
      <c r="AP498" s="17">
        <v>42108</v>
      </c>
      <c r="AQ498" s="63">
        <v>11536</v>
      </c>
      <c r="AR498" s="17">
        <v>42109</v>
      </c>
      <c r="AS498" s="29" t="s">
        <v>449</v>
      </c>
      <c r="AT498" s="63" t="s">
        <v>448</v>
      </c>
      <c r="AU498" s="17">
        <v>42114</v>
      </c>
      <c r="AV498" s="17">
        <v>42264</v>
      </c>
      <c r="AW498" s="10"/>
      <c r="AX498" s="21"/>
      <c r="AY498" s="20">
        <v>42114</v>
      </c>
      <c r="AZ498" s="27"/>
      <c r="BA498" s="27"/>
      <c r="BB498" s="27"/>
      <c r="BC498" s="27"/>
      <c r="BD498" s="27"/>
      <c r="BE498" s="215"/>
      <c r="BF498" s="215"/>
      <c r="BG498" s="215"/>
      <c r="BH498" s="215"/>
      <c r="BI498" s="215"/>
    </row>
    <row r="499" spans="1:61" s="193" customFormat="1" ht="49.5" customHeight="1" x14ac:dyDescent="0.25">
      <c r="A499" s="269"/>
      <c r="B499" s="253"/>
      <c r="C499" s="35"/>
      <c r="D499" s="44"/>
      <c r="E499" s="44"/>
      <c r="F499" s="35"/>
      <c r="G499" s="34"/>
      <c r="H499" s="44"/>
      <c r="I499" s="35"/>
      <c r="J499" s="35"/>
      <c r="K499" s="45"/>
      <c r="L499" s="108"/>
      <c r="M499" s="73"/>
      <c r="N499" s="45"/>
      <c r="O499" s="45"/>
      <c r="P499" s="6" t="s">
        <v>314</v>
      </c>
      <c r="Q499" s="35"/>
      <c r="R499" s="35"/>
      <c r="S499" s="35"/>
      <c r="T499" s="35"/>
      <c r="U499" s="6"/>
      <c r="V499" s="10"/>
      <c r="W499" s="11"/>
      <c r="X499" s="6"/>
      <c r="Y499" s="10"/>
      <c r="Z499" s="10"/>
      <c r="AA499" s="23"/>
      <c r="AB499" s="21"/>
      <c r="AC499" s="24"/>
      <c r="AD499" s="24"/>
      <c r="AE499" s="25"/>
      <c r="AF499" s="107">
        <f>141842.89+79457.78</f>
        <v>221300.67</v>
      </c>
      <c r="AG499" s="107">
        <v>88196.25</v>
      </c>
      <c r="AH499" s="12">
        <f t="shared" si="21"/>
        <v>309496.92000000004</v>
      </c>
      <c r="AI499" s="21"/>
      <c r="AJ499" s="150"/>
      <c r="AK499" s="21"/>
      <c r="AL499" s="21"/>
      <c r="AM499" s="35"/>
      <c r="AN499" s="35"/>
      <c r="AO499" s="73"/>
      <c r="AP499" s="36"/>
      <c r="AQ499" s="73"/>
      <c r="AR499" s="36"/>
      <c r="AS499" s="35"/>
      <c r="AT499" s="73"/>
      <c r="AU499" s="36"/>
      <c r="AV499" s="36"/>
      <c r="AW499" s="10"/>
      <c r="AX499" s="21"/>
      <c r="AY499" s="34"/>
      <c r="AZ499" s="27"/>
      <c r="BA499" s="27"/>
      <c r="BB499" s="27"/>
      <c r="BC499" s="27"/>
      <c r="BD499" s="27"/>
      <c r="BE499" s="215"/>
      <c r="BF499" s="215"/>
      <c r="BG499" s="215"/>
      <c r="BH499" s="215"/>
      <c r="BI499" s="215"/>
    </row>
    <row r="500" spans="1:61" s="193" customFormat="1" ht="21.75" customHeight="1" x14ac:dyDescent="0.25">
      <c r="A500" s="270">
        <v>117</v>
      </c>
      <c r="B500" s="263" t="s">
        <v>616</v>
      </c>
      <c r="C500" s="16"/>
      <c r="D500" s="16" t="s">
        <v>292</v>
      </c>
      <c r="E500" s="16" t="s">
        <v>123</v>
      </c>
      <c r="F500" s="16" t="s">
        <v>568</v>
      </c>
      <c r="G500" s="63"/>
      <c r="H500" s="109" t="s">
        <v>729</v>
      </c>
      <c r="I500" s="16" t="s">
        <v>214</v>
      </c>
      <c r="J500" s="16" t="s">
        <v>570</v>
      </c>
      <c r="K500" s="17">
        <v>42072</v>
      </c>
      <c r="L500" s="105">
        <v>29300</v>
      </c>
      <c r="M500" s="16">
        <v>11551</v>
      </c>
      <c r="N500" s="17">
        <v>42072</v>
      </c>
      <c r="O500" s="17">
        <v>42369</v>
      </c>
      <c r="P500" s="109" t="s">
        <v>157</v>
      </c>
      <c r="Q500" s="21"/>
      <c r="R500" s="21"/>
      <c r="S500" s="21"/>
      <c r="T500" s="16" t="s">
        <v>160</v>
      </c>
      <c r="U500" s="6"/>
      <c r="V500" s="10"/>
      <c r="W500" s="11"/>
      <c r="X500" s="6"/>
      <c r="Y500" s="10"/>
      <c r="Z500" s="10"/>
      <c r="AA500" s="23"/>
      <c r="AB500" s="21"/>
      <c r="AC500" s="24"/>
      <c r="AD500" s="24"/>
      <c r="AE500" s="25">
        <f>L500</f>
        <v>29300</v>
      </c>
      <c r="AF500" s="107">
        <f>12000+6000+11100</f>
        <v>29100</v>
      </c>
      <c r="AG500" s="107">
        <v>3000</v>
      </c>
      <c r="AH500" s="12">
        <f t="shared" si="21"/>
        <v>32100</v>
      </c>
      <c r="AI500" s="21"/>
      <c r="AJ500" s="150"/>
      <c r="AK500" s="21"/>
      <c r="AL500" s="21"/>
      <c r="AM500" s="51"/>
      <c r="AN500" s="51"/>
      <c r="AO500" s="114"/>
      <c r="AP500" s="52"/>
      <c r="AQ500" s="114"/>
      <c r="AR500" s="52"/>
      <c r="AS500" s="51"/>
      <c r="AT500" s="114"/>
      <c r="AU500" s="10"/>
      <c r="AV500" s="11"/>
      <c r="AW500" s="10"/>
      <c r="AX500" s="21"/>
      <c r="AY500" s="27"/>
      <c r="AZ500" s="27"/>
      <c r="BA500" s="27"/>
      <c r="BB500" s="27"/>
      <c r="BC500" s="27"/>
      <c r="BD500" s="27"/>
      <c r="BE500" s="215"/>
      <c r="BF500" s="215"/>
      <c r="BG500" s="215"/>
      <c r="BH500" s="215"/>
      <c r="BI500" s="215"/>
    </row>
    <row r="501" spans="1:61" s="193" customFormat="1" ht="26.25" customHeight="1" x14ac:dyDescent="0.25">
      <c r="A501" s="268"/>
      <c r="B501" s="264"/>
      <c r="C501" s="29"/>
      <c r="D501" s="29"/>
      <c r="E501" s="29"/>
      <c r="F501" s="29"/>
      <c r="G501" s="67"/>
      <c r="H501" s="112"/>
      <c r="I501" s="29"/>
      <c r="J501" s="29"/>
      <c r="K501" s="30"/>
      <c r="L501" s="101"/>
      <c r="M501" s="29"/>
      <c r="N501" s="30"/>
      <c r="O501" s="30"/>
      <c r="P501" s="112"/>
      <c r="Q501" s="69"/>
      <c r="R501" s="69"/>
      <c r="S501" s="69"/>
      <c r="T501" s="29"/>
      <c r="U501" s="6" t="s">
        <v>241</v>
      </c>
      <c r="V501" s="10">
        <v>42368</v>
      </c>
      <c r="W501" s="11">
        <v>11741</v>
      </c>
      <c r="X501" s="6" t="s">
        <v>871</v>
      </c>
      <c r="Y501" s="10"/>
      <c r="Z501" s="10"/>
      <c r="AA501" s="23"/>
      <c r="AB501" s="21"/>
      <c r="AC501" s="24"/>
      <c r="AD501" s="24"/>
      <c r="AE501" s="25"/>
      <c r="AF501" s="107"/>
      <c r="AG501" s="107"/>
      <c r="AH501" s="12">
        <f t="shared" si="21"/>
        <v>0</v>
      </c>
      <c r="AI501" s="21"/>
      <c r="AJ501" s="150"/>
      <c r="AK501" s="21"/>
      <c r="AL501" s="21"/>
      <c r="AM501" s="51"/>
      <c r="AN501" s="51"/>
      <c r="AO501" s="114"/>
      <c r="AP501" s="52"/>
      <c r="AQ501" s="114"/>
      <c r="AR501" s="52"/>
      <c r="AS501" s="51"/>
      <c r="AT501" s="114"/>
      <c r="AU501" s="10"/>
      <c r="AV501" s="11"/>
      <c r="AW501" s="10"/>
      <c r="AX501" s="21"/>
      <c r="AY501" s="27"/>
      <c r="AZ501" s="27"/>
      <c r="BA501" s="27"/>
      <c r="BB501" s="27"/>
      <c r="BC501" s="27"/>
      <c r="BD501" s="27"/>
      <c r="BE501" s="215"/>
      <c r="BF501" s="215"/>
      <c r="BG501" s="215"/>
      <c r="BH501" s="215"/>
      <c r="BI501" s="215"/>
    </row>
    <row r="502" spans="1:61" s="193" customFormat="1" ht="34.5" customHeight="1" x14ac:dyDescent="0.25">
      <c r="A502" s="269"/>
      <c r="B502" s="265"/>
      <c r="C502" s="35"/>
      <c r="D502" s="35"/>
      <c r="E502" s="35"/>
      <c r="F502" s="35"/>
      <c r="G502" s="73"/>
      <c r="H502" s="110"/>
      <c r="I502" s="35"/>
      <c r="J502" s="35"/>
      <c r="K502" s="36"/>
      <c r="L502" s="108"/>
      <c r="M502" s="35"/>
      <c r="N502" s="36"/>
      <c r="O502" s="36"/>
      <c r="P502" s="110"/>
      <c r="Q502" s="69"/>
      <c r="R502" s="69"/>
      <c r="S502" s="69"/>
      <c r="T502" s="35"/>
      <c r="U502" s="6" t="s">
        <v>425</v>
      </c>
      <c r="V502" s="10">
        <v>42436</v>
      </c>
      <c r="W502" s="11">
        <v>11763</v>
      </c>
      <c r="X502" s="6" t="s">
        <v>407</v>
      </c>
      <c r="Y502" s="10"/>
      <c r="Z502" s="10"/>
      <c r="AA502" s="23">
        <f>AC502/AE500</f>
        <v>0.12048737201365187</v>
      </c>
      <c r="AB502" s="21"/>
      <c r="AC502" s="24">
        <f>(362.7*9)+(362.7/30*22)</f>
        <v>3530.2799999999997</v>
      </c>
      <c r="AD502" s="24"/>
      <c r="AE502" s="25">
        <f>AE500-AD502+AC502</f>
        <v>32830.28</v>
      </c>
      <c r="AF502" s="107"/>
      <c r="AG502" s="107">
        <v>0</v>
      </c>
      <c r="AH502" s="12">
        <f t="shared" si="21"/>
        <v>0</v>
      </c>
      <c r="AI502" s="21"/>
      <c r="AJ502" s="150"/>
      <c r="AK502" s="21"/>
      <c r="AL502" s="21"/>
      <c r="AM502" s="51"/>
      <c r="AN502" s="51"/>
      <c r="AO502" s="114"/>
      <c r="AP502" s="52"/>
      <c r="AQ502" s="114"/>
      <c r="AR502" s="52"/>
      <c r="AS502" s="51"/>
      <c r="AT502" s="114"/>
      <c r="AU502" s="10"/>
      <c r="AV502" s="11"/>
      <c r="AW502" s="10"/>
      <c r="AX502" s="21"/>
      <c r="AY502" s="27"/>
      <c r="AZ502" s="27"/>
      <c r="BA502" s="27"/>
      <c r="BB502" s="27"/>
      <c r="BC502" s="27"/>
      <c r="BD502" s="27"/>
      <c r="BE502" s="215"/>
      <c r="BF502" s="215"/>
      <c r="BG502" s="215"/>
      <c r="BH502" s="215"/>
      <c r="BI502" s="215"/>
    </row>
    <row r="503" spans="1:61" s="193" customFormat="1" ht="64.5" customHeight="1" x14ac:dyDescent="0.25">
      <c r="A503" s="273">
        <v>118</v>
      </c>
      <c r="B503" s="266" t="s">
        <v>660</v>
      </c>
      <c r="C503" s="27"/>
      <c r="D503" s="21" t="s">
        <v>292</v>
      </c>
      <c r="E503" s="21" t="s">
        <v>123</v>
      </c>
      <c r="F503" s="21" t="s">
        <v>778</v>
      </c>
      <c r="G503" s="21"/>
      <c r="H503" s="6" t="s">
        <v>779</v>
      </c>
      <c r="I503" s="21" t="s">
        <v>780</v>
      </c>
      <c r="J503" s="21" t="s">
        <v>781</v>
      </c>
      <c r="K503" s="10" t="s">
        <v>783</v>
      </c>
      <c r="L503" s="24">
        <v>7799.2</v>
      </c>
      <c r="M503" s="6" t="s">
        <v>665</v>
      </c>
      <c r="N503" s="10">
        <v>42213</v>
      </c>
      <c r="O503" s="10">
        <v>42273</v>
      </c>
      <c r="P503" s="6" t="s">
        <v>157</v>
      </c>
      <c r="Q503" s="150"/>
      <c r="R503" s="21"/>
      <c r="S503" s="21"/>
      <c r="T503" s="21" t="s">
        <v>160</v>
      </c>
      <c r="U503" s="6"/>
      <c r="V503" s="10"/>
      <c r="W503" s="11"/>
      <c r="X503" s="6"/>
      <c r="Y503" s="10"/>
      <c r="Z503" s="10"/>
      <c r="AA503" s="23"/>
      <c r="AB503" s="21"/>
      <c r="AC503" s="24"/>
      <c r="AD503" s="24"/>
      <c r="AE503" s="25"/>
      <c r="AF503" s="107"/>
      <c r="AG503" s="107">
        <v>7799.02</v>
      </c>
      <c r="AH503" s="12">
        <f t="shared" si="21"/>
        <v>7799.02</v>
      </c>
      <c r="AI503" s="21"/>
      <c r="AJ503" s="150"/>
      <c r="AK503" s="21"/>
      <c r="AL503" s="21"/>
      <c r="AM503" s="51" t="s">
        <v>452</v>
      </c>
      <c r="AN503" s="21" t="s">
        <v>244</v>
      </c>
      <c r="AO503" s="114">
        <v>11596</v>
      </c>
      <c r="AP503" s="52" t="s">
        <v>782</v>
      </c>
      <c r="AQ503" s="114">
        <v>11601</v>
      </c>
      <c r="AR503" s="52">
        <v>42206</v>
      </c>
      <c r="AS503" s="51"/>
      <c r="AT503" s="114"/>
      <c r="AU503" s="10"/>
      <c r="AV503" s="11"/>
      <c r="AW503" s="10"/>
      <c r="AX503" s="21"/>
      <c r="AY503" s="27"/>
      <c r="AZ503" s="27"/>
      <c r="BA503" s="27"/>
      <c r="BB503" s="27"/>
      <c r="BC503" s="27"/>
      <c r="BD503" s="27"/>
      <c r="BE503" s="215"/>
      <c r="BF503" s="215"/>
      <c r="BG503" s="215"/>
      <c r="BH503" s="215"/>
      <c r="BI503" s="215"/>
    </row>
    <row r="504" spans="1:61" s="193" customFormat="1" ht="49.5" customHeight="1" x14ac:dyDescent="0.25">
      <c r="A504" s="272">
        <v>119</v>
      </c>
      <c r="B504" s="266" t="s">
        <v>660</v>
      </c>
      <c r="C504" s="27"/>
      <c r="D504" s="21" t="s">
        <v>292</v>
      </c>
      <c r="E504" s="21" t="s">
        <v>123</v>
      </c>
      <c r="F504" s="21" t="s">
        <v>661</v>
      </c>
      <c r="G504" s="21"/>
      <c r="H504" s="6" t="s">
        <v>662</v>
      </c>
      <c r="I504" s="21" t="s">
        <v>663</v>
      </c>
      <c r="J504" s="21" t="s">
        <v>664</v>
      </c>
      <c r="K504" s="10">
        <v>42183</v>
      </c>
      <c r="L504" s="24">
        <v>3000</v>
      </c>
      <c r="M504" s="6" t="s">
        <v>665</v>
      </c>
      <c r="N504" s="10">
        <v>42183</v>
      </c>
      <c r="O504" s="10">
        <v>42369</v>
      </c>
      <c r="P504" s="6" t="s">
        <v>157</v>
      </c>
      <c r="Q504" s="150"/>
      <c r="R504" s="21"/>
      <c r="S504" s="21"/>
      <c r="T504" s="21" t="s">
        <v>204</v>
      </c>
      <c r="U504" s="6"/>
      <c r="V504" s="10"/>
      <c r="W504" s="11"/>
      <c r="X504" s="6"/>
      <c r="Y504" s="10"/>
      <c r="Z504" s="10"/>
      <c r="AA504" s="23"/>
      <c r="AB504" s="21"/>
      <c r="AC504" s="24"/>
      <c r="AD504" s="24"/>
      <c r="AE504" s="25">
        <f t="shared" ref="AE504" si="22">L504-AD504+AC504</f>
        <v>3000</v>
      </c>
      <c r="AF504" s="107">
        <v>3000</v>
      </c>
      <c r="AG504" s="107">
        <v>0</v>
      </c>
      <c r="AH504" s="12">
        <f t="shared" si="21"/>
        <v>3000</v>
      </c>
      <c r="AI504" s="21"/>
      <c r="AJ504" s="150"/>
      <c r="AK504" s="21"/>
      <c r="AL504" s="21"/>
      <c r="AM504" s="21" t="s">
        <v>452</v>
      </c>
      <c r="AN504" s="21" t="s">
        <v>244</v>
      </c>
      <c r="AO504" s="11">
        <v>11596</v>
      </c>
      <c r="AP504" s="10" t="s">
        <v>666</v>
      </c>
      <c r="AQ504" s="11">
        <v>11601</v>
      </c>
      <c r="AR504" s="10">
        <v>42206</v>
      </c>
      <c r="AS504" s="21"/>
      <c r="AT504" s="11"/>
      <c r="AU504" s="10"/>
      <c r="AV504" s="11"/>
      <c r="AW504" s="10"/>
      <c r="AX504" s="21"/>
      <c r="AY504" s="27"/>
      <c r="AZ504" s="27"/>
      <c r="BA504" s="27"/>
      <c r="BB504" s="27"/>
      <c r="BC504" s="27"/>
      <c r="BD504" s="27"/>
      <c r="BE504" s="215"/>
      <c r="BF504" s="215"/>
      <c r="BG504" s="215"/>
      <c r="BH504" s="215"/>
      <c r="BI504" s="215"/>
    </row>
    <row r="505" spans="1:61" s="193" customFormat="1" ht="24.75" customHeight="1" x14ac:dyDescent="0.25">
      <c r="A505" s="274">
        <v>120</v>
      </c>
      <c r="B505" s="254" t="s">
        <v>533</v>
      </c>
      <c r="C505" s="16"/>
      <c r="D505" s="16" t="s">
        <v>291</v>
      </c>
      <c r="E505" s="16" t="s">
        <v>123</v>
      </c>
      <c r="F505" s="16" t="s">
        <v>293</v>
      </c>
      <c r="G505" s="63"/>
      <c r="H505" s="16" t="s">
        <v>403</v>
      </c>
      <c r="I505" s="16" t="s">
        <v>296</v>
      </c>
      <c r="J505" s="16" t="s">
        <v>404</v>
      </c>
      <c r="K505" s="17">
        <v>41647</v>
      </c>
      <c r="L505" s="18">
        <v>17700</v>
      </c>
      <c r="M505" s="63">
        <v>11281</v>
      </c>
      <c r="N505" s="20">
        <v>41647</v>
      </c>
      <c r="O505" s="20">
        <v>42004</v>
      </c>
      <c r="P505" s="15">
        <v>1</v>
      </c>
      <c r="Q505" s="16"/>
      <c r="R505" s="16"/>
      <c r="S505" s="16"/>
      <c r="T505" s="15" t="s">
        <v>159</v>
      </c>
      <c r="U505" s="21"/>
      <c r="V505" s="21"/>
      <c r="W505" s="11"/>
      <c r="X505" s="21"/>
      <c r="Y505" s="21"/>
      <c r="Z505" s="21"/>
      <c r="AA505" s="23"/>
      <c r="AB505" s="21"/>
      <c r="AC505" s="24"/>
      <c r="AD505" s="24"/>
      <c r="AE505" s="25">
        <f>L505-AD505+AC505</f>
        <v>17700</v>
      </c>
      <c r="AF505" s="7">
        <f>8700+1500+1500+1500+1500+21650.42</f>
        <v>36350.42</v>
      </c>
      <c r="AG505" s="107">
        <v>0</v>
      </c>
      <c r="AH505" s="12">
        <f t="shared" si="21"/>
        <v>36350.42</v>
      </c>
      <c r="AI505" s="21"/>
      <c r="AJ505" s="11"/>
      <c r="AK505" s="21"/>
      <c r="AL505" s="27"/>
      <c r="AM505" s="21" t="s">
        <v>452</v>
      </c>
      <c r="AN505" s="21" t="s">
        <v>532</v>
      </c>
      <c r="AO505" s="11">
        <v>11279</v>
      </c>
      <c r="AP505" s="10">
        <v>41733</v>
      </c>
      <c r="AQ505" s="11"/>
      <c r="AR505" s="10"/>
      <c r="AS505" s="21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</row>
    <row r="506" spans="1:61" s="193" customFormat="1" ht="30.75" customHeight="1" x14ac:dyDescent="0.25">
      <c r="A506" s="275"/>
      <c r="B506" s="252"/>
      <c r="C506" s="29"/>
      <c r="D506" s="29"/>
      <c r="E506" s="29"/>
      <c r="F506" s="29"/>
      <c r="G506" s="67"/>
      <c r="H506" s="29"/>
      <c r="I506" s="29"/>
      <c r="J506" s="29"/>
      <c r="K506" s="30"/>
      <c r="L506" s="31"/>
      <c r="M506" s="67"/>
      <c r="N506" s="33"/>
      <c r="O506" s="33"/>
      <c r="P506" s="28"/>
      <c r="Q506" s="29"/>
      <c r="R506" s="29"/>
      <c r="S506" s="29"/>
      <c r="T506" s="28"/>
      <c r="U506" s="21" t="s">
        <v>145</v>
      </c>
      <c r="V506" s="10">
        <v>42003</v>
      </c>
      <c r="W506" s="11">
        <v>11488</v>
      </c>
      <c r="X506" s="21" t="s">
        <v>542</v>
      </c>
      <c r="Y506" s="10">
        <v>42005</v>
      </c>
      <c r="Z506" s="10">
        <v>42369</v>
      </c>
      <c r="AA506" s="23"/>
      <c r="AB506" s="21"/>
      <c r="AC506" s="24"/>
      <c r="AD506" s="24"/>
      <c r="AE506" s="25">
        <f>1500*12</f>
        <v>18000</v>
      </c>
      <c r="AF506" s="107"/>
      <c r="AG506" s="107">
        <f>1686.3+1719.1+1719.1</f>
        <v>5124.5</v>
      </c>
      <c r="AH506" s="12">
        <f t="shared" si="21"/>
        <v>5124.5</v>
      </c>
      <c r="AI506" s="21"/>
      <c r="AJ506" s="11"/>
      <c r="AK506" s="21"/>
      <c r="AL506" s="27"/>
      <c r="AM506" s="21"/>
      <c r="AN506" s="21"/>
      <c r="AO506" s="11"/>
      <c r="AP506" s="10"/>
      <c r="AQ506" s="11"/>
      <c r="AR506" s="10"/>
      <c r="AS506" s="21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</row>
    <row r="507" spans="1:61" s="193" customFormat="1" ht="30.75" customHeight="1" x14ac:dyDescent="0.25">
      <c r="A507" s="275"/>
      <c r="B507" s="252"/>
      <c r="C507" s="29"/>
      <c r="D507" s="29"/>
      <c r="E507" s="29"/>
      <c r="F507" s="29"/>
      <c r="G507" s="67"/>
      <c r="H507" s="29"/>
      <c r="I507" s="29"/>
      <c r="J507" s="29"/>
      <c r="K507" s="30"/>
      <c r="L507" s="31"/>
      <c r="M507" s="67"/>
      <c r="N507" s="33"/>
      <c r="O507" s="33"/>
      <c r="P507" s="28"/>
      <c r="Q507" s="29"/>
      <c r="R507" s="29"/>
      <c r="S507" s="29"/>
      <c r="T507" s="28"/>
      <c r="U507" s="21" t="s">
        <v>425</v>
      </c>
      <c r="V507" s="10">
        <v>42012</v>
      </c>
      <c r="W507" s="11"/>
      <c r="X507" s="21" t="s">
        <v>407</v>
      </c>
      <c r="Y507" s="10">
        <v>42012</v>
      </c>
      <c r="Z507" s="10">
        <v>42369</v>
      </c>
      <c r="AA507" s="23">
        <f>AC507/AE506</f>
        <v>3.6137777777777776E-2</v>
      </c>
      <c r="AB507" s="21"/>
      <c r="AC507" s="24">
        <v>650.48</v>
      </c>
      <c r="AD507" s="24"/>
      <c r="AE507" s="25">
        <f>AE506-AD507+AC507</f>
        <v>18650.48</v>
      </c>
      <c r="AF507" s="9"/>
      <c r="AG507" s="107"/>
      <c r="AH507" s="12">
        <f t="shared" si="21"/>
        <v>0</v>
      </c>
      <c r="AI507" s="21"/>
      <c r="AJ507" s="11"/>
      <c r="AK507" s="21"/>
      <c r="AL507" s="27"/>
      <c r="AM507" s="21"/>
      <c r="AN507" s="21"/>
      <c r="AO507" s="11"/>
      <c r="AP507" s="10"/>
      <c r="AQ507" s="11"/>
      <c r="AR507" s="10"/>
      <c r="AS507" s="21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</row>
    <row r="508" spans="1:61" s="193" customFormat="1" ht="30.75" customHeight="1" x14ac:dyDescent="0.25">
      <c r="A508" s="276"/>
      <c r="B508" s="253"/>
      <c r="C508" s="35"/>
      <c r="D508" s="35"/>
      <c r="E508" s="35"/>
      <c r="F508" s="35"/>
      <c r="G508" s="73"/>
      <c r="H508" s="35"/>
      <c r="I508" s="35"/>
      <c r="J508" s="35"/>
      <c r="K508" s="36"/>
      <c r="L508" s="37"/>
      <c r="M508" s="73"/>
      <c r="N508" s="39"/>
      <c r="O508" s="39"/>
      <c r="P508" s="34"/>
      <c r="Q508" s="35"/>
      <c r="R508" s="35"/>
      <c r="S508" s="35"/>
      <c r="T508" s="34"/>
      <c r="U508" s="21" t="s">
        <v>142</v>
      </c>
      <c r="V508" s="10">
        <v>42367</v>
      </c>
      <c r="W508" s="11">
        <v>11741</v>
      </c>
      <c r="X508" s="21" t="s">
        <v>542</v>
      </c>
      <c r="Y508" s="10">
        <v>42370</v>
      </c>
      <c r="Z508" s="10">
        <v>42735</v>
      </c>
      <c r="AA508" s="23">
        <f>AC508/AE507</f>
        <v>0.10375389802299995</v>
      </c>
      <c r="AB508" s="21"/>
      <c r="AC508" s="24">
        <f>SUM(163.98*11)+(5.47*24)</f>
        <v>1935.06</v>
      </c>
      <c r="AD508" s="24"/>
      <c r="AE508" s="25">
        <f>(AE507-AD508+AC508)</f>
        <v>20585.54</v>
      </c>
      <c r="AF508" s="9"/>
      <c r="AG508" s="107">
        <v>0</v>
      </c>
      <c r="AH508" s="12">
        <f t="shared" si="21"/>
        <v>0</v>
      </c>
      <c r="AI508" s="21"/>
      <c r="AJ508" s="11"/>
      <c r="AK508" s="21"/>
      <c r="AL508" s="27"/>
      <c r="AM508" s="21"/>
      <c r="AN508" s="21"/>
      <c r="AO508" s="11"/>
      <c r="AP508" s="10"/>
      <c r="AQ508" s="11"/>
      <c r="AR508" s="10"/>
      <c r="AS508" s="21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</row>
    <row r="509" spans="1:61" s="193" customFormat="1" ht="32.25" customHeight="1" x14ac:dyDescent="0.25">
      <c r="A509" s="277">
        <v>121</v>
      </c>
      <c r="B509" s="259" t="s">
        <v>282</v>
      </c>
      <c r="C509" s="44"/>
      <c r="D509" s="44" t="s">
        <v>292</v>
      </c>
      <c r="E509" s="44" t="s">
        <v>123</v>
      </c>
      <c r="F509" s="44" t="s">
        <v>294</v>
      </c>
      <c r="G509" s="118"/>
      <c r="H509" s="44" t="s">
        <v>295</v>
      </c>
      <c r="I509" s="44" t="s">
        <v>288</v>
      </c>
      <c r="J509" s="44" t="s">
        <v>352</v>
      </c>
      <c r="K509" s="45">
        <v>41752</v>
      </c>
      <c r="L509" s="46">
        <v>1696985.05</v>
      </c>
      <c r="M509" s="44">
        <v>11296</v>
      </c>
      <c r="N509" s="48">
        <v>41752</v>
      </c>
      <c r="O509" s="48">
        <v>41966</v>
      </c>
      <c r="P509" s="151" t="s">
        <v>157</v>
      </c>
      <c r="Q509" s="44"/>
      <c r="R509" s="44"/>
      <c r="S509" s="44"/>
      <c r="T509" s="44" t="s">
        <v>297</v>
      </c>
      <c r="U509" s="54"/>
      <c r="V509" s="54"/>
      <c r="W509" s="98"/>
      <c r="X509" s="54"/>
      <c r="Y509" s="54"/>
      <c r="Z509" s="54"/>
      <c r="AA509" s="53"/>
      <c r="AB509" s="54"/>
      <c r="AC509" s="55"/>
      <c r="AD509" s="55"/>
      <c r="AE509" s="25">
        <f>L509-AD509+AC509</f>
        <v>1696985.05</v>
      </c>
      <c r="AF509" s="49">
        <f>31855.88+50410.06</f>
        <v>82265.94</v>
      </c>
      <c r="AG509" s="107">
        <v>0</v>
      </c>
      <c r="AH509" s="12">
        <f t="shared" si="21"/>
        <v>82265.94</v>
      </c>
      <c r="AI509" s="44"/>
      <c r="AJ509" s="118"/>
      <c r="AK509" s="44"/>
      <c r="AL509" s="43"/>
      <c r="AM509" s="44" t="s">
        <v>452</v>
      </c>
      <c r="AN509" s="44" t="s">
        <v>453</v>
      </c>
      <c r="AO509" s="118">
        <v>11290</v>
      </c>
      <c r="AP509" s="45">
        <v>41753</v>
      </c>
      <c r="AQ509" s="118"/>
      <c r="AR509" s="45"/>
      <c r="AS509" s="44" t="s">
        <v>449</v>
      </c>
      <c r="AT509" s="43" t="s">
        <v>448</v>
      </c>
      <c r="AU509" s="131">
        <v>41752</v>
      </c>
      <c r="AV509" s="131">
        <v>41902</v>
      </c>
      <c r="AW509" s="152">
        <f>(AH509+AH511+AH515)/AE509</f>
        <v>0.62645877758322022</v>
      </c>
      <c r="AX509" s="43"/>
      <c r="AY509" s="48">
        <v>41752</v>
      </c>
      <c r="AZ509" s="43" t="s">
        <v>400</v>
      </c>
      <c r="BA509" s="43" t="s">
        <v>401</v>
      </c>
      <c r="BB509" s="43"/>
      <c r="BC509" s="43"/>
      <c r="BD509" s="43"/>
    </row>
    <row r="510" spans="1:61" s="193" customFormat="1" ht="32.25" customHeight="1" x14ac:dyDescent="0.25">
      <c r="A510" s="277"/>
      <c r="B510" s="259"/>
      <c r="C510" s="44"/>
      <c r="D510" s="44"/>
      <c r="E510" s="44"/>
      <c r="F510" s="44"/>
      <c r="G510" s="118"/>
      <c r="H510" s="44"/>
      <c r="I510" s="44"/>
      <c r="J510" s="44"/>
      <c r="K510" s="45"/>
      <c r="L510" s="46"/>
      <c r="M510" s="44"/>
      <c r="N510" s="48"/>
      <c r="O510" s="48"/>
      <c r="P510" s="151"/>
      <c r="Q510" s="44"/>
      <c r="R510" s="44"/>
      <c r="S510" s="44"/>
      <c r="T510" s="44"/>
      <c r="U510" s="21" t="s">
        <v>145</v>
      </c>
      <c r="V510" s="99">
        <v>41901</v>
      </c>
      <c r="W510" s="98">
        <v>11441</v>
      </c>
      <c r="X510" s="21" t="s">
        <v>595</v>
      </c>
      <c r="Y510" s="99">
        <v>41962</v>
      </c>
      <c r="Z510" s="99">
        <v>42172</v>
      </c>
      <c r="AA510" s="53"/>
      <c r="AB510" s="54"/>
      <c r="AC510" s="55"/>
      <c r="AD510" s="55"/>
      <c r="AE510" s="25"/>
      <c r="AF510" s="50"/>
      <c r="AG510" s="107">
        <v>0</v>
      </c>
      <c r="AH510" s="12">
        <f t="shared" si="21"/>
        <v>0</v>
      </c>
      <c r="AI510" s="44"/>
      <c r="AJ510" s="118"/>
      <c r="AK510" s="44"/>
      <c r="AL510" s="43"/>
      <c r="AM510" s="44"/>
      <c r="AN510" s="44"/>
      <c r="AO510" s="118"/>
      <c r="AP510" s="45"/>
      <c r="AQ510" s="118"/>
      <c r="AR510" s="45"/>
      <c r="AS510" s="44"/>
      <c r="AT510" s="43"/>
      <c r="AU510" s="131">
        <v>41904</v>
      </c>
      <c r="AV510" s="131">
        <v>42052</v>
      </c>
      <c r="AW510" s="152"/>
      <c r="AX510" s="43"/>
      <c r="AY510" s="43"/>
      <c r="AZ510" s="43"/>
      <c r="BA510" s="43"/>
      <c r="BB510" s="43"/>
      <c r="BC510" s="43"/>
      <c r="BD510" s="43"/>
    </row>
    <row r="511" spans="1:61" s="193" customFormat="1" ht="21.75" customHeight="1" x14ac:dyDescent="0.25">
      <c r="A511" s="277"/>
      <c r="B511" s="259"/>
      <c r="C511" s="44"/>
      <c r="D511" s="44"/>
      <c r="E511" s="44"/>
      <c r="F511" s="44"/>
      <c r="G511" s="118"/>
      <c r="H511" s="44"/>
      <c r="I511" s="44"/>
      <c r="J511" s="44"/>
      <c r="K511" s="45"/>
      <c r="L511" s="46"/>
      <c r="M511" s="44"/>
      <c r="N511" s="48"/>
      <c r="O511" s="48"/>
      <c r="P511" s="153" t="s">
        <v>525</v>
      </c>
      <c r="Q511" s="44"/>
      <c r="R511" s="44"/>
      <c r="S511" s="44"/>
      <c r="T511" s="44"/>
      <c r="U511" s="21" t="s">
        <v>142</v>
      </c>
      <c r="V511" s="99">
        <v>42041</v>
      </c>
      <c r="W511" s="98">
        <v>11495</v>
      </c>
      <c r="X511" s="21" t="s">
        <v>596</v>
      </c>
      <c r="Y511" s="99">
        <v>41962</v>
      </c>
      <c r="Z511" s="99">
        <v>42172</v>
      </c>
      <c r="AA511" s="53"/>
      <c r="AB511" s="54"/>
      <c r="AC511" s="55"/>
      <c r="AD511" s="55"/>
      <c r="AE511" s="25"/>
      <c r="AF511" s="26">
        <f>109220.38+19839.64+143464.87</f>
        <v>272524.89</v>
      </c>
      <c r="AG511" s="107">
        <f>27276.42+44829.48</f>
        <v>72105.899999999994</v>
      </c>
      <c r="AH511" s="12">
        <f t="shared" si="21"/>
        <v>344630.79000000004</v>
      </c>
      <c r="AI511" s="44"/>
      <c r="AJ511" s="118"/>
      <c r="AK511" s="44"/>
      <c r="AL511" s="43"/>
      <c r="AM511" s="44"/>
      <c r="AN511" s="44"/>
      <c r="AO511" s="118"/>
      <c r="AP511" s="45"/>
      <c r="AQ511" s="118"/>
      <c r="AR511" s="45"/>
      <c r="AS511" s="44"/>
      <c r="AT511" s="43"/>
      <c r="AU511" s="131">
        <v>42052</v>
      </c>
      <c r="AV511" s="131">
        <v>42202</v>
      </c>
      <c r="AW511" s="152"/>
      <c r="AX511" s="43"/>
      <c r="AY511" s="43"/>
      <c r="AZ511" s="43"/>
      <c r="BA511" s="43"/>
      <c r="BB511" s="43"/>
      <c r="BC511" s="43"/>
      <c r="BD511" s="43"/>
    </row>
    <row r="512" spans="1:61" s="193" customFormat="1" ht="32.25" customHeight="1" x14ac:dyDescent="0.25">
      <c r="A512" s="277"/>
      <c r="B512" s="259"/>
      <c r="C512" s="44"/>
      <c r="D512" s="44"/>
      <c r="E512" s="44"/>
      <c r="F512" s="44"/>
      <c r="G512" s="118"/>
      <c r="H512" s="44"/>
      <c r="I512" s="44"/>
      <c r="J512" s="44"/>
      <c r="K512" s="45"/>
      <c r="L512" s="46"/>
      <c r="M512" s="44"/>
      <c r="N512" s="48"/>
      <c r="O512" s="48"/>
      <c r="P512" s="153"/>
      <c r="Q512" s="44"/>
      <c r="R512" s="44"/>
      <c r="S512" s="44"/>
      <c r="T512" s="44"/>
      <c r="U512" s="21" t="s">
        <v>125</v>
      </c>
      <c r="V512" s="99">
        <v>42163</v>
      </c>
      <c r="W512" s="98">
        <v>11571</v>
      </c>
      <c r="X512" s="21" t="s">
        <v>595</v>
      </c>
      <c r="Y512" s="99">
        <v>42172</v>
      </c>
      <c r="Z512" s="99">
        <v>42382</v>
      </c>
      <c r="AA512" s="53"/>
      <c r="AB512" s="54"/>
      <c r="AC512" s="55"/>
      <c r="AD512" s="55"/>
      <c r="AE512" s="25">
        <f>AE509-AD512+AC512</f>
        <v>1696985.05</v>
      </c>
      <c r="AF512" s="26"/>
      <c r="AG512" s="107">
        <v>0</v>
      </c>
      <c r="AH512" s="12">
        <f t="shared" si="21"/>
        <v>0</v>
      </c>
      <c r="AI512" s="44"/>
      <c r="AJ512" s="118"/>
      <c r="AK512" s="44"/>
      <c r="AL512" s="43"/>
      <c r="AM512" s="44"/>
      <c r="AN512" s="44"/>
      <c r="AO512" s="118"/>
      <c r="AP512" s="45"/>
      <c r="AQ512" s="118"/>
      <c r="AR512" s="45"/>
      <c r="AS512" s="44"/>
      <c r="AT512" s="43"/>
      <c r="AU512" s="131">
        <v>42202</v>
      </c>
      <c r="AV512" s="131">
        <v>42352</v>
      </c>
      <c r="AW512" s="152"/>
      <c r="AX512" s="43"/>
      <c r="AY512" s="43"/>
      <c r="AZ512" s="43"/>
      <c r="BA512" s="43"/>
      <c r="BB512" s="43"/>
      <c r="BC512" s="43"/>
      <c r="BD512" s="43"/>
    </row>
    <row r="513" spans="1:62" s="193" customFormat="1" ht="21.75" customHeight="1" x14ac:dyDescent="0.25">
      <c r="A513" s="277"/>
      <c r="B513" s="259"/>
      <c r="C513" s="44"/>
      <c r="D513" s="44"/>
      <c r="E513" s="44"/>
      <c r="F513" s="44"/>
      <c r="G513" s="118"/>
      <c r="H513" s="44"/>
      <c r="I513" s="44"/>
      <c r="J513" s="44"/>
      <c r="K513" s="45"/>
      <c r="L513" s="46"/>
      <c r="M513" s="44"/>
      <c r="N513" s="48"/>
      <c r="O513" s="48"/>
      <c r="P513" s="153"/>
      <c r="Q513" s="44"/>
      <c r="R513" s="44"/>
      <c r="S513" s="44"/>
      <c r="T513" s="44"/>
      <c r="U513" s="21" t="s">
        <v>188</v>
      </c>
      <c r="V513" s="99">
        <v>42198</v>
      </c>
      <c r="W513" s="98">
        <v>11609</v>
      </c>
      <c r="X513" s="21" t="s">
        <v>344</v>
      </c>
      <c r="Y513" s="99">
        <v>41962</v>
      </c>
      <c r="Z513" s="99">
        <v>42172</v>
      </c>
      <c r="AA513" s="53">
        <f>AC513/AE512</f>
        <v>0.11532207075130095</v>
      </c>
      <c r="AB513" s="54"/>
      <c r="AC513" s="55">
        <v>195699.83</v>
      </c>
      <c r="AD513" s="55"/>
      <c r="AE513" s="25">
        <f>AE512-AD513+AC513</f>
        <v>1892684.8800000001</v>
      </c>
      <c r="AF513" s="26"/>
      <c r="AG513" s="107"/>
      <c r="AH513" s="12">
        <f t="shared" si="21"/>
        <v>0</v>
      </c>
      <c r="AI513" s="44"/>
      <c r="AJ513" s="118"/>
      <c r="AK513" s="44"/>
      <c r="AL513" s="43"/>
      <c r="AM513" s="44"/>
      <c r="AN513" s="44"/>
      <c r="AO513" s="118"/>
      <c r="AP513" s="45"/>
      <c r="AQ513" s="118"/>
      <c r="AR513" s="45"/>
      <c r="AS513" s="44"/>
      <c r="AT513" s="43"/>
      <c r="AU513" s="131"/>
      <c r="AV513" s="131"/>
      <c r="AW513" s="152"/>
      <c r="AX513" s="43"/>
      <c r="AY513" s="43"/>
      <c r="AZ513" s="43"/>
      <c r="BA513" s="43"/>
      <c r="BB513" s="43"/>
      <c r="BC513" s="43"/>
      <c r="BD513" s="43"/>
    </row>
    <row r="514" spans="1:62" s="193" customFormat="1" ht="26.25" customHeight="1" x14ac:dyDescent="0.25">
      <c r="A514" s="277"/>
      <c r="B514" s="259"/>
      <c r="C514" s="44"/>
      <c r="D514" s="44"/>
      <c r="E514" s="44"/>
      <c r="F514" s="44"/>
      <c r="G514" s="118"/>
      <c r="H514" s="44"/>
      <c r="I514" s="44"/>
      <c r="J514" s="44"/>
      <c r="K514" s="45"/>
      <c r="L514" s="46"/>
      <c r="M514" s="44"/>
      <c r="N514" s="48"/>
      <c r="O514" s="48"/>
      <c r="P514" s="153"/>
      <c r="Q514" s="44"/>
      <c r="R514" s="44"/>
      <c r="S514" s="44"/>
      <c r="T514" s="44"/>
      <c r="U514" s="21" t="s">
        <v>796</v>
      </c>
      <c r="V514" s="99">
        <v>42348</v>
      </c>
      <c r="W514" s="98">
        <v>11739</v>
      </c>
      <c r="X514" s="21" t="s">
        <v>595</v>
      </c>
      <c r="Y514" s="99">
        <v>42382</v>
      </c>
      <c r="Z514" s="99">
        <v>42592</v>
      </c>
      <c r="AA514" s="53"/>
      <c r="AB514" s="54"/>
      <c r="AC514" s="55"/>
      <c r="AD514" s="55"/>
      <c r="AE514" s="25"/>
      <c r="AF514" s="26"/>
      <c r="AG514" s="107"/>
      <c r="AH514" s="12">
        <f t="shared" si="21"/>
        <v>0</v>
      </c>
      <c r="AI514" s="44"/>
      <c r="AJ514" s="118"/>
      <c r="AK514" s="44"/>
      <c r="AL514" s="43"/>
      <c r="AM514" s="44"/>
      <c r="AN514" s="44"/>
      <c r="AO514" s="118"/>
      <c r="AP514" s="45"/>
      <c r="AQ514" s="118"/>
      <c r="AR514" s="45"/>
      <c r="AS514" s="44"/>
      <c r="AT514" s="43"/>
      <c r="AU514" s="131">
        <v>42352</v>
      </c>
      <c r="AV514" s="131">
        <v>42502</v>
      </c>
      <c r="AW514" s="152"/>
      <c r="AX514" s="43"/>
      <c r="AY514" s="43"/>
      <c r="AZ514" s="43"/>
      <c r="BA514" s="43"/>
      <c r="BB514" s="43"/>
      <c r="BC514" s="43"/>
      <c r="BD514" s="43"/>
    </row>
    <row r="515" spans="1:62" ht="30" customHeight="1" thickBot="1" x14ac:dyDescent="0.3">
      <c r="A515" s="278"/>
      <c r="B515" s="254"/>
      <c r="C515" s="16"/>
      <c r="D515" s="16"/>
      <c r="E515" s="16"/>
      <c r="F515" s="16"/>
      <c r="G515" s="63"/>
      <c r="H515" s="16"/>
      <c r="I515" s="16"/>
      <c r="J515" s="16"/>
      <c r="K515" s="17"/>
      <c r="L515" s="18"/>
      <c r="M515" s="16"/>
      <c r="N515" s="20"/>
      <c r="O515" s="20"/>
      <c r="P515" s="279" t="s">
        <v>314</v>
      </c>
      <c r="Q515" s="16"/>
      <c r="R515" s="16"/>
      <c r="S515" s="16"/>
      <c r="T515" s="16"/>
      <c r="U515" s="69"/>
      <c r="V515" s="100"/>
      <c r="W515" s="280"/>
      <c r="X515" s="69"/>
      <c r="Y515" s="100"/>
      <c r="Z515" s="100"/>
      <c r="AA515" s="281"/>
      <c r="AB515" s="128"/>
      <c r="AC515" s="12"/>
      <c r="AD515" s="12"/>
      <c r="AE515" s="70"/>
      <c r="AF515" s="56">
        <f>85328.59+171313.99+77316.08+157405.63</f>
        <v>491364.29</v>
      </c>
      <c r="AG515" s="7">
        <f>77391.52+67438.64</f>
        <v>144830.16</v>
      </c>
      <c r="AH515" s="12">
        <f t="shared" si="21"/>
        <v>636194.44999999995</v>
      </c>
      <c r="AI515" s="16"/>
      <c r="AJ515" s="63"/>
      <c r="AK515" s="16"/>
      <c r="AL515" s="15"/>
      <c r="AM515" s="16"/>
      <c r="AN515" s="16"/>
      <c r="AO515" s="63"/>
      <c r="AP515" s="17"/>
      <c r="AQ515" s="63"/>
      <c r="AR515" s="17"/>
      <c r="AS515" s="16"/>
      <c r="AT515" s="15"/>
      <c r="AU515" s="282"/>
      <c r="AV515" s="282"/>
      <c r="AW515" s="166"/>
      <c r="AX515" s="15"/>
      <c r="AY515" s="15"/>
      <c r="AZ515" s="15"/>
      <c r="BA515" s="15"/>
      <c r="BB515" s="15"/>
      <c r="BC515" s="15"/>
      <c r="BD515" s="15"/>
    </row>
    <row r="516" spans="1:62" ht="13.5" thickBot="1" x14ac:dyDescent="0.3">
      <c r="A516" s="283" t="s">
        <v>742</v>
      </c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5">
        <f>SUM(L25:L515)</f>
        <v>35878379.570000008</v>
      </c>
      <c r="M516" s="286"/>
      <c r="N516" s="286"/>
      <c r="O516" s="286"/>
      <c r="P516" s="286"/>
      <c r="Q516" s="286"/>
      <c r="R516" s="286"/>
      <c r="S516" s="286"/>
      <c r="T516" s="286"/>
      <c r="U516" s="287"/>
      <c r="V516" s="286"/>
      <c r="W516" s="288"/>
      <c r="X516" s="286"/>
      <c r="Y516" s="286"/>
      <c r="Z516" s="286"/>
      <c r="AA516" s="289"/>
      <c r="AB516" s="286"/>
      <c r="AC516" s="290">
        <f t="shared" ref="AC516:AH516" si="23">SUM(AC25:AC515)</f>
        <v>12314638.459999993</v>
      </c>
      <c r="AD516" s="291">
        <f t="shared" si="23"/>
        <v>816139.06</v>
      </c>
      <c r="AE516" s="292">
        <f t="shared" si="23"/>
        <v>188592514.92000005</v>
      </c>
      <c r="AF516" s="293">
        <f t="shared" si="23"/>
        <v>42970870.340000004</v>
      </c>
      <c r="AG516" s="285">
        <f t="shared" si="23"/>
        <v>7876687.5700000012</v>
      </c>
      <c r="AH516" s="285">
        <f t="shared" si="23"/>
        <v>50847557.910000004</v>
      </c>
      <c r="AI516" s="290"/>
      <c r="AJ516" s="290"/>
      <c r="AK516" s="290"/>
      <c r="AL516" s="290"/>
      <c r="AM516" s="294"/>
      <c r="AN516" s="294"/>
      <c r="AO516" s="295"/>
      <c r="AP516" s="296"/>
      <c r="AQ516" s="295"/>
      <c r="AR516" s="296"/>
      <c r="AS516" s="294"/>
      <c r="AT516" s="287"/>
      <c r="AU516" s="287"/>
      <c r="AV516" s="287"/>
      <c r="AW516" s="287"/>
      <c r="AX516" s="287"/>
      <c r="AY516" s="287"/>
      <c r="AZ516" s="287"/>
      <c r="BA516" s="287"/>
      <c r="BB516" s="287"/>
      <c r="BC516" s="287"/>
      <c r="BD516" s="297"/>
    </row>
    <row r="517" spans="1:62" x14ac:dyDescent="0.25">
      <c r="B517" s="215"/>
      <c r="C517" s="216"/>
      <c r="D517" s="216"/>
      <c r="E517" s="216"/>
      <c r="F517" s="216"/>
      <c r="G517" s="216"/>
    </row>
    <row r="518" spans="1:62" x14ac:dyDescent="0.25">
      <c r="B518" s="217"/>
      <c r="C518" s="217"/>
      <c r="D518" s="217"/>
      <c r="E518" s="218"/>
      <c r="F518" s="218"/>
      <c r="G518" s="218"/>
      <c r="AH518" s="204"/>
    </row>
    <row r="519" spans="1:62" x14ac:dyDescent="0.25">
      <c r="B519" s="215"/>
    </row>
    <row r="520" spans="1:62" s="160" customFormat="1" ht="15" x14ac:dyDescent="0.25">
      <c r="A520" s="162" t="s">
        <v>879</v>
      </c>
      <c r="B520" s="162"/>
      <c r="C520" s="162"/>
      <c r="D520" s="162"/>
      <c r="P520" s="159"/>
      <c r="U520" s="159"/>
      <c r="W520" s="161"/>
      <c r="AA520" s="298"/>
      <c r="AD520" s="299"/>
      <c r="BE520" s="163"/>
      <c r="BF520" s="163"/>
      <c r="BG520" s="163"/>
      <c r="BH520" s="163"/>
      <c r="BI520" s="163"/>
      <c r="BJ520" s="163"/>
    </row>
    <row r="521" spans="1:62" s="160" customFormat="1" ht="15" x14ac:dyDescent="0.25">
      <c r="A521" s="300" t="s">
        <v>880</v>
      </c>
      <c r="B521" s="300"/>
      <c r="C521" s="300"/>
      <c r="D521" s="300"/>
      <c r="E521" s="300"/>
      <c r="F521" s="300"/>
      <c r="P521" s="159"/>
      <c r="U521" s="159"/>
      <c r="W521" s="161"/>
      <c r="AA521" s="298"/>
      <c r="AD521" s="299"/>
      <c r="BE521" s="163"/>
      <c r="BF521" s="163"/>
      <c r="BG521" s="163"/>
      <c r="BH521" s="163"/>
      <c r="BI521" s="163"/>
      <c r="BJ521" s="163"/>
    </row>
    <row r="524" spans="1:62" x14ac:dyDescent="0.25">
      <c r="A524" s="195"/>
      <c r="B524" s="196"/>
      <c r="C524" s="196"/>
      <c r="D524" s="196"/>
      <c r="E524" s="196"/>
      <c r="F524" s="196"/>
      <c r="G524" s="196"/>
    </row>
    <row r="525" spans="1:62" x14ac:dyDescent="0.25">
      <c r="A525" s="195"/>
      <c r="B525" s="196"/>
      <c r="C525" s="196"/>
      <c r="D525" s="196"/>
      <c r="E525" s="196"/>
      <c r="F525" s="196"/>
      <c r="G525" s="196"/>
    </row>
    <row r="526" spans="1:62" x14ac:dyDescent="0.25">
      <c r="A526" s="195"/>
      <c r="B526" s="196"/>
      <c r="C526" s="196"/>
      <c r="D526" s="196"/>
      <c r="E526" s="196"/>
      <c r="F526" s="196"/>
      <c r="G526" s="196"/>
    </row>
    <row r="527" spans="1:62" x14ac:dyDescent="0.25">
      <c r="A527" s="3"/>
      <c r="B527" s="196"/>
      <c r="C527" s="196"/>
      <c r="D527" s="196"/>
      <c r="E527" s="196"/>
      <c r="F527" s="196"/>
      <c r="G527" s="196"/>
    </row>
    <row r="528" spans="1:62" x14ac:dyDescent="0.25">
      <c r="B528" s="196"/>
      <c r="C528" s="196"/>
      <c r="D528" s="196"/>
      <c r="E528" s="196"/>
      <c r="F528" s="196"/>
      <c r="G528" s="196"/>
    </row>
    <row r="529" spans="1:7" x14ac:dyDescent="0.25">
      <c r="A529" s="3"/>
      <c r="B529" s="196"/>
      <c r="C529" s="196"/>
      <c r="D529" s="196"/>
      <c r="E529" s="196"/>
      <c r="F529" s="196"/>
      <c r="G529" s="196"/>
    </row>
    <row r="530" spans="1:7" x14ac:dyDescent="0.25">
      <c r="B530" s="3"/>
      <c r="C530" s="195"/>
      <c r="D530" s="195"/>
      <c r="E530" s="195"/>
      <c r="F530" s="195"/>
      <c r="G530" s="195"/>
    </row>
    <row r="531" spans="1:7" x14ac:dyDescent="0.25">
      <c r="B531" s="3"/>
      <c r="C531" s="207"/>
      <c r="D531" s="207"/>
      <c r="E531" s="207"/>
      <c r="F531" s="207"/>
      <c r="G531" s="207"/>
    </row>
    <row r="532" spans="1:7" x14ac:dyDescent="0.25">
      <c r="B532" s="3"/>
      <c r="C532" s="207"/>
      <c r="D532" s="207"/>
      <c r="E532" s="207"/>
      <c r="F532" s="207"/>
      <c r="G532" s="207"/>
    </row>
    <row r="533" spans="1:7" x14ac:dyDescent="0.25">
      <c r="B533" s="3"/>
      <c r="C533" s="207"/>
      <c r="D533" s="207"/>
      <c r="E533" s="207"/>
      <c r="F533" s="207"/>
      <c r="G533" s="207"/>
    </row>
    <row r="534" spans="1:7" x14ac:dyDescent="0.25">
      <c r="B534" s="3"/>
      <c r="C534" s="196"/>
      <c r="D534" s="196"/>
      <c r="E534" s="196"/>
      <c r="F534" s="196"/>
      <c r="G534" s="196"/>
    </row>
    <row r="535" spans="1:7" x14ac:dyDescent="0.25">
      <c r="B535" s="3"/>
      <c r="C535" s="196"/>
      <c r="D535" s="196"/>
      <c r="E535" s="196"/>
      <c r="F535" s="196"/>
      <c r="G535" s="196"/>
    </row>
    <row r="536" spans="1:7" x14ac:dyDescent="0.25">
      <c r="B536" s="195"/>
      <c r="C536" s="196"/>
      <c r="D536" s="196"/>
      <c r="E536" s="196"/>
      <c r="F536" s="196"/>
      <c r="G536" s="196"/>
    </row>
    <row r="537" spans="1:7" x14ac:dyDescent="0.25">
      <c r="B537" s="195"/>
      <c r="C537" s="196"/>
      <c r="D537" s="196"/>
      <c r="E537" s="196"/>
      <c r="F537" s="196"/>
      <c r="G537" s="196"/>
    </row>
    <row r="538" spans="1:7" x14ac:dyDescent="0.25">
      <c r="B538" s="3"/>
      <c r="C538" s="196"/>
      <c r="D538" s="196"/>
      <c r="E538" s="196"/>
      <c r="F538" s="196"/>
      <c r="G538" s="196"/>
    </row>
    <row r="539" spans="1:7" x14ac:dyDescent="0.25">
      <c r="B539" s="3"/>
      <c r="C539" s="207"/>
      <c r="D539" s="207"/>
      <c r="E539" s="207"/>
      <c r="F539" s="207"/>
      <c r="G539" s="207"/>
    </row>
    <row r="540" spans="1:7" x14ac:dyDescent="0.25">
      <c r="B540" s="3"/>
      <c r="C540" s="196"/>
      <c r="D540" s="196"/>
      <c r="E540" s="196"/>
      <c r="F540" s="196"/>
      <c r="G540" s="196"/>
    </row>
    <row r="541" spans="1:7" x14ac:dyDescent="0.25">
      <c r="B541" s="3"/>
      <c r="C541" s="207"/>
      <c r="D541" s="207"/>
      <c r="E541" s="207"/>
      <c r="F541" s="207"/>
      <c r="G541" s="207"/>
    </row>
    <row r="542" spans="1:7" x14ac:dyDescent="0.25">
      <c r="B542" s="3"/>
      <c r="C542" s="207"/>
      <c r="D542" s="207"/>
      <c r="E542" s="207"/>
      <c r="F542" s="207"/>
      <c r="G542" s="207"/>
    </row>
    <row r="543" spans="1:7" x14ac:dyDescent="0.25">
      <c r="B543" s="3"/>
      <c r="C543" s="196"/>
      <c r="D543" s="196"/>
      <c r="E543" s="196"/>
      <c r="F543" s="196"/>
      <c r="G543" s="196"/>
    </row>
    <row r="544" spans="1:7" x14ac:dyDescent="0.25">
      <c r="B544" s="3"/>
      <c r="C544" s="207"/>
      <c r="D544" s="207"/>
      <c r="E544" s="207"/>
      <c r="F544" s="207"/>
      <c r="G544" s="207"/>
    </row>
    <row r="545" spans="2:7" x14ac:dyDescent="0.25">
      <c r="B545" s="3"/>
      <c r="C545" s="207"/>
      <c r="D545" s="207"/>
      <c r="E545" s="207"/>
      <c r="F545" s="207"/>
      <c r="G545" s="207"/>
    </row>
    <row r="546" spans="2:7" x14ac:dyDescent="0.25">
      <c r="B546" s="3"/>
      <c r="C546" s="207"/>
      <c r="D546" s="207"/>
      <c r="E546" s="207"/>
      <c r="F546" s="207"/>
      <c r="G546" s="207"/>
    </row>
    <row r="547" spans="2:7" x14ac:dyDescent="0.25">
      <c r="B547" s="195"/>
      <c r="C547" s="196"/>
      <c r="D547" s="196"/>
      <c r="E547" s="196"/>
      <c r="F547" s="196"/>
      <c r="G547" s="196"/>
    </row>
    <row r="548" spans="2:7" x14ac:dyDescent="0.25">
      <c r="B548" s="195"/>
      <c r="C548" s="196"/>
      <c r="D548" s="196"/>
      <c r="E548" s="196"/>
      <c r="F548" s="196"/>
      <c r="G548" s="196"/>
    </row>
    <row r="549" spans="2:7" x14ac:dyDescent="0.25">
      <c r="B549" s="3"/>
      <c r="C549" s="196"/>
      <c r="D549" s="196"/>
      <c r="E549" s="196"/>
      <c r="F549" s="196"/>
      <c r="G549" s="196"/>
    </row>
    <row r="550" spans="2:7" x14ac:dyDescent="0.25">
      <c r="B550" s="3"/>
      <c r="C550" s="196"/>
      <c r="D550" s="196"/>
      <c r="E550" s="196"/>
      <c r="F550" s="196"/>
      <c r="G550" s="196"/>
    </row>
    <row r="551" spans="2:7" x14ac:dyDescent="0.25">
      <c r="B551" s="3"/>
    </row>
    <row r="552" spans="2:7" x14ac:dyDescent="0.25">
      <c r="B552" s="3"/>
      <c r="C552" s="207"/>
      <c r="D552" s="207"/>
      <c r="E552" s="207"/>
      <c r="F552" s="207"/>
      <c r="G552" s="207"/>
    </row>
    <row r="553" spans="2:7" x14ac:dyDescent="0.25">
      <c r="B553" s="3"/>
      <c r="C553" s="207"/>
      <c r="D553" s="207"/>
      <c r="E553" s="207"/>
      <c r="F553" s="207"/>
      <c r="G553" s="207"/>
    </row>
    <row r="554" spans="2:7" x14ac:dyDescent="0.25">
      <c r="B554" s="3"/>
      <c r="C554" s="207"/>
      <c r="D554" s="207"/>
      <c r="E554" s="207"/>
      <c r="F554" s="207"/>
      <c r="G554" s="207"/>
    </row>
    <row r="555" spans="2:7" x14ac:dyDescent="0.25">
      <c r="B555" s="3"/>
      <c r="C555" s="207"/>
      <c r="D555" s="207"/>
      <c r="E555" s="207"/>
      <c r="F555" s="207"/>
      <c r="G555" s="207"/>
    </row>
    <row r="556" spans="2:7" x14ac:dyDescent="0.25">
      <c r="B556" s="3"/>
      <c r="C556" s="207"/>
      <c r="D556" s="207"/>
      <c r="E556" s="207"/>
      <c r="F556" s="207"/>
      <c r="G556" s="207"/>
    </row>
    <row r="557" spans="2:7" x14ac:dyDescent="0.25">
      <c r="B557" s="3"/>
      <c r="C557" s="207"/>
      <c r="D557" s="207"/>
      <c r="E557" s="207"/>
      <c r="F557" s="207"/>
      <c r="G557" s="207"/>
    </row>
    <row r="558" spans="2:7" x14ac:dyDescent="0.25">
      <c r="B558" s="3"/>
      <c r="C558" s="207"/>
      <c r="D558" s="207"/>
      <c r="E558" s="207"/>
      <c r="F558" s="207"/>
      <c r="G558" s="207"/>
    </row>
    <row r="559" spans="2:7" x14ac:dyDescent="0.25">
      <c r="B559" s="3"/>
      <c r="C559" s="207"/>
      <c r="D559" s="207"/>
      <c r="E559" s="207"/>
      <c r="F559" s="207"/>
      <c r="G559" s="207"/>
    </row>
    <row r="560" spans="2:7" x14ac:dyDescent="0.25">
      <c r="B560" s="3"/>
      <c r="C560" s="207"/>
      <c r="D560" s="207"/>
      <c r="E560" s="207"/>
      <c r="F560" s="207"/>
      <c r="G560" s="207"/>
    </row>
    <row r="561" spans="2:7" x14ac:dyDescent="0.25">
      <c r="B561" s="195"/>
      <c r="C561" s="196"/>
      <c r="D561" s="196"/>
      <c r="E561" s="196"/>
      <c r="F561" s="196"/>
      <c r="G561" s="196"/>
    </row>
    <row r="562" spans="2:7" x14ac:dyDescent="0.25">
      <c r="B562" s="195"/>
      <c r="C562" s="196"/>
      <c r="D562" s="196"/>
      <c r="E562" s="196"/>
      <c r="F562" s="196"/>
      <c r="G562" s="196"/>
    </row>
    <row r="563" spans="2:7" x14ac:dyDescent="0.25">
      <c r="B563" s="3"/>
      <c r="C563" s="207"/>
      <c r="D563" s="207"/>
      <c r="E563" s="207"/>
      <c r="F563" s="207"/>
      <c r="G563" s="207"/>
    </row>
    <row r="564" spans="2:7" x14ac:dyDescent="0.25">
      <c r="B564" s="3"/>
      <c r="C564" s="207"/>
      <c r="D564" s="207"/>
      <c r="E564" s="207"/>
      <c r="F564" s="207"/>
      <c r="G564" s="207"/>
    </row>
    <row r="565" spans="2:7" x14ac:dyDescent="0.25">
      <c r="B565" s="203"/>
      <c r="C565" s="219"/>
      <c r="D565" s="219"/>
      <c r="E565" s="219"/>
      <c r="F565" s="219"/>
      <c r="G565" s="219"/>
    </row>
    <row r="566" spans="2:7" x14ac:dyDescent="0.25">
      <c r="B566" s="3"/>
      <c r="C566" s="207"/>
      <c r="D566" s="207"/>
      <c r="E566" s="207"/>
      <c r="F566" s="207"/>
      <c r="G566" s="207"/>
    </row>
    <row r="567" spans="2:7" x14ac:dyDescent="0.25">
      <c r="B567" s="3"/>
      <c r="C567" s="207"/>
      <c r="D567" s="207"/>
      <c r="E567" s="207"/>
      <c r="F567" s="207"/>
      <c r="G567" s="207"/>
    </row>
    <row r="568" spans="2:7" x14ac:dyDescent="0.25">
      <c r="B568" s="3"/>
      <c r="C568" s="207"/>
      <c r="D568" s="207"/>
      <c r="E568" s="207"/>
      <c r="F568" s="207"/>
      <c r="G568" s="207"/>
    </row>
    <row r="569" spans="2:7" x14ac:dyDescent="0.25">
      <c r="B569" s="3"/>
      <c r="C569" s="207"/>
      <c r="D569" s="207"/>
      <c r="E569" s="207"/>
      <c r="F569" s="207"/>
      <c r="G569" s="207"/>
    </row>
    <row r="570" spans="2:7" x14ac:dyDescent="0.25">
      <c r="B570" s="203"/>
      <c r="C570" s="219"/>
      <c r="D570" s="219"/>
      <c r="E570" s="219"/>
      <c r="F570" s="219"/>
      <c r="G570" s="219"/>
    </row>
    <row r="571" spans="2:7" x14ac:dyDescent="0.25">
      <c r="B571" s="3"/>
      <c r="C571" s="207"/>
      <c r="D571" s="207"/>
      <c r="E571" s="207"/>
      <c r="F571" s="207"/>
      <c r="G571" s="207"/>
    </row>
    <row r="572" spans="2:7" x14ac:dyDescent="0.25">
      <c r="B572" s="3"/>
      <c r="C572" s="207"/>
      <c r="D572" s="207"/>
      <c r="E572" s="207"/>
      <c r="F572" s="207"/>
      <c r="G572" s="207"/>
    </row>
    <row r="573" spans="2:7" x14ac:dyDescent="0.25">
      <c r="B573" s="3"/>
      <c r="C573" s="207"/>
      <c r="D573" s="207"/>
      <c r="E573" s="207"/>
      <c r="F573" s="207"/>
      <c r="G573" s="207"/>
    </row>
    <row r="574" spans="2:7" x14ac:dyDescent="0.25">
      <c r="B574" s="3"/>
      <c r="C574" s="207"/>
      <c r="D574" s="207"/>
      <c r="E574" s="207"/>
      <c r="F574" s="207"/>
      <c r="G574" s="207"/>
    </row>
    <row r="575" spans="2:7" x14ac:dyDescent="0.25">
      <c r="B575" s="3"/>
      <c r="C575" s="207"/>
      <c r="D575" s="207"/>
      <c r="E575" s="207"/>
      <c r="F575" s="207"/>
      <c r="G575" s="207"/>
    </row>
    <row r="576" spans="2:7" x14ac:dyDescent="0.25">
      <c r="B576" s="3"/>
      <c r="C576" s="207"/>
      <c r="D576" s="207"/>
      <c r="E576" s="207"/>
      <c r="F576" s="207"/>
      <c r="G576" s="207"/>
    </row>
    <row r="577" spans="2:7" x14ac:dyDescent="0.25">
      <c r="B577" s="203"/>
      <c r="C577" s="219"/>
      <c r="D577" s="219"/>
      <c r="E577" s="219"/>
      <c r="F577" s="219"/>
      <c r="G577" s="219"/>
    </row>
    <row r="578" spans="2:7" x14ac:dyDescent="0.25">
      <c r="B578" s="195"/>
      <c r="C578" s="196"/>
      <c r="D578" s="196"/>
      <c r="E578" s="196"/>
      <c r="F578" s="196"/>
      <c r="G578" s="196"/>
    </row>
    <row r="579" spans="2:7" x14ac:dyDescent="0.25">
      <c r="B579" s="195"/>
      <c r="C579" s="196"/>
      <c r="D579" s="196"/>
      <c r="E579" s="196"/>
      <c r="F579" s="196"/>
      <c r="G579" s="196"/>
    </row>
    <row r="580" spans="2:7" x14ac:dyDescent="0.25">
      <c r="B580" s="3"/>
      <c r="C580" s="207"/>
      <c r="D580" s="207"/>
      <c r="E580" s="207"/>
      <c r="F580" s="207"/>
      <c r="G580" s="207"/>
    </row>
    <row r="581" spans="2:7" x14ac:dyDescent="0.25">
      <c r="B581" s="3"/>
      <c r="C581" s="207"/>
      <c r="D581" s="207"/>
      <c r="E581" s="207"/>
      <c r="F581" s="207"/>
      <c r="G581" s="207"/>
    </row>
    <row r="582" spans="2:7" x14ac:dyDescent="0.25">
      <c r="B582" s="3"/>
      <c r="C582" s="207"/>
      <c r="D582" s="207"/>
      <c r="E582" s="207"/>
      <c r="F582" s="207"/>
      <c r="G582" s="207"/>
    </row>
    <row r="583" spans="2:7" x14ac:dyDescent="0.25">
      <c r="B583" s="3"/>
      <c r="C583" s="207"/>
      <c r="D583" s="207"/>
      <c r="E583" s="207"/>
      <c r="F583" s="207"/>
      <c r="G583" s="207"/>
    </row>
    <row r="584" spans="2:7" x14ac:dyDescent="0.25">
      <c r="B584" s="3"/>
      <c r="C584" s="207"/>
      <c r="D584" s="207"/>
      <c r="E584" s="207"/>
      <c r="F584" s="207"/>
      <c r="G584" s="207"/>
    </row>
    <row r="585" spans="2:7" x14ac:dyDescent="0.25">
      <c r="B585" s="3"/>
      <c r="C585" s="207"/>
      <c r="D585" s="207"/>
      <c r="E585" s="207"/>
      <c r="F585" s="207"/>
      <c r="G585" s="207"/>
    </row>
    <row r="586" spans="2:7" x14ac:dyDescent="0.25">
      <c r="B586" s="3"/>
      <c r="C586" s="207"/>
      <c r="D586" s="207"/>
      <c r="E586" s="207"/>
      <c r="F586" s="207"/>
      <c r="G586" s="207"/>
    </row>
    <row r="587" spans="2:7" x14ac:dyDescent="0.25">
      <c r="B587" s="3"/>
    </row>
    <row r="588" spans="2:7" x14ac:dyDescent="0.25">
      <c r="B588" s="3"/>
      <c r="C588" s="196"/>
      <c r="D588" s="196"/>
      <c r="E588" s="196"/>
      <c r="F588" s="196"/>
      <c r="G588" s="196"/>
    </row>
    <row r="589" spans="2:7" x14ac:dyDescent="0.25">
      <c r="B589" s="3"/>
      <c r="C589" s="207"/>
      <c r="D589" s="207"/>
      <c r="E589" s="207"/>
      <c r="F589" s="207"/>
      <c r="G589" s="207"/>
    </row>
  </sheetData>
  <sheetProtection formatCells="0" formatColumns="0" formatRows="0" insertColumns="0" insertRows="0" insertHyperlinks="0" deleteColumns="0" deleteRows="0" sort="0" autoFilter="0" pivotTables="0"/>
  <autoFilter ref="A14:BD5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2291">
    <mergeCell ref="A521:F52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T300:T301"/>
    <mergeCell ref="P300:P301"/>
    <mergeCell ref="B297:B298"/>
    <mergeCell ref="T323:T324"/>
    <mergeCell ref="D302:D304"/>
    <mergeCell ref="E302:E304"/>
    <mergeCell ref="F302:F304"/>
    <mergeCell ref="Q305:Q307"/>
    <mergeCell ref="R305:R307"/>
    <mergeCell ref="S305:S307"/>
    <mergeCell ref="B313:B316"/>
    <mergeCell ref="C313:C316"/>
    <mergeCell ref="D313:D316"/>
    <mergeCell ref="E313:E316"/>
    <mergeCell ref="F313:F316"/>
    <mergeCell ref="I313:I316"/>
    <mergeCell ref="J313:J316"/>
    <mergeCell ref="K313:K316"/>
    <mergeCell ref="L313:L316"/>
    <mergeCell ref="B320:B322"/>
    <mergeCell ref="C320:C322"/>
    <mergeCell ref="D320:D322"/>
    <mergeCell ref="AW19:AW21"/>
    <mergeCell ref="AW320:AW322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F300:F301"/>
    <mergeCell ref="P277:P278"/>
    <mergeCell ref="O275:O276"/>
    <mergeCell ref="K271:K272"/>
    <mergeCell ref="L271:L272"/>
    <mergeCell ref="P19:P21"/>
    <mergeCell ref="Q19:Q21"/>
    <mergeCell ref="R19:R21"/>
    <mergeCell ref="S19:S21"/>
    <mergeCell ref="T19:T21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L323:L324"/>
    <mergeCell ref="M323:M324"/>
    <mergeCell ref="N323:N324"/>
    <mergeCell ref="O323:O324"/>
    <mergeCell ref="Q323:Q324"/>
    <mergeCell ref="R323:R324"/>
    <mergeCell ref="S323:S324"/>
    <mergeCell ref="B261:B262"/>
    <mergeCell ref="C261:C262"/>
    <mergeCell ref="D261:D262"/>
    <mergeCell ref="E261:E262"/>
    <mergeCell ref="F261:F262"/>
    <mergeCell ref="T295:T296"/>
    <mergeCell ref="T305:T307"/>
    <mergeCell ref="G308:G310"/>
    <mergeCell ref="D297:D298"/>
    <mergeCell ref="L289:L290"/>
    <mergeCell ref="M285:M286"/>
    <mergeCell ref="N285:N286"/>
    <mergeCell ref="F287:F288"/>
    <mergeCell ref="G287:G288"/>
    <mergeCell ref="H287:H288"/>
    <mergeCell ref="I287:I288"/>
    <mergeCell ref="J287:J288"/>
    <mergeCell ref="K287:K288"/>
    <mergeCell ref="T264:T265"/>
    <mergeCell ref="P266:P267"/>
    <mergeCell ref="T266:T267"/>
    <mergeCell ref="H289:H290"/>
    <mergeCell ref="I289:I290"/>
    <mergeCell ref="J289:J290"/>
    <mergeCell ref="K289:K290"/>
    <mergeCell ref="L287:L288"/>
    <mergeCell ref="O285:O286"/>
    <mergeCell ref="T285:T286"/>
    <mergeCell ref="P285:P286"/>
    <mergeCell ref="T275:T276"/>
    <mergeCell ref="P275:P276"/>
    <mergeCell ref="G264:G265"/>
    <mergeCell ref="H264:H265"/>
    <mergeCell ref="T277:T278"/>
    <mergeCell ref="T283:T284"/>
    <mergeCell ref="F275:F276"/>
    <mergeCell ref="G275:G276"/>
    <mergeCell ref="B300:B301"/>
    <mergeCell ref="C300:C301"/>
    <mergeCell ref="D300:D301"/>
    <mergeCell ref="E300:E301"/>
    <mergeCell ref="O293:O294"/>
    <mergeCell ref="T293:T294"/>
    <mergeCell ref="E320:E322"/>
    <mergeCell ref="F320:F322"/>
    <mergeCell ref="G320:G322"/>
    <mergeCell ref="H320:H322"/>
    <mergeCell ref="I320:I322"/>
    <mergeCell ref="J320:J322"/>
    <mergeCell ref="K320:K322"/>
    <mergeCell ref="L320:L322"/>
    <mergeCell ref="M320:M322"/>
    <mergeCell ref="N320:N322"/>
    <mergeCell ref="O320:O322"/>
    <mergeCell ref="P320:P322"/>
    <mergeCell ref="T320:T322"/>
    <mergeCell ref="B293:B294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199:N200"/>
    <mergeCell ref="S201:S208"/>
    <mergeCell ref="G201:G208"/>
    <mergeCell ref="H201:H208"/>
    <mergeCell ref="I201:I208"/>
    <mergeCell ref="J201:J208"/>
    <mergeCell ref="K201:K208"/>
    <mergeCell ref="L201:L208"/>
    <mergeCell ref="E211:E212"/>
    <mergeCell ref="F211:F212"/>
    <mergeCell ref="C287:C288"/>
    <mergeCell ref="D287:D288"/>
    <mergeCell ref="E287:E288"/>
    <mergeCell ref="O266:O267"/>
    <mergeCell ref="N250:N251"/>
    <mergeCell ref="O250:O251"/>
    <mergeCell ref="J266:J267"/>
    <mergeCell ref="K266:K267"/>
    <mergeCell ref="L266:L267"/>
    <mergeCell ref="M266:M267"/>
    <mergeCell ref="N266:N267"/>
    <mergeCell ref="I250:I251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T223:T225"/>
    <mergeCell ref="N209:N210"/>
    <mergeCell ref="O209:O210"/>
    <mergeCell ref="Q209:Q210"/>
    <mergeCell ref="S209:S210"/>
    <mergeCell ref="J261:J262"/>
    <mergeCell ref="K261:K262"/>
    <mergeCell ref="T269:T270"/>
    <mergeCell ref="E271:E272"/>
    <mergeCell ref="F271:F272"/>
    <mergeCell ref="G271:G272"/>
    <mergeCell ref="H271:H272"/>
    <mergeCell ref="N261:N262"/>
    <mergeCell ref="O261:O262"/>
    <mergeCell ref="T261:T262"/>
    <mergeCell ref="K264:K265"/>
    <mergeCell ref="L264:L265"/>
    <mergeCell ref="M213:M214"/>
    <mergeCell ref="N213:N214"/>
    <mergeCell ref="O213:O214"/>
    <mergeCell ref="T213:T214"/>
    <mergeCell ref="O253:O254"/>
    <mergeCell ref="G261:G262"/>
    <mergeCell ref="H261:H262"/>
    <mergeCell ref="I261:I262"/>
    <mergeCell ref="M261:M262"/>
    <mergeCell ref="T217:T218"/>
    <mergeCell ref="T109:T111"/>
    <mergeCell ref="Q135:Q142"/>
    <mergeCell ref="R135:R142"/>
    <mergeCell ref="S135:S142"/>
    <mergeCell ref="T135:T142"/>
    <mergeCell ref="N148:N152"/>
    <mergeCell ref="O148:O152"/>
    <mergeCell ref="T117:T120"/>
    <mergeCell ref="T165:T168"/>
    <mergeCell ref="N153:N158"/>
    <mergeCell ref="M165:M168"/>
    <mergeCell ref="O165:O168"/>
    <mergeCell ref="L159:L164"/>
    <mergeCell ref="M159:M164"/>
    <mergeCell ref="N159:N164"/>
    <mergeCell ref="R209:R210"/>
    <mergeCell ref="O186:O189"/>
    <mergeCell ref="Q186:Q189"/>
    <mergeCell ref="S186:S189"/>
    <mergeCell ref="T186:T189"/>
    <mergeCell ref="L186:L189"/>
    <mergeCell ref="T125:T127"/>
    <mergeCell ref="N165:N168"/>
    <mergeCell ref="R186:R189"/>
    <mergeCell ref="P165:P168"/>
    <mergeCell ref="S143:S147"/>
    <mergeCell ref="T143:T147"/>
    <mergeCell ref="L143:L147"/>
    <mergeCell ref="M143:M147"/>
    <mergeCell ref="L199:L200"/>
    <mergeCell ref="M199:M200"/>
    <mergeCell ref="D106:D108"/>
    <mergeCell ref="E106:E108"/>
    <mergeCell ref="F106:F108"/>
    <mergeCell ref="G106:G108"/>
    <mergeCell ref="H106:H108"/>
    <mergeCell ref="I106:I108"/>
    <mergeCell ref="P106:P108"/>
    <mergeCell ref="F117:F120"/>
    <mergeCell ref="G117:G120"/>
    <mergeCell ref="H117:H120"/>
    <mergeCell ref="I117:I120"/>
    <mergeCell ref="J117:J120"/>
    <mergeCell ref="K117:K120"/>
    <mergeCell ref="S121:S124"/>
    <mergeCell ref="B132:B134"/>
    <mergeCell ref="N109:N111"/>
    <mergeCell ref="O109:O111"/>
    <mergeCell ref="P109:P111"/>
    <mergeCell ref="Q109:Q111"/>
    <mergeCell ref="J109:J111"/>
    <mergeCell ref="L106:L107"/>
    <mergeCell ref="M106:M107"/>
    <mergeCell ref="O121:O124"/>
    <mergeCell ref="P121:P124"/>
    <mergeCell ref="Q121:Q124"/>
    <mergeCell ref="F121:F124"/>
    <mergeCell ref="G121:G124"/>
    <mergeCell ref="H121:H124"/>
    <mergeCell ref="I121:I124"/>
    <mergeCell ref="J121:J124"/>
    <mergeCell ref="R106:R107"/>
    <mergeCell ref="S106:S107"/>
    <mergeCell ref="F148:F152"/>
    <mergeCell ref="G148:G152"/>
    <mergeCell ref="H148:H152"/>
    <mergeCell ref="I148:I152"/>
    <mergeCell ref="L153:L158"/>
    <mergeCell ref="M153:M158"/>
    <mergeCell ref="J169:J172"/>
    <mergeCell ref="K169:K172"/>
    <mergeCell ref="L169:L172"/>
    <mergeCell ref="N169:N172"/>
    <mergeCell ref="O169:O172"/>
    <mergeCell ref="R173:R175"/>
    <mergeCell ref="A121:A124"/>
    <mergeCell ref="B121:B124"/>
    <mergeCell ref="C121:C124"/>
    <mergeCell ref="D121:D124"/>
    <mergeCell ref="E121:E124"/>
    <mergeCell ref="A128:A131"/>
    <mergeCell ref="B128:B131"/>
    <mergeCell ref="C128:C131"/>
    <mergeCell ref="D128:D131"/>
    <mergeCell ref="E128:E131"/>
    <mergeCell ref="R143:R147"/>
    <mergeCell ref="P148:P152"/>
    <mergeCell ref="Q148:Q152"/>
    <mergeCell ref="B165:B168"/>
    <mergeCell ref="C165:C168"/>
    <mergeCell ref="D165:D168"/>
    <mergeCell ref="E165:E168"/>
    <mergeCell ref="F165:F168"/>
    <mergeCell ref="G165:G168"/>
    <mergeCell ref="I153:I158"/>
    <mergeCell ref="J153:J158"/>
    <mergeCell ref="K153:K158"/>
    <mergeCell ref="H165:H168"/>
    <mergeCell ref="I165:I168"/>
    <mergeCell ref="J165:J168"/>
    <mergeCell ref="K165:K168"/>
    <mergeCell ref="L165:L168"/>
    <mergeCell ref="A209:A210"/>
    <mergeCell ref="B209:B210"/>
    <mergeCell ref="C209:C210"/>
    <mergeCell ref="D209:D210"/>
    <mergeCell ref="I186:I189"/>
    <mergeCell ref="J186:J189"/>
    <mergeCell ref="K186:K189"/>
    <mergeCell ref="K199:K200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L439:L440"/>
    <mergeCell ref="M439:M440"/>
    <mergeCell ref="N439:N440"/>
    <mergeCell ref="O439:O440"/>
    <mergeCell ref="P439:P440"/>
    <mergeCell ref="N217:N218"/>
    <mergeCell ref="J283:J28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I291:I292"/>
    <mergeCell ref="J291:J292"/>
    <mergeCell ref="A437:A438"/>
    <mergeCell ref="B437:B438"/>
    <mergeCell ref="B364:B375"/>
    <mergeCell ref="L364:L375"/>
    <mergeCell ref="BA364:BA375"/>
    <mergeCell ref="BB364:BB375"/>
    <mergeCell ref="BC364:BC375"/>
    <mergeCell ref="BD364:BD375"/>
    <mergeCell ref="P367:P368"/>
    <mergeCell ref="J376:J389"/>
    <mergeCell ref="O287:O288"/>
    <mergeCell ref="M273:M274"/>
    <mergeCell ref="R255:R256"/>
    <mergeCell ref="S255:S256"/>
    <mergeCell ref="M287:M288"/>
    <mergeCell ref="N287:N288"/>
    <mergeCell ref="P308:P309"/>
    <mergeCell ref="P306:P307"/>
    <mergeCell ref="B289:B290"/>
    <mergeCell ref="C289:C290"/>
    <mergeCell ref="D289:D290"/>
    <mergeCell ref="E289:E290"/>
    <mergeCell ref="F289:F290"/>
    <mergeCell ref="G289:G290"/>
    <mergeCell ref="S317:S319"/>
    <mergeCell ref="B285:B286"/>
    <mergeCell ref="C285:C286"/>
    <mergeCell ref="T287:T288"/>
    <mergeCell ref="F281:F282"/>
    <mergeCell ref="G281:G282"/>
    <mergeCell ref="H281:H282"/>
    <mergeCell ref="I281:I282"/>
    <mergeCell ref="J281:J282"/>
    <mergeCell ref="K281:K282"/>
    <mergeCell ref="C364:C375"/>
    <mergeCell ref="D364:D375"/>
    <mergeCell ref="E364:E375"/>
    <mergeCell ref="K209:K210"/>
    <mergeCell ref="L209:L210"/>
    <mergeCell ref="M364:M375"/>
    <mergeCell ref="O217:O218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M209:M210"/>
    <mergeCell ref="T439:T440"/>
    <mergeCell ref="C437:C438"/>
    <mergeCell ref="D437:D438"/>
    <mergeCell ref="E437:E438"/>
    <mergeCell ref="T219:T220"/>
    <mergeCell ref="L281:L282"/>
    <mergeCell ref="M281:M282"/>
    <mergeCell ref="N281:N282"/>
    <mergeCell ref="O281:O282"/>
    <mergeCell ref="T281:T282"/>
    <mergeCell ref="P281:P282"/>
    <mergeCell ref="M293:M294"/>
    <mergeCell ref="J250:J251"/>
    <mergeCell ref="N264:N265"/>
    <mergeCell ref="O264:O265"/>
    <mergeCell ref="K253:K254"/>
    <mergeCell ref="I143:I147"/>
    <mergeCell ref="J143:J147"/>
    <mergeCell ref="K143:K147"/>
    <mergeCell ref="R153:R158"/>
    <mergeCell ref="S153:S158"/>
    <mergeCell ref="T153:T158"/>
    <mergeCell ref="N186:N189"/>
    <mergeCell ref="P186:P187"/>
    <mergeCell ref="P188:P189"/>
    <mergeCell ref="K109:K111"/>
    <mergeCell ref="L109:L111"/>
    <mergeCell ref="M109:M111"/>
    <mergeCell ref="S125:S127"/>
    <mergeCell ref="H125:H127"/>
    <mergeCell ref="I125:I127"/>
    <mergeCell ref="T148:T152"/>
    <mergeCell ref="O159:O164"/>
    <mergeCell ref="Q159:Q164"/>
    <mergeCell ref="R159:R164"/>
    <mergeCell ref="S159:S164"/>
    <mergeCell ref="T159:T164"/>
    <mergeCell ref="I159:I164"/>
    <mergeCell ref="J159:J164"/>
    <mergeCell ref="K159:K164"/>
    <mergeCell ref="M169:M172"/>
    <mergeCell ref="P153:P158"/>
    <mergeCell ref="Q153:Q158"/>
    <mergeCell ref="R148:R152"/>
    <mergeCell ref="S148:S152"/>
    <mergeCell ref="G143:G147"/>
    <mergeCell ref="M135:M142"/>
    <mergeCell ref="AS15:BD15"/>
    <mergeCell ref="H16:T16"/>
    <mergeCell ref="U16:AD16"/>
    <mergeCell ref="AT16:AT17"/>
    <mergeCell ref="AU16:AW16"/>
    <mergeCell ref="AX16:AY16"/>
    <mergeCell ref="AZ16:AZ17"/>
    <mergeCell ref="BA16:BA17"/>
    <mergeCell ref="BB16:BD16"/>
    <mergeCell ref="O25:O33"/>
    <mergeCell ref="B41:B46"/>
    <mergeCell ref="C41:C46"/>
    <mergeCell ref="D41:D46"/>
    <mergeCell ref="E41:E46"/>
    <mergeCell ref="F41:F46"/>
    <mergeCell ref="G41:G46"/>
    <mergeCell ref="H41:H46"/>
    <mergeCell ref="I41:I46"/>
    <mergeCell ref="O34:O40"/>
    <mergeCell ref="Q34:Q40"/>
    <mergeCell ref="R34:R40"/>
    <mergeCell ref="S34:S40"/>
    <mergeCell ref="T34:T40"/>
    <mergeCell ref="J34:J40"/>
    <mergeCell ref="P25:P33"/>
    <mergeCell ref="N143:N147"/>
    <mergeCell ref="O143:O147"/>
    <mergeCell ref="P143:P147"/>
    <mergeCell ref="Q143:Q147"/>
    <mergeCell ref="H143:H147"/>
    <mergeCell ref="I5:K5"/>
    <mergeCell ref="I6:K6"/>
    <mergeCell ref="A7:J7"/>
    <mergeCell ref="A8:E8"/>
    <mergeCell ref="A10:AS10"/>
    <mergeCell ref="A25:A33"/>
    <mergeCell ref="B25:B33"/>
    <mergeCell ref="C25:C33"/>
    <mergeCell ref="D25:D33"/>
    <mergeCell ref="E25:E33"/>
    <mergeCell ref="F25:F33"/>
    <mergeCell ref="G25:G33"/>
    <mergeCell ref="H25:H33"/>
    <mergeCell ref="D34:D40"/>
    <mergeCell ref="AN16:AN17"/>
    <mergeCell ref="AO16:AO17"/>
    <mergeCell ref="AP16:AP17"/>
    <mergeCell ref="AE16:AH16"/>
    <mergeCell ref="AI16:AI17"/>
    <mergeCell ref="AJ16:AJ17"/>
    <mergeCell ref="AK16:AK17"/>
    <mergeCell ref="AL16:AL17"/>
    <mergeCell ref="AM16:AM17"/>
    <mergeCell ref="B19:B21"/>
    <mergeCell ref="C19:C21"/>
    <mergeCell ref="F34:F40"/>
    <mergeCell ref="G34:G40"/>
    <mergeCell ref="I34:I40"/>
    <mergeCell ref="Q25:Q33"/>
    <mergeCell ref="R25:R33"/>
    <mergeCell ref="P34:P40"/>
    <mergeCell ref="A41:A46"/>
    <mergeCell ref="B34:B40"/>
    <mergeCell ref="C34:C40"/>
    <mergeCell ref="K34:K40"/>
    <mergeCell ref="L34:L40"/>
    <mergeCell ref="M34:M40"/>
    <mergeCell ref="N34:N40"/>
    <mergeCell ref="P41:P46"/>
    <mergeCell ref="Q41:Q46"/>
    <mergeCell ref="R41:R46"/>
    <mergeCell ref="S41:S46"/>
    <mergeCell ref="T41:T46"/>
    <mergeCell ref="J41:J46"/>
    <mergeCell ref="K41:K46"/>
    <mergeCell ref="L41:L46"/>
    <mergeCell ref="M41:M46"/>
    <mergeCell ref="E34:E40"/>
    <mergeCell ref="N41:N46"/>
    <mergeCell ref="A34:A40"/>
    <mergeCell ref="O41:O46"/>
    <mergeCell ref="R47:R53"/>
    <mergeCell ref="S47:S53"/>
    <mergeCell ref="H34:H40"/>
    <mergeCell ref="K47:K53"/>
    <mergeCell ref="T47:T53"/>
    <mergeCell ref="S54:S59"/>
    <mergeCell ref="T54:T59"/>
    <mergeCell ref="I1:K1"/>
    <mergeCell ref="N3:Q3"/>
    <mergeCell ref="N4:P4"/>
    <mergeCell ref="A12:AS12"/>
    <mergeCell ref="A14:BD14"/>
    <mergeCell ref="S25:S33"/>
    <mergeCell ref="T25:T33"/>
    <mergeCell ref="I25:I33"/>
    <mergeCell ref="J25:J33"/>
    <mergeCell ref="K25:K33"/>
    <mergeCell ref="L25:L33"/>
    <mergeCell ref="M25:M33"/>
    <mergeCell ref="N25:N33"/>
    <mergeCell ref="AQ16:AQ17"/>
    <mergeCell ref="AR16:AR17"/>
    <mergeCell ref="AS16:AS17"/>
    <mergeCell ref="A15:A18"/>
    <mergeCell ref="B15:G16"/>
    <mergeCell ref="H15:AH15"/>
    <mergeCell ref="AI15:AL15"/>
    <mergeCell ref="AM15:AR15"/>
    <mergeCell ref="A19:A21"/>
    <mergeCell ref="D19:D21"/>
    <mergeCell ref="E19:E21"/>
    <mergeCell ref="F19:F21"/>
    <mergeCell ref="L47:L53"/>
    <mergeCell ref="M47:M53"/>
    <mergeCell ref="N47:N53"/>
    <mergeCell ref="O47:O53"/>
    <mergeCell ref="P47:P53"/>
    <mergeCell ref="Q47:Q53"/>
    <mergeCell ref="F47:F53"/>
    <mergeCell ref="A47:A53"/>
    <mergeCell ref="B47:B53"/>
    <mergeCell ref="C47:C53"/>
    <mergeCell ref="D47:D53"/>
    <mergeCell ref="E47:E53"/>
    <mergeCell ref="M54:M59"/>
    <mergeCell ref="N54:N59"/>
    <mergeCell ref="O54:O59"/>
    <mergeCell ref="P54:P59"/>
    <mergeCell ref="Q54:Q59"/>
    <mergeCell ref="G47:G53"/>
    <mergeCell ref="G54:G59"/>
    <mergeCell ref="H54:H59"/>
    <mergeCell ref="I54:I59"/>
    <mergeCell ref="J54:J59"/>
    <mergeCell ref="K54:K59"/>
    <mergeCell ref="L54:L59"/>
    <mergeCell ref="H47:H53"/>
    <mergeCell ref="I47:I53"/>
    <mergeCell ref="J47:J53"/>
    <mergeCell ref="Q60:Q65"/>
    <mergeCell ref="R60:R65"/>
    <mergeCell ref="M66:M72"/>
    <mergeCell ref="N66:N72"/>
    <mergeCell ref="O66:O72"/>
    <mergeCell ref="P66:P72"/>
    <mergeCell ref="Q66:Q72"/>
    <mergeCell ref="R66:R72"/>
    <mergeCell ref="G66:G72"/>
    <mergeCell ref="H66:H72"/>
    <mergeCell ref="I66:I72"/>
    <mergeCell ref="J66:J72"/>
    <mergeCell ref="A54:A59"/>
    <mergeCell ref="B54:B59"/>
    <mergeCell ref="C54:C59"/>
    <mergeCell ref="D54:D59"/>
    <mergeCell ref="E54:E59"/>
    <mergeCell ref="F54:F59"/>
    <mergeCell ref="R54:R59"/>
    <mergeCell ref="K66:K72"/>
    <mergeCell ref="L66:L72"/>
    <mergeCell ref="A82:A96"/>
    <mergeCell ref="B82:B96"/>
    <mergeCell ref="C82:C96"/>
    <mergeCell ref="D82:D96"/>
    <mergeCell ref="E82:E96"/>
    <mergeCell ref="F82:F96"/>
    <mergeCell ref="S60:S65"/>
    <mergeCell ref="T60:T65"/>
    <mergeCell ref="I60:I65"/>
    <mergeCell ref="J60:J65"/>
    <mergeCell ref="K60:K65"/>
    <mergeCell ref="L60:L65"/>
    <mergeCell ref="M60:M65"/>
    <mergeCell ref="N60:N65"/>
    <mergeCell ref="A60:A65"/>
    <mergeCell ref="B60:B65"/>
    <mergeCell ref="C60:C65"/>
    <mergeCell ref="D60:D65"/>
    <mergeCell ref="E60:E65"/>
    <mergeCell ref="F60:F65"/>
    <mergeCell ref="G60:G65"/>
    <mergeCell ref="H60:H65"/>
    <mergeCell ref="S66:S72"/>
    <mergeCell ref="T66:T72"/>
    <mergeCell ref="A66:A72"/>
    <mergeCell ref="B66:B72"/>
    <mergeCell ref="C66:C72"/>
    <mergeCell ref="D66:D72"/>
    <mergeCell ref="E66:E72"/>
    <mergeCell ref="F66:F72"/>
    <mergeCell ref="O60:O65"/>
    <mergeCell ref="P60:P65"/>
    <mergeCell ref="S82:S96"/>
    <mergeCell ref="T82:T96"/>
    <mergeCell ref="AG82:AG83"/>
    <mergeCell ref="P84:P86"/>
    <mergeCell ref="AG84:AG86"/>
    <mergeCell ref="AE86:AE87"/>
    <mergeCell ref="P87:P96"/>
    <mergeCell ref="M82:M96"/>
    <mergeCell ref="N82:N96"/>
    <mergeCell ref="O82:O96"/>
    <mergeCell ref="P82:P83"/>
    <mergeCell ref="Q82:Q96"/>
    <mergeCell ref="R82:R96"/>
    <mergeCell ref="G82:G96"/>
    <mergeCell ref="H82:H96"/>
    <mergeCell ref="I82:I96"/>
    <mergeCell ref="J82:J96"/>
    <mergeCell ref="K82:K96"/>
    <mergeCell ref="L82:L96"/>
    <mergeCell ref="A104:A105"/>
    <mergeCell ref="B104:B105"/>
    <mergeCell ref="C104:C105"/>
    <mergeCell ref="D104:D105"/>
    <mergeCell ref="E104:E105"/>
    <mergeCell ref="F104:F105"/>
    <mergeCell ref="N104:N105"/>
    <mergeCell ref="O104:O105"/>
    <mergeCell ref="P104:P105"/>
    <mergeCell ref="S97:S103"/>
    <mergeCell ref="T97:T103"/>
    <mergeCell ref="M97:M103"/>
    <mergeCell ref="N97:N103"/>
    <mergeCell ref="O97:O103"/>
    <mergeCell ref="P97:P103"/>
    <mergeCell ref="Q97:Q103"/>
    <mergeCell ref="R97:R103"/>
    <mergeCell ref="G97:G103"/>
    <mergeCell ref="H97:H103"/>
    <mergeCell ref="I97:I103"/>
    <mergeCell ref="J97:J103"/>
    <mergeCell ref="K97:K103"/>
    <mergeCell ref="L97:L103"/>
    <mergeCell ref="A97:A103"/>
    <mergeCell ref="B97:B103"/>
    <mergeCell ref="C97:C103"/>
    <mergeCell ref="F97:F103"/>
    <mergeCell ref="D97:D103"/>
    <mergeCell ref="E97:E103"/>
    <mergeCell ref="K121:K124"/>
    <mergeCell ref="M117:M120"/>
    <mergeCell ref="N117:N120"/>
    <mergeCell ref="O117:O120"/>
    <mergeCell ref="P117:P120"/>
    <mergeCell ref="K112:K116"/>
    <mergeCell ref="L112:L116"/>
    <mergeCell ref="M112:M116"/>
    <mergeCell ref="T104:T105"/>
    <mergeCell ref="G104:G105"/>
    <mergeCell ref="H104:H105"/>
    <mergeCell ref="I104:I105"/>
    <mergeCell ref="J104:J105"/>
    <mergeCell ref="K104:K105"/>
    <mergeCell ref="L104:L105"/>
    <mergeCell ref="T106:T108"/>
    <mergeCell ref="R109:R111"/>
    <mergeCell ref="S109:S111"/>
    <mergeCell ref="H109:H111"/>
    <mergeCell ref="I109:I111"/>
    <mergeCell ref="T121:T124"/>
    <mergeCell ref="N106:N107"/>
    <mergeCell ref="O106:O107"/>
    <mergeCell ref="Q106:Q107"/>
    <mergeCell ref="T128:T131"/>
    <mergeCell ref="J128:J131"/>
    <mergeCell ref="K128:K131"/>
    <mergeCell ref="L128:L131"/>
    <mergeCell ref="M128:M131"/>
    <mergeCell ref="N128:N131"/>
    <mergeCell ref="O128:O131"/>
    <mergeCell ref="F128:F131"/>
    <mergeCell ref="G128:G131"/>
    <mergeCell ref="H128:H131"/>
    <mergeCell ref="I128:I131"/>
    <mergeCell ref="N125:N127"/>
    <mergeCell ref="O125:O127"/>
    <mergeCell ref="P125:P127"/>
    <mergeCell ref="Q125:Q127"/>
    <mergeCell ref="R125:R127"/>
    <mergeCell ref="A109:A111"/>
    <mergeCell ref="B109:B111"/>
    <mergeCell ref="C109:C111"/>
    <mergeCell ref="D109:D111"/>
    <mergeCell ref="E109:E111"/>
    <mergeCell ref="F109:F111"/>
    <mergeCell ref="G109:G111"/>
    <mergeCell ref="A117:A120"/>
    <mergeCell ref="B117:B120"/>
    <mergeCell ref="C117:C120"/>
    <mergeCell ref="D117:D120"/>
    <mergeCell ref="E117:E120"/>
    <mergeCell ref="R121:R124"/>
    <mergeCell ref="L121:L124"/>
    <mergeCell ref="M121:M124"/>
    <mergeCell ref="N121:N124"/>
    <mergeCell ref="A125:A127"/>
    <mergeCell ref="B125:B127"/>
    <mergeCell ref="C125:C127"/>
    <mergeCell ref="D125:D127"/>
    <mergeCell ref="E125:E127"/>
    <mergeCell ref="F125:F127"/>
    <mergeCell ref="G125:G127"/>
    <mergeCell ref="P128:P131"/>
    <mergeCell ref="Q128:Q131"/>
    <mergeCell ref="R128:R131"/>
    <mergeCell ref="S128:S131"/>
    <mergeCell ref="J125:J127"/>
    <mergeCell ref="K125:K127"/>
    <mergeCell ref="L125:L127"/>
    <mergeCell ref="M125:M127"/>
    <mergeCell ref="N135:N142"/>
    <mergeCell ref="O135:O142"/>
    <mergeCell ref="T132:T134"/>
    <mergeCell ref="P135:P142"/>
    <mergeCell ref="M132:M134"/>
    <mergeCell ref="A135:A142"/>
    <mergeCell ref="B135:B142"/>
    <mergeCell ref="C135:C142"/>
    <mergeCell ref="D135:D142"/>
    <mergeCell ref="E135:E142"/>
    <mergeCell ref="F135:F142"/>
    <mergeCell ref="G135:G142"/>
    <mergeCell ref="H135:H142"/>
    <mergeCell ref="I135:I142"/>
    <mergeCell ref="N132:N134"/>
    <mergeCell ref="O132:O134"/>
    <mergeCell ref="P132:P134"/>
    <mergeCell ref="Q132:Q134"/>
    <mergeCell ref="R132:R134"/>
    <mergeCell ref="S132:S134"/>
    <mergeCell ref="H132:H134"/>
    <mergeCell ref="I132:I134"/>
    <mergeCell ref="J132:J134"/>
    <mergeCell ref="K132:K134"/>
    <mergeCell ref="L132:L134"/>
    <mergeCell ref="A132:A134"/>
    <mergeCell ref="C132:C134"/>
    <mergeCell ref="D132:D134"/>
    <mergeCell ref="E132:E134"/>
    <mergeCell ref="F132:F134"/>
    <mergeCell ref="G132:G134"/>
    <mergeCell ref="J135:J142"/>
    <mergeCell ref="K135:K142"/>
    <mergeCell ref="L135:L142"/>
    <mergeCell ref="A143:A14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O153:O158"/>
    <mergeCell ref="F153:F158"/>
    <mergeCell ref="G153:G158"/>
    <mergeCell ref="H153:H158"/>
    <mergeCell ref="A153:A158"/>
    <mergeCell ref="B153:B158"/>
    <mergeCell ref="C153:C158"/>
    <mergeCell ref="D153:D158"/>
    <mergeCell ref="E153:E158"/>
    <mergeCell ref="J148:J152"/>
    <mergeCell ref="K148:K152"/>
    <mergeCell ref="L148:L152"/>
    <mergeCell ref="M148:M152"/>
    <mergeCell ref="A148:A152"/>
    <mergeCell ref="B148:B152"/>
    <mergeCell ref="C148:C152"/>
    <mergeCell ref="D148:D152"/>
    <mergeCell ref="E148:E152"/>
    <mergeCell ref="B143:B147"/>
    <mergeCell ref="C143:C147"/>
    <mergeCell ref="D143:D147"/>
    <mergeCell ref="E143:E147"/>
    <mergeCell ref="F143:F147"/>
    <mergeCell ref="S173:S175"/>
    <mergeCell ref="T173:T175"/>
    <mergeCell ref="E173:E175"/>
    <mergeCell ref="T182:T185"/>
    <mergeCell ref="P183:P185"/>
    <mergeCell ref="A169:A172"/>
    <mergeCell ref="B169:B172"/>
    <mergeCell ref="C169:C172"/>
    <mergeCell ref="D169:D172"/>
    <mergeCell ref="E169:E172"/>
    <mergeCell ref="F169:F172"/>
    <mergeCell ref="L173:L175"/>
    <mergeCell ref="M173:M175"/>
    <mergeCell ref="N173:N175"/>
    <mergeCell ref="O173:O175"/>
    <mergeCell ref="P173:P174"/>
    <mergeCell ref="Q173:Q175"/>
    <mergeCell ref="F173:F175"/>
    <mergeCell ref="G173:G175"/>
    <mergeCell ref="H173:H175"/>
    <mergeCell ref="I173:I175"/>
    <mergeCell ref="J173:J175"/>
    <mergeCell ref="K173:K175"/>
    <mergeCell ref="A173:A175"/>
    <mergeCell ref="B173:B175"/>
    <mergeCell ref="C173:C175"/>
    <mergeCell ref="D173:D175"/>
    <mergeCell ref="T169:T172"/>
    <mergeCell ref="G169:G172"/>
    <mergeCell ref="H169:H172"/>
    <mergeCell ref="I169:I172"/>
    <mergeCell ref="G186:G189"/>
    <mergeCell ref="H186:H189"/>
    <mergeCell ref="M182:M185"/>
    <mergeCell ref="T176:T181"/>
    <mergeCell ref="H176:H181"/>
    <mergeCell ref="I176:I181"/>
    <mergeCell ref="J176:J181"/>
    <mergeCell ref="K176:K181"/>
    <mergeCell ref="L176:L181"/>
    <mergeCell ref="M176:M181"/>
    <mergeCell ref="A176:A181"/>
    <mergeCell ref="B176:B181"/>
    <mergeCell ref="C176:C181"/>
    <mergeCell ref="D176:D181"/>
    <mergeCell ref="E176:E181"/>
    <mergeCell ref="F176:F181"/>
    <mergeCell ref="G176:G181"/>
    <mergeCell ref="M186:M189"/>
    <mergeCell ref="E190:E193"/>
    <mergeCell ref="F190:F193"/>
    <mergeCell ref="G190:G193"/>
    <mergeCell ref="H190:H193"/>
    <mergeCell ref="A194:A195"/>
    <mergeCell ref="B194:B195"/>
    <mergeCell ref="Q182:Q185"/>
    <mergeCell ref="R182:R185"/>
    <mergeCell ref="S182:S185"/>
    <mergeCell ref="G182:G185"/>
    <mergeCell ref="H182:H185"/>
    <mergeCell ref="I182:I185"/>
    <mergeCell ref="J182:J185"/>
    <mergeCell ref="K182:K185"/>
    <mergeCell ref="L182:L185"/>
    <mergeCell ref="P169:P172"/>
    <mergeCell ref="A182:A185"/>
    <mergeCell ref="B182:B185"/>
    <mergeCell ref="C182:C185"/>
    <mergeCell ref="D182:D185"/>
    <mergeCell ref="E182:E185"/>
    <mergeCell ref="F182:F185"/>
    <mergeCell ref="N176:N181"/>
    <mergeCell ref="O176:O181"/>
    <mergeCell ref="Q176:Q181"/>
    <mergeCell ref="R176:R181"/>
    <mergeCell ref="S176:S181"/>
    <mergeCell ref="B186:B189"/>
    <mergeCell ref="C186:C189"/>
    <mergeCell ref="D186:D189"/>
    <mergeCell ref="E186:E189"/>
    <mergeCell ref="F186:F189"/>
    <mergeCell ref="T196:T198"/>
    <mergeCell ref="N196:N198"/>
    <mergeCell ref="O196:O198"/>
    <mergeCell ref="P196:P198"/>
    <mergeCell ref="O190:O193"/>
    <mergeCell ref="P190:P193"/>
    <mergeCell ref="Q190:Q193"/>
    <mergeCell ref="R190:R193"/>
    <mergeCell ref="S190:S193"/>
    <mergeCell ref="T190:T193"/>
    <mergeCell ref="I190:I193"/>
    <mergeCell ref="J190:J193"/>
    <mergeCell ref="K190:K193"/>
    <mergeCell ref="L190:L193"/>
    <mergeCell ref="M190:M193"/>
    <mergeCell ref="N190:N193"/>
    <mergeCell ref="T194:T195"/>
    <mergeCell ref="S194:S195"/>
    <mergeCell ref="Q194:Q195"/>
    <mergeCell ref="R194:R195"/>
    <mergeCell ref="K194:K195"/>
    <mergeCell ref="L194:L195"/>
    <mergeCell ref="M196:M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O199:O200"/>
    <mergeCell ref="P199:P200"/>
    <mergeCell ref="Q199:Q200"/>
    <mergeCell ref="R199:R200"/>
    <mergeCell ref="S199:S200"/>
    <mergeCell ref="T199:T200"/>
    <mergeCell ref="I199:I200"/>
    <mergeCell ref="J199:J200"/>
    <mergeCell ref="A211:A212"/>
    <mergeCell ref="K211:K212"/>
    <mergeCell ref="L211:L212"/>
    <mergeCell ref="H209:H210"/>
    <mergeCell ref="I209:I210"/>
    <mergeCell ref="J209:J210"/>
    <mergeCell ref="F209:F210"/>
    <mergeCell ref="G209:G210"/>
    <mergeCell ref="T209:T210"/>
    <mergeCell ref="E209:E210"/>
    <mergeCell ref="T201:T208"/>
    <mergeCell ref="M201:M208"/>
    <mergeCell ref="N201:N208"/>
    <mergeCell ref="O201:O208"/>
    <mergeCell ref="Q201:Q208"/>
    <mergeCell ref="R201:R208"/>
    <mergeCell ref="A201:A208"/>
    <mergeCell ref="B201:B208"/>
    <mergeCell ref="C201:C208"/>
    <mergeCell ref="D201:D208"/>
    <mergeCell ref="E201:E208"/>
    <mergeCell ref="F201:F208"/>
    <mergeCell ref="N211:N212"/>
    <mergeCell ref="N215:N216"/>
    <mergeCell ref="O215:O216"/>
    <mergeCell ref="T215:T216"/>
    <mergeCell ref="H215:H216"/>
    <mergeCell ref="I215:I216"/>
    <mergeCell ref="J215:J216"/>
    <mergeCell ref="K215:K216"/>
    <mergeCell ref="L215:L216"/>
    <mergeCell ref="M215:M216"/>
    <mergeCell ref="A215:A216"/>
    <mergeCell ref="B215:B216"/>
    <mergeCell ref="C215:C216"/>
    <mergeCell ref="D215:D216"/>
    <mergeCell ref="E215:E216"/>
    <mergeCell ref="F215:F216"/>
    <mergeCell ref="O211:O212"/>
    <mergeCell ref="P211:P212"/>
    <mergeCell ref="T211:T212"/>
    <mergeCell ref="Q211:Q212"/>
    <mergeCell ref="R211:R212"/>
    <mergeCell ref="S211:S212"/>
    <mergeCell ref="A213:A214"/>
    <mergeCell ref="B211:B212"/>
    <mergeCell ref="C211:C212"/>
    <mergeCell ref="D211:D212"/>
    <mergeCell ref="G211:G212"/>
    <mergeCell ref="H211:H212"/>
    <mergeCell ref="I211:I212"/>
    <mergeCell ref="J211:J212"/>
    <mergeCell ref="G219:G220"/>
    <mergeCell ref="H219:H220"/>
    <mergeCell ref="I219:I220"/>
    <mergeCell ref="J219:J220"/>
    <mergeCell ref="K219:K220"/>
    <mergeCell ref="M219:M220"/>
    <mergeCell ref="A219:A220"/>
    <mergeCell ref="B219:B220"/>
    <mergeCell ref="C219:C220"/>
    <mergeCell ref="D219:D220"/>
    <mergeCell ref="E219:E220"/>
    <mergeCell ref="F219:F220"/>
    <mergeCell ref="G215:G216"/>
    <mergeCell ref="I217:I218"/>
    <mergeCell ref="J217:J218"/>
    <mergeCell ref="K217:K218"/>
    <mergeCell ref="L217:L218"/>
    <mergeCell ref="M217:M218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B213:B214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N223:N225"/>
    <mergeCell ref="O223:O225"/>
    <mergeCell ref="P223:P225"/>
    <mergeCell ref="A226:A228"/>
    <mergeCell ref="B226:B228"/>
    <mergeCell ref="C226:C228"/>
    <mergeCell ref="B223:B225"/>
    <mergeCell ref="C223:C225"/>
    <mergeCell ref="D223:D225"/>
    <mergeCell ref="B230:B231"/>
    <mergeCell ref="C230:C231"/>
    <mergeCell ref="D230:D231"/>
    <mergeCell ref="E230:E231"/>
    <mergeCell ref="O232:O233"/>
    <mergeCell ref="T232:T233"/>
    <mergeCell ref="K232:K233"/>
    <mergeCell ref="L232:L233"/>
    <mergeCell ref="M232:M233"/>
    <mergeCell ref="N232:N233"/>
    <mergeCell ref="A232:A233"/>
    <mergeCell ref="T226:T228"/>
    <mergeCell ref="R226:R228"/>
    <mergeCell ref="S226:S228"/>
    <mergeCell ref="G226:G228"/>
    <mergeCell ref="H226:H228"/>
    <mergeCell ref="I226:I228"/>
    <mergeCell ref="J226:J228"/>
    <mergeCell ref="K226:K228"/>
    <mergeCell ref="L226:L228"/>
    <mergeCell ref="D226:D228"/>
    <mergeCell ref="E226:E228"/>
    <mergeCell ref="F226:F228"/>
    <mergeCell ref="M226:M228"/>
    <mergeCell ref="N226:N228"/>
    <mergeCell ref="O226:O228"/>
    <mergeCell ref="Q226:Q228"/>
    <mergeCell ref="F230:F231"/>
    <mergeCell ref="G230:G231"/>
    <mergeCell ref="H230:H231"/>
    <mergeCell ref="A230:A231"/>
    <mergeCell ref="I230:I231"/>
    <mergeCell ref="J230:J231"/>
    <mergeCell ref="K230:K231"/>
    <mergeCell ref="L230:L231"/>
    <mergeCell ref="M230:M231"/>
    <mergeCell ref="N230:N231"/>
    <mergeCell ref="J236:J237"/>
    <mergeCell ref="K236:K237"/>
    <mergeCell ref="N234:N235"/>
    <mergeCell ref="H234:H235"/>
    <mergeCell ref="I234:I235"/>
    <mergeCell ref="J234:J235"/>
    <mergeCell ref="K234:K235"/>
    <mergeCell ref="E232:E233"/>
    <mergeCell ref="F232:F233"/>
    <mergeCell ref="G232:G233"/>
    <mergeCell ref="H232:H233"/>
    <mergeCell ref="I232:I233"/>
    <mergeCell ref="J232:J233"/>
    <mergeCell ref="C232:C233"/>
    <mergeCell ref="D232:D233"/>
    <mergeCell ref="B232:B233"/>
    <mergeCell ref="B236:B237"/>
    <mergeCell ref="C236:C237"/>
    <mergeCell ref="D236:D237"/>
    <mergeCell ref="T234:T235"/>
    <mergeCell ref="M253:M254"/>
    <mergeCell ref="N253:N254"/>
    <mergeCell ref="O255:O256"/>
    <mergeCell ref="F253:F254"/>
    <mergeCell ref="A242:A243"/>
    <mergeCell ref="A244:A245"/>
    <mergeCell ref="A246:A247"/>
    <mergeCell ref="A269:A270"/>
    <mergeCell ref="B253:B254"/>
    <mergeCell ref="C253:C254"/>
    <mergeCell ref="E236:E237"/>
    <mergeCell ref="F236:F237"/>
    <mergeCell ref="G236:G237"/>
    <mergeCell ref="H236:H237"/>
    <mergeCell ref="I236:I237"/>
    <mergeCell ref="M250:M251"/>
    <mergeCell ref="E266:E267"/>
    <mergeCell ref="F266:F267"/>
    <mergeCell ref="G266:G267"/>
    <mergeCell ref="H266:H267"/>
    <mergeCell ref="I266:I267"/>
    <mergeCell ref="P253:P254"/>
    <mergeCell ref="T255:T256"/>
    <mergeCell ref="N255:N256"/>
    <mergeCell ref="D246:D247"/>
    <mergeCell ref="E246:E247"/>
    <mergeCell ref="A248:A249"/>
    <mergeCell ref="T302:T304"/>
    <mergeCell ref="T248:T249"/>
    <mergeCell ref="M302:M304"/>
    <mergeCell ref="N302:N304"/>
    <mergeCell ref="O302:O304"/>
    <mergeCell ref="Q302:Q304"/>
    <mergeCell ref="R302:R304"/>
    <mergeCell ref="S302:S304"/>
    <mergeCell ref="G302:G304"/>
    <mergeCell ref="H302:H304"/>
    <mergeCell ref="I302:I304"/>
    <mergeCell ref="J302:J304"/>
    <mergeCell ref="K302:K304"/>
    <mergeCell ref="L302:L304"/>
    <mergeCell ref="D283:D284"/>
    <mergeCell ref="E283:E284"/>
    <mergeCell ref="F283:F284"/>
    <mergeCell ref="G283:G284"/>
    <mergeCell ref="H283:H284"/>
    <mergeCell ref="I283:I284"/>
    <mergeCell ref="B281:B282"/>
    <mergeCell ref="C281:C282"/>
    <mergeCell ref="D281:D282"/>
    <mergeCell ref="E281:E282"/>
    <mergeCell ref="B287:B288"/>
    <mergeCell ref="B302:B304"/>
    <mergeCell ref="C302:C304"/>
    <mergeCell ref="B291:B292"/>
    <mergeCell ref="J255:J256"/>
    <mergeCell ref="L261:L262"/>
    <mergeCell ref="A250:A251"/>
    <mergeCell ref="B244:B245"/>
    <mergeCell ref="C244:C245"/>
    <mergeCell ref="D244:D245"/>
    <mergeCell ref="E244:E245"/>
    <mergeCell ref="F244:F245"/>
    <mergeCell ref="G244:G245"/>
    <mergeCell ref="B248:B249"/>
    <mergeCell ref="K250:K251"/>
    <mergeCell ref="L250:L251"/>
    <mergeCell ref="G253:G254"/>
    <mergeCell ref="H253:H254"/>
    <mergeCell ref="K255:K256"/>
    <mergeCell ref="D248:D249"/>
    <mergeCell ref="E248:E249"/>
    <mergeCell ref="H248:H249"/>
    <mergeCell ref="A308:A310"/>
    <mergeCell ref="B308:B310"/>
    <mergeCell ref="C308:C310"/>
    <mergeCell ref="D308:D310"/>
    <mergeCell ref="E308:E310"/>
    <mergeCell ref="F308:F310"/>
    <mergeCell ref="J305:J307"/>
    <mergeCell ref="K305:K307"/>
    <mergeCell ref="L305:L307"/>
    <mergeCell ref="M305:M307"/>
    <mergeCell ref="N305:N307"/>
    <mergeCell ref="O305:O307"/>
    <mergeCell ref="A305:A307"/>
    <mergeCell ref="B305:B307"/>
    <mergeCell ref="C305:C307"/>
    <mergeCell ref="D305:D307"/>
    <mergeCell ref="E305:E307"/>
    <mergeCell ref="F305:F307"/>
    <mergeCell ref="G305:G307"/>
    <mergeCell ref="H305:H307"/>
    <mergeCell ref="I305:I307"/>
    <mergeCell ref="M308:M310"/>
    <mergeCell ref="N308:N310"/>
    <mergeCell ref="O308:O310"/>
    <mergeCell ref="H308:H310"/>
    <mergeCell ref="I308:I310"/>
    <mergeCell ref="J308:J310"/>
    <mergeCell ref="K308:K310"/>
    <mergeCell ref="L308:L310"/>
    <mergeCell ref="AY313:AY316"/>
    <mergeCell ref="AZ313:AZ316"/>
    <mergeCell ref="BA313:BA316"/>
    <mergeCell ref="T308:T310"/>
    <mergeCell ref="AS313:AS316"/>
    <mergeCell ref="AT313:AT316"/>
    <mergeCell ref="AW313:AW316"/>
    <mergeCell ref="AX313:AX316"/>
    <mergeCell ref="M313:M316"/>
    <mergeCell ref="N313:N316"/>
    <mergeCell ref="O313:O316"/>
    <mergeCell ref="P313:P316"/>
    <mergeCell ref="Q313:Q316"/>
    <mergeCell ref="R313:R316"/>
    <mergeCell ref="G313:G316"/>
    <mergeCell ref="H313:H316"/>
    <mergeCell ref="T317:T319"/>
    <mergeCell ref="R317:R319"/>
    <mergeCell ref="G317:G319"/>
    <mergeCell ref="H317:H319"/>
    <mergeCell ref="I317:I319"/>
    <mergeCell ref="J317:J319"/>
    <mergeCell ref="K317:K319"/>
    <mergeCell ref="AG308:AG309"/>
    <mergeCell ref="S313:S316"/>
    <mergeCell ref="T313:T316"/>
    <mergeCell ref="Q308:Q310"/>
    <mergeCell ref="R308:R310"/>
    <mergeCell ref="S308:S310"/>
    <mergeCell ref="N317:N319"/>
    <mergeCell ref="O317:O319"/>
    <mergeCell ref="Q317:Q319"/>
    <mergeCell ref="BD338:BD343"/>
    <mergeCell ref="A325:A337"/>
    <mergeCell ref="B325:B337"/>
    <mergeCell ref="C325:C337"/>
    <mergeCell ref="D325:D337"/>
    <mergeCell ref="E325:E337"/>
    <mergeCell ref="F325:F337"/>
    <mergeCell ref="G325:G337"/>
    <mergeCell ref="BB338:BB343"/>
    <mergeCell ref="BC338:BC343"/>
    <mergeCell ref="AZ325:AZ337"/>
    <mergeCell ref="BA325:BA337"/>
    <mergeCell ref="BB325:BB337"/>
    <mergeCell ref="BC325:BC337"/>
    <mergeCell ref="BD325:BD337"/>
    <mergeCell ref="AR325:AR337"/>
    <mergeCell ref="AS325:AS337"/>
    <mergeCell ref="AT325:AT337"/>
    <mergeCell ref="AW325:AW337"/>
    <mergeCell ref="AX325:AX337"/>
    <mergeCell ref="H325:H337"/>
    <mergeCell ref="I325:I337"/>
    <mergeCell ref="C351:C363"/>
    <mergeCell ref="D351:D363"/>
    <mergeCell ref="E351:E363"/>
    <mergeCell ref="F351:F363"/>
    <mergeCell ref="AT338:AT350"/>
    <mergeCell ref="AW338:AW350"/>
    <mergeCell ref="AX338:AX343"/>
    <mergeCell ref="AY338:AY343"/>
    <mergeCell ref="A317:A319"/>
    <mergeCell ref="B317:B319"/>
    <mergeCell ref="C317:C319"/>
    <mergeCell ref="D317:D319"/>
    <mergeCell ref="E317:E319"/>
    <mergeCell ref="F317:F319"/>
    <mergeCell ref="P318:P319"/>
    <mergeCell ref="M317:M319"/>
    <mergeCell ref="AS317:AS319"/>
    <mergeCell ref="AT317:AT319"/>
    <mergeCell ref="AW317:AW319"/>
    <mergeCell ref="AW323:AW324"/>
    <mergeCell ref="H338:H350"/>
    <mergeCell ref="AZ338:AZ343"/>
    <mergeCell ref="BA338:BA343"/>
    <mergeCell ref="O338:O350"/>
    <mergeCell ref="Q338:Q350"/>
    <mergeCell ref="R338:R350"/>
    <mergeCell ref="S338:S350"/>
    <mergeCell ref="T338:T350"/>
    <mergeCell ref="AS338:AS350"/>
    <mergeCell ref="J325:J337"/>
    <mergeCell ref="K325:K337"/>
    <mergeCell ref="L325:L337"/>
    <mergeCell ref="M325:M337"/>
    <mergeCell ref="A338:A350"/>
    <mergeCell ref="B338:B350"/>
    <mergeCell ref="P355:P356"/>
    <mergeCell ref="AF355:AF356"/>
    <mergeCell ref="AW351:AW363"/>
    <mergeCell ref="AX351:AX355"/>
    <mergeCell ref="AY351:AY355"/>
    <mergeCell ref="AZ351:AZ355"/>
    <mergeCell ref="BA351:BA355"/>
    <mergeCell ref="AY325:AY337"/>
    <mergeCell ref="N325:N337"/>
    <mergeCell ref="O325:O337"/>
    <mergeCell ref="Q325:Q337"/>
    <mergeCell ref="R325:R337"/>
    <mergeCell ref="S325:S337"/>
    <mergeCell ref="T325:T337"/>
    <mergeCell ref="P341:P350"/>
    <mergeCell ref="A351:A363"/>
    <mergeCell ref="B351:B363"/>
    <mergeCell ref="BC351:BC355"/>
    <mergeCell ref="BD351:BD355"/>
    <mergeCell ref="O351:O363"/>
    <mergeCell ref="P351:P352"/>
    <mergeCell ref="Q351:Q363"/>
    <mergeCell ref="R351:R363"/>
    <mergeCell ref="G351:G363"/>
    <mergeCell ref="H351:H363"/>
    <mergeCell ref="I351:I363"/>
    <mergeCell ref="J351:J363"/>
    <mergeCell ref="K351:K363"/>
    <mergeCell ref="BB351:BB355"/>
    <mergeCell ref="S351:S363"/>
    <mergeCell ref="T351:T363"/>
    <mergeCell ref="AS351:AS363"/>
    <mergeCell ref="AT351:AT363"/>
    <mergeCell ref="M351:M363"/>
    <mergeCell ref="N351:N363"/>
    <mergeCell ref="L351:L363"/>
    <mergeCell ref="P357:P363"/>
    <mergeCell ref="A376:A389"/>
    <mergeCell ref="B376:B389"/>
    <mergeCell ref="C376:C389"/>
    <mergeCell ref="D376:D389"/>
    <mergeCell ref="E376:E389"/>
    <mergeCell ref="AS364:AS375"/>
    <mergeCell ref="AT364:AT375"/>
    <mergeCell ref="AW364:AW375"/>
    <mergeCell ref="AX364:AX375"/>
    <mergeCell ref="AY364:AY375"/>
    <mergeCell ref="AZ364:AZ375"/>
    <mergeCell ref="N364:N375"/>
    <mergeCell ref="O364:O375"/>
    <mergeCell ref="Q364:Q375"/>
    <mergeCell ref="R364:R375"/>
    <mergeCell ref="S364:S375"/>
    <mergeCell ref="T364:T375"/>
    <mergeCell ref="H364:H375"/>
    <mergeCell ref="I364:I375"/>
    <mergeCell ref="J364:J375"/>
    <mergeCell ref="F364:F375"/>
    <mergeCell ref="G364:G375"/>
    <mergeCell ref="L376:L389"/>
    <mergeCell ref="M376:M389"/>
    <mergeCell ref="N376:N389"/>
    <mergeCell ref="O376:O389"/>
    <mergeCell ref="Q376:Q389"/>
    <mergeCell ref="R376:R389"/>
    <mergeCell ref="K364:K375"/>
    <mergeCell ref="F376:F389"/>
    <mergeCell ref="G376:G389"/>
    <mergeCell ref="H376:H389"/>
    <mergeCell ref="R390:R401"/>
    <mergeCell ref="P396:P397"/>
    <mergeCell ref="J390:J401"/>
    <mergeCell ref="I376:I389"/>
    <mergeCell ref="AY390:AY401"/>
    <mergeCell ref="AZ390:AZ401"/>
    <mergeCell ref="BA390:BA401"/>
    <mergeCell ref="BB390:BB401"/>
    <mergeCell ref="BC390:BC401"/>
    <mergeCell ref="BD390:BD401"/>
    <mergeCell ref="AS390:AS401"/>
    <mergeCell ref="AT390:AT401"/>
    <mergeCell ref="AW390:AW401"/>
    <mergeCell ref="AX390:AX401"/>
    <mergeCell ref="M390:M401"/>
    <mergeCell ref="N390:N401"/>
    <mergeCell ref="AY376:AY389"/>
    <mergeCell ref="AZ376:AZ389"/>
    <mergeCell ref="BA376:BA389"/>
    <mergeCell ref="BB376:BB389"/>
    <mergeCell ref="BC376:BC389"/>
    <mergeCell ref="BD376:BD389"/>
    <mergeCell ref="S376:S389"/>
    <mergeCell ref="T376:T389"/>
    <mergeCell ref="AS376:AS389"/>
    <mergeCell ref="AT376:AT389"/>
    <mergeCell ref="AW376:AW389"/>
    <mergeCell ref="AX376:AX389"/>
    <mergeCell ref="L390:L401"/>
    <mergeCell ref="K376:K389"/>
    <mergeCell ref="A402:A415"/>
    <mergeCell ref="B402:B415"/>
    <mergeCell ref="C402:C415"/>
    <mergeCell ref="D402:D415"/>
    <mergeCell ref="E402:E415"/>
    <mergeCell ref="BD402:BD415"/>
    <mergeCell ref="G402:G415"/>
    <mergeCell ref="H402:H415"/>
    <mergeCell ref="I402:I415"/>
    <mergeCell ref="A390:A401"/>
    <mergeCell ref="B390:B401"/>
    <mergeCell ref="C390:C401"/>
    <mergeCell ref="D390:D401"/>
    <mergeCell ref="E390:E401"/>
    <mergeCell ref="F390:F401"/>
    <mergeCell ref="AK396:AK397"/>
    <mergeCell ref="AL396:AL397"/>
    <mergeCell ref="AM396:AM397"/>
    <mergeCell ref="AN396:AN397"/>
    <mergeCell ref="AM390:AM392"/>
    <mergeCell ref="AN390:AN392"/>
    <mergeCell ref="S390:S401"/>
    <mergeCell ref="T390:T401"/>
    <mergeCell ref="AI390:AI392"/>
    <mergeCell ref="AJ390:AJ392"/>
    <mergeCell ref="AK390:AK392"/>
    <mergeCell ref="AL390:AL392"/>
    <mergeCell ref="AI396:AI397"/>
    <mergeCell ref="AJ396:AJ397"/>
    <mergeCell ref="O390:O401"/>
    <mergeCell ref="P390:P394"/>
    <mergeCell ref="Q390:Q401"/>
    <mergeCell ref="AX402:AX415"/>
    <mergeCell ref="AY402:AY415"/>
    <mergeCell ref="AZ402:AZ415"/>
    <mergeCell ref="BA402:BA415"/>
    <mergeCell ref="BB402:BB415"/>
    <mergeCell ref="BC402:BC415"/>
    <mergeCell ref="R402:R415"/>
    <mergeCell ref="S402:S415"/>
    <mergeCell ref="T402:T415"/>
    <mergeCell ref="AS402:AS415"/>
    <mergeCell ref="AT402:AT415"/>
    <mergeCell ref="AW402:AW415"/>
    <mergeCell ref="L402:L415"/>
    <mergeCell ref="M402:M415"/>
    <mergeCell ref="N402:N415"/>
    <mergeCell ref="O402:O415"/>
    <mergeCell ref="P402:P415"/>
    <mergeCell ref="Q402:Q415"/>
    <mergeCell ref="AJ420:AJ421"/>
    <mergeCell ref="AK420:AK421"/>
    <mergeCell ref="AL420:AL421"/>
    <mergeCell ref="P420:P425"/>
    <mergeCell ref="Q420:Q425"/>
    <mergeCell ref="R420:R425"/>
    <mergeCell ref="S420:S425"/>
    <mergeCell ref="T420:T425"/>
    <mergeCell ref="AI420:AI421"/>
    <mergeCell ref="J420:J425"/>
    <mergeCell ref="K420:K425"/>
    <mergeCell ref="L420:L425"/>
    <mergeCell ref="M420:M425"/>
    <mergeCell ref="N420:N425"/>
    <mergeCell ref="O420:O425"/>
    <mergeCell ref="A420:A425"/>
    <mergeCell ref="B420:B425"/>
    <mergeCell ref="C420:C425"/>
    <mergeCell ref="D420:D425"/>
    <mergeCell ref="E420:E425"/>
    <mergeCell ref="F420:F425"/>
    <mergeCell ref="G420:G425"/>
    <mergeCell ref="H420:H425"/>
    <mergeCell ref="I420:I425"/>
    <mergeCell ref="T459:T469"/>
    <mergeCell ref="P437:P438"/>
    <mergeCell ref="AQ459:AQ463"/>
    <mergeCell ref="AR459:AR463"/>
    <mergeCell ref="S441:S458"/>
    <mergeCell ref="T441:T458"/>
    <mergeCell ref="AM441:AM453"/>
    <mergeCell ref="AN441:AN453"/>
    <mergeCell ref="AO441:AO453"/>
    <mergeCell ref="M441:M458"/>
    <mergeCell ref="N441:N458"/>
    <mergeCell ref="O441:O458"/>
    <mergeCell ref="P441:P458"/>
    <mergeCell ref="Q441:Q458"/>
    <mergeCell ref="R441:R458"/>
    <mergeCell ref="G441:G458"/>
    <mergeCell ref="H441:H458"/>
    <mergeCell ref="I441:I458"/>
    <mergeCell ref="J441:J458"/>
    <mergeCell ref="K441:K458"/>
    <mergeCell ref="L441:L458"/>
    <mergeCell ref="AM459:AM463"/>
    <mergeCell ref="AN459:AN463"/>
    <mergeCell ref="AO459:AO463"/>
    <mergeCell ref="AP459:AP463"/>
    <mergeCell ref="M459:M469"/>
    <mergeCell ref="N459:N469"/>
    <mergeCell ref="O459:O469"/>
    <mergeCell ref="P459:P469"/>
    <mergeCell ref="Q459:Q469"/>
    <mergeCell ref="R459:R469"/>
    <mergeCell ref="G459:G469"/>
    <mergeCell ref="T437:T438"/>
    <mergeCell ref="O437:O438"/>
    <mergeCell ref="N437:N438"/>
    <mergeCell ref="H437:H438"/>
    <mergeCell ref="I437:I438"/>
    <mergeCell ref="F437:F438"/>
    <mergeCell ref="M426:M434"/>
    <mergeCell ref="N426:N434"/>
    <mergeCell ref="O426:O434"/>
    <mergeCell ref="P426:P434"/>
    <mergeCell ref="T426:T434"/>
    <mergeCell ref="G426:G434"/>
    <mergeCell ref="H426:H434"/>
    <mergeCell ref="I426:I434"/>
    <mergeCell ref="J426:J434"/>
    <mergeCell ref="K426:K434"/>
    <mergeCell ref="L426:L434"/>
    <mergeCell ref="AQ470:AQ479"/>
    <mergeCell ref="AR470:AR479"/>
    <mergeCell ref="O470:O479"/>
    <mergeCell ref="P470:P479"/>
    <mergeCell ref="Q470:Q479"/>
    <mergeCell ref="R470:R479"/>
    <mergeCell ref="S470:S479"/>
    <mergeCell ref="T470:T479"/>
    <mergeCell ref="I470:I479"/>
    <mergeCell ref="J470:J479"/>
    <mergeCell ref="K470:K479"/>
    <mergeCell ref="L470:L479"/>
    <mergeCell ref="M470:M479"/>
    <mergeCell ref="N470:N479"/>
    <mergeCell ref="O480:O487"/>
    <mergeCell ref="P480:P487"/>
    <mergeCell ref="Q480:Q487"/>
    <mergeCell ref="R480:R487"/>
    <mergeCell ref="AQ480:AQ484"/>
    <mergeCell ref="AR480:AR484"/>
    <mergeCell ref="K480:K487"/>
    <mergeCell ref="T480:T487"/>
    <mergeCell ref="AM480:AM484"/>
    <mergeCell ref="AN480:AN484"/>
    <mergeCell ref="AO480:AO484"/>
    <mergeCell ref="AP480:AP484"/>
    <mergeCell ref="M480:M487"/>
    <mergeCell ref="N480:N487"/>
    <mergeCell ref="AN470:AN479"/>
    <mergeCell ref="AO470:AO479"/>
    <mergeCell ref="AP470:AP479"/>
    <mergeCell ref="AM470:AM479"/>
    <mergeCell ref="T490:T491"/>
    <mergeCell ref="H492:H497"/>
    <mergeCell ref="A470:A479"/>
    <mergeCell ref="F488:F489"/>
    <mergeCell ref="B470:B479"/>
    <mergeCell ref="C470:C479"/>
    <mergeCell ref="D470:D479"/>
    <mergeCell ref="S480:S487"/>
    <mergeCell ref="P490:P491"/>
    <mergeCell ref="N490:N491"/>
    <mergeCell ref="O490:O491"/>
    <mergeCell ref="O488:O489"/>
    <mergeCell ref="P488:P489"/>
    <mergeCell ref="Q488:Q489"/>
    <mergeCell ref="R488:R489"/>
    <mergeCell ref="S488:S489"/>
    <mergeCell ref="T488:T489"/>
    <mergeCell ref="I488:I489"/>
    <mergeCell ref="J488:J489"/>
    <mergeCell ref="K488:K489"/>
    <mergeCell ref="L488:L489"/>
    <mergeCell ref="M488:M489"/>
    <mergeCell ref="N488:N489"/>
    <mergeCell ref="A488:A489"/>
    <mergeCell ref="B488:B489"/>
    <mergeCell ref="C488:C489"/>
    <mergeCell ref="D488:D489"/>
    <mergeCell ref="E488:E489"/>
    <mergeCell ref="F480:F487"/>
    <mergeCell ref="F470:F479"/>
    <mergeCell ref="G470:G479"/>
    <mergeCell ref="A480:A487"/>
    <mergeCell ref="AR492:AR497"/>
    <mergeCell ref="P492:P497"/>
    <mergeCell ref="Q492:Q497"/>
    <mergeCell ref="R492:R497"/>
    <mergeCell ref="S492:S497"/>
    <mergeCell ref="T492:T497"/>
    <mergeCell ref="AM492:AM497"/>
    <mergeCell ref="J492:J497"/>
    <mergeCell ref="K492:K497"/>
    <mergeCell ref="L492:L497"/>
    <mergeCell ref="M492:M497"/>
    <mergeCell ref="N492:N497"/>
    <mergeCell ref="O492:O497"/>
    <mergeCell ref="A492:A497"/>
    <mergeCell ref="B492:B497"/>
    <mergeCell ref="I492:I497"/>
    <mergeCell ref="AN492:AN497"/>
    <mergeCell ref="AO492:AO497"/>
    <mergeCell ref="AP492:AP497"/>
    <mergeCell ref="AQ492:AQ497"/>
    <mergeCell ref="AT498:AT499"/>
    <mergeCell ref="AU498:AU499"/>
    <mergeCell ref="AV498:AV499"/>
    <mergeCell ref="AY498:AY499"/>
    <mergeCell ref="AN498:AN499"/>
    <mergeCell ref="AO498:AO499"/>
    <mergeCell ref="AP498:AP499"/>
    <mergeCell ref="AQ498:AQ499"/>
    <mergeCell ref="AR498:AR499"/>
    <mergeCell ref="AS498:AS499"/>
    <mergeCell ref="O498:O499"/>
    <mergeCell ref="Q498:Q499"/>
    <mergeCell ref="R498:R499"/>
    <mergeCell ref="S498:S499"/>
    <mergeCell ref="T498:T499"/>
    <mergeCell ref="AM498:AM499"/>
    <mergeCell ref="I498:I499"/>
    <mergeCell ref="J498:J499"/>
    <mergeCell ref="K498:K499"/>
    <mergeCell ref="L498:L499"/>
    <mergeCell ref="M498:M499"/>
    <mergeCell ref="N498:N499"/>
    <mergeCell ref="R505:R508"/>
    <mergeCell ref="S505:S508"/>
    <mergeCell ref="T505:T508"/>
    <mergeCell ref="A509:A515"/>
    <mergeCell ref="B509:B515"/>
    <mergeCell ref="C509:C515"/>
    <mergeCell ref="D509:D515"/>
    <mergeCell ref="E509:E515"/>
    <mergeCell ref="F509:F515"/>
    <mergeCell ref="L505:L508"/>
    <mergeCell ref="M505:M508"/>
    <mergeCell ref="N505:N508"/>
    <mergeCell ref="O505:O508"/>
    <mergeCell ref="P505:P508"/>
    <mergeCell ref="Q505:Q508"/>
    <mergeCell ref="F505:F508"/>
    <mergeCell ref="G505:G508"/>
    <mergeCell ref="H505:H508"/>
    <mergeCell ref="I505:I508"/>
    <mergeCell ref="J505:J508"/>
    <mergeCell ref="K505:K508"/>
    <mergeCell ref="A505:A508"/>
    <mergeCell ref="B505:B508"/>
    <mergeCell ref="C505:C508"/>
    <mergeCell ref="D505:D508"/>
    <mergeCell ref="E505:E508"/>
    <mergeCell ref="B536:B537"/>
    <mergeCell ref="C536:G537"/>
    <mergeCell ref="B518:D518"/>
    <mergeCell ref="A524:A526"/>
    <mergeCell ref="B524:G526"/>
    <mergeCell ref="B527:G528"/>
    <mergeCell ref="B529:G529"/>
    <mergeCell ref="BA509:BA515"/>
    <mergeCell ref="BB509:BB515"/>
    <mergeCell ref="BC509:BC515"/>
    <mergeCell ref="BD509:BD515"/>
    <mergeCell ref="A516:K516"/>
    <mergeCell ref="C517:G517"/>
    <mergeCell ref="AS509:AS515"/>
    <mergeCell ref="AT509:AT515"/>
    <mergeCell ref="AW509:AW515"/>
    <mergeCell ref="AX509:AX515"/>
    <mergeCell ref="AY509:AY515"/>
    <mergeCell ref="AZ509:AZ515"/>
    <mergeCell ref="AM509:AM515"/>
    <mergeCell ref="AN509:AN515"/>
    <mergeCell ref="AO509:AO515"/>
    <mergeCell ref="AP509:AP515"/>
    <mergeCell ref="AQ509:AQ515"/>
    <mergeCell ref="AR509:AR515"/>
    <mergeCell ref="S509:S515"/>
    <mergeCell ref="T509:T515"/>
    <mergeCell ref="AI509:AI515"/>
    <mergeCell ref="AJ509:AJ515"/>
    <mergeCell ref="AK509:AK515"/>
    <mergeCell ref="AL509:AL515"/>
    <mergeCell ref="B561:B562"/>
    <mergeCell ref="C561:G562"/>
    <mergeCell ref="C550:G550"/>
    <mergeCell ref="C552:G552"/>
    <mergeCell ref="C553:G553"/>
    <mergeCell ref="C554:G554"/>
    <mergeCell ref="C555:G555"/>
    <mergeCell ref="C556:G556"/>
    <mergeCell ref="C544:G544"/>
    <mergeCell ref="C545:G545"/>
    <mergeCell ref="C546:G546"/>
    <mergeCell ref="B547:B548"/>
    <mergeCell ref="C547:G548"/>
    <mergeCell ref="C549:G549"/>
    <mergeCell ref="C538:G538"/>
    <mergeCell ref="C539:G539"/>
    <mergeCell ref="C540:G540"/>
    <mergeCell ref="C541:G541"/>
    <mergeCell ref="C542:G542"/>
    <mergeCell ref="C543:G543"/>
    <mergeCell ref="B234:B235"/>
    <mergeCell ref="C234:C235"/>
    <mergeCell ref="D234:D235"/>
    <mergeCell ref="E234:E235"/>
    <mergeCell ref="F234:F235"/>
    <mergeCell ref="G234:G235"/>
    <mergeCell ref="C581:G581"/>
    <mergeCell ref="C582:G582"/>
    <mergeCell ref="C583:G583"/>
    <mergeCell ref="C584:G584"/>
    <mergeCell ref="C585:G585"/>
    <mergeCell ref="C586:G586"/>
    <mergeCell ref="C575:G575"/>
    <mergeCell ref="C576:G576"/>
    <mergeCell ref="C577:G577"/>
    <mergeCell ref="B578:B579"/>
    <mergeCell ref="C578:G579"/>
    <mergeCell ref="C580:G580"/>
    <mergeCell ref="C569:G569"/>
    <mergeCell ref="C570:G570"/>
    <mergeCell ref="C571:G571"/>
    <mergeCell ref="C572:G572"/>
    <mergeCell ref="C573:G573"/>
    <mergeCell ref="C574:G574"/>
    <mergeCell ref="C563:G563"/>
    <mergeCell ref="C564:G564"/>
    <mergeCell ref="C565:G565"/>
    <mergeCell ref="C566:G566"/>
    <mergeCell ref="C567:G567"/>
    <mergeCell ref="C568:G568"/>
    <mergeCell ref="C557:G557"/>
    <mergeCell ref="C558:G558"/>
    <mergeCell ref="T236:T237"/>
    <mergeCell ref="S238:S239"/>
    <mergeCell ref="M236:M237"/>
    <mergeCell ref="N236:N237"/>
    <mergeCell ref="O236:O237"/>
    <mergeCell ref="Q238:Q239"/>
    <mergeCell ref="L244:L245"/>
    <mergeCell ref="T242:T243"/>
    <mergeCell ref="C588:G588"/>
    <mergeCell ref="C589:G589"/>
    <mergeCell ref="C559:G559"/>
    <mergeCell ref="C560:G560"/>
    <mergeCell ref="C530:G530"/>
    <mergeCell ref="C531:G531"/>
    <mergeCell ref="C532:G532"/>
    <mergeCell ref="C533:G533"/>
    <mergeCell ref="C534:G535"/>
    <mergeCell ref="M509:M515"/>
    <mergeCell ref="N509:N515"/>
    <mergeCell ref="O509:O515"/>
    <mergeCell ref="P509:P510"/>
    <mergeCell ref="Q509:Q515"/>
    <mergeCell ref="R509:R515"/>
    <mergeCell ref="G509:G515"/>
    <mergeCell ref="H509:H515"/>
    <mergeCell ref="S459:S469"/>
    <mergeCell ref="D480:D487"/>
    <mergeCell ref="E480:E487"/>
    <mergeCell ref="I509:I515"/>
    <mergeCell ref="J509:J515"/>
    <mergeCell ref="K509:K515"/>
    <mergeCell ref="L509:L515"/>
    <mergeCell ref="L236:L237"/>
    <mergeCell ref="J416:J419"/>
    <mergeCell ref="K416:K419"/>
    <mergeCell ref="P416:P419"/>
    <mergeCell ref="Q416:Q419"/>
    <mergeCell ref="P255:P256"/>
    <mergeCell ref="Q255:Q256"/>
    <mergeCell ref="K283:K284"/>
    <mergeCell ref="L283:L284"/>
    <mergeCell ref="M283:M284"/>
    <mergeCell ref="N283:N284"/>
    <mergeCell ref="O283:O284"/>
    <mergeCell ref="P283:P284"/>
    <mergeCell ref="M244:M245"/>
    <mergeCell ref="N240:N241"/>
    <mergeCell ref="K277:K278"/>
    <mergeCell ref="L277:L278"/>
    <mergeCell ref="M277:M278"/>
    <mergeCell ref="N277:N278"/>
    <mergeCell ref="O277:O278"/>
    <mergeCell ref="O273:O274"/>
    <mergeCell ref="M264:M265"/>
    <mergeCell ref="K275:K276"/>
    <mergeCell ref="L275:L276"/>
    <mergeCell ref="M275:M276"/>
    <mergeCell ref="N275:N276"/>
    <mergeCell ref="K244:K245"/>
    <mergeCell ref="N248:N249"/>
    <mergeCell ref="K402:K415"/>
    <mergeCell ref="J338:J350"/>
    <mergeCell ref="K338:K350"/>
    <mergeCell ref="L338:L350"/>
    <mergeCell ref="D500:D502"/>
    <mergeCell ref="E500:E502"/>
    <mergeCell ref="B490:B491"/>
    <mergeCell ref="C490:C491"/>
    <mergeCell ref="C500:C502"/>
    <mergeCell ref="G480:G487"/>
    <mergeCell ref="H480:H487"/>
    <mergeCell ref="I480:I487"/>
    <mergeCell ref="D441:D458"/>
    <mergeCell ref="E441:E458"/>
    <mergeCell ref="F441:F458"/>
    <mergeCell ref="E470:E479"/>
    <mergeCell ref="M500:M502"/>
    <mergeCell ref="N500:N502"/>
    <mergeCell ref="O500:O502"/>
    <mergeCell ref="P500:P502"/>
    <mergeCell ref="I244:I245"/>
    <mergeCell ref="J244:J245"/>
    <mergeCell ref="F459:F469"/>
    <mergeCell ref="B441:B458"/>
    <mergeCell ref="C441:C458"/>
    <mergeCell ref="H459:H469"/>
    <mergeCell ref="I459:I469"/>
    <mergeCell ref="F402:F415"/>
    <mergeCell ref="I338:I350"/>
    <mergeCell ref="M338:M350"/>
    <mergeCell ref="N338:N350"/>
    <mergeCell ref="C338:C350"/>
    <mergeCell ref="D338:D350"/>
    <mergeCell ref="E338:E350"/>
    <mergeCell ref="F338:F350"/>
    <mergeCell ref="G338:G350"/>
    <mergeCell ref="G492:G497"/>
    <mergeCell ref="H470:H479"/>
    <mergeCell ref="E490:E491"/>
    <mergeCell ref="C426:C434"/>
    <mergeCell ref="D426:D434"/>
    <mergeCell ref="E426:E434"/>
    <mergeCell ref="F426:F434"/>
    <mergeCell ref="B459:B469"/>
    <mergeCell ref="C459:C469"/>
    <mergeCell ref="D459:D469"/>
    <mergeCell ref="E459:E469"/>
    <mergeCell ref="L273:L274"/>
    <mergeCell ref="H242:H243"/>
    <mergeCell ref="I242:I243"/>
    <mergeCell ref="T500:T502"/>
    <mergeCell ref="G498:G499"/>
    <mergeCell ref="H498:H499"/>
    <mergeCell ref="B500:B502"/>
    <mergeCell ref="C435:C43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M435:M436"/>
    <mergeCell ref="N435:N436"/>
    <mergeCell ref="O435:O436"/>
    <mergeCell ref="P435:P436"/>
    <mergeCell ref="T435:T436"/>
    <mergeCell ref="M437:M438"/>
    <mergeCell ref="L437:L438"/>
    <mergeCell ref="K437:K438"/>
    <mergeCell ref="J437:J438"/>
    <mergeCell ref="G437:G438"/>
    <mergeCell ref="F490:F491"/>
    <mergeCell ref="G490:G491"/>
    <mergeCell ref="H490:H491"/>
    <mergeCell ref="I490:I491"/>
    <mergeCell ref="J490:J491"/>
    <mergeCell ref="K490:K491"/>
    <mergeCell ref="D490:D491"/>
    <mergeCell ref="B480:B487"/>
    <mergeCell ref="C480:C487"/>
    <mergeCell ref="B435:B436"/>
    <mergeCell ref="E253:E254"/>
    <mergeCell ref="H500:H502"/>
    <mergeCell ref="I500:I502"/>
    <mergeCell ref="J500:J502"/>
    <mergeCell ref="L500:L502"/>
    <mergeCell ref="E498:E499"/>
    <mergeCell ref="F498:F499"/>
    <mergeCell ref="G488:G489"/>
    <mergeCell ref="H488:H489"/>
    <mergeCell ref="J480:J487"/>
    <mergeCell ref="F500:F502"/>
    <mergeCell ref="G500:G502"/>
    <mergeCell ref="K500:K502"/>
    <mergeCell ref="C492:C497"/>
    <mergeCell ref="D492:D497"/>
    <mergeCell ref="E492:E497"/>
    <mergeCell ref="F492:F497"/>
    <mergeCell ref="A234:A235"/>
    <mergeCell ref="A236:A237"/>
    <mergeCell ref="A238:A239"/>
    <mergeCell ref="A240:A241"/>
    <mergeCell ref="A459:A469"/>
    <mergeCell ref="A441:A458"/>
    <mergeCell ref="A313:A316"/>
    <mergeCell ref="A364:A375"/>
    <mergeCell ref="A302:A304"/>
    <mergeCell ref="D238:D239"/>
    <mergeCell ref="E238:E239"/>
    <mergeCell ref="F238:F239"/>
    <mergeCell ref="G238:G239"/>
    <mergeCell ref="H238:H239"/>
    <mergeCell ref="I238:I239"/>
    <mergeCell ref="K238:K239"/>
    <mergeCell ref="F242:F243"/>
    <mergeCell ref="G242:G243"/>
    <mergeCell ref="G240:G241"/>
    <mergeCell ref="B242:B243"/>
    <mergeCell ref="C242:C243"/>
    <mergeCell ref="D242:D243"/>
    <mergeCell ref="E242:E243"/>
    <mergeCell ref="B246:B247"/>
    <mergeCell ref="F246:F247"/>
    <mergeCell ref="G246:G247"/>
    <mergeCell ref="H246:H247"/>
    <mergeCell ref="I246:I247"/>
    <mergeCell ref="J246:J247"/>
    <mergeCell ref="A271:A272"/>
    <mergeCell ref="A273:A274"/>
    <mergeCell ref="B240:B241"/>
    <mergeCell ref="A500:A502"/>
    <mergeCell ref="M238:M239"/>
    <mergeCell ref="N238:N239"/>
    <mergeCell ref="O238:O239"/>
    <mergeCell ref="N246:N247"/>
    <mergeCell ref="N244:N245"/>
    <mergeCell ref="O242:O243"/>
    <mergeCell ref="A490:A491"/>
    <mergeCell ref="O248:O249"/>
    <mergeCell ref="L255:L256"/>
    <mergeCell ref="M255:M256"/>
    <mergeCell ref="N242:N243"/>
    <mergeCell ref="D240:D241"/>
    <mergeCell ref="H240:H241"/>
    <mergeCell ref="A253:A254"/>
    <mergeCell ref="A255:A256"/>
    <mergeCell ref="K273:K274"/>
    <mergeCell ref="A498:A499"/>
    <mergeCell ref="B498:B499"/>
    <mergeCell ref="C498:C499"/>
    <mergeCell ref="D498:D499"/>
    <mergeCell ref="J459:J469"/>
    <mergeCell ref="K459:K469"/>
    <mergeCell ref="L459:L469"/>
    <mergeCell ref="A426:A434"/>
    <mergeCell ref="B426:B434"/>
    <mergeCell ref="L490:L491"/>
    <mergeCell ref="M490:M491"/>
    <mergeCell ref="B416:B419"/>
    <mergeCell ref="C416:C419"/>
    <mergeCell ref="D416:D419"/>
    <mergeCell ref="E416:E419"/>
    <mergeCell ref="C246:C247"/>
    <mergeCell ref="J242:J243"/>
    <mergeCell ref="J275:J276"/>
    <mergeCell ref="B264:B265"/>
    <mergeCell ref="C240:C241"/>
    <mergeCell ref="C248:C249"/>
    <mergeCell ref="B238:B239"/>
    <mergeCell ref="C238:C239"/>
    <mergeCell ref="F248:F249"/>
    <mergeCell ref="G248:G249"/>
    <mergeCell ref="I248:I249"/>
    <mergeCell ref="K246:K247"/>
    <mergeCell ref="L246:L247"/>
    <mergeCell ref="M246:M247"/>
    <mergeCell ref="O246:O247"/>
    <mergeCell ref="T238:T239"/>
    <mergeCell ref="L238:L239"/>
    <mergeCell ref="O240:O241"/>
    <mergeCell ref="J238:J239"/>
    <mergeCell ref="R238:R239"/>
    <mergeCell ref="T244:T245"/>
    <mergeCell ref="I253:I254"/>
    <mergeCell ref="N269:N270"/>
    <mergeCell ref="O269:O270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L242:L243"/>
    <mergeCell ref="I390:I401"/>
    <mergeCell ref="J253:J254"/>
    <mergeCell ref="T416:T419"/>
    <mergeCell ref="D250:D251"/>
    <mergeCell ref="E250:E251"/>
    <mergeCell ref="F250:F251"/>
    <mergeCell ref="G250:G251"/>
    <mergeCell ref="H250:H251"/>
    <mergeCell ref="T250:T251"/>
    <mergeCell ref="S253:S254"/>
    <mergeCell ref="T253:T254"/>
    <mergeCell ref="L253:L254"/>
    <mergeCell ref="N416:N419"/>
    <mergeCell ref="O416:O419"/>
    <mergeCell ref="G390:G401"/>
    <mergeCell ref="H390:H401"/>
    <mergeCell ref="P271:P272"/>
    <mergeCell ref="D253:D254"/>
    <mergeCell ref="Q253:Q254"/>
    <mergeCell ref="R253:R254"/>
    <mergeCell ref="D275:D276"/>
    <mergeCell ref="E275:E276"/>
    <mergeCell ref="K390:K401"/>
    <mergeCell ref="J402:J415"/>
    <mergeCell ref="R416:R419"/>
    <mergeCell ref="S416:S419"/>
    <mergeCell ref="F416:F419"/>
    <mergeCell ref="G416:G419"/>
    <mergeCell ref="H416:H419"/>
    <mergeCell ref="I416:I419"/>
    <mergeCell ref="M416:M419"/>
    <mergeCell ref="Q73:Q81"/>
    <mergeCell ref="R73:R81"/>
    <mergeCell ref="S73:S81"/>
    <mergeCell ref="T73:T81"/>
    <mergeCell ref="T112:T116"/>
    <mergeCell ref="Q112:Q113"/>
    <mergeCell ref="R112:R113"/>
    <mergeCell ref="S112:S113"/>
    <mergeCell ref="I240:I241"/>
    <mergeCell ref="J240:J241"/>
    <mergeCell ref="K240:K241"/>
    <mergeCell ref="L240:L241"/>
    <mergeCell ref="M240:M241"/>
    <mergeCell ref="H244:H245"/>
    <mergeCell ref="M242:M243"/>
    <mergeCell ref="J248:J249"/>
    <mergeCell ref="K248:K249"/>
    <mergeCell ref="L248:L249"/>
    <mergeCell ref="M248:M249"/>
    <mergeCell ref="K242:K243"/>
    <mergeCell ref="O244:O245"/>
    <mergeCell ref="L234:L235"/>
    <mergeCell ref="M234:M235"/>
    <mergeCell ref="O234:O235"/>
    <mergeCell ref="O230:O231"/>
    <mergeCell ref="T230:T231"/>
    <mergeCell ref="N219:N220"/>
    <mergeCell ref="O219:O220"/>
    <mergeCell ref="Q219:Q220"/>
    <mergeCell ref="R219:R220"/>
    <mergeCell ref="S219:S220"/>
    <mergeCell ref="M211:M212"/>
    <mergeCell ref="B73:B81"/>
    <mergeCell ref="C73:C81"/>
    <mergeCell ref="D73:D81"/>
    <mergeCell ref="E73:E81"/>
    <mergeCell ref="F73:F81"/>
    <mergeCell ref="G73:G81"/>
    <mergeCell ref="H73:H81"/>
    <mergeCell ref="I73:I81"/>
    <mergeCell ref="J73:J81"/>
    <mergeCell ref="K73:K81"/>
    <mergeCell ref="L73:L81"/>
    <mergeCell ref="M73:M81"/>
    <mergeCell ref="N73:N81"/>
    <mergeCell ref="O73:O81"/>
    <mergeCell ref="P73:P81"/>
    <mergeCell ref="N112:N116"/>
    <mergeCell ref="O112:O116"/>
    <mergeCell ref="P112:P116"/>
    <mergeCell ref="B112:B116"/>
    <mergeCell ref="C112:C116"/>
    <mergeCell ref="D112:D116"/>
    <mergeCell ref="E112:E116"/>
    <mergeCell ref="F112:F116"/>
    <mergeCell ref="G112:G116"/>
    <mergeCell ref="H112:H116"/>
    <mergeCell ref="I112:I116"/>
    <mergeCell ref="J112:J116"/>
    <mergeCell ref="M104:M105"/>
    <mergeCell ref="J106:J107"/>
    <mergeCell ref="K106:K107"/>
    <mergeCell ref="B106:B108"/>
    <mergeCell ref="C106:C108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M194:M195"/>
    <mergeCell ref="N194:N195"/>
    <mergeCell ref="O194:O195"/>
    <mergeCell ref="P159:P162"/>
    <mergeCell ref="P163:P164"/>
    <mergeCell ref="P194:P195"/>
    <mergeCell ref="G194:G195"/>
    <mergeCell ref="H194:H195"/>
    <mergeCell ref="I194:I195"/>
    <mergeCell ref="J194:J195"/>
    <mergeCell ref="C194:C195"/>
    <mergeCell ref="D194:D195"/>
    <mergeCell ref="E194:E195"/>
    <mergeCell ref="F194:F195"/>
    <mergeCell ref="A186:A189"/>
    <mergeCell ref="N182:N185"/>
    <mergeCell ref="O182:O185"/>
    <mergeCell ref="A190:A193"/>
    <mergeCell ref="B190:B193"/>
    <mergeCell ref="C190:C193"/>
    <mergeCell ref="D190:D193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P221:P222"/>
    <mergeCell ref="T221:T222"/>
    <mergeCell ref="Q221:Q222"/>
    <mergeCell ref="R221:R222"/>
    <mergeCell ref="S221:S222"/>
    <mergeCell ref="T240:T241"/>
    <mergeCell ref="F240:F241"/>
    <mergeCell ref="T273:T274"/>
    <mergeCell ref="K269:K270"/>
    <mergeCell ref="L269:L270"/>
    <mergeCell ref="M269:M270"/>
    <mergeCell ref="A266:A267"/>
    <mergeCell ref="D266:D267"/>
    <mergeCell ref="B250:B251"/>
    <mergeCell ref="K257:K258"/>
    <mergeCell ref="L257:L258"/>
    <mergeCell ref="M257:M258"/>
    <mergeCell ref="N257:N258"/>
    <mergeCell ref="O257:O258"/>
    <mergeCell ref="P257:P258"/>
    <mergeCell ref="T257:T258"/>
    <mergeCell ref="T271:T272"/>
    <mergeCell ref="T246:T247"/>
    <mergeCell ref="E240:E241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B266:B267"/>
    <mergeCell ref="D273:D274"/>
    <mergeCell ref="E273:E274"/>
    <mergeCell ref="F273:F274"/>
    <mergeCell ref="F277:F278"/>
    <mergeCell ref="G277:G278"/>
    <mergeCell ref="H277:H278"/>
    <mergeCell ref="I277:I278"/>
    <mergeCell ref="J277:J278"/>
    <mergeCell ref="C264:C265"/>
    <mergeCell ref="D264:D265"/>
    <mergeCell ref="E264:E265"/>
    <mergeCell ref="F264:F265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C271:C272"/>
    <mergeCell ref="D271:D272"/>
    <mergeCell ref="I271:I272"/>
    <mergeCell ref="J271:J272"/>
    <mergeCell ref="B271:B272"/>
    <mergeCell ref="T297:T298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T279:T280"/>
    <mergeCell ref="B283:B284"/>
    <mergeCell ref="C283:C284"/>
    <mergeCell ref="C291:C292"/>
    <mergeCell ref="D291:D292"/>
    <mergeCell ref="E291:E292"/>
    <mergeCell ref="F291:F292"/>
    <mergeCell ref="G291:G292"/>
    <mergeCell ref="H291:H292"/>
    <mergeCell ref="K291:K292"/>
    <mergeCell ref="L291:L292"/>
    <mergeCell ref="M291:M292"/>
    <mergeCell ref="N291:N292"/>
    <mergeCell ref="O291:O292"/>
    <mergeCell ref="T291:T292"/>
    <mergeCell ref="N295:N296"/>
    <mergeCell ref="O295:O296"/>
    <mergeCell ref="A291:A292"/>
    <mergeCell ref="A293:A294"/>
    <mergeCell ref="C250:C251"/>
    <mergeCell ref="C297:C298"/>
    <mergeCell ref="M271:M272"/>
    <mergeCell ref="N271:N272"/>
    <mergeCell ref="O271:O272"/>
    <mergeCell ref="N273:N274"/>
    <mergeCell ref="C266:C267"/>
    <mergeCell ref="H275:H276"/>
    <mergeCell ref="I275:I276"/>
    <mergeCell ref="I297:I298"/>
    <mergeCell ref="J297:J298"/>
    <mergeCell ref="K297:K298"/>
    <mergeCell ref="L297:L298"/>
    <mergeCell ref="M297:M298"/>
    <mergeCell ref="N297:N298"/>
    <mergeCell ref="O297:O298"/>
    <mergeCell ref="C275:C276"/>
    <mergeCell ref="B273:B274"/>
    <mergeCell ref="C273:C274"/>
    <mergeCell ref="B275:B276"/>
    <mergeCell ref="G273:G274"/>
    <mergeCell ref="H273:H274"/>
    <mergeCell ref="I273:I274"/>
    <mergeCell ref="J273:J274"/>
    <mergeCell ref="B277:B278"/>
    <mergeCell ref="C277:C278"/>
    <mergeCell ref="D277:D278"/>
    <mergeCell ref="I264:I265"/>
    <mergeCell ref="J264:J265"/>
    <mergeCell ref="E277:E278"/>
    <mergeCell ref="E297:E298"/>
    <mergeCell ref="F297:F298"/>
    <mergeCell ref="G297:G298"/>
    <mergeCell ref="H297:H298"/>
    <mergeCell ref="M289:M290"/>
    <mergeCell ref="N289:N290"/>
    <mergeCell ref="O289:O290"/>
    <mergeCell ref="T289:T290"/>
    <mergeCell ref="L285:L286"/>
    <mergeCell ref="A295:A296"/>
    <mergeCell ref="A297:A298"/>
    <mergeCell ref="A300:A301"/>
    <mergeCell ref="A320:A322"/>
    <mergeCell ref="A416:A419"/>
    <mergeCell ref="A435:A436"/>
    <mergeCell ref="N293:N294"/>
    <mergeCell ref="A73:A81"/>
    <mergeCell ref="A106:A108"/>
    <mergeCell ref="A112:A116"/>
    <mergeCell ref="A165:A168"/>
    <mergeCell ref="A223:A225"/>
    <mergeCell ref="A257:A258"/>
    <mergeCell ref="A261:A262"/>
    <mergeCell ref="A264:A265"/>
    <mergeCell ref="A275:A276"/>
    <mergeCell ref="A277:A278"/>
    <mergeCell ref="A279:A280"/>
    <mergeCell ref="A281:A282"/>
    <mergeCell ref="A283:A284"/>
    <mergeCell ref="A285:A286"/>
    <mergeCell ref="A287:A288"/>
    <mergeCell ref="A289:A290"/>
  </mergeCells>
  <pageMargins left="0.47244094488188981" right="0.19685039370078741" top="0.43307086614173229" bottom="0.31496062992125984" header="0.31496062992125984" footer="0.31496062992125984"/>
  <pageSetup scale="32" orientation="landscape" r:id="rId1"/>
  <rowBreaks count="7" manualBreakCount="7">
    <brk id="208" max="57" man="1"/>
    <brk id="363" max="55" man="1"/>
    <brk id="375" max="58" man="1"/>
    <brk id="401" max="58" man="1"/>
    <brk id="438" max="57" man="1"/>
    <brk id="440" max="58" man="1"/>
    <brk id="497" max="57" man="1"/>
  </rowBreaks>
  <colBreaks count="2" manualBreakCount="2">
    <brk id="31" max="803" man="1"/>
    <brk id="34" max="8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SEME MAIO 2016</vt:lpstr>
      <vt:lpstr>'SEME MAIO 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2016-04-19T18:34:44Z</cp:lastPrinted>
  <dcterms:created xsi:type="dcterms:W3CDTF">2013-10-11T22:10:57Z</dcterms:created>
  <dcterms:modified xsi:type="dcterms:W3CDTF">2016-07-04T16:25:32Z</dcterms:modified>
</cp:coreProperties>
</file>