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3-MAR 2025\"/>
    </mc:Choice>
  </mc:AlternateContent>
  <bookViews>
    <workbookView xWindow="28680" yWindow="-120" windowWidth="29040" windowHeight="15720" tabRatio="805"/>
  </bookViews>
  <sheets>
    <sheet name="SEME CONTRATAÇÕES MAR 2025" sheetId="1" r:id="rId1"/>
  </sheets>
  <calcPr calcId="162913"/>
</workbook>
</file>

<file path=xl/calcChain.xml><?xml version="1.0" encoding="utf-8"?>
<calcChain xmlns="http://schemas.openxmlformats.org/spreadsheetml/2006/main">
  <c r="BN23" i="1" l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98" i="1"/>
  <c r="BN99" i="1"/>
  <c r="BN100" i="1"/>
  <c r="BN101" i="1"/>
  <c r="BN102" i="1"/>
  <c r="BN103" i="1"/>
  <c r="BN104" i="1"/>
  <c r="BN105" i="1"/>
  <c r="BN106" i="1"/>
  <c r="BN107" i="1"/>
  <c r="BN108" i="1"/>
  <c r="BN109" i="1"/>
  <c r="BN110" i="1"/>
  <c r="BN111" i="1"/>
  <c r="BN112" i="1"/>
  <c r="BN113" i="1"/>
  <c r="BN114" i="1"/>
  <c r="BN115" i="1"/>
  <c r="BN116" i="1"/>
  <c r="BN117" i="1"/>
  <c r="BN118" i="1"/>
  <c r="BI97" i="1"/>
  <c r="BI84" i="1"/>
  <c r="BI71" i="1"/>
  <c r="BI75" i="1"/>
  <c r="BI78" i="1"/>
  <c r="BI114" i="1"/>
  <c r="BI115" i="1"/>
  <c r="BI116" i="1"/>
  <c r="BI117" i="1"/>
  <c r="BI118" i="1"/>
  <c r="BI113" i="1"/>
  <c r="BI112" i="1"/>
  <c r="BI111" i="1"/>
  <c r="BI104" i="1"/>
  <c r="BI105" i="1"/>
  <c r="BI106" i="1"/>
  <c r="BI107" i="1"/>
  <c r="BI108" i="1"/>
  <c r="BI98" i="1"/>
  <c r="BI99" i="1"/>
  <c r="BI100" i="1"/>
  <c r="BI101" i="1"/>
  <c r="BI102" i="1"/>
  <c r="BI103" i="1"/>
  <c r="BI95" i="1"/>
  <c r="BI96" i="1"/>
  <c r="BI94" i="1"/>
  <c r="BI93" i="1"/>
  <c r="BI92" i="1"/>
  <c r="BI91" i="1"/>
  <c r="BI90" i="1"/>
  <c r="BI89" i="1"/>
  <c r="BI85" i="1"/>
  <c r="BI86" i="1"/>
  <c r="BI87" i="1"/>
  <c r="BI88" i="1"/>
  <c r="BI83" i="1"/>
  <c r="BI66" i="1"/>
  <c r="BI72" i="1"/>
  <c r="BI73" i="1"/>
  <c r="BI74" i="1"/>
  <c r="BI76" i="1"/>
  <c r="BI77" i="1"/>
  <c r="BI82" i="1"/>
  <c r="BI79" i="1"/>
  <c r="BI80" i="1"/>
  <c r="BI81" i="1"/>
  <c r="BI70" i="1"/>
  <c r="BI69" i="1"/>
  <c r="BI67" i="1"/>
  <c r="BI61" i="1"/>
  <c r="BI63" i="1"/>
  <c r="BI64" i="1"/>
  <c r="BI65" i="1"/>
  <c r="BI57" i="1"/>
  <c r="BI58" i="1"/>
  <c r="BI59" i="1"/>
  <c r="BI54" i="1"/>
  <c r="BI55" i="1"/>
  <c r="BI52" i="1"/>
  <c r="BI49" i="1"/>
  <c r="BI47" i="1"/>
  <c r="BI46" i="1"/>
  <c r="BI45" i="1"/>
  <c r="BI44" i="1"/>
  <c r="BI41" i="1"/>
  <c r="BI39" i="1"/>
  <c r="BI37" i="1"/>
  <c r="BI35" i="1"/>
  <c r="BI33" i="1"/>
  <c r="BI31" i="1"/>
  <c r="BI29" i="1"/>
  <c r="BI23" i="1"/>
  <c r="BI24" i="1"/>
  <c r="BI25" i="1"/>
  <c r="BI26" i="1"/>
  <c r="BI27" i="1"/>
  <c r="BI28" i="1"/>
  <c r="BN119" i="1" l="1"/>
  <c r="BM113" i="1"/>
  <c r="BM111" i="1"/>
  <c r="BM109" i="1"/>
  <c r="BM97" i="1"/>
  <c r="BM96" i="1"/>
  <c r="BM95" i="1"/>
  <c r="BM94" i="1"/>
  <c r="BM92" i="1"/>
  <c r="BM84" i="1"/>
  <c r="BM83" i="1"/>
  <c r="BM82" i="1"/>
  <c r="BM78" i="1"/>
  <c r="BM75" i="1"/>
  <c r="BM71" i="1"/>
  <c r="BM69" i="1"/>
  <c r="BM68" i="1"/>
  <c r="BM67" i="1"/>
  <c r="BM60" i="1"/>
  <c r="BM53" i="1"/>
  <c r="BM49" i="1"/>
  <c r="BM47" i="1"/>
  <c r="BM41" i="1"/>
  <c r="BM39" i="1"/>
  <c r="BM37" i="1"/>
  <c r="BM35" i="1"/>
  <c r="BM33" i="1"/>
  <c r="BM31" i="1"/>
  <c r="BM29" i="1"/>
  <c r="BN22" i="1"/>
  <c r="BM22" i="1"/>
  <c r="BK109" i="1"/>
  <c r="BK33" i="1"/>
  <c r="BK22" i="1"/>
  <c r="BK67" i="1"/>
  <c r="BK29" i="1"/>
  <c r="BK31" i="1"/>
  <c r="BK41" i="1"/>
  <c r="BK83" i="1"/>
  <c r="BK51" i="1"/>
  <c r="BK71" i="1"/>
  <c r="BK47" i="1"/>
  <c r="BK60" i="1"/>
  <c r="BK49" i="1"/>
  <c r="BK43" i="1"/>
  <c r="BK95" i="1"/>
  <c r="BK78" i="1"/>
  <c r="BJ78" i="1"/>
  <c r="BK92" i="1"/>
  <c r="BK113" i="1"/>
  <c r="BK96" i="1"/>
  <c r="BK82" i="1"/>
  <c r="BK97" i="1"/>
  <c r="BK69" i="1"/>
  <c r="BK111" i="1"/>
  <c r="BK94" i="1"/>
  <c r="BK75" i="1"/>
  <c r="BK53" i="1"/>
  <c r="BJ39" i="1"/>
  <c r="BJ37" i="1"/>
  <c r="BJ35" i="1"/>
  <c r="BL39" i="1"/>
  <c r="BL35" i="1"/>
  <c r="BL37" i="1"/>
  <c r="BL97" i="1"/>
  <c r="BL84" i="1"/>
  <c r="BL95" i="1"/>
  <c r="BL60" i="1"/>
  <c r="BL51" i="1"/>
  <c r="BM51" i="1" s="1"/>
  <c r="BL43" i="1"/>
  <c r="BM43" i="1" s="1"/>
  <c r="BL71" i="1"/>
  <c r="BL47" i="1"/>
  <c r="BL53" i="1"/>
  <c r="BL49" i="1"/>
  <c r="BL75" i="1"/>
  <c r="BJ113" i="1"/>
  <c r="BJ111" i="1"/>
  <c r="BJ97" i="1"/>
  <c r="BJ96" i="1"/>
  <c r="BJ95" i="1"/>
  <c r="BJ94" i="1"/>
  <c r="BJ92" i="1"/>
  <c r="BJ84" i="1"/>
  <c r="BJ83" i="1"/>
  <c r="BJ82" i="1"/>
  <c r="BJ75" i="1"/>
  <c r="BJ73" i="1"/>
  <c r="BJ71" i="1"/>
  <c r="BJ69" i="1"/>
  <c r="BJ67" i="1"/>
  <c r="BJ60" i="1"/>
  <c r="BJ53" i="1"/>
  <c r="BJ51" i="1"/>
  <c r="BJ49" i="1"/>
  <c r="BJ47" i="1"/>
  <c r="BJ43" i="1"/>
  <c r="X51" i="1" l="1"/>
  <c r="BT10" i="1"/>
  <c r="AM10" i="1"/>
  <c r="AU98" i="1"/>
  <c r="BD89" i="1"/>
  <c r="AV79" i="1"/>
  <c r="AV54" i="1"/>
  <c r="BD52" i="1"/>
  <c r="BD49" i="1"/>
  <c r="BD47" i="1"/>
  <c r="BD45" i="1"/>
  <c r="BJ68" i="1"/>
  <c r="AX61" i="1"/>
  <c r="AK95" i="1"/>
  <c r="AK94" i="1"/>
  <c r="AK82" i="1"/>
  <c r="AK71" i="1"/>
  <c r="AK67" i="1"/>
  <c r="AV61" i="1" l="1"/>
  <c r="AU106" i="1"/>
  <c r="AU44" i="1"/>
  <c r="BD77" i="1"/>
  <c r="BD76" i="1"/>
  <c r="AV63" i="1"/>
  <c r="BD72" i="1"/>
  <c r="AV55" i="1" l="1"/>
  <c r="BD73" i="1"/>
  <c r="BD46" i="1"/>
  <c r="AU64" i="1" l="1"/>
  <c r="AU107" i="1"/>
  <c r="AU57" i="1"/>
  <c r="AU65" i="1"/>
  <c r="AU58" i="1" l="1"/>
  <c r="BD66" i="1"/>
  <c r="AU59" i="1" l="1"/>
  <c r="BD27" i="1" l="1"/>
  <c r="BX119" i="1" l="1"/>
  <c r="BW119" i="1"/>
  <c r="BF119" i="1"/>
  <c r="BE119" i="1"/>
  <c r="BH119" i="1"/>
  <c r="BB119" i="1"/>
  <c r="BA119" i="1"/>
  <c r="AX119" i="1"/>
  <c r="AW119" i="1"/>
  <c r="AJ119" i="1"/>
  <c r="AI119" i="1"/>
  <c r="X119" i="1"/>
  <c r="BI119" i="1"/>
  <c r="BJ119" i="1"/>
  <c r="BM119" i="1" l="1"/>
  <c r="AK119" i="1"/>
</calcChain>
</file>

<file path=xl/comments1.xml><?xml version="1.0" encoding="utf-8"?>
<comments xmlns="http://schemas.openxmlformats.org/spreadsheetml/2006/main">
  <authors>
    <author>User</author>
  </authors>
  <commentList>
    <comment ref="BJ84" authorId="0" shapeId="0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</commentList>
</comments>
</file>

<file path=xl/sharedStrings.xml><?xml version="1.0" encoding="utf-8"?>
<sst xmlns="http://schemas.openxmlformats.org/spreadsheetml/2006/main" count="838" uniqueCount="530">
  <si>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</si>
  <si>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</si>
  <si>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</si>
  <si>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</si>
  <si>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</si>
  <si>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</si>
  <si>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</si>
  <si>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</si>
  <si>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</si>
  <si>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</si>
  <si>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</si>
  <si>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</si>
  <si>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</si>
  <si>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</si>
  <si>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</si>
  <si>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</si>
  <si>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</si>
  <si>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</si>
  <si>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</si>
  <si>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</si>
  <si>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</si>
  <si>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</si>
  <si>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</si>
  <si>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</si>
  <si>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</si>
  <si>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</si>
  <si>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</si>
  <si>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</si>
  <si>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</si>
  <si>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</si>
  <si>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</si>
  <si>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</si>
  <si>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</si>
  <si>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</si>
  <si>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</si>
  <si>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</si>
  <si>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</si>
  <si>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</si>
  <si>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</si>
  <si>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</si>
  <si>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</si>
  <si>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</si>
  <si>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</si>
  <si>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</si>
  <si>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</si>
  <si>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</si>
  <si>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</si>
  <si>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</si>
  <si>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</si>
  <si>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</si>
  <si>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</si>
  <si>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</si>
  <si>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</si>
  <si>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</si>
  <si>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</si>
  <si>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</si>
  <si>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</si>
  <si>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</si>
  <si>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</si>
  <si>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</si>
  <si>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</si>
  <si>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</si>
  <si>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</si>
  <si>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</si>
  <si>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</si>
  <si>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</si>
  <si>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</si>
  <si>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</si>
  <si>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</si>
  <si>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</si>
  <si>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</si>
  <si>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</si>
  <si>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</si>
  <si>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</si>
  <si>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</si>
  <si>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</si>
  <si>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</si>
  <si>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</si>
  <si>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</si>
  <si>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</si>
  <si>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</si>
  <si>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</si>
  <si>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</si>
  <si>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</si>
  <si>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</si>
  <si>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</si>
  <si>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</si>
  <si>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</si>
  <si>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</si>
  <si>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</si>
  <si>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</si>
  <si>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</si>
  <si>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</si>
  <si>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</si>
  <si>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</si>
  <si>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</si>
  <si>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</si>
  <si>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</si>
  <si>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</si>
  <si>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</si>
  <si>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</si>
  <si>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</si>
  <si>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</si>
  <si>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</si>
  <si>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</si>
  <si>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</si>
  <si>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</si>
  <si>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</si>
  <si>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</si>
  <si>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</si>
  <si>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</si>
  <si>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</si>
  <si>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</si>
  <si>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</si>
  <si>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</si>
  <si>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</si>
  <si>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</si>
  <si>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</si>
  <si>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</si>
  <si>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</si>
  <si>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</si>
  <si>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</si>
  <si>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</si>
  <si>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</si>
  <si>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</si>
  <si>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</si>
  <si>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</si>
  <si>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</si>
  <si>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</si>
  <si>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</si>
  <si>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</si>
  <si>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</si>
  <si>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</si>
  <si>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</si>
  <si>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</si>
  <si>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</si>
  <si>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</si>
  <si>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</si>
  <si>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</si>
  <si>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</si>
  <si>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</si>
  <si>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</si>
  <si>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</si>
  <si>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</si>
  <si>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</si>
  <si>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</si>
  <si>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</si>
  <si>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</si>
  <si>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</si>
  <si>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</si>
  <si>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</si>
  <si>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</si>
  <si>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</si>
  <si>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</si>
  <si>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</si>
  <si>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</si>
  <si>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</si>
  <si>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</si>
  <si>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</si>
  <si>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</si>
  <si>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</si>
  <si>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</si>
  <si>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</si>
  <si>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</si>
  <si>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</si>
  <si>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</si>
  <si>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</si>
  <si>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</si>
  <si>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</si>
  <si>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</si>
  <si>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</si>
  <si>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</si>
  <si>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</si>
  <si>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</si>
  <si>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</si>
  <si>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</si>
  <si>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</si>
  <si>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</si>
  <si>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</si>
  <si>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</si>
  <si>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 xml:space="preserve">1º </t>
  </si>
  <si>
    <t xml:space="preserve">2º </t>
  </si>
  <si>
    <t xml:space="preserve">3º </t>
  </si>
  <si>
    <t>1500</t>
  </si>
  <si>
    <t>33.90.32.00</t>
  </si>
  <si>
    <t>38/2019</t>
  </si>
  <si>
    <t>76/2019</t>
  </si>
  <si>
    <t>PREGAO SRP</t>
  </si>
  <si>
    <t>PRESTAÇÃO DE SERVIÇOS DE INSTALAÇÃO E MANUTENÇÃO PREVENTIVA E CORRETIVA NOS CONDICIONADORES DE AR, FREEZER, GELADEIRA, VENTILADOR DE PAREDE E TETO, BEBEDOURO INDUSTRIAL E COMUM, FILTRO INDUSTRIAL, FOGÃO INDUSTRIAL E EXAUSTOR INDUSTRIAL PARA ATENDER AS NECESSIDADES DA SECRETARIA MUNICIPAL DE EDUCAÇÃO - SEME,</t>
  </si>
  <si>
    <t>CONT./SEME/Nº 0110/2019</t>
  </si>
  <si>
    <t>REFRIGERAÇÃO CHAMA AZUL</t>
  </si>
  <si>
    <t>07.850.772/0001-61</t>
  </si>
  <si>
    <t>TERMO DE ADITIVO</t>
  </si>
  <si>
    <t>1º</t>
  </si>
  <si>
    <t>PRORROGAÇÃO DE PRAZO DE 12 MESES</t>
  </si>
  <si>
    <t>2º</t>
  </si>
  <si>
    <t>3º</t>
  </si>
  <si>
    <t>4º</t>
  </si>
  <si>
    <t>5º</t>
  </si>
  <si>
    <t xml:space="preserve">REAJUSTE CONTRATUAL </t>
  </si>
  <si>
    <t xml:space="preserve">6º </t>
  </si>
  <si>
    <t xml:space="preserve">PRORROGAÇÃO DE PRAZO DE 10 MESES </t>
  </si>
  <si>
    <t>CHAMADA PÚBLICA</t>
  </si>
  <si>
    <t>1552</t>
  </si>
  <si>
    <t>33.90.30.00</t>
  </si>
  <si>
    <t>PREGAO ELETRÔNICO</t>
  </si>
  <si>
    <t>242/2021</t>
  </si>
  <si>
    <t>84/2021</t>
  </si>
  <si>
    <t>À PRESTAÇÃO DE DE SERVIÇOS TERCEIRIZADOS DE SEGURANÇA E VIGILÂNCIA PATRIMONIAL NOTURNA DESARMADA</t>
  </si>
  <si>
    <t>62/2022</t>
  </si>
  <si>
    <t>126/2020</t>
  </si>
  <si>
    <t>ADESÃO A ATA DE SRP</t>
  </si>
  <si>
    <t xml:space="preserve">SERVIÇO TERCEIRIZADOS DE APOIO ADMINISTRATIVO, TECNICO OPERACIONAL PARA LOCAÇÃO DE MÃO DE OBRA - MONITOR PARA ORIENTAÇÃO DE ALUNOS VISANDO ATENDER AS DEMANDAS DO TRANSPORTE ESCOLARES DAS UNIDADES DE ENSINO DE DIFICIL ACESSO. </t>
  </si>
  <si>
    <t>30/2021</t>
  </si>
  <si>
    <t>512/2022</t>
  </si>
  <si>
    <t>184/2022</t>
  </si>
  <si>
    <t>ADESÃO A ATA DE REGISTRO DE PREÇO SRP</t>
  </si>
  <si>
    <t>CONTRATAÇÃO DE EMPRESA PARA PRESTAÇÃO DE SERVIÇO TERCEIRIZADO E CONTINUADO DE APOIO OPERACIONAL E ADMINISTRATIVO, COM DISPONIBILIZAÇÃO
DE MÃO DE OBRA EM REGIME DE DEDICAÇÃO EXCLUSIVA A SEREM EXECUTADOS NO ÂMBITO DESTA SECRETARIA MUNICIPAL DE EDUCAÇÃO -SEME</t>
  </si>
  <si>
    <t>250/2022</t>
  </si>
  <si>
    <t>51/2022</t>
  </si>
  <si>
    <t>PRESTAÇÃO DE SERVIÇOS DE ROÇO MECANIZDO, VISANDO ATENDER AS DEMANDAS DA SECRETARIA MUNICIPAL DE EDUCAÇÃO -SEME</t>
  </si>
  <si>
    <t>PREGÃO ELETRONICO</t>
  </si>
  <si>
    <t>173/2019</t>
  </si>
  <si>
    <t>82/2019</t>
  </si>
  <si>
    <t>PREGAO PRESENCIAL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</si>
  <si>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</t>
  </si>
  <si>
    <t>599/2023</t>
  </si>
  <si>
    <t>001/2023</t>
  </si>
  <si>
    <t xml:space="preserve">ADESÃO A ATA DE REGISTRO DE PREÇO </t>
  </si>
  <si>
    <t xml:space="preserve">MENOR PREÇO </t>
  </si>
  <si>
    <t>023/2022</t>
  </si>
  <si>
    <t>LOCAÇÃO DE VEICULOS COM CONDUTOR TIPO CAMINHÃO</t>
  </si>
  <si>
    <t>288/2022</t>
  </si>
  <si>
    <t>021/2021</t>
  </si>
  <si>
    <t>011/2021</t>
  </si>
  <si>
    <t>PRESTAÇÃO DE SERVIÇOS DE AGENTES DE PORTARIA DIURNO</t>
  </si>
  <si>
    <t>42/2022</t>
  </si>
  <si>
    <t>35/2022</t>
  </si>
  <si>
    <t>AQUISIÇÃO DE EMPRESA PARA PRESTAÇÃO DE SERVIÇO TERCEIRIZADO E CONTINUADO DE APOIO OPERACIONAL E ADMINISTRAVISO</t>
  </si>
  <si>
    <t>147/2020</t>
  </si>
  <si>
    <t>041/2020</t>
  </si>
  <si>
    <t>LOCAÇÃO DE MAQUINA MULTIFUNCIONAL (FOTOCOPIADORA0</t>
  </si>
  <si>
    <t>341/2023</t>
  </si>
  <si>
    <t xml:space="preserve">ADESÃO A ATA DE REGISTRO DE PREÇO SRP </t>
  </si>
  <si>
    <t xml:space="preserve">REF. CONTRATAÇÃO DE PESSOA JURIDICA PARA PRESTAÇÃO DE SERVIÇOS DE TRANSPORTE, LOCAÇÃO DE 04 VEICULOS TIPO CAMINHONETE PICK - UP CABINE DUPLA COM CONDUTOR), PARA
ATENDER AS NECESSIDADES DA SECRETARIA MUNICIPAL DE EDUCAÇÃO - SEME.
</t>
  </si>
  <si>
    <t>028/2021</t>
  </si>
  <si>
    <t>CONTRATAÇÃO DE PESSOA JURÍDICA PARA A PRESTAÇÃO DE SERVIÇOS TERCEIRIZADOS DE APOIO ADMINISTRATIVO E OPERACIONAL</t>
  </si>
  <si>
    <t>056/2017</t>
  </si>
  <si>
    <t>DISPENSA DE LICITAÇÃO</t>
  </si>
  <si>
    <t>LOCAÇÃO DE IMOVEL (01)</t>
  </si>
  <si>
    <t>001/2024</t>
  </si>
  <si>
    <t>034/2023</t>
  </si>
  <si>
    <t>LOCAÇÃO DE IMOVEL COM FINS NAO RESIDENCIAL PARA FUNCIONAMENTO DA CRECHE / ESCOLA DE EDUCAÇÃO INFANTIL NO RAMAL DA CASTANHEIRA ( CRECHE/ANEXO DA ESCOLA TEREZINHA
MIGUEIS)</t>
  </si>
  <si>
    <t>006/2022</t>
  </si>
  <si>
    <t>001/2022</t>
  </si>
  <si>
    <t>LOCAÇÃO DE IMÓVEL COM FIM  DE FUNCIONAMENTO DA SEDE ADMINISTRATIVA</t>
  </si>
  <si>
    <t>007/2022</t>
  </si>
  <si>
    <t>002/2022</t>
  </si>
  <si>
    <t>LOCAÇÃO DE IMÓVEL COM FIM  DE FUNCIONAMENTO DO ESTACIONAMENTO DA SEDE ADMINISTRATIVA</t>
  </si>
  <si>
    <t>LOCAÇÃO DE IMOVEL, SITUADO NA AVENIDA ANTONIO DA ROCHA VIANA, S/Nº, BAIRRO BOSQUE, NESTA CIDADE, DESTINADO AO FUNCIONAMENTO DO DEPÓSITO DA MERENDA ESCOLAR E ALMOXARIFADO DA SEME</t>
  </si>
  <si>
    <t>049/2014</t>
  </si>
  <si>
    <t xml:space="preserve">LOCACAO DE 01 IMOVEL </t>
  </si>
  <si>
    <t>60/2020</t>
  </si>
  <si>
    <t>007/2020</t>
  </si>
  <si>
    <t>LOCAÇÃO DE 01 IMÓVEL - DIVISÃO DE ALMOXARIFADO</t>
  </si>
  <si>
    <t>290/2022</t>
  </si>
  <si>
    <t>DISPENSA DE LICITAÇÃO(INEXIGIBILIDADE)</t>
  </si>
  <si>
    <t>AQUISIÇÃO DE PRESTAÇÃO DE SERVIÇOS DE TRANSPORTE PÚBLICO COLETIVO, PARA ATENDER AS NECESSIDADES DESTA SECRETARIA MUNICIPAL DE EDUCAÇÃO</t>
  </si>
  <si>
    <t>11.338.721/0001-22</t>
  </si>
  <si>
    <t>LATICINIOS BURITI LTDA -EPP</t>
  </si>
  <si>
    <t>84.329.242.0001/13</t>
  </si>
  <si>
    <t>CONT./SEME Nº 153/2021</t>
  </si>
  <si>
    <t>GOLD SERVICE VIGILANCIA E SEGURANCA - EIREL</t>
  </si>
  <si>
    <t>02.764.609/0001-62</t>
  </si>
  <si>
    <t>CONT./SEME Nº 64/2022</t>
  </si>
  <si>
    <t>NORTE XPRESS TRANSPORTE SERVIÇOS EIRELEI</t>
  </si>
  <si>
    <t>11.140.110/0001-75</t>
  </si>
  <si>
    <t>CONT./SEME/Nº 52/2023</t>
  </si>
  <si>
    <t>ASA - AGENCIA DE SERVIÇOS DO ACRE LTDA</t>
  </si>
  <si>
    <t>11.815.892/0001-03</t>
  </si>
  <si>
    <t>CONT./SEME/Nº 67/2022</t>
  </si>
  <si>
    <t>CONT./SEME/Nº 01/2020</t>
  </si>
  <si>
    <t>JWC MULTISERVIÇOS LTDA</t>
  </si>
  <si>
    <t>04.090.759/0001-63</t>
  </si>
  <si>
    <t>CONT./SEME/Nº 02/2020</t>
  </si>
  <si>
    <t>CONT./SEME/ Nº 183/2023</t>
  </si>
  <si>
    <t>GAMA CONSTRUÇÕES, COMERCIO E REPRESENTAÇÕES LTDA</t>
  </si>
  <si>
    <t>09.374.006/0001-01</t>
  </si>
  <si>
    <t>CONT./SEME/Nº 092/2022</t>
  </si>
  <si>
    <t>MULTIMAQUINAS PINTO &amp; CIA LTDA</t>
  </si>
  <si>
    <t xml:space="preserve">07.909.967/0001-30 </t>
  </si>
  <si>
    <t>CONT./SEME Nº 001/2022</t>
  </si>
  <si>
    <t>ADSERVI - ADM. DE SERVIÇOS LTDA</t>
  </si>
  <si>
    <t>02.531.343/0001-08</t>
  </si>
  <si>
    <t>CONT./SEME Nº52/2022</t>
  </si>
  <si>
    <t>CONT./SEME Nº 111/2021</t>
  </si>
  <si>
    <t>AK OLIVEIRA BATISTA</t>
  </si>
  <si>
    <t>34.245.877/0001-64</t>
  </si>
  <si>
    <t>CONT.SEME Nº 177/2023</t>
  </si>
  <si>
    <t>W. L. ISRAEL, SERVIÇOS E COMERCIO LTDA</t>
  </si>
  <si>
    <t>27.582.639/0001-89</t>
  </si>
  <si>
    <t>CONT./SEME Nº 40/2022</t>
  </si>
  <si>
    <t>FM TERCERIZAÇÃO</t>
  </si>
  <si>
    <t>20.345.453/0001-67</t>
  </si>
  <si>
    <t>CONT.SEME/Nº 131/2017</t>
  </si>
  <si>
    <t>IF LOCAÇOES DE IMOVEIS EIRELI</t>
  </si>
  <si>
    <t>CONT.SEME/Nº 136/2023</t>
  </si>
  <si>
    <t>PASCOAL TORRES MUNIZ</t>
  </si>
  <si>
    <t>055.598.395-15</t>
  </si>
  <si>
    <t>CONT.SEME/Nº 76/2022</t>
  </si>
  <si>
    <t>ARRAS ADM. DE BENS IMOVEIS LIMPEZA E CONSERVACAO LTDA - ME</t>
  </si>
  <si>
    <t>63.600.449/0001-00</t>
  </si>
  <si>
    <t>CONT.SEME/Nº 44/2023</t>
  </si>
  <si>
    <t>IMOBILIARIA FORTALEZA LTDA/IF LOCAÇOES DE IMOVEIS EIRELI</t>
  </si>
  <si>
    <t>CONT./SEME/Nº 091/2005</t>
  </si>
  <si>
    <t>VALDOMIRO LOPES VITOLLO E ANTONIO GARCIA MOCHON</t>
  </si>
  <si>
    <t>316.755.228-04</t>
  </si>
  <si>
    <t>CONT./SEME/Nº 179/2014</t>
  </si>
  <si>
    <t>14.294.326/0001-83</t>
  </si>
  <si>
    <t>IF LOCAÇÕES DE IMÓVEIS EIRELI</t>
  </si>
  <si>
    <t>34.625.024/0001-58</t>
  </si>
  <si>
    <t>CONT./SEME/Nº 38/2021</t>
  </si>
  <si>
    <t>CONT./SEME/Nº 98/2022</t>
  </si>
  <si>
    <t>RICCO TRANSPORTE E TURISMO LTDA</t>
  </si>
  <si>
    <t>30.094.876/0002-96</t>
  </si>
  <si>
    <t>01</t>
  </si>
  <si>
    <t>116</t>
  </si>
  <si>
    <t>22/08/2024</t>
  </si>
  <si>
    <t>01/09/2023</t>
  </si>
  <si>
    <t>22/03/2024</t>
  </si>
  <si>
    <t>33.90.36.00</t>
  </si>
  <si>
    <t>ACRÉSCIMO DE VALOR</t>
  </si>
  <si>
    <t>PRORROGAÇÃO DE PRAZO E REPACTUAÇÃO DE PREÇO</t>
  </si>
  <si>
    <t xml:space="preserve">TERMO DE ADITIVO </t>
  </si>
  <si>
    <t xml:space="preserve">PRORROGAÇÃO DE PRAZO E REPACTUAÇÃO DE PREÇO </t>
  </si>
  <si>
    <t xml:space="preserve">APOSTILA </t>
  </si>
  <si>
    <t xml:space="preserve">REPACTUAÇÃO DE PREÇO </t>
  </si>
  <si>
    <t xml:space="preserve">PRORROGAÇÃO DE PRAZO POR 12 MESES </t>
  </si>
  <si>
    <t>APOSTILAMENTO</t>
  </si>
  <si>
    <t>PRORROGAÇÃO DE PRAZO</t>
  </si>
  <si>
    <t xml:space="preserve">REPACTUAÇÃO </t>
  </si>
  <si>
    <t xml:space="preserve">PRORROGAÇÃO DE PRAZO POR 12 MESES E REAJUSTE CONTRATUAL </t>
  </si>
  <si>
    <t>REVISÃO DE VALOR</t>
  </si>
  <si>
    <t>SUPRESSÃO DE VALOR</t>
  </si>
  <si>
    <t>PRORROGAÇÃO DE VIGENCIA</t>
  </si>
  <si>
    <t>PROROGAÇÃO DE VIGENCIA/REPACTRUAÇÃO DE PREÇO</t>
  </si>
  <si>
    <t>PRORROGAÇÃO DE VIGENCIA E ALTERAÇÃO DA CLAUSULA QUARTA  REFERENTE A PRAZO E REPACTUAÇÃO DE PREÇO</t>
  </si>
  <si>
    <t xml:space="preserve">PRORROGAÇÃO DE PRAZO POR 12 MESES E REPACTUAÇÃO DE PREÇO </t>
  </si>
  <si>
    <t>PRORROGÇÃO DE VIGENCIA POR 12 MESES</t>
  </si>
  <si>
    <t>PROROGAÇÃO DE VIGENCIA E REPACTUAÇÃO</t>
  </si>
  <si>
    <t>PROROGAÇÃO DE VIGENCIA E REAPCTUAÇÃO DE PREÇO</t>
  </si>
  <si>
    <t>PRORROGAÇÃO DE VIGÊNCIA 12 MESES</t>
  </si>
  <si>
    <t xml:space="preserve">PRORROGAÇÃO DE PRAZO </t>
  </si>
  <si>
    <t xml:space="preserve">PRORROGAÇÃO DE VIGENCI E E REPACTUAÇÃO DE PREÇO </t>
  </si>
  <si>
    <t xml:space="preserve">PRORROGAÇÃO DE PRAZO POR 12 MESES E REAJUSTE CRONTRATUAL </t>
  </si>
  <si>
    <t>SUPRESSÃO DE QUANTITATIVO E REEQUILIBRIO DE PREÇO E PRORROGAÇÃO DE PRAZO e SUPRESSÃO DE QUANTITATIVO E REEQUILIBRIO DE PREÇO E PRORROGAÇÃO DE PRAZO</t>
  </si>
  <si>
    <t>Troca de Titularidade da Empresa - IF LOCAÇÕES DE IMÓVEIS EIRELEI</t>
  </si>
  <si>
    <t xml:space="preserve">PRORROGAÇÃO DE PRAZO E REAJUSTE </t>
  </si>
  <si>
    <t>6º</t>
  </si>
  <si>
    <t>7º</t>
  </si>
  <si>
    <t xml:space="preserve"> TERMO ADITIVO </t>
  </si>
  <si>
    <t xml:space="preserve">PRORROGAÇÃO DE PRAZO POR 6 MESES </t>
  </si>
  <si>
    <t>11º</t>
  </si>
  <si>
    <t>4°</t>
  </si>
  <si>
    <t>5°</t>
  </si>
  <si>
    <t>6°</t>
  </si>
  <si>
    <t>Prorrogaçao de Prazo 06 meses</t>
  </si>
  <si>
    <t>7°</t>
  </si>
  <si>
    <t>8°</t>
  </si>
  <si>
    <t>9°</t>
  </si>
  <si>
    <t>10°</t>
  </si>
  <si>
    <t>Reajuste de Valor e Prorrogação de Prazo</t>
  </si>
  <si>
    <t>Prorrogação de Prazo por 12 mess</t>
  </si>
  <si>
    <t>PRORROGAÇÃO DE PRAZO E REAJUSTE DE PREÇO</t>
  </si>
  <si>
    <t>PRORROGAÇÃO DE PRAZO POR 12 MESES</t>
  </si>
  <si>
    <t xml:space="preserve">Prorrogação de Prazo de Vigencia </t>
  </si>
  <si>
    <t>ALTERAÇÃO PRAZO FINAL DE VIGENCIA (ONDE SE LÊ 30/07/2023, LÊ-SE 31/07/2023)</t>
  </si>
  <si>
    <t xml:space="preserve">PRORROGAÇÃO DE PRAZO POR 3 MESES </t>
  </si>
  <si>
    <t>31/12/020</t>
  </si>
  <si>
    <t>07/12/2020</t>
  </si>
  <si>
    <t>06/12/2021</t>
  </si>
  <si>
    <t>07/12/2021</t>
  </si>
  <si>
    <t>06/12/2022</t>
  </si>
  <si>
    <t>07/12/2022</t>
  </si>
  <si>
    <t>06/12/2023</t>
  </si>
  <si>
    <t>10/08/2023</t>
  </si>
  <si>
    <t>09/08/2024</t>
  </si>
  <si>
    <t>061/2021</t>
  </si>
  <si>
    <t>Sec. de Estado de Educação, Cultura e Esporte - SEE</t>
  </si>
  <si>
    <t>SECRETARIA DE ESTADO DE SAUDE-SESACRE</t>
  </si>
  <si>
    <t>32/2021</t>
  </si>
  <si>
    <t>009/2022</t>
  </si>
  <si>
    <t>SECRETARIA MUNICIPAL DE CUIDADOS COM A CIDADE -SMCCI</t>
  </si>
  <si>
    <t>007/2023</t>
  </si>
  <si>
    <t>Tribunal de Contas do Estado Acre - TCE</t>
  </si>
  <si>
    <t>865/2022</t>
  </si>
  <si>
    <t>SERVIÇO DE AGUA E ESGOTO - SAERB</t>
  </si>
  <si>
    <t>23/03/20223</t>
  </si>
  <si>
    <t>Secretaria de Estado de Saude do Acre - SESACRE</t>
  </si>
  <si>
    <t>Empresa Municipal de Urbanização de Rio Branco - EMURB</t>
  </si>
  <si>
    <t>125/2022</t>
  </si>
  <si>
    <t>Secretaria Muncipal de Saúde</t>
  </si>
  <si>
    <t>004/2021</t>
  </si>
  <si>
    <t>SECRETARIA DE FINANÇAS</t>
  </si>
  <si>
    <t>D</t>
  </si>
  <si>
    <t>ART. 24  INCISO X DA LEI 8666/93</t>
  </si>
  <si>
    <t>I</t>
  </si>
  <si>
    <t>ART 24 , INCISO  X DA LEI 8666/93</t>
  </si>
  <si>
    <t>ART 24, INCISO X DA LEI 8666/93</t>
  </si>
  <si>
    <t>Art. 24, inciso X da Lei 8.666/93</t>
  </si>
  <si>
    <t>art.24, inciso X da Lei 8.666/93</t>
  </si>
  <si>
    <t>Art. 24, ionciso X da Lei 8.666/93</t>
  </si>
  <si>
    <t>Art. 25, I, da Lei 8666/1993</t>
  </si>
  <si>
    <t>Nome do responsável pela elaboração: Ana Helena Meireles da Silva</t>
  </si>
  <si>
    <t>COOPERATIVA DOS PRODUTORES DE AVES - AGROAVES</t>
  </si>
  <si>
    <t>09.239.515/0001-13</t>
  </si>
  <si>
    <t>J S COMERCIO IMPORTACAO E EXPORTACAO LTDA</t>
  </si>
  <si>
    <t>2500</t>
  </si>
  <si>
    <t>LUCAS TAVARES FIGUEIREDO</t>
  </si>
  <si>
    <t>024/2024</t>
  </si>
  <si>
    <t>053/2024</t>
  </si>
  <si>
    <t>À CONTRATAÇÃO DE EMPRESA DE ENGENHARIA, PARA SOB DEMANDA, PRESTAR SERVIÇOS CONTINUADOS DE MANUTENÇÃO PREDIAL PREVENTIVA E CORRETIVA COM FORNECIMENTO DE PEÇAS, EQUIPAMENTOS, MATERIAIS E MÃO DE OBRA, NA FORMA ESTABELECIDA PLANILHAS DE SERVIÇOS E INSUMOS DIVERSOS DESCRITOS NO SISTEMA NACIONAL DE PESQUISA DE CUSTOS E ÌNDICES DA CONSTRUÇÃO CIVIL, DORAVANTE DENOMINADO SINAPI, VISANDO ATENDER AS NECESSIDADES DAS UNIDADES  PERTENCENTES A SECRETARIA MUNICIPAL DE EDUCAÇÃO - SEME</t>
  </si>
  <si>
    <t>LOCAÇÃO DE VEICULO DO TIPO CAMINHÃO</t>
  </si>
  <si>
    <t>SERVIÇO DE TERCERIZADOS</t>
  </si>
  <si>
    <t>89..208,00</t>
  </si>
  <si>
    <t>Nome do titular do Órgão/Entidade/Fundo: ALYSSON BESTENE LINS - SECRETÁRIO MUNICIPAL DE EDUCAÇÃO/SEME</t>
  </si>
  <si>
    <t>546038 - 712466</t>
  </si>
  <si>
    <t>LUCAS TAVARES DE FIGUEIREDO</t>
  </si>
  <si>
    <t>246/2021</t>
  </si>
  <si>
    <t xml:space="preserve">GLEDSON MELO DE LIMA </t>
  </si>
  <si>
    <t>706977 - 702.779</t>
  </si>
  <si>
    <t>RENÂ LEITE PONTES</t>
  </si>
  <si>
    <t xml:space="preserve">LUCAS TAVARES DE FIGUEIREDO </t>
  </si>
  <si>
    <t>217/2022</t>
  </si>
  <si>
    <t xml:space="preserve">SAMARA COSTA PINTO - LUCAS TAVARES DE FIGUEIREDO  - </t>
  </si>
  <si>
    <t>712957 - 713.115</t>
  </si>
  <si>
    <t xml:space="preserve">PAULA VALERIA DE OLIVEIRA MOURA  - ANDREY DAVI SILVA DE OLIVEIRA </t>
  </si>
  <si>
    <t>709978 - 712466</t>
  </si>
  <si>
    <t>261/2022</t>
  </si>
  <si>
    <t>258/2022</t>
  </si>
  <si>
    <t>220/2023</t>
  </si>
  <si>
    <t xml:space="preserve"> ANDREY DAVI SALES DE OLIVEIRA - PAULA VALERIA DE OLIVEIRA MOURA</t>
  </si>
  <si>
    <t>712466 - 709978</t>
  </si>
  <si>
    <t>285/2022</t>
  </si>
  <si>
    <t xml:space="preserve">RAFAEL PASSAFARO NETO - JOSIANE DA SILVA MOTA </t>
  </si>
  <si>
    <t>219/2022</t>
  </si>
  <si>
    <t>218/2022</t>
  </si>
  <si>
    <t>GLEDSON MELO DE LIMA  - RAPHAEL VITORIO NOBREGA BALBINO</t>
  </si>
  <si>
    <t>706977 - 704530</t>
  </si>
  <si>
    <t xml:space="preserve">RAFAEL PASSAFARO NETO - ANDREY DAVI SILVA DE OLIVEIRA </t>
  </si>
  <si>
    <t>553/2023</t>
  </si>
  <si>
    <t xml:space="preserve"> 546038 - 702852</t>
  </si>
  <si>
    <t>321/2022</t>
  </si>
  <si>
    <t>221/2022</t>
  </si>
  <si>
    <t>215/2022</t>
  </si>
  <si>
    <t>298/2021</t>
  </si>
  <si>
    <t xml:space="preserve">lucas tavares de figueiredo </t>
  </si>
  <si>
    <t xml:space="preserve">manoel de jesus lima ferreira - joao antonio thomaz de menezes filho </t>
  </si>
  <si>
    <t>705703 - 709920</t>
  </si>
  <si>
    <t>512/2023</t>
  </si>
  <si>
    <t>216/2022</t>
  </si>
  <si>
    <t xml:space="preserve">SAMARA COSTA PINTO - LUCAS TAVARES DE FIGUEIREDO </t>
  </si>
  <si>
    <t>712957 - 713115</t>
  </si>
  <si>
    <t xml:space="preserve">PAULA VALERIA DE  OLIVEIRA MOURA - ANDREY DAVI SILVA DE OLIVEIRA </t>
  </si>
  <si>
    <t>023/2021</t>
  </si>
  <si>
    <t xml:space="preserve">IGOR BIACARDI </t>
  </si>
  <si>
    <t>MANOEL MAGALHAES TEIXEIRA - VOMEA MARIA DE ARAUJO</t>
  </si>
  <si>
    <t>543165 - 542826</t>
  </si>
  <si>
    <t>442/2023</t>
  </si>
  <si>
    <t xml:space="preserve">ROSENATO PONTE CORREA - RUY MORENO DE ARAUJO </t>
  </si>
  <si>
    <t>702751 - 703758</t>
  </si>
  <si>
    <t>278/2022</t>
  </si>
  <si>
    <t>IGOR BIACARDI - GLEDSON MELO DE LIMA</t>
  </si>
  <si>
    <t>712.961 - 796977</t>
  </si>
  <si>
    <t>366/2023</t>
  </si>
  <si>
    <t>022/2024</t>
  </si>
  <si>
    <t xml:space="preserve">MATEUS LIMA MAIA PEREIRA  </t>
  </si>
  <si>
    <t xml:space="preserve">MINEIA FIDELIS SOUZA - ROSEANE RAMOS DE OLIVEIRA </t>
  </si>
  <si>
    <t>543028 - 542957</t>
  </si>
  <si>
    <t>032/2021</t>
  </si>
  <si>
    <t>MARCOS THADEU SOARES DE MELO - MARIA DA SILVA MAGALHÃES</t>
  </si>
  <si>
    <t>709955 - 543197</t>
  </si>
  <si>
    <t>198/2021</t>
  </si>
  <si>
    <t xml:space="preserve">GLEDSON MELO DE LIMA - IGOR BIACARDI </t>
  </si>
  <si>
    <t>706.977 - 712964</t>
  </si>
  <si>
    <t>326/2022</t>
  </si>
  <si>
    <t xml:space="preserve">SANDRELLY NOGUEIRA DE MOURA - RAUAN VITOR LIMA DA SILVA </t>
  </si>
  <si>
    <t>706.257 - 713037</t>
  </si>
  <si>
    <t>PRESTAÇÃO DE CONTAS MENSAL - EXERCÍCIO 2025</t>
  </si>
  <si>
    <t>FEV.</t>
  </si>
  <si>
    <t>092/2024</t>
  </si>
  <si>
    <t>58/2024</t>
  </si>
  <si>
    <t>AQUISIÇÃO DE GÊNEROS ALIMENTÍCIOS PERECÍVEIS - LEITE DE VACA PASTEURIZADO ITEM 01 e 03, PARA ATENDER AS NECESSIDADES DAS UNIDADES DE ENSINO CRECHE, PROGRAMA NACIONAL DE
ALIMENTAÇÃO ESCOLAR (PNAEC) PERTENCENTES A SECRETARIA MUNICIPAL DE EDUCAÇÃO - SEME.</t>
  </si>
  <si>
    <t>CONT./SEME Nº 142/2024</t>
  </si>
  <si>
    <t>38/2024</t>
  </si>
  <si>
    <t>AQUISIÇÃO DE GÊNEROS ALIMENTÍCIOS PERECÍVEIS -ITEM 1,3,6,8,31,39</t>
  </si>
  <si>
    <t>CONT./SEME Nº 128/2024</t>
  </si>
  <si>
    <t>A.A.SOUZA - EIRELI</t>
  </si>
  <si>
    <t>33.873.300/0001-34</t>
  </si>
  <si>
    <t>AQUISIÇÃO DE GÊNEROS ALIMENTÍCIOS PERECÍVEIS - LEITE DE VACA PASTEURIZADO ITEM 05,06,07 e 08</t>
  </si>
  <si>
    <t>CONT./SEME Nº 143/2024</t>
  </si>
  <si>
    <t>NUNES CASTRO SERVIÇOS E COMERCIO LTDA</t>
  </si>
  <si>
    <t>47.910.607/0001-72</t>
  </si>
  <si>
    <t>MAR.</t>
  </si>
  <si>
    <t>INEXIGIBILIDADE DE LICITAÇÃO</t>
  </si>
  <si>
    <t>CONT./SEME/Nº 32/2023</t>
  </si>
  <si>
    <t>SERVIÇO DE AGUA E ESGOTO RIO BRANCO</t>
  </si>
  <si>
    <t xml:space="preserve">PRESTAÇÃO DE SERVIÇO DE AGUA E ESGOTO </t>
  </si>
  <si>
    <t>01.634.845/0001-00</t>
  </si>
  <si>
    <t>REFERENTE AQUISIÇÃO DE GÊNEROS ALIMENTÍCIOS PERECÍVEIS, PROVENIENTE DA AGRICULTURA FAMILIAR - ITENS 07 E 08, PARA ATENDER AS UNIDADES DE ENSINO PNAEC - CRECHE,
PERTENCENTES A SECRETARIA MUNICIPAL DE EDUCAÇÃO - SEME</t>
  </si>
  <si>
    <t>CONT./SEME Nº 150/2024</t>
  </si>
  <si>
    <t>AQUISIÇÃO DE GENEROS ALIMENTICIOS NÃO PERECIVEIS - ITENS 9/10, PARA ATENDER AS NECESSIDADES DAS UNIDADES DE ENSINO FUNDAMENTAL - PNAEF</t>
  </si>
  <si>
    <t>CONT./SEME Nº  141/2024</t>
  </si>
  <si>
    <t>AQUISIÇÃO DE GÊNEROS ALIMENTÍCIOS PERECÍVEIS , ITENS 11 E 12, PARA ATENDER AS UNIDADES DE ENSINO CRECHE PNAEC, PERTENCENTES A SECRETARIA MUNICIPAL DE EDUCAÇÃO -
SEME</t>
  </si>
  <si>
    <t>CONT./SEME Nº 140/2024</t>
  </si>
  <si>
    <t>COOPERATIVA DOS AGRICULTORES E PECUARISTAS DA REGIONAL DO BAIXO ACRE-COOPEL</t>
  </si>
  <si>
    <t xml:space="preserve"> AQUISIÇÃO DE KITS DIDÁTICOS TECNOLÓGICOS, E TREINAMENTOS PARA EQUIPE ESCOLAR (DOCENTES, MEDIADORES E ASSISTENTES EDUCACIONAIS), A FIM DE CONTRIBUIR COM A
CONSOLIDAÇÃO DO PROCESSO DO ENSINO E DA APRENDIZAGEM POR MEIO DE METODOLOGIAS FOCADAS NO ENSINO DE LINGUA PORTUGUESA CIÊNCIAS, MATEMÁTICA E AINDA, CONHECIMENTOS
BÁSICOS DE TECNOLOGIA E ENGENHARIA EM CONSONÂNCIA COM A BNCC. ITENS 01,02,03,04,05,06,07 E 08</t>
  </si>
  <si>
    <t>CONT./SEME Nº 002/2025</t>
  </si>
  <si>
    <t>EXXER LTDA</t>
  </si>
  <si>
    <t>42.890.809/0001-86</t>
  </si>
  <si>
    <t>041/2024</t>
  </si>
  <si>
    <t>Art. 25, ionciso I da Lei 8.666/93</t>
  </si>
  <si>
    <t>PRAZO INDEWTERMINADO</t>
  </si>
  <si>
    <t>VALOR CONFORME PAGAMENTO MENSAL</t>
  </si>
  <si>
    <t>Emissão</t>
  </si>
  <si>
    <t>SECRETARIA MUNICIPAL DE EDUCAÇÃO - SEME</t>
  </si>
  <si>
    <t xml:space="preserve">IDENTIFICAÇÃO DO ÓRGÃO/ENTIDADE/FUNDO: </t>
  </si>
  <si>
    <t xml:space="preserve">REALIZADO ATÉ O MÊS/ANO: </t>
  </si>
  <si>
    <t>JANEIRO E MARÇO DE 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</si>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</sst>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indexed="81"/>
      <name val="Segoe UI"/>
      <family val="2"/>
    </font>
    <font>
      <sz val="14"/>
      <color indexed="81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8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/>
    </xf>
    <xf numFmtId="0" fontId="6" fillId="11" borderId="17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1" xfId="1" applyFont="1" applyFill="1" applyBorder="1" applyAlignment="1">
      <alignment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6" fillId="7" borderId="16" xfId="1" applyFont="1" applyFill="1" applyBorder="1" applyAlignment="1">
      <alignment horizontal="center" vertical="center" wrapText="1"/>
    </xf>
    <xf numFmtId="44" fontId="2" fillId="10" borderId="11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0" fontId="8" fillId="12" borderId="1" xfId="0" applyNumberFormat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164" fontId="8" fillId="12" borderId="1" xfId="0" applyNumberFormat="1" applyFont="1" applyFill="1" applyBorder="1" applyAlignment="1">
      <alignment horizontal="center" vertical="center" wrapText="1"/>
    </xf>
    <xf numFmtId="4" fontId="8" fillId="12" borderId="1" xfId="0" applyNumberFormat="1" applyFont="1" applyFill="1" applyBorder="1" applyAlignment="1">
      <alignment horizontal="right" vertical="center" wrapText="1"/>
    </xf>
    <xf numFmtId="0" fontId="8" fillId="12" borderId="23" xfId="0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14" fontId="10" fillId="12" borderId="1" xfId="0" applyNumberFormat="1" applyFont="1" applyFill="1" applyBorder="1" applyAlignment="1">
      <alignment horizontal="center" vertical="center" wrapText="1"/>
    </xf>
    <xf numFmtId="3" fontId="10" fillId="12" borderId="7" xfId="0" applyNumberFormat="1" applyFont="1" applyFill="1" applyBorder="1" applyAlignment="1">
      <alignment horizontal="center" vertical="center" wrapText="1"/>
    </xf>
    <xf numFmtId="14" fontId="10" fillId="12" borderId="7" xfId="0" applyNumberFormat="1" applyFont="1" applyFill="1" applyBorder="1" applyAlignment="1">
      <alignment horizontal="center" vertical="center" wrapText="1"/>
    </xf>
    <xf numFmtId="49" fontId="10" fillId="12" borderId="7" xfId="0" applyNumberFormat="1" applyFont="1" applyFill="1" applyBorder="1" applyAlignment="1">
      <alignment horizontal="center" vertical="center" wrapText="1"/>
    </xf>
    <xf numFmtId="3" fontId="10" fillId="12" borderId="5" xfId="0" applyNumberFormat="1" applyFont="1" applyFill="1" applyBorder="1" applyAlignment="1">
      <alignment horizontal="center" vertical="center" wrapText="1"/>
    </xf>
    <xf numFmtId="14" fontId="10" fillId="12" borderId="5" xfId="0" applyNumberFormat="1" applyFont="1" applyFill="1" applyBorder="1" applyAlignment="1">
      <alignment horizontal="center" vertical="center" wrapText="1"/>
    </xf>
    <xf numFmtId="0" fontId="10" fillId="12" borderId="7" xfId="0" applyFont="1" applyFill="1" applyBorder="1" applyAlignment="1">
      <alignment horizontal="center" vertical="center" wrapText="1"/>
    </xf>
    <xf numFmtId="0" fontId="10" fillId="12" borderId="5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3" fontId="10" fillId="12" borderId="1" xfId="0" applyNumberFormat="1" applyFont="1" applyFill="1" applyBorder="1" applyAlignment="1">
      <alignment horizontal="center" vertical="center" wrapText="1"/>
    </xf>
    <xf numFmtId="0" fontId="10" fillId="12" borderId="23" xfId="0" applyFont="1" applyFill="1" applyBorder="1" applyAlignment="1">
      <alignment horizontal="center" vertical="center" wrapText="1"/>
    </xf>
    <xf numFmtId="14" fontId="10" fillId="12" borderId="23" xfId="0" applyNumberFormat="1" applyFont="1" applyFill="1" applyBorder="1" applyAlignment="1">
      <alignment horizontal="center" vertical="center" wrapText="1"/>
    </xf>
    <xf numFmtId="10" fontId="10" fillId="12" borderId="7" xfId="0" applyNumberFormat="1" applyFont="1" applyFill="1" applyBorder="1" applyAlignment="1">
      <alignment horizontal="center" vertical="center" wrapText="1"/>
    </xf>
    <xf numFmtId="164" fontId="10" fillId="12" borderId="7" xfId="0" applyNumberFormat="1" applyFont="1" applyFill="1" applyBorder="1" applyAlignment="1">
      <alignment horizontal="center" vertical="center" wrapText="1"/>
    </xf>
    <xf numFmtId="3" fontId="10" fillId="12" borderId="23" xfId="0" applyNumberFormat="1" applyFont="1" applyFill="1" applyBorder="1" applyAlignment="1">
      <alignment horizontal="center" vertical="center" wrapText="1"/>
    </xf>
    <xf numFmtId="49" fontId="10" fillId="12" borderId="23" xfId="0" applyNumberFormat="1" applyFont="1" applyFill="1" applyBorder="1" applyAlignment="1">
      <alignment horizontal="center" vertical="center" wrapText="1"/>
    </xf>
    <xf numFmtId="3" fontId="8" fillId="12" borderId="23" xfId="0" applyNumberFormat="1" applyFont="1" applyFill="1" applyBorder="1" applyAlignment="1">
      <alignment horizontal="center" vertical="center" wrapText="1"/>
    </xf>
    <xf numFmtId="0" fontId="9" fillId="12" borderId="23" xfId="0" applyFont="1" applyFill="1" applyBorder="1" applyAlignment="1">
      <alignment horizontal="center" vertical="center" wrapText="1"/>
    </xf>
    <xf numFmtId="0" fontId="10" fillId="12" borderId="7" xfId="0" applyFont="1" applyFill="1" applyBorder="1" applyAlignment="1">
      <alignment horizontal="center" vertical="center"/>
    </xf>
    <xf numFmtId="0" fontId="10" fillId="12" borderId="5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2" borderId="23" xfId="0" applyFont="1" applyFill="1" applyBorder="1" applyAlignment="1">
      <alignment horizontal="center" vertical="center"/>
    </xf>
    <xf numFmtId="3" fontId="10" fillId="12" borderId="7" xfId="0" applyNumberFormat="1" applyFont="1" applyFill="1" applyBorder="1" applyAlignment="1">
      <alignment horizontal="center" vertical="center"/>
    </xf>
    <xf numFmtId="0" fontId="11" fillId="12" borderId="5" xfId="0" applyFont="1" applyFill="1" applyBorder="1" applyAlignment="1">
      <alignment horizontal="center" vertical="center" wrapText="1"/>
    </xf>
    <xf numFmtId="43" fontId="10" fillId="12" borderId="5" xfId="2" applyFont="1" applyFill="1" applyBorder="1" applyAlignment="1">
      <alignment horizontal="center" vertical="center" wrapText="1"/>
    </xf>
    <xf numFmtId="49" fontId="10" fillId="12" borderId="1" xfId="0" applyNumberFormat="1" applyFont="1" applyFill="1" applyBorder="1" applyAlignment="1">
      <alignment horizontal="center" vertical="center" wrapText="1"/>
    </xf>
    <xf numFmtId="14" fontId="10" fillId="12" borderId="7" xfId="0" applyNumberFormat="1" applyFont="1" applyFill="1" applyBorder="1" applyAlignment="1">
      <alignment horizontal="center" vertical="center"/>
    </xf>
    <xf numFmtId="14" fontId="10" fillId="12" borderId="7" xfId="0" applyNumberFormat="1" applyFont="1" applyFill="1" applyBorder="1" applyAlignment="1">
      <alignment vertical="center" wrapText="1"/>
    </xf>
    <xf numFmtId="164" fontId="10" fillId="12" borderId="1" xfId="0" applyNumberFormat="1" applyFont="1" applyFill="1" applyBorder="1" applyAlignment="1">
      <alignment horizontal="center" vertical="center" wrapText="1"/>
    </xf>
    <xf numFmtId="3" fontId="10" fillId="12" borderId="7" xfId="2" applyNumberFormat="1" applyFont="1" applyFill="1" applyBorder="1" applyAlignment="1">
      <alignment horizontal="center" vertical="center"/>
    </xf>
    <xf numFmtId="3" fontId="10" fillId="12" borderId="5" xfId="2" applyNumberFormat="1" applyFont="1" applyFill="1" applyBorder="1" applyAlignment="1">
      <alignment horizontal="center" vertical="center"/>
    </xf>
    <xf numFmtId="14" fontId="10" fillId="12" borderId="5" xfId="2" applyNumberFormat="1" applyFont="1" applyFill="1" applyBorder="1" applyAlignment="1">
      <alignment horizontal="center" vertical="center"/>
    </xf>
    <xf numFmtId="49" fontId="10" fillId="12" borderId="5" xfId="0" applyNumberFormat="1" applyFont="1" applyFill="1" applyBorder="1" applyAlignment="1">
      <alignment horizontal="center" vertical="center"/>
    </xf>
    <xf numFmtId="49" fontId="10" fillId="12" borderId="1" xfId="0" applyNumberFormat="1" applyFont="1" applyFill="1" applyBorder="1" applyAlignment="1">
      <alignment horizontal="center" vertical="center"/>
    </xf>
    <xf numFmtId="14" fontId="10" fillId="12" borderId="7" xfId="2" applyNumberFormat="1" applyFont="1" applyFill="1" applyBorder="1" applyAlignment="1">
      <alignment vertical="center"/>
    </xf>
    <xf numFmtId="0" fontId="10" fillId="12" borderId="7" xfId="0" applyFont="1" applyFill="1" applyBorder="1" applyAlignment="1">
      <alignment vertical="center"/>
    </xf>
    <xf numFmtId="0" fontId="10" fillId="12" borderId="1" xfId="0" applyFont="1" applyFill="1" applyBorder="1" applyAlignment="1">
      <alignment vertical="center" wrapText="1"/>
    </xf>
    <xf numFmtId="14" fontId="10" fillId="12" borderId="1" xfId="0" applyNumberFormat="1" applyFont="1" applyFill="1" applyBorder="1" applyAlignment="1">
      <alignment vertical="center" wrapText="1"/>
    </xf>
    <xf numFmtId="3" fontId="10" fillId="12" borderId="1" xfId="0" applyNumberFormat="1" applyFont="1" applyFill="1" applyBorder="1" applyAlignment="1">
      <alignment vertical="center" wrapText="1"/>
    </xf>
    <xf numFmtId="10" fontId="10" fillId="12" borderId="1" xfId="0" applyNumberFormat="1" applyFont="1" applyFill="1" applyBorder="1" applyAlignment="1">
      <alignment horizontal="center" vertical="center" wrapText="1"/>
    </xf>
    <xf numFmtId="9" fontId="10" fillId="12" borderId="1" xfId="0" applyNumberFormat="1" applyFont="1" applyFill="1" applyBorder="1" applyAlignment="1">
      <alignment horizontal="center" vertical="center" wrapText="1"/>
    </xf>
    <xf numFmtId="165" fontId="10" fillId="12" borderId="7" xfId="0" applyNumberFormat="1" applyFont="1" applyFill="1" applyBorder="1" applyAlignment="1">
      <alignment horizontal="center" vertical="center" wrapText="1"/>
    </xf>
    <xf numFmtId="164" fontId="10" fillId="12" borderId="1" xfId="0" applyNumberFormat="1" applyFont="1" applyFill="1" applyBorder="1" applyAlignment="1">
      <alignment vertical="center" wrapText="1"/>
    </xf>
    <xf numFmtId="164" fontId="10" fillId="12" borderId="7" xfId="0" applyNumberFormat="1" applyFont="1" applyFill="1" applyBorder="1" applyAlignment="1">
      <alignment vertical="center" wrapText="1"/>
    </xf>
    <xf numFmtId="14" fontId="10" fillId="12" borderId="1" xfId="0" applyNumberFormat="1" applyFont="1" applyFill="1" applyBorder="1" applyAlignment="1">
      <alignment horizontal="center" vertical="center"/>
    </xf>
    <xf numFmtId="14" fontId="10" fillId="12" borderId="1" xfId="0" applyNumberFormat="1" applyFont="1" applyFill="1" applyBorder="1" applyAlignment="1">
      <alignment vertical="center"/>
    </xf>
    <xf numFmtId="0" fontId="10" fillId="12" borderId="1" xfId="0" applyFont="1" applyFill="1" applyBorder="1" applyAlignment="1">
      <alignment vertical="center"/>
    </xf>
    <xf numFmtId="49" fontId="10" fillId="12" borderId="1" xfId="0" applyNumberFormat="1" applyFont="1" applyFill="1" applyBorder="1" applyAlignment="1">
      <alignment vertical="center" wrapText="1"/>
    </xf>
    <xf numFmtId="4" fontId="10" fillId="12" borderId="1" xfId="0" applyNumberFormat="1" applyFont="1" applyFill="1" applyBorder="1" applyAlignment="1">
      <alignment vertical="center" wrapText="1"/>
    </xf>
    <xf numFmtId="44" fontId="2" fillId="12" borderId="11" xfId="1" applyFont="1" applyFill="1" applyBorder="1" applyAlignment="1">
      <alignment horizontal="center" vertical="center" wrapText="1"/>
    </xf>
    <xf numFmtId="44" fontId="10" fillId="12" borderId="1" xfId="1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44" fontId="10" fillId="12" borderId="23" xfId="1" applyFont="1" applyFill="1" applyBorder="1" applyAlignment="1">
      <alignment horizontal="center" vertical="center" wrapText="1"/>
    </xf>
    <xf numFmtId="44" fontId="10" fillId="12" borderId="1" xfId="1" applyFont="1" applyFill="1" applyBorder="1" applyAlignment="1">
      <alignment horizontal="center" vertical="center"/>
    </xf>
    <xf numFmtId="0" fontId="10" fillId="12" borderId="5" xfId="0" applyFont="1" applyFill="1" applyBorder="1" applyAlignment="1">
      <alignment vertical="center" wrapText="1"/>
    </xf>
    <xf numFmtId="44" fontId="10" fillId="12" borderId="7" xfId="1" applyFont="1" applyFill="1" applyBorder="1" applyAlignment="1">
      <alignment vertical="center" wrapText="1"/>
    </xf>
    <xf numFmtId="44" fontId="10" fillId="12" borderId="1" xfId="1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vertical="center" wrapText="1"/>
    </xf>
    <xf numFmtId="3" fontId="1" fillId="12" borderId="1" xfId="0" applyNumberFormat="1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/>
    </xf>
    <xf numFmtId="44" fontId="6" fillId="7" borderId="35" xfId="1" applyFont="1" applyFill="1" applyBorder="1" applyAlignment="1">
      <alignment horizontal="center" vertical="center" wrapText="1"/>
    </xf>
    <xf numFmtId="44" fontId="2" fillId="13" borderId="11" xfId="1" applyFont="1" applyFill="1" applyBorder="1" applyAlignment="1">
      <alignment horizontal="center" vertical="center" wrapText="1"/>
    </xf>
    <xf numFmtId="44" fontId="2" fillId="14" borderId="11" xfId="1" applyFont="1" applyFill="1" applyBorder="1" applyAlignment="1">
      <alignment horizontal="center" vertical="center" wrapText="1"/>
    </xf>
    <xf numFmtId="44" fontId="10" fillId="12" borderId="7" xfId="1" applyFont="1" applyFill="1" applyBorder="1" applyAlignment="1">
      <alignment horizontal="center" vertical="center" wrapText="1"/>
    </xf>
    <xf numFmtId="44" fontId="10" fillId="12" borderId="23" xfId="1" applyFont="1" applyFill="1" applyBorder="1" applyAlignment="1">
      <alignment horizontal="center" vertical="center" wrapText="1"/>
    </xf>
    <xf numFmtId="164" fontId="10" fillId="14" borderId="7" xfId="0" applyNumberFormat="1" applyFont="1" applyFill="1" applyBorder="1" applyAlignment="1">
      <alignment vertical="center" wrapText="1"/>
    </xf>
    <xf numFmtId="164" fontId="8" fillId="12" borderId="7" xfId="0" applyNumberFormat="1" applyFont="1" applyFill="1" applyBorder="1" applyAlignment="1">
      <alignment vertical="center"/>
    </xf>
    <xf numFmtId="164" fontId="10" fillId="12" borderId="1" xfId="1" applyNumberFormat="1" applyFont="1" applyFill="1" applyBorder="1" applyAlignment="1">
      <alignment vertical="center" wrapText="1"/>
    </xf>
    <xf numFmtId="44" fontId="10" fillId="14" borderId="7" xfId="1" applyFont="1" applyFill="1" applyBorder="1" applyAlignment="1">
      <alignment vertical="center" wrapText="1"/>
    </xf>
    <xf numFmtId="164" fontId="10" fillId="12" borderId="23" xfId="0" applyNumberFormat="1" applyFont="1" applyFill="1" applyBorder="1" applyAlignment="1">
      <alignment vertical="center" wrapText="1"/>
    </xf>
    <xf numFmtId="164" fontId="8" fillId="14" borderId="7" xfId="0" applyNumberFormat="1" applyFont="1" applyFill="1" applyBorder="1" applyAlignment="1">
      <alignment vertical="center"/>
    </xf>
    <xf numFmtId="4" fontId="10" fillId="12" borderId="1" xfId="1" applyNumberFormat="1" applyFont="1" applyFill="1" applyBorder="1" applyAlignment="1">
      <alignment vertical="center"/>
    </xf>
    <xf numFmtId="4" fontId="10" fillId="14" borderId="7" xfId="1" applyNumberFormat="1" applyFont="1" applyFill="1" applyBorder="1" applyAlignment="1">
      <alignment vertical="center"/>
    </xf>
    <xf numFmtId="4" fontId="10" fillId="12" borderId="7" xfId="1" applyNumberFormat="1" applyFont="1" applyFill="1" applyBorder="1" applyAlignment="1">
      <alignment vertical="center"/>
    </xf>
    <xf numFmtId="4" fontId="10" fillId="14" borderId="7" xfId="0" applyNumberFormat="1" applyFont="1" applyFill="1" applyBorder="1" applyAlignment="1">
      <alignment vertical="center" wrapText="1"/>
    </xf>
    <xf numFmtId="4" fontId="10" fillId="12" borderId="7" xfId="0" applyNumberFormat="1" applyFont="1" applyFill="1" applyBorder="1" applyAlignment="1">
      <alignment vertical="center" wrapText="1"/>
    </xf>
    <xf numFmtId="164" fontId="10" fillId="12" borderId="7" xfId="1" applyNumberFormat="1" applyFont="1" applyFill="1" applyBorder="1" applyAlignment="1">
      <alignment vertical="center" wrapText="1"/>
    </xf>
    <xf numFmtId="164" fontId="10" fillId="12" borderId="5" xfId="0" applyNumberFormat="1" applyFont="1" applyFill="1" applyBorder="1" applyAlignment="1">
      <alignment vertical="center" wrapText="1"/>
    </xf>
    <xf numFmtId="0" fontId="10" fillId="12" borderId="5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 wrapText="1"/>
    </xf>
    <xf numFmtId="3" fontId="8" fillId="12" borderId="5" xfId="0" applyNumberFormat="1" applyFont="1" applyFill="1" applyBorder="1" applyAlignment="1">
      <alignment horizontal="center" vertical="center" wrapText="1"/>
    </xf>
    <xf numFmtId="0" fontId="10" fillId="12" borderId="5" xfId="0" applyFont="1" applyFill="1" applyBorder="1" applyAlignment="1">
      <alignment horizontal="center" vertical="center" wrapText="1"/>
    </xf>
    <xf numFmtId="44" fontId="10" fillId="12" borderId="5" xfId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4" fontId="8" fillId="12" borderId="1" xfId="1" applyFont="1" applyFill="1" applyBorder="1" applyAlignment="1">
      <alignment horizontal="center" vertical="center" wrapText="1"/>
    </xf>
    <xf numFmtId="44" fontId="10" fillId="12" borderId="7" xfId="1" applyFont="1" applyFill="1" applyBorder="1" applyAlignment="1">
      <alignment vertical="center"/>
    </xf>
    <xf numFmtId="44" fontId="10" fillId="12" borderId="5" xfId="1" applyFont="1" applyFill="1" applyBorder="1" applyAlignment="1">
      <alignment horizontal="center" vertical="center"/>
    </xf>
    <xf numFmtId="44" fontId="2" fillId="10" borderId="11" xfId="1" applyFont="1" applyFill="1" applyBorder="1" applyAlignment="1">
      <alignment horizontal="center" vertical="center" wrapText="1"/>
    </xf>
    <xf numFmtId="44" fontId="2" fillId="7" borderId="11" xfId="1" applyFont="1" applyFill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12" borderId="7" xfId="0" applyFont="1" applyFill="1" applyBorder="1" applyAlignment="1">
      <alignment horizontal="center" vertical="center" wrapText="1"/>
    </xf>
    <xf numFmtId="0" fontId="10" fillId="12" borderId="5" xfId="0" applyFont="1" applyFill="1" applyBorder="1" applyAlignment="1">
      <alignment horizontal="center" vertical="center" wrapText="1"/>
    </xf>
    <xf numFmtId="14" fontId="10" fillId="12" borderId="7" xfId="0" applyNumberFormat="1" applyFont="1" applyFill="1" applyBorder="1" applyAlignment="1">
      <alignment horizontal="center" vertical="center" wrapText="1"/>
    </xf>
    <xf numFmtId="14" fontId="10" fillId="12" borderId="5" xfId="0" applyNumberFormat="1" applyFont="1" applyFill="1" applyBorder="1" applyAlignment="1">
      <alignment horizontal="center" vertical="center" wrapText="1"/>
    </xf>
    <xf numFmtId="3" fontId="10" fillId="12" borderId="7" xfId="0" applyNumberFormat="1" applyFont="1" applyFill="1" applyBorder="1" applyAlignment="1">
      <alignment horizontal="center" vertical="center" wrapText="1"/>
    </xf>
    <xf numFmtId="3" fontId="10" fillId="12" borderId="5" xfId="0" applyNumberFormat="1" applyFont="1" applyFill="1" applyBorder="1" applyAlignment="1">
      <alignment horizontal="center" vertical="center" wrapText="1"/>
    </xf>
    <xf numFmtId="49" fontId="10" fillId="12" borderId="7" xfId="0" applyNumberFormat="1" applyFont="1" applyFill="1" applyBorder="1" applyAlignment="1">
      <alignment horizontal="center" vertical="center" wrapText="1"/>
    </xf>
    <xf numFmtId="49" fontId="10" fillId="12" borderId="5" xfId="0" applyNumberFormat="1" applyFont="1" applyFill="1" applyBorder="1" applyAlignment="1">
      <alignment horizontal="center" vertical="center" wrapText="1"/>
    </xf>
    <xf numFmtId="44" fontId="10" fillId="12" borderId="7" xfId="1" applyFont="1" applyFill="1" applyBorder="1" applyAlignment="1">
      <alignment horizontal="center" vertical="center" wrapText="1"/>
    </xf>
    <xf numFmtId="44" fontId="10" fillId="12" borderId="5" xfId="1" applyFont="1" applyFill="1" applyBorder="1" applyAlignment="1">
      <alignment horizontal="center" vertical="center" wrapText="1"/>
    </xf>
    <xf numFmtId="44" fontId="8" fillId="12" borderId="1" xfId="1" applyFont="1" applyFill="1" applyBorder="1" applyAlignment="1">
      <alignment horizontal="center" vertical="center" wrapText="1"/>
    </xf>
    <xf numFmtId="44" fontId="8" fillId="12" borderId="5" xfId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3" fontId="8" fillId="12" borderId="7" xfId="0" applyNumberFormat="1" applyFont="1" applyFill="1" applyBorder="1" applyAlignment="1">
      <alignment horizontal="center" vertical="center" wrapText="1"/>
    </xf>
    <xf numFmtId="3" fontId="8" fillId="12" borderId="5" xfId="0" applyNumberFormat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14" fontId="10" fillId="12" borderId="1" xfId="0" applyNumberFormat="1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3" fontId="1" fillId="12" borderId="7" xfId="0" applyNumberFormat="1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28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3" fontId="1" fillId="12" borderId="5" xfId="0" applyNumberFormat="1" applyFont="1" applyFill="1" applyBorder="1" applyAlignment="1">
      <alignment horizontal="center" vertical="center" wrapText="1"/>
    </xf>
    <xf numFmtId="3" fontId="1" fillId="12" borderId="23" xfId="0" applyNumberFormat="1" applyFont="1" applyFill="1" applyBorder="1" applyAlignment="1">
      <alignment horizontal="center" vertical="center" wrapText="1"/>
    </xf>
    <xf numFmtId="3" fontId="1" fillId="12" borderId="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 applyAlignment="1">
      <alignment horizontal="center" vertical="center" wrapText="1"/>
    </xf>
    <xf numFmtId="0" fontId="1" fillId="12" borderId="30" xfId="0" applyFont="1" applyFill="1" applyBorder="1" applyAlignment="1">
      <alignment horizontal="center" vertical="center" wrapText="1"/>
    </xf>
    <xf numFmtId="0" fontId="1" fillId="12" borderId="29" xfId="0" applyFont="1" applyFill="1" applyBorder="1" applyAlignment="1">
      <alignment horizontal="center" vertical="center" wrapText="1"/>
    </xf>
    <xf numFmtId="0" fontId="1" fillId="12" borderId="31" xfId="0" applyFont="1" applyFill="1" applyBorder="1" applyAlignment="1">
      <alignment horizontal="center" vertical="center" wrapText="1"/>
    </xf>
    <xf numFmtId="43" fontId="10" fillId="12" borderId="7" xfId="2" applyFont="1" applyFill="1" applyBorder="1" applyAlignment="1">
      <alignment horizontal="center" vertical="center" wrapText="1"/>
    </xf>
    <xf numFmtId="43" fontId="10" fillId="12" borderId="5" xfId="2" applyFont="1" applyFill="1" applyBorder="1" applyAlignment="1">
      <alignment horizontal="center" vertical="center" wrapText="1"/>
    </xf>
    <xf numFmtId="0" fontId="10" fillId="12" borderId="7" xfId="0" applyFont="1" applyFill="1" applyBorder="1" applyAlignment="1">
      <alignment horizontal="center" vertical="center"/>
    </xf>
    <xf numFmtId="0" fontId="10" fillId="12" borderId="5" xfId="0" applyFont="1" applyFill="1" applyBorder="1" applyAlignment="1">
      <alignment horizontal="center" vertical="center"/>
    </xf>
    <xf numFmtId="14" fontId="10" fillId="12" borderId="23" xfId="0" applyNumberFormat="1" applyFont="1" applyFill="1" applyBorder="1" applyAlignment="1">
      <alignment horizontal="center" vertical="center" wrapText="1"/>
    </xf>
    <xf numFmtId="49" fontId="10" fillId="12" borderId="1" xfId="0" applyNumberFormat="1" applyFont="1" applyFill="1" applyBorder="1" applyAlignment="1">
      <alignment horizontal="center" vertical="center" wrapText="1"/>
    </xf>
    <xf numFmtId="3" fontId="10" fillId="12" borderId="23" xfId="0" applyNumberFormat="1" applyFont="1" applyFill="1" applyBorder="1" applyAlignment="1">
      <alignment horizontal="center" vertical="center" wrapText="1"/>
    </xf>
    <xf numFmtId="14" fontId="8" fillId="12" borderId="7" xfId="0" applyNumberFormat="1" applyFont="1" applyFill="1" applyBorder="1" applyAlignment="1">
      <alignment horizontal="center" vertical="center"/>
    </xf>
    <xf numFmtId="14" fontId="8" fillId="12" borderId="5" xfId="0" applyNumberFormat="1" applyFont="1" applyFill="1" applyBorder="1" applyAlignment="1">
      <alignment horizontal="center" vertical="center"/>
    </xf>
    <xf numFmtId="49" fontId="10" fillId="12" borderId="23" xfId="0" applyNumberFormat="1" applyFont="1" applyFill="1" applyBorder="1" applyAlignment="1">
      <alignment horizontal="center" vertical="center" wrapText="1"/>
    </xf>
    <xf numFmtId="3" fontId="10" fillId="12" borderId="7" xfId="2" applyNumberFormat="1" applyFont="1" applyFill="1" applyBorder="1" applyAlignment="1">
      <alignment horizontal="center" vertical="center"/>
    </xf>
    <xf numFmtId="3" fontId="10" fillId="12" borderId="5" xfId="2" applyNumberFormat="1" applyFont="1" applyFill="1" applyBorder="1" applyAlignment="1">
      <alignment horizontal="center" vertical="center"/>
    </xf>
    <xf numFmtId="14" fontId="10" fillId="12" borderId="7" xfId="2" applyNumberFormat="1" applyFont="1" applyFill="1" applyBorder="1" applyAlignment="1">
      <alignment horizontal="center" vertical="center"/>
    </xf>
    <xf numFmtId="14" fontId="10" fillId="12" borderId="5" xfId="2" applyNumberFormat="1" applyFont="1" applyFill="1" applyBorder="1" applyAlignment="1">
      <alignment horizontal="center" vertical="center"/>
    </xf>
    <xf numFmtId="49" fontId="10" fillId="12" borderId="7" xfId="0" applyNumberFormat="1" applyFont="1" applyFill="1" applyBorder="1" applyAlignment="1">
      <alignment horizontal="center" vertical="center"/>
    </xf>
    <xf numFmtId="49" fontId="10" fillId="12" borderId="5" xfId="0" applyNumberFormat="1" applyFont="1" applyFill="1" applyBorder="1" applyAlignment="1">
      <alignment horizontal="center" vertical="center"/>
    </xf>
    <xf numFmtId="0" fontId="10" fillId="12" borderId="23" xfId="0" applyFont="1" applyFill="1" applyBorder="1" applyAlignment="1">
      <alignment horizontal="center" vertical="center" wrapText="1"/>
    </xf>
    <xf numFmtId="44" fontId="10" fillId="12" borderId="7" xfId="1" applyFont="1" applyFill="1" applyBorder="1" applyAlignment="1">
      <alignment horizontal="center" vertical="center"/>
    </xf>
    <xf numFmtId="44" fontId="10" fillId="12" borderId="5" xfId="1" applyFont="1" applyFill="1" applyBorder="1" applyAlignment="1">
      <alignment horizontal="center" vertical="center"/>
    </xf>
    <xf numFmtId="164" fontId="10" fillId="12" borderId="7" xfId="1" applyNumberFormat="1" applyFont="1" applyFill="1" applyBorder="1" applyAlignment="1">
      <alignment horizontal="center" vertical="center" wrapText="1"/>
    </xf>
    <xf numFmtId="0" fontId="8" fillId="12" borderId="23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23" xfId="0" applyFont="1" applyFill="1" applyBorder="1" applyAlignment="1">
      <alignment horizontal="center" vertical="center"/>
    </xf>
    <xf numFmtId="3" fontId="10" fillId="12" borderId="23" xfId="2" applyNumberFormat="1" applyFont="1" applyFill="1" applyBorder="1" applyAlignment="1">
      <alignment horizontal="center" vertical="center"/>
    </xf>
    <xf numFmtId="0" fontId="10" fillId="12" borderId="5" xfId="2" applyNumberFormat="1" applyFont="1" applyFill="1" applyBorder="1" applyAlignment="1">
      <alignment horizontal="center" vertical="center"/>
    </xf>
    <xf numFmtId="14" fontId="10" fillId="12" borderId="23" xfId="2" applyNumberFormat="1" applyFont="1" applyFill="1" applyBorder="1" applyAlignment="1">
      <alignment horizontal="center" vertical="center"/>
    </xf>
    <xf numFmtId="44" fontId="10" fillId="12" borderId="23" xfId="1" applyFont="1" applyFill="1" applyBorder="1" applyAlignment="1">
      <alignment horizontal="center" vertical="center" wrapText="1"/>
    </xf>
    <xf numFmtId="3" fontId="10" fillId="12" borderId="7" xfId="0" applyNumberFormat="1" applyFont="1" applyFill="1" applyBorder="1" applyAlignment="1">
      <alignment horizontal="center" vertical="center"/>
    </xf>
    <xf numFmtId="3" fontId="10" fillId="12" borderId="23" xfId="0" applyNumberFormat="1" applyFont="1" applyFill="1" applyBorder="1" applyAlignment="1">
      <alignment horizontal="center" vertical="center"/>
    </xf>
    <xf numFmtId="3" fontId="10" fillId="12" borderId="5" xfId="0" applyNumberFormat="1" applyFont="1" applyFill="1" applyBorder="1" applyAlignment="1">
      <alignment horizontal="center" vertical="center"/>
    </xf>
    <xf numFmtId="49" fontId="10" fillId="12" borderId="23" xfId="0" applyNumberFormat="1" applyFont="1" applyFill="1" applyBorder="1" applyAlignment="1">
      <alignment horizontal="center" vertical="center"/>
    </xf>
    <xf numFmtId="164" fontId="10" fillId="12" borderId="7" xfId="0" applyNumberFormat="1" applyFont="1" applyFill="1" applyBorder="1" applyAlignment="1">
      <alignment vertical="center" wrapText="1"/>
    </xf>
    <xf numFmtId="164" fontId="10" fillId="12" borderId="5" xfId="0" applyNumberFormat="1" applyFont="1" applyFill="1" applyBorder="1" applyAlignment="1">
      <alignment vertical="center" wrapText="1"/>
    </xf>
    <xf numFmtId="44" fontId="8" fillId="12" borderId="7" xfId="1" applyFont="1" applyFill="1" applyBorder="1" applyAlignment="1">
      <alignment horizontal="center" vertical="center" wrapText="1"/>
    </xf>
    <xf numFmtId="44" fontId="8" fillId="12" borderId="23" xfId="1" applyFont="1" applyFill="1" applyBorder="1" applyAlignment="1">
      <alignment horizontal="center" vertical="center" wrapText="1"/>
    </xf>
    <xf numFmtId="44" fontId="10" fillId="12" borderId="23" xfId="1" applyFont="1" applyFill="1" applyBorder="1" applyAlignment="1">
      <alignment horizontal="center" vertical="center"/>
    </xf>
    <xf numFmtId="14" fontId="10" fillId="12" borderId="24" xfId="0" applyNumberFormat="1" applyFont="1" applyFill="1" applyBorder="1" applyAlignment="1">
      <alignment horizontal="center" vertical="center" wrapText="1"/>
    </xf>
    <xf numFmtId="14" fontId="10" fillId="12" borderId="25" xfId="0" applyNumberFormat="1" applyFont="1" applyFill="1" applyBorder="1" applyAlignment="1">
      <alignment horizontal="center" vertical="center" wrapText="1"/>
    </xf>
    <xf numFmtId="14" fontId="10" fillId="12" borderId="26" xfId="0" applyNumberFormat="1" applyFont="1" applyFill="1" applyBorder="1" applyAlignment="1">
      <alignment horizontal="center" vertical="center" wrapText="1"/>
    </xf>
    <xf numFmtId="14" fontId="10" fillId="12" borderId="7" xfId="0" applyNumberFormat="1" applyFont="1" applyFill="1" applyBorder="1" applyAlignment="1">
      <alignment horizontal="center" vertical="center"/>
    </xf>
    <xf numFmtId="14" fontId="10" fillId="12" borderId="23" xfId="0" applyNumberFormat="1" applyFont="1" applyFill="1" applyBorder="1" applyAlignment="1">
      <alignment horizontal="center" vertical="center"/>
    </xf>
    <xf numFmtId="14" fontId="10" fillId="12" borderId="5" xfId="0" applyNumberFormat="1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3" fontId="8" fillId="12" borderId="1" xfId="0" applyNumberFormat="1" applyFont="1" applyFill="1" applyBorder="1" applyAlignment="1">
      <alignment horizontal="center" vertical="center" wrapText="1"/>
    </xf>
    <xf numFmtId="17" fontId="10" fillId="12" borderId="7" xfId="0" applyNumberFormat="1" applyFont="1" applyFill="1" applyBorder="1" applyAlignment="1">
      <alignment horizontal="center" vertical="center" wrapText="1"/>
    </xf>
    <xf numFmtId="17" fontId="10" fillId="12" borderId="5" xfId="0" applyNumberFormat="1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23" xfId="0" applyFont="1" applyFill="1" applyBorder="1" applyAlignment="1">
      <alignment horizontal="center" vertical="center" wrapText="1"/>
    </xf>
    <xf numFmtId="0" fontId="11" fillId="12" borderId="5" xfId="0" applyFont="1" applyFill="1" applyBorder="1" applyAlignment="1">
      <alignment horizontal="center" vertical="center" wrapText="1"/>
    </xf>
    <xf numFmtId="43" fontId="10" fillId="12" borderId="23" xfId="2" applyFont="1" applyFill="1" applyBorder="1" applyAlignment="1">
      <alignment horizontal="center" vertical="center" wrapText="1"/>
    </xf>
    <xf numFmtId="17" fontId="8" fillId="12" borderId="7" xfId="0" applyNumberFormat="1" applyFont="1" applyFill="1" applyBorder="1" applyAlignment="1">
      <alignment horizontal="center" vertical="center" wrapText="1"/>
    </xf>
    <xf numFmtId="17" fontId="8" fillId="12" borderId="5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9" fillId="12" borderId="23" xfId="0" applyFont="1" applyFill="1" applyBorder="1" applyAlignment="1">
      <alignment horizontal="center" vertical="center" wrapText="1"/>
    </xf>
    <xf numFmtId="3" fontId="8" fillId="12" borderId="2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4" fontId="6" fillId="3" borderId="3" xfId="1" applyFont="1" applyFill="1" applyBorder="1" applyAlignment="1">
      <alignment horizontal="center" vertical="center" wrapText="1"/>
    </xf>
    <xf numFmtId="44" fontId="6" fillId="3" borderId="17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4" xfId="1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4" xfId="1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44" fontId="4" fillId="7" borderId="14" xfId="1" applyFont="1" applyFill="1" applyBorder="1" applyAlignment="1">
      <alignment horizontal="center" vertical="center" wrapText="1"/>
    </xf>
    <xf numFmtId="44" fontId="4" fillId="7" borderId="33" xfId="1" applyFont="1" applyFill="1" applyBorder="1" applyAlignment="1">
      <alignment horizontal="center" vertical="center" wrapText="1"/>
    </xf>
    <xf numFmtId="44" fontId="4" fillId="7" borderId="6" xfId="1" applyFont="1" applyFill="1" applyBorder="1" applyAlignment="1">
      <alignment horizontal="center" vertical="center" wrapText="1"/>
    </xf>
    <xf numFmtId="44" fontId="4" fillId="7" borderId="15" xfId="1" applyFont="1" applyFill="1" applyBorder="1" applyAlignment="1">
      <alignment horizontal="center" vertical="center" wrapText="1"/>
    </xf>
    <xf numFmtId="44" fontId="6" fillId="7" borderId="2" xfId="1" applyFont="1" applyFill="1" applyBorder="1" applyAlignment="1">
      <alignment horizontal="center" vertical="center" wrapText="1"/>
    </xf>
    <xf numFmtId="44" fontId="6" fillId="7" borderId="3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3" xfId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44" fontId="6" fillId="10" borderId="36" xfId="1" applyFont="1" applyFill="1" applyBorder="1" applyAlignment="1">
      <alignment horizontal="center" vertical="center" wrapText="1"/>
    </xf>
    <xf numFmtId="44" fontId="6" fillId="10" borderId="37" xfId="1" applyFont="1" applyFill="1" applyBorder="1" applyAlignment="1">
      <alignment horizontal="center" vertical="center" wrapText="1"/>
    </xf>
    <xf numFmtId="44" fontId="6" fillId="10" borderId="38" xfId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4" fontId="8" fillId="12" borderId="23" xfId="0" applyNumberFormat="1" applyFont="1" applyFill="1" applyBorder="1" applyAlignment="1">
      <alignment horizontal="center" vertical="center" wrapText="1"/>
    </xf>
    <xf numFmtId="4" fontId="8" fillId="12" borderId="5" xfId="0" applyNumberFormat="1" applyFont="1" applyFill="1" applyBorder="1" applyAlignment="1">
      <alignment horizontal="center" vertical="center" wrapText="1"/>
    </xf>
    <xf numFmtId="44" fontId="7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44" fontId="6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44" fontId="7" fillId="0" borderId="0" xfId="1" applyFont="1" applyAlignment="1">
      <alignment horizontal="center" vertical="center"/>
    </xf>
    <xf numFmtId="44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12" borderId="0" xfId="0" applyFont="1" applyFill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vertical="center"/>
    </xf>
    <xf numFmtId="0" fontId="7" fillId="12" borderId="0" xfId="0" applyFont="1" applyFill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49" fontId="8" fillId="12" borderId="5" xfId="0" applyNumberFormat="1" applyFont="1" applyFill="1" applyBorder="1" applyAlignment="1">
      <alignment horizontal="center" vertical="center" wrapText="1"/>
    </xf>
    <xf numFmtId="14" fontId="8" fillId="12" borderId="5" xfId="0" applyNumberFormat="1" applyFont="1" applyFill="1" applyBorder="1" applyAlignment="1">
      <alignment horizontal="center" vertical="center" wrapText="1"/>
    </xf>
    <xf numFmtId="10" fontId="8" fillId="12" borderId="5" xfId="0" applyNumberFormat="1" applyFont="1" applyFill="1" applyBorder="1" applyAlignment="1">
      <alignment horizontal="center" vertical="center" wrapText="1"/>
    </xf>
    <xf numFmtId="164" fontId="8" fillId="12" borderId="5" xfId="0" applyNumberFormat="1" applyFont="1" applyFill="1" applyBorder="1" applyAlignment="1">
      <alignment horizontal="center" vertical="center" wrapText="1"/>
    </xf>
    <xf numFmtId="4" fontId="8" fillId="12" borderId="5" xfId="0" applyNumberFormat="1" applyFont="1" applyFill="1" applyBorder="1" applyAlignment="1">
      <alignment horizontal="right" vertical="center" wrapText="1"/>
    </xf>
    <xf numFmtId="44" fontId="2" fillId="10" borderId="30" xfId="1" applyFont="1" applyFill="1" applyBorder="1" applyAlignment="1">
      <alignment horizontal="center" vertical="center" wrapText="1"/>
    </xf>
    <xf numFmtId="164" fontId="10" fillId="14" borderId="23" xfId="0" applyNumberFormat="1" applyFont="1" applyFill="1" applyBorder="1" applyAlignment="1">
      <alignment vertical="center" wrapText="1"/>
    </xf>
    <xf numFmtId="164" fontId="8" fillId="12" borderId="23" xfId="0" applyNumberFormat="1" applyFont="1" applyFill="1" applyBorder="1" applyAlignment="1">
      <alignment vertical="center"/>
    </xf>
    <xf numFmtId="44" fontId="2" fillId="7" borderId="30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12" borderId="23" xfId="0" applyFont="1" applyFill="1" applyBorder="1" applyAlignment="1">
      <alignment horizontal="left" vertical="center" wrapText="1"/>
    </xf>
    <xf numFmtId="0" fontId="9" fillId="12" borderId="5" xfId="0" applyFont="1" applyFill="1" applyBorder="1" applyAlignment="1">
      <alignment horizontal="left" vertical="center" wrapText="1"/>
    </xf>
    <xf numFmtId="0" fontId="9" fillId="12" borderId="7" xfId="0" applyFont="1" applyFill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 wrapText="1"/>
    </xf>
    <xf numFmtId="0" fontId="10" fillId="12" borderId="7" xfId="0" applyFont="1" applyFill="1" applyBorder="1" applyAlignment="1">
      <alignment horizontal="left" vertical="center" wrapText="1"/>
    </xf>
    <xf numFmtId="0" fontId="10" fillId="12" borderId="23" xfId="0" applyFont="1" applyFill="1" applyBorder="1" applyAlignment="1">
      <alignment horizontal="left" vertical="center" wrapText="1"/>
    </xf>
    <xf numFmtId="0" fontId="10" fillId="12" borderId="5" xfId="0" applyFont="1" applyFill="1" applyBorder="1" applyAlignment="1">
      <alignment horizontal="left" vertical="center" wrapText="1"/>
    </xf>
    <xf numFmtId="0" fontId="8" fillId="12" borderId="5" xfId="0" applyFont="1" applyFill="1" applyBorder="1" applyAlignment="1">
      <alignment horizontal="left" vertical="center" wrapText="1"/>
    </xf>
    <xf numFmtId="0" fontId="10" fillId="12" borderId="5" xfId="0" applyFont="1" applyFill="1" applyBorder="1" applyAlignment="1">
      <alignment horizontal="left" vertical="center" wrapText="1"/>
    </xf>
    <xf numFmtId="0" fontId="10" fillId="12" borderId="7" xfId="0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101865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126"/>
  <sheetViews>
    <sheetView tabSelected="1" zoomScale="80" zoomScaleNormal="80" zoomScaleSheetLayoutView="70" workbookViewId="0">
      <selection activeCell="B16" sqref="B16:H19"/>
    </sheetView>
  </sheetViews>
  <sheetFormatPr defaultColWidth="9.140625" defaultRowHeight="12.75" x14ac:dyDescent="0.25"/>
  <cols>
    <col min="1" max="1" width="6.85546875" style="1" customWidth="1"/>
    <col min="2" max="2" width="19.7109375" style="1" customWidth="1"/>
    <col min="3" max="3" width="16.42578125" style="1" bestFit="1" customWidth="1"/>
    <col min="4" max="4" width="18.28515625" style="1" customWidth="1"/>
    <col min="5" max="5" width="12.7109375" style="1" customWidth="1"/>
    <col min="6" max="6" width="53.140625" style="6" customWidth="1"/>
    <col min="7" max="7" width="16.85546875" style="1" customWidth="1"/>
    <col min="8" max="8" width="15.28515625" style="1" bestFit="1" customWidth="1"/>
    <col min="9" max="9" width="16.7109375" style="1" customWidth="1"/>
    <col min="10" max="10" width="12" style="1" customWidth="1"/>
    <col min="11" max="11" width="11.42578125" style="1" customWidth="1"/>
    <col min="12" max="12" width="16.85546875" style="1" customWidth="1"/>
    <col min="13" max="13" width="17.85546875" style="1" customWidth="1"/>
    <col min="14" max="14" width="21.140625" style="1" customWidth="1"/>
    <col min="15" max="15" width="15.140625" style="1" customWidth="1"/>
    <col min="16" max="16" width="20.42578125" style="1" customWidth="1"/>
    <col min="17" max="19" width="12.85546875" style="1" customWidth="1"/>
    <col min="20" max="20" width="15.28515625" style="1" customWidth="1"/>
    <col min="21" max="21" width="31" style="1" customWidth="1"/>
    <col min="22" max="22" width="14" style="1" customWidth="1"/>
    <col min="23" max="23" width="30.5703125" style="1" customWidth="1"/>
    <col min="24" max="24" width="15.5703125" style="30" customWidth="1"/>
    <col min="25" max="25" width="15.85546875" style="1" customWidth="1"/>
    <col min="26" max="26" width="27.28515625" style="1" customWidth="1"/>
    <col min="27" max="27" width="22.42578125" style="1" customWidth="1"/>
    <col min="28" max="28" width="14.28515625" style="1" customWidth="1"/>
    <col min="29" max="32" width="12.85546875" style="1" customWidth="1"/>
    <col min="33" max="33" width="13.28515625" style="1" customWidth="1"/>
    <col min="34" max="34" width="14.42578125" style="1" customWidth="1"/>
    <col min="35" max="35" width="14.5703125" style="30" customWidth="1"/>
    <col min="36" max="36" width="16.28515625" style="30" customWidth="1"/>
    <col min="37" max="37" width="23.140625" style="1" customWidth="1"/>
    <col min="38" max="38" width="19.140625" style="1" customWidth="1"/>
    <col min="39" max="41" width="12.85546875" style="1" customWidth="1"/>
    <col min="42" max="42" width="28" style="1" customWidth="1"/>
    <col min="43" max="46" width="14.7109375" style="1" customWidth="1"/>
    <col min="47" max="48" width="12.85546875" style="1" customWidth="1"/>
    <col min="49" max="49" width="17" style="30" customWidth="1"/>
    <col min="50" max="50" width="14.5703125" style="30" customWidth="1"/>
    <col min="51" max="52" width="12.85546875" style="1" customWidth="1"/>
    <col min="53" max="54" width="14.85546875" style="30" customWidth="1"/>
    <col min="55" max="56" width="12.85546875" style="1" customWidth="1"/>
    <col min="57" max="57" width="29.85546875" style="30" customWidth="1"/>
    <col min="58" max="58" width="14.7109375" style="30" customWidth="1"/>
    <col min="59" max="59" width="12.85546875" style="1" customWidth="1"/>
    <col min="60" max="60" width="14.7109375" style="30" customWidth="1"/>
    <col min="61" max="61" width="30" style="30" customWidth="1"/>
    <col min="62" max="62" width="26.5703125" style="30" customWidth="1"/>
    <col min="63" max="63" width="0.7109375" style="30" customWidth="1"/>
    <col min="64" max="64" width="26.85546875" style="30" customWidth="1"/>
    <col min="65" max="65" width="27.5703125" style="30" customWidth="1"/>
    <col min="66" max="66" width="26.42578125" style="30" customWidth="1"/>
    <col min="67" max="67" width="11.42578125" style="1" customWidth="1"/>
    <col min="68" max="74" width="14.7109375" style="1" customWidth="1"/>
    <col min="75" max="75" width="17.28515625" style="30" customWidth="1"/>
    <col min="76" max="76" width="16" style="30" customWidth="1"/>
    <col min="77" max="78" width="14.7109375" style="1" customWidth="1"/>
    <col min="79" max="79" width="35.28515625" style="1" customWidth="1"/>
    <col min="80" max="85" width="14.5703125" style="1" customWidth="1"/>
    <col min="86" max="16384" width="9.140625" style="1"/>
  </cols>
  <sheetData>
    <row r="1" spans="1:85" s="11" customFormat="1" ht="14.25" x14ac:dyDescent="0.25">
      <c r="F1" s="355"/>
      <c r="X1" s="349"/>
      <c r="AI1" s="349"/>
      <c r="AJ1" s="349"/>
      <c r="AW1" s="349"/>
      <c r="AX1" s="349"/>
      <c r="BA1" s="349"/>
      <c r="BB1" s="349"/>
      <c r="BE1" s="349"/>
      <c r="BF1" s="349"/>
      <c r="BH1" s="349"/>
      <c r="BI1" s="349"/>
      <c r="BJ1" s="349"/>
      <c r="BK1" s="349"/>
      <c r="BL1" s="349"/>
      <c r="BM1" s="349"/>
      <c r="BN1" s="349"/>
      <c r="BW1" s="349"/>
      <c r="BX1" s="349"/>
    </row>
    <row r="2" spans="1:85" s="11" customFormat="1" ht="14.25" x14ac:dyDescent="0.25">
      <c r="F2" s="355"/>
      <c r="X2" s="349"/>
      <c r="AI2" s="349"/>
      <c r="AJ2" s="349"/>
      <c r="AW2" s="349"/>
      <c r="AX2" s="349"/>
      <c r="BA2" s="349"/>
      <c r="BB2" s="349"/>
      <c r="BE2" s="349"/>
      <c r="BF2" s="349"/>
      <c r="BH2" s="349"/>
      <c r="BI2" s="349"/>
      <c r="BJ2" s="349"/>
      <c r="BK2" s="349"/>
      <c r="BL2" s="349"/>
      <c r="BM2" s="349"/>
      <c r="BN2" s="349"/>
      <c r="BW2" s="349"/>
      <c r="BX2" s="349"/>
    </row>
    <row r="3" spans="1:85" s="11" customFormat="1" ht="14.25" x14ac:dyDescent="0.25">
      <c r="F3" s="355"/>
      <c r="X3" s="349"/>
      <c r="AI3" s="349"/>
      <c r="AJ3" s="349"/>
      <c r="AW3" s="349"/>
      <c r="AX3" s="349"/>
      <c r="BA3" s="349"/>
      <c r="BB3" s="349"/>
      <c r="BE3" s="349"/>
      <c r="BF3" s="349"/>
      <c r="BH3" s="349"/>
      <c r="BI3" s="349"/>
      <c r="BJ3" s="349"/>
      <c r="BK3" s="349"/>
      <c r="BL3" s="349"/>
      <c r="BM3" s="349"/>
      <c r="BN3" s="349"/>
      <c r="BW3" s="349"/>
      <c r="BX3" s="349"/>
    </row>
    <row r="4" spans="1:85" s="11" customFormat="1" ht="14.25" x14ac:dyDescent="0.25">
      <c r="F4" s="355"/>
      <c r="X4" s="349"/>
      <c r="AI4" s="349"/>
      <c r="AJ4" s="349"/>
      <c r="AW4" s="349"/>
      <c r="AX4" s="349"/>
      <c r="BA4" s="349"/>
      <c r="BB4" s="349"/>
      <c r="BE4" s="349"/>
      <c r="BF4" s="349"/>
      <c r="BH4" s="349"/>
      <c r="BI4" s="349"/>
      <c r="BJ4" s="349"/>
      <c r="BK4" s="349"/>
      <c r="BL4" s="349"/>
      <c r="BM4" s="349"/>
      <c r="BN4" s="349"/>
      <c r="BW4" s="349"/>
      <c r="BX4" s="349"/>
    </row>
    <row r="5" spans="1:85" s="350" customFormat="1" ht="15" x14ac:dyDescent="0.25">
      <c r="A5" s="350" t="s">
        <v>15</v>
      </c>
      <c r="F5" s="371"/>
      <c r="X5" s="351"/>
      <c r="AI5" s="351"/>
      <c r="AJ5" s="351"/>
      <c r="AW5" s="351"/>
      <c r="AX5" s="351"/>
      <c r="BA5" s="351"/>
      <c r="BB5" s="351"/>
      <c r="BE5" s="351"/>
      <c r="BF5" s="351"/>
      <c r="BH5" s="351"/>
      <c r="BI5" s="351"/>
      <c r="BJ5" s="351"/>
      <c r="BK5" s="351"/>
      <c r="BL5" s="351"/>
      <c r="BM5" s="351"/>
      <c r="BN5" s="351"/>
      <c r="BW5" s="351"/>
      <c r="BX5" s="351"/>
    </row>
    <row r="6" spans="1:85" s="11" customFormat="1" ht="14.25" x14ac:dyDescent="0.25">
      <c r="B6" s="352"/>
      <c r="C6" s="352"/>
      <c r="D6" s="352"/>
      <c r="E6" s="352"/>
      <c r="F6" s="355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3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3"/>
      <c r="AJ6" s="353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3"/>
      <c r="AX6" s="353"/>
      <c r="AY6" s="352"/>
      <c r="AZ6" s="352"/>
      <c r="BA6" s="353"/>
      <c r="BB6" s="353"/>
      <c r="BC6" s="352"/>
      <c r="BD6" s="352"/>
      <c r="BE6" s="353"/>
      <c r="BF6" s="353"/>
      <c r="BG6" s="352"/>
      <c r="BH6" s="353"/>
      <c r="BI6" s="353"/>
      <c r="BJ6" s="353"/>
      <c r="BK6" s="353"/>
      <c r="BL6" s="353"/>
      <c r="BM6" s="353"/>
      <c r="BN6" s="353"/>
      <c r="BW6" s="349"/>
      <c r="BX6" s="349"/>
    </row>
    <row r="7" spans="1:85" s="350" customFormat="1" ht="15" x14ac:dyDescent="0.25">
      <c r="A7" s="350" t="s">
        <v>488</v>
      </c>
      <c r="F7" s="371"/>
      <c r="X7" s="351"/>
      <c r="AI7" s="351"/>
      <c r="AJ7" s="351"/>
      <c r="AW7" s="351"/>
      <c r="AX7" s="351"/>
      <c r="BA7" s="351"/>
      <c r="BB7" s="351"/>
      <c r="BE7" s="351"/>
      <c r="BF7" s="351"/>
      <c r="BH7" s="351"/>
      <c r="BI7" s="351"/>
      <c r="BJ7" s="351"/>
      <c r="BK7" s="351"/>
      <c r="BL7" s="351"/>
      <c r="BM7" s="351"/>
      <c r="BN7" s="351"/>
      <c r="BW7" s="351"/>
      <c r="BX7" s="351"/>
    </row>
    <row r="8" spans="1:85" s="11" customFormat="1" ht="14.25" x14ac:dyDescent="0.25">
      <c r="A8" s="11" t="s">
        <v>31</v>
      </c>
      <c r="F8" s="355"/>
      <c r="X8" s="349"/>
      <c r="AI8" s="349"/>
      <c r="AJ8" s="349"/>
      <c r="AW8" s="349"/>
      <c r="AX8" s="349"/>
      <c r="BA8" s="349"/>
      <c r="BB8" s="349"/>
      <c r="BE8" s="349"/>
      <c r="BF8" s="349"/>
      <c r="BH8" s="349"/>
      <c r="BI8" s="349"/>
      <c r="BJ8" s="354"/>
      <c r="BK8" s="354"/>
      <c r="BL8" s="354"/>
      <c r="BM8" s="354"/>
      <c r="BN8" s="354"/>
      <c r="BO8" s="355"/>
      <c r="BW8" s="349"/>
      <c r="BX8" s="349"/>
    </row>
    <row r="9" spans="1:85" s="11" customFormat="1" ht="14.25" x14ac:dyDescent="0.25">
      <c r="A9" s="11" t="s">
        <v>529</v>
      </c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4"/>
      <c r="Y9" s="355"/>
      <c r="Z9" s="356"/>
      <c r="AA9" s="355"/>
      <c r="AB9" s="355"/>
      <c r="AC9" s="355"/>
      <c r="AD9" s="355"/>
      <c r="AE9" s="355"/>
      <c r="AF9" s="355"/>
      <c r="AG9" s="355"/>
      <c r="AH9" s="355"/>
      <c r="AI9" s="354"/>
      <c r="AJ9" s="354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4"/>
      <c r="AX9" s="354"/>
      <c r="AY9" s="355"/>
      <c r="AZ9" s="355"/>
      <c r="BA9" s="354"/>
      <c r="BB9" s="354"/>
      <c r="BC9" s="355"/>
      <c r="BD9" s="355"/>
      <c r="BE9" s="354"/>
      <c r="BF9" s="354"/>
      <c r="BG9" s="355"/>
      <c r="BH9" s="354"/>
      <c r="BI9" s="354"/>
      <c r="BJ9" s="354"/>
      <c r="BK9" s="354"/>
      <c r="BL9" s="354"/>
      <c r="BM9" s="354"/>
      <c r="BN9" s="354"/>
      <c r="BO9" s="355"/>
      <c r="BW9" s="349"/>
      <c r="BX9" s="349"/>
    </row>
    <row r="10" spans="1:85" s="11" customFormat="1" ht="15" thickBot="1" x14ac:dyDescent="0.3">
      <c r="B10" s="352"/>
      <c r="C10" s="352"/>
      <c r="D10" s="352"/>
      <c r="E10" s="352"/>
      <c r="F10" s="355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3"/>
      <c r="Y10" s="352"/>
      <c r="Z10" s="356"/>
      <c r="AA10" s="352"/>
      <c r="AB10" s="352"/>
      <c r="AC10" s="352"/>
      <c r="AD10" s="352"/>
      <c r="AE10" s="352"/>
      <c r="AF10" s="352"/>
      <c r="AG10" s="352"/>
      <c r="AH10" s="352"/>
      <c r="AI10" s="353"/>
      <c r="AJ10" s="353"/>
      <c r="AK10" s="352"/>
      <c r="AL10" s="352"/>
      <c r="AM10" s="357">
        <f>AO10-AN10</f>
        <v>45254</v>
      </c>
      <c r="AN10" s="352">
        <v>180</v>
      </c>
      <c r="AO10" s="357">
        <v>45434</v>
      </c>
      <c r="AP10" s="352"/>
      <c r="AQ10" s="352"/>
      <c r="AR10" s="352"/>
      <c r="AS10" s="352"/>
      <c r="AT10" s="352"/>
      <c r="AU10" s="352"/>
      <c r="AV10" s="352"/>
      <c r="AW10" s="353"/>
      <c r="AX10" s="353"/>
      <c r="AY10" s="352"/>
      <c r="AZ10" s="352"/>
      <c r="BA10" s="353"/>
      <c r="BB10" s="353"/>
      <c r="BC10" s="352"/>
      <c r="BD10" s="352"/>
      <c r="BE10" s="353"/>
      <c r="BF10" s="353"/>
      <c r="BG10" s="352"/>
      <c r="BH10" s="353"/>
      <c r="BI10" s="353"/>
      <c r="BJ10" s="353"/>
      <c r="BK10" s="353"/>
      <c r="BL10" s="353"/>
      <c r="BM10" s="353"/>
      <c r="BN10" s="353"/>
      <c r="BO10" s="352"/>
      <c r="BR10" s="358">
        <v>45389</v>
      </c>
      <c r="BS10" s="11">
        <v>90</v>
      </c>
      <c r="BT10" s="358">
        <f>BR10+BS10</f>
        <v>45479</v>
      </c>
      <c r="BW10" s="349"/>
      <c r="BX10" s="349"/>
    </row>
    <row r="11" spans="1:85" s="11" customFormat="1" ht="15.75" thickBot="1" x14ac:dyDescent="0.3">
      <c r="A11" s="11" t="s">
        <v>526</v>
      </c>
      <c r="E11" s="360" t="s">
        <v>525</v>
      </c>
      <c r="F11" s="361"/>
      <c r="X11" s="349"/>
      <c r="Z11" s="359"/>
      <c r="AB11" s="358"/>
      <c r="AD11" s="358"/>
      <c r="AI11" s="349"/>
      <c r="AJ11" s="349"/>
      <c r="AW11" s="349"/>
      <c r="AX11" s="349"/>
      <c r="BA11" s="349"/>
      <c r="BB11" s="349"/>
      <c r="BE11" s="349"/>
      <c r="BF11" s="349"/>
      <c r="BH11" s="349"/>
      <c r="BI11" s="349"/>
      <c r="BJ11" s="349"/>
      <c r="BK11" s="349"/>
      <c r="BL11" s="349"/>
      <c r="BM11" s="349"/>
      <c r="BN11" s="349"/>
      <c r="BW11" s="349"/>
      <c r="BX11" s="349"/>
    </row>
    <row r="12" spans="1:85" s="11" customFormat="1" ht="15.75" thickBot="1" x14ac:dyDescent="0.3">
      <c r="A12" s="11" t="s">
        <v>527</v>
      </c>
      <c r="E12" s="360" t="s">
        <v>528</v>
      </c>
      <c r="F12" s="361"/>
      <c r="X12" s="349"/>
      <c r="Z12" s="359"/>
      <c r="AI12" s="349"/>
      <c r="AJ12" s="349"/>
      <c r="AW12" s="349"/>
      <c r="AX12" s="349"/>
      <c r="BA12" s="349"/>
      <c r="BB12" s="349"/>
      <c r="BE12" s="349"/>
      <c r="BF12" s="349"/>
      <c r="BH12" s="349"/>
      <c r="BI12" s="349"/>
      <c r="BJ12" s="349"/>
      <c r="BK12" s="349"/>
      <c r="BL12" s="349"/>
      <c r="BM12" s="349"/>
      <c r="BN12" s="349"/>
      <c r="BW12" s="349"/>
      <c r="BX12" s="349"/>
    </row>
    <row r="13" spans="1:85" s="11" customFormat="1" ht="14.25" x14ac:dyDescent="0.25">
      <c r="B13" s="352"/>
      <c r="C13" s="352"/>
      <c r="D13" s="352"/>
      <c r="E13" s="352"/>
      <c r="F13" s="355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3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3"/>
      <c r="AJ13" s="353"/>
      <c r="AK13" s="352"/>
      <c r="AL13" s="352"/>
      <c r="AM13" s="352"/>
      <c r="AN13" s="352"/>
      <c r="AO13" s="352"/>
      <c r="AP13" s="352"/>
      <c r="AQ13" s="352"/>
      <c r="AR13" s="352"/>
      <c r="AS13" s="352"/>
      <c r="AT13" s="352"/>
      <c r="AU13" s="352"/>
      <c r="AV13" s="352"/>
      <c r="AW13" s="353"/>
      <c r="AX13" s="353"/>
      <c r="AY13" s="352"/>
      <c r="AZ13" s="352"/>
      <c r="BA13" s="353"/>
      <c r="BB13" s="353"/>
      <c r="BC13" s="352"/>
      <c r="BD13" s="352"/>
      <c r="BE13" s="353"/>
      <c r="BF13" s="353"/>
      <c r="BG13" s="352"/>
      <c r="BH13" s="353"/>
      <c r="BI13" s="353"/>
      <c r="BJ13" s="353"/>
      <c r="BK13" s="353"/>
      <c r="BL13" s="353"/>
      <c r="BM13" s="353"/>
      <c r="BN13" s="353"/>
      <c r="BW13" s="349"/>
      <c r="BX13" s="349"/>
    </row>
    <row r="14" spans="1:85" s="11" customFormat="1" ht="15.75" thickBot="1" x14ac:dyDescent="0.3">
      <c r="A14" s="350" t="s">
        <v>79</v>
      </c>
      <c r="B14" s="22"/>
      <c r="C14" s="22"/>
      <c r="D14" s="22"/>
      <c r="E14" s="22"/>
      <c r="F14" s="37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3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3"/>
      <c r="AJ14" s="23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3"/>
      <c r="AX14" s="23"/>
      <c r="AY14" s="22"/>
      <c r="AZ14" s="22"/>
      <c r="BA14" s="23"/>
      <c r="BB14" s="23"/>
      <c r="BC14" s="22"/>
      <c r="BD14" s="22"/>
      <c r="BE14" s="23"/>
      <c r="BF14" s="23"/>
      <c r="BG14" s="22"/>
      <c r="BH14" s="23"/>
      <c r="BI14" s="23"/>
      <c r="BJ14" s="23"/>
      <c r="BK14" s="23"/>
      <c r="BL14" s="23"/>
      <c r="BM14" s="23"/>
      <c r="BN14" s="23"/>
      <c r="BO14" s="22"/>
      <c r="BP14" s="22"/>
      <c r="BQ14" s="22"/>
      <c r="BR14" s="22"/>
      <c r="BS14" s="22"/>
      <c r="BT14" s="22"/>
      <c r="BU14" s="22"/>
      <c r="BV14" s="22"/>
      <c r="BW14" s="23"/>
      <c r="BX14" s="23"/>
      <c r="BY14" s="22"/>
      <c r="BZ14" s="22"/>
      <c r="CA14" s="22"/>
    </row>
    <row r="15" spans="1:85" ht="23.25" thickBot="1" x14ac:dyDescent="0.3">
      <c r="A15" s="240" t="s">
        <v>16</v>
      </c>
      <c r="B15" s="338" t="s">
        <v>174</v>
      </c>
      <c r="C15" s="339"/>
      <c r="D15" s="339"/>
      <c r="E15" s="339"/>
      <c r="F15" s="339"/>
      <c r="G15" s="339"/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40"/>
      <c r="Y15" s="294" t="s">
        <v>80</v>
      </c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  <c r="AV15" s="295"/>
      <c r="AW15" s="295"/>
      <c r="AX15" s="295"/>
      <c r="AY15" s="295"/>
      <c r="AZ15" s="295"/>
      <c r="BA15" s="295"/>
      <c r="BB15" s="295"/>
      <c r="BC15" s="295"/>
      <c r="BD15" s="295"/>
      <c r="BE15" s="295"/>
      <c r="BF15" s="295"/>
      <c r="BG15" s="295"/>
      <c r="BH15" s="295"/>
      <c r="BI15" s="295"/>
      <c r="BJ15" s="295"/>
      <c r="BK15" s="295"/>
      <c r="BL15" s="295"/>
      <c r="BM15" s="295"/>
      <c r="BN15" s="296"/>
      <c r="BO15" s="250" t="s">
        <v>81</v>
      </c>
      <c r="BP15" s="251"/>
      <c r="BQ15" s="251"/>
      <c r="BR15" s="251"/>
      <c r="BS15" s="251"/>
      <c r="BT15" s="251"/>
      <c r="BU15" s="251"/>
      <c r="BV15" s="251"/>
      <c r="BW15" s="251"/>
      <c r="BX15" s="251"/>
      <c r="BY15" s="251"/>
      <c r="BZ15" s="251"/>
      <c r="CA15" s="252"/>
      <c r="CB15" s="305" t="s">
        <v>88</v>
      </c>
      <c r="CC15" s="306"/>
      <c r="CD15" s="306"/>
      <c r="CE15" s="306"/>
      <c r="CF15" s="306"/>
      <c r="CG15" s="307"/>
    </row>
    <row r="16" spans="1:85" x14ac:dyDescent="0.25">
      <c r="A16" s="241"/>
      <c r="B16" s="317" t="s">
        <v>46</v>
      </c>
      <c r="C16" s="318"/>
      <c r="D16" s="318"/>
      <c r="E16" s="318"/>
      <c r="F16" s="318"/>
      <c r="G16" s="318"/>
      <c r="H16" s="319"/>
      <c r="I16" s="323" t="s">
        <v>36</v>
      </c>
      <c r="J16" s="324"/>
      <c r="K16" s="324"/>
      <c r="L16" s="325"/>
      <c r="M16" s="329" t="s">
        <v>43</v>
      </c>
      <c r="N16" s="330"/>
      <c r="O16" s="330"/>
      <c r="P16" s="331"/>
      <c r="Q16" s="317" t="s">
        <v>28</v>
      </c>
      <c r="R16" s="318"/>
      <c r="S16" s="318"/>
      <c r="T16" s="318"/>
      <c r="U16" s="318"/>
      <c r="V16" s="318"/>
      <c r="W16" s="318"/>
      <c r="X16" s="319"/>
      <c r="Y16" s="297"/>
      <c r="Z16" s="298"/>
      <c r="AA16" s="298"/>
      <c r="AB16" s="298"/>
      <c r="AC16" s="298"/>
      <c r="AD16" s="298"/>
      <c r="AE16" s="298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AU16" s="298"/>
      <c r="AV16" s="298"/>
      <c r="AW16" s="298"/>
      <c r="AX16" s="298"/>
      <c r="AY16" s="298"/>
      <c r="AZ16" s="298"/>
      <c r="BA16" s="298"/>
      <c r="BB16" s="298"/>
      <c r="BC16" s="298"/>
      <c r="BD16" s="298"/>
      <c r="BE16" s="298"/>
      <c r="BF16" s="298"/>
      <c r="BG16" s="298"/>
      <c r="BH16" s="298"/>
      <c r="BI16" s="298"/>
      <c r="BJ16" s="298"/>
      <c r="BK16" s="298"/>
      <c r="BL16" s="298"/>
      <c r="BM16" s="298"/>
      <c r="BN16" s="299"/>
      <c r="BO16" s="253"/>
      <c r="BP16" s="254"/>
      <c r="BQ16" s="254"/>
      <c r="BR16" s="254"/>
      <c r="BS16" s="254"/>
      <c r="BT16" s="254"/>
      <c r="BU16" s="254"/>
      <c r="BV16" s="254"/>
      <c r="BW16" s="254"/>
      <c r="BX16" s="254"/>
      <c r="BY16" s="254"/>
      <c r="BZ16" s="254"/>
      <c r="CA16" s="255"/>
      <c r="CB16" s="308"/>
      <c r="CC16" s="309"/>
      <c r="CD16" s="309"/>
      <c r="CE16" s="309"/>
      <c r="CF16" s="309"/>
      <c r="CG16" s="310"/>
    </row>
    <row r="17" spans="1:85" ht="13.5" thickBot="1" x14ac:dyDescent="0.3">
      <c r="A17" s="241"/>
      <c r="B17" s="320"/>
      <c r="C17" s="321"/>
      <c r="D17" s="321"/>
      <c r="E17" s="321"/>
      <c r="F17" s="321"/>
      <c r="G17" s="321"/>
      <c r="H17" s="322"/>
      <c r="I17" s="326"/>
      <c r="J17" s="327"/>
      <c r="K17" s="327"/>
      <c r="L17" s="328"/>
      <c r="M17" s="332"/>
      <c r="N17" s="333"/>
      <c r="O17" s="333"/>
      <c r="P17" s="334"/>
      <c r="Q17" s="320"/>
      <c r="R17" s="321"/>
      <c r="S17" s="321"/>
      <c r="T17" s="321"/>
      <c r="U17" s="321"/>
      <c r="V17" s="321"/>
      <c r="W17" s="321"/>
      <c r="X17" s="322"/>
      <c r="Y17" s="300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1"/>
      <c r="AW17" s="301"/>
      <c r="AX17" s="301"/>
      <c r="AY17" s="301"/>
      <c r="AZ17" s="301"/>
      <c r="BA17" s="301"/>
      <c r="BB17" s="301"/>
      <c r="BC17" s="301"/>
      <c r="BD17" s="301"/>
      <c r="BE17" s="301"/>
      <c r="BF17" s="301"/>
      <c r="BG17" s="301"/>
      <c r="BH17" s="301"/>
      <c r="BI17" s="301"/>
      <c r="BJ17" s="301"/>
      <c r="BK17" s="301"/>
      <c r="BL17" s="301"/>
      <c r="BM17" s="301"/>
      <c r="BN17" s="302"/>
      <c r="BO17" s="253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5"/>
      <c r="CB17" s="308"/>
      <c r="CC17" s="309"/>
      <c r="CD17" s="309"/>
      <c r="CE17" s="309"/>
      <c r="CF17" s="309"/>
      <c r="CG17" s="310"/>
    </row>
    <row r="18" spans="1:85" s="11" customFormat="1" ht="19.5" x14ac:dyDescent="0.25">
      <c r="A18" s="241"/>
      <c r="B18" s="320"/>
      <c r="C18" s="321"/>
      <c r="D18" s="321"/>
      <c r="E18" s="321"/>
      <c r="F18" s="321"/>
      <c r="G18" s="321"/>
      <c r="H18" s="322"/>
      <c r="I18" s="326"/>
      <c r="J18" s="327"/>
      <c r="K18" s="327"/>
      <c r="L18" s="328"/>
      <c r="M18" s="332"/>
      <c r="N18" s="333"/>
      <c r="O18" s="333"/>
      <c r="P18" s="334"/>
      <c r="Q18" s="320"/>
      <c r="R18" s="321"/>
      <c r="S18" s="321"/>
      <c r="T18" s="321"/>
      <c r="U18" s="321"/>
      <c r="V18" s="321"/>
      <c r="W18" s="321"/>
      <c r="X18" s="322"/>
      <c r="Y18" s="311" t="s">
        <v>73</v>
      </c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3"/>
      <c r="AL18" s="256" t="s">
        <v>172</v>
      </c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8"/>
      <c r="BC18" s="256" t="s">
        <v>74</v>
      </c>
      <c r="BD18" s="257"/>
      <c r="BE18" s="257"/>
      <c r="BF18" s="257"/>
      <c r="BG18" s="257"/>
      <c r="BH18" s="258"/>
      <c r="BI18" s="314" t="s">
        <v>75</v>
      </c>
      <c r="BJ18" s="286" t="s">
        <v>76</v>
      </c>
      <c r="BK18" s="287"/>
      <c r="BL18" s="287"/>
      <c r="BM18" s="288"/>
      <c r="BN18" s="289"/>
      <c r="BO18" s="282" t="s">
        <v>1</v>
      </c>
      <c r="BP18" s="284" t="s">
        <v>17</v>
      </c>
      <c r="BQ18" s="343" t="s">
        <v>21</v>
      </c>
      <c r="BR18" s="343"/>
      <c r="BS18" s="343"/>
      <c r="BT18" s="343" t="s">
        <v>24</v>
      </c>
      <c r="BU18" s="343"/>
      <c r="BV18" s="284" t="s">
        <v>40</v>
      </c>
      <c r="BW18" s="280" t="s">
        <v>38</v>
      </c>
      <c r="BX18" s="280" t="s">
        <v>39</v>
      </c>
      <c r="BY18" s="343" t="s">
        <v>27</v>
      </c>
      <c r="BZ18" s="343"/>
      <c r="CA18" s="344"/>
      <c r="CB18" s="308"/>
      <c r="CC18" s="309"/>
      <c r="CD18" s="309"/>
      <c r="CE18" s="309"/>
      <c r="CF18" s="309"/>
      <c r="CG18" s="310"/>
    </row>
    <row r="19" spans="1:85" s="11" customFormat="1" ht="15" x14ac:dyDescent="0.25">
      <c r="A19" s="241"/>
      <c r="B19" s="320"/>
      <c r="C19" s="321"/>
      <c r="D19" s="321"/>
      <c r="E19" s="321"/>
      <c r="F19" s="321"/>
      <c r="G19" s="321"/>
      <c r="H19" s="322"/>
      <c r="I19" s="341" t="s">
        <v>34</v>
      </c>
      <c r="J19" s="336" t="s">
        <v>35</v>
      </c>
      <c r="K19" s="336"/>
      <c r="L19" s="345" t="s">
        <v>41</v>
      </c>
      <c r="M19" s="270" t="s">
        <v>42</v>
      </c>
      <c r="N19" s="272" t="s">
        <v>30</v>
      </c>
      <c r="O19" s="272" t="s">
        <v>44</v>
      </c>
      <c r="P19" s="274" t="s">
        <v>45</v>
      </c>
      <c r="Q19" s="276" t="s">
        <v>29</v>
      </c>
      <c r="R19" s="259" t="s">
        <v>35</v>
      </c>
      <c r="S19" s="259"/>
      <c r="T19" s="259" t="s">
        <v>50</v>
      </c>
      <c r="U19" s="259" t="s">
        <v>47</v>
      </c>
      <c r="V19" s="259" t="s">
        <v>49</v>
      </c>
      <c r="W19" s="259" t="s">
        <v>2</v>
      </c>
      <c r="X19" s="261" t="s">
        <v>48</v>
      </c>
      <c r="Y19" s="265" t="s">
        <v>51</v>
      </c>
      <c r="Z19" s="267" t="s">
        <v>3</v>
      </c>
      <c r="AA19" s="267" t="s">
        <v>52</v>
      </c>
      <c r="AB19" s="267" t="s">
        <v>9</v>
      </c>
      <c r="AC19" s="267" t="s">
        <v>53</v>
      </c>
      <c r="AD19" s="267" t="s">
        <v>54</v>
      </c>
      <c r="AE19" s="267" t="s">
        <v>11</v>
      </c>
      <c r="AF19" s="267" t="s">
        <v>4</v>
      </c>
      <c r="AG19" s="267" t="s">
        <v>5</v>
      </c>
      <c r="AH19" s="267" t="s">
        <v>55</v>
      </c>
      <c r="AI19" s="278" t="s">
        <v>56</v>
      </c>
      <c r="AJ19" s="278" t="s">
        <v>57</v>
      </c>
      <c r="AK19" s="303" t="s">
        <v>58</v>
      </c>
      <c r="AL19" s="335" t="s">
        <v>59</v>
      </c>
      <c r="AM19" s="263" t="s">
        <v>60</v>
      </c>
      <c r="AN19" s="263" t="s">
        <v>61</v>
      </c>
      <c r="AO19" s="263" t="s">
        <v>53</v>
      </c>
      <c r="AP19" s="263" t="s">
        <v>10</v>
      </c>
      <c r="AQ19" s="263" t="s">
        <v>63</v>
      </c>
      <c r="AR19" s="263"/>
      <c r="AS19" s="263" t="s">
        <v>64</v>
      </c>
      <c r="AT19" s="263"/>
      <c r="AU19" s="263" t="s">
        <v>67</v>
      </c>
      <c r="AV19" s="263"/>
      <c r="AW19" s="263"/>
      <c r="AX19" s="263"/>
      <c r="AY19" s="263" t="s">
        <v>68</v>
      </c>
      <c r="AZ19" s="263"/>
      <c r="BA19" s="263"/>
      <c r="BB19" s="264"/>
      <c r="BC19" s="335" t="s">
        <v>71</v>
      </c>
      <c r="BD19" s="263"/>
      <c r="BE19" s="263"/>
      <c r="BF19" s="263" t="s">
        <v>72</v>
      </c>
      <c r="BG19" s="263"/>
      <c r="BH19" s="264"/>
      <c r="BI19" s="315"/>
      <c r="BJ19" s="290" t="s">
        <v>33</v>
      </c>
      <c r="BK19" s="291"/>
      <c r="BL19" s="291"/>
      <c r="BM19" s="292"/>
      <c r="BN19" s="293"/>
      <c r="BO19" s="282"/>
      <c r="BP19" s="284"/>
      <c r="BQ19" s="343"/>
      <c r="BR19" s="343"/>
      <c r="BS19" s="343"/>
      <c r="BT19" s="343"/>
      <c r="BU19" s="343"/>
      <c r="BV19" s="284"/>
      <c r="BW19" s="280"/>
      <c r="BX19" s="280"/>
      <c r="BY19" s="343"/>
      <c r="BZ19" s="343"/>
      <c r="CA19" s="344"/>
      <c r="CB19" s="308"/>
      <c r="CC19" s="309"/>
      <c r="CD19" s="309"/>
      <c r="CE19" s="309"/>
      <c r="CF19" s="309"/>
      <c r="CG19" s="310"/>
    </row>
    <row r="20" spans="1:85" s="11" customFormat="1" ht="45.75" thickBot="1" x14ac:dyDescent="0.3">
      <c r="A20" s="242"/>
      <c r="B20" s="139" t="s">
        <v>6</v>
      </c>
      <c r="C20" s="138" t="s">
        <v>7</v>
      </c>
      <c r="D20" s="138" t="s">
        <v>0</v>
      </c>
      <c r="E20" s="138" t="s">
        <v>1</v>
      </c>
      <c r="F20" s="138" t="s">
        <v>2</v>
      </c>
      <c r="G20" s="138" t="s">
        <v>8</v>
      </c>
      <c r="H20" s="12" t="s">
        <v>41</v>
      </c>
      <c r="I20" s="342"/>
      <c r="J20" s="13" t="s">
        <v>18</v>
      </c>
      <c r="K20" s="13" t="s">
        <v>19</v>
      </c>
      <c r="L20" s="346"/>
      <c r="M20" s="271"/>
      <c r="N20" s="273"/>
      <c r="O20" s="273"/>
      <c r="P20" s="275"/>
      <c r="Q20" s="277"/>
      <c r="R20" s="138" t="s">
        <v>18</v>
      </c>
      <c r="S20" s="138" t="s">
        <v>19</v>
      </c>
      <c r="T20" s="260"/>
      <c r="U20" s="260"/>
      <c r="V20" s="260"/>
      <c r="W20" s="260"/>
      <c r="X20" s="262"/>
      <c r="Y20" s="266"/>
      <c r="Z20" s="268"/>
      <c r="AA20" s="268"/>
      <c r="AB20" s="268"/>
      <c r="AC20" s="268"/>
      <c r="AD20" s="268"/>
      <c r="AE20" s="268"/>
      <c r="AF20" s="268"/>
      <c r="AG20" s="268"/>
      <c r="AH20" s="268"/>
      <c r="AI20" s="279"/>
      <c r="AJ20" s="279"/>
      <c r="AK20" s="304"/>
      <c r="AL20" s="337"/>
      <c r="AM20" s="269"/>
      <c r="AN20" s="269"/>
      <c r="AO20" s="269"/>
      <c r="AP20" s="269"/>
      <c r="AQ20" s="135" t="s">
        <v>62</v>
      </c>
      <c r="AR20" s="135" t="s">
        <v>11</v>
      </c>
      <c r="AS20" s="135" t="s">
        <v>12</v>
      </c>
      <c r="AT20" s="135" t="s">
        <v>11</v>
      </c>
      <c r="AU20" s="135" t="s">
        <v>65</v>
      </c>
      <c r="AV20" s="135" t="s">
        <v>66</v>
      </c>
      <c r="AW20" s="32" t="s">
        <v>13</v>
      </c>
      <c r="AX20" s="32" t="s">
        <v>14</v>
      </c>
      <c r="AY20" s="135" t="s">
        <v>65</v>
      </c>
      <c r="AZ20" s="135" t="s">
        <v>66</v>
      </c>
      <c r="BA20" s="32" t="s">
        <v>13</v>
      </c>
      <c r="BB20" s="33" t="s">
        <v>14</v>
      </c>
      <c r="BC20" s="136" t="s">
        <v>69</v>
      </c>
      <c r="BD20" s="135" t="s">
        <v>70</v>
      </c>
      <c r="BE20" s="32" t="s">
        <v>32</v>
      </c>
      <c r="BF20" s="32" t="s">
        <v>69</v>
      </c>
      <c r="BG20" s="135" t="s">
        <v>70</v>
      </c>
      <c r="BH20" s="33" t="s">
        <v>32</v>
      </c>
      <c r="BI20" s="316"/>
      <c r="BJ20" s="34" t="s">
        <v>37</v>
      </c>
      <c r="BK20" s="112"/>
      <c r="BL20" s="112"/>
      <c r="BM20" s="32" t="s">
        <v>77</v>
      </c>
      <c r="BN20" s="33" t="s">
        <v>78</v>
      </c>
      <c r="BO20" s="283"/>
      <c r="BP20" s="285"/>
      <c r="BQ20" s="14" t="s">
        <v>18</v>
      </c>
      <c r="BR20" s="14" t="s">
        <v>19</v>
      </c>
      <c r="BS20" s="14" t="s">
        <v>20</v>
      </c>
      <c r="BT20" s="14" t="s">
        <v>22</v>
      </c>
      <c r="BU20" s="137" t="s">
        <v>23</v>
      </c>
      <c r="BV20" s="285"/>
      <c r="BW20" s="281"/>
      <c r="BX20" s="281"/>
      <c r="BY20" s="14" t="s">
        <v>18</v>
      </c>
      <c r="BZ20" s="14" t="s">
        <v>26</v>
      </c>
      <c r="CA20" s="15" t="s">
        <v>25</v>
      </c>
      <c r="CB20" s="40" t="s">
        <v>82</v>
      </c>
      <c r="CC20" s="16" t="s">
        <v>83</v>
      </c>
      <c r="CD20" s="17" t="s">
        <v>84</v>
      </c>
      <c r="CE20" s="17" t="s">
        <v>85</v>
      </c>
      <c r="CF20" s="17" t="s">
        <v>86</v>
      </c>
      <c r="CG20" s="18" t="s">
        <v>87</v>
      </c>
    </row>
    <row r="21" spans="1:85" s="4" customFormat="1" ht="64.5" thickBot="1" x14ac:dyDescent="0.3">
      <c r="A21" s="8" t="s">
        <v>89</v>
      </c>
      <c r="B21" s="9" t="s">
        <v>90</v>
      </c>
      <c r="C21" s="9" t="s">
        <v>91</v>
      </c>
      <c r="D21" s="10" t="s">
        <v>92</v>
      </c>
      <c r="E21" s="9" t="s">
        <v>93</v>
      </c>
      <c r="F21" s="9" t="s">
        <v>94</v>
      </c>
      <c r="G21" s="9" t="s">
        <v>95</v>
      </c>
      <c r="H21" s="9" t="s">
        <v>96</v>
      </c>
      <c r="I21" s="9" t="s">
        <v>97</v>
      </c>
      <c r="J21" s="9" t="s">
        <v>98</v>
      </c>
      <c r="K21" s="9" t="s">
        <v>99</v>
      </c>
      <c r="L21" s="9" t="s">
        <v>100</v>
      </c>
      <c r="M21" s="9" t="s">
        <v>101</v>
      </c>
      <c r="N21" s="9" t="s">
        <v>102</v>
      </c>
      <c r="O21" s="9" t="s">
        <v>103</v>
      </c>
      <c r="P21" s="9" t="s">
        <v>104</v>
      </c>
      <c r="Q21" s="9" t="s">
        <v>105</v>
      </c>
      <c r="R21" s="9" t="s">
        <v>106</v>
      </c>
      <c r="S21" s="9" t="s">
        <v>107</v>
      </c>
      <c r="T21" s="9" t="s">
        <v>108</v>
      </c>
      <c r="U21" s="9" t="s">
        <v>109</v>
      </c>
      <c r="V21" s="9" t="s">
        <v>110</v>
      </c>
      <c r="W21" s="9" t="s">
        <v>111</v>
      </c>
      <c r="X21" s="24" t="s">
        <v>114</v>
      </c>
      <c r="Y21" s="9" t="s">
        <v>112</v>
      </c>
      <c r="Z21" s="9" t="s">
        <v>113</v>
      </c>
      <c r="AA21" s="9" t="s">
        <v>115</v>
      </c>
      <c r="AB21" s="9" t="s">
        <v>116</v>
      </c>
      <c r="AC21" s="9" t="s">
        <v>117</v>
      </c>
      <c r="AD21" s="9" t="s">
        <v>118</v>
      </c>
      <c r="AE21" s="9" t="s">
        <v>119</v>
      </c>
      <c r="AF21" s="9" t="s">
        <v>120</v>
      </c>
      <c r="AG21" s="9" t="s">
        <v>121</v>
      </c>
      <c r="AH21" s="9" t="s">
        <v>122</v>
      </c>
      <c r="AI21" s="24" t="s">
        <v>123</v>
      </c>
      <c r="AJ21" s="24" t="s">
        <v>124</v>
      </c>
      <c r="AK21" s="9" t="s">
        <v>125</v>
      </c>
      <c r="AL21" s="9" t="s">
        <v>126</v>
      </c>
      <c r="AM21" s="9" t="s">
        <v>127</v>
      </c>
      <c r="AN21" s="9" t="s">
        <v>128</v>
      </c>
      <c r="AO21" s="9" t="s">
        <v>129</v>
      </c>
      <c r="AP21" s="9" t="s">
        <v>130</v>
      </c>
      <c r="AQ21" s="9" t="s">
        <v>171</v>
      </c>
      <c r="AR21" s="9" t="s">
        <v>131</v>
      </c>
      <c r="AS21" s="9" t="s">
        <v>132</v>
      </c>
      <c r="AT21" s="9" t="s">
        <v>133</v>
      </c>
      <c r="AU21" s="9" t="s">
        <v>134</v>
      </c>
      <c r="AV21" s="9" t="s">
        <v>135</v>
      </c>
      <c r="AW21" s="24" t="s">
        <v>136</v>
      </c>
      <c r="AX21" s="24" t="s">
        <v>137</v>
      </c>
      <c r="AY21" s="9" t="s">
        <v>138</v>
      </c>
      <c r="AZ21" s="9" t="s">
        <v>139</v>
      </c>
      <c r="BA21" s="24" t="s">
        <v>140</v>
      </c>
      <c r="BB21" s="24" t="s">
        <v>167</v>
      </c>
      <c r="BC21" s="9" t="s">
        <v>141</v>
      </c>
      <c r="BD21" s="9" t="s">
        <v>142</v>
      </c>
      <c r="BE21" s="24" t="s">
        <v>143</v>
      </c>
      <c r="BF21" s="24" t="s">
        <v>144</v>
      </c>
      <c r="BG21" s="9" t="s">
        <v>145</v>
      </c>
      <c r="BH21" s="24" t="s">
        <v>146</v>
      </c>
      <c r="BI21" s="144" t="s">
        <v>168</v>
      </c>
      <c r="BJ21" s="99" t="s">
        <v>147</v>
      </c>
      <c r="BK21" s="114" t="s">
        <v>503</v>
      </c>
      <c r="BL21" s="113" t="s">
        <v>489</v>
      </c>
      <c r="BM21" s="99" t="s">
        <v>148</v>
      </c>
      <c r="BN21" s="145" t="s">
        <v>170</v>
      </c>
      <c r="BO21" s="19" t="s">
        <v>149</v>
      </c>
      <c r="BP21" s="19" t="s">
        <v>150</v>
      </c>
      <c r="BQ21" s="19" t="s">
        <v>151</v>
      </c>
      <c r="BR21" s="19" t="s">
        <v>152</v>
      </c>
      <c r="BS21" s="19" t="s">
        <v>153</v>
      </c>
      <c r="BT21" s="19" t="s">
        <v>154</v>
      </c>
      <c r="BU21" s="19" t="s">
        <v>155</v>
      </c>
      <c r="BV21" s="19" t="s">
        <v>156</v>
      </c>
      <c r="BW21" s="37" t="s">
        <v>157</v>
      </c>
      <c r="BX21" s="37" t="s">
        <v>158</v>
      </c>
      <c r="BY21" s="19" t="s">
        <v>159</v>
      </c>
      <c r="BZ21" s="19" t="s">
        <v>160</v>
      </c>
      <c r="CA21" s="19" t="s">
        <v>161</v>
      </c>
      <c r="CB21" s="19" t="s">
        <v>162</v>
      </c>
      <c r="CC21" s="19" t="s">
        <v>163</v>
      </c>
      <c r="CD21" s="19" t="s">
        <v>164</v>
      </c>
      <c r="CE21" s="19" t="s">
        <v>165</v>
      </c>
      <c r="CF21" s="19" t="s">
        <v>166</v>
      </c>
      <c r="CG21" s="20" t="s">
        <v>169</v>
      </c>
    </row>
    <row r="22" spans="1:85" ht="15.75" thickBot="1" x14ac:dyDescent="0.3">
      <c r="A22" s="210">
        <v>1</v>
      </c>
      <c r="B22" s="243" t="s">
        <v>185</v>
      </c>
      <c r="C22" s="208" t="s">
        <v>186</v>
      </c>
      <c r="D22" s="208" t="s">
        <v>187</v>
      </c>
      <c r="E22" s="208" t="s">
        <v>177</v>
      </c>
      <c r="F22" s="373" t="s">
        <v>188</v>
      </c>
      <c r="G22" s="244"/>
      <c r="H22" s="245">
        <v>12652</v>
      </c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4"/>
      <c r="Y22" s="197" t="s">
        <v>189</v>
      </c>
      <c r="Z22" s="208" t="s">
        <v>190</v>
      </c>
      <c r="AA22" s="347" t="s">
        <v>191</v>
      </c>
      <c r="AB22" s="192">
        <v>43748</v>
      </c>
      <c r="AC22" s="194">
        <v>12659</v>
      </c>
      <c r="AD22" s="192">
        <v>43748</v>
      </c>
      <c r="AE22" s="192">
        <v>43830</v>
      </c>
      <c r="AF22" s="157" t="s">
        <v>183</v>
      </c>
      <c r="AG22" s="208" t="s">
        <v>178</v>
      </c>
      <c r="AH22" s="204"/>
      <c r="AI22" s="214"/>
      <c r="AJ22" s="214"/>
      <c r="AK22" s="222">
        <v>950649</v>
      </c>
      <c r="AL22" s="362"/>
      <c r="AM22" s="362"/>
      <c r="AN22" s="363"/>
      <c r="AO22" s="132"/>
      <c r="AP22" s="362"/>
      <c r="AQ22" s="362"/>
      <c r="AR22" s="362"/>
      <c r="AS22" s="364"/>
      <c r="AT22" s="131"/>
      <c r="AU22" s="364"/>
      <c r="AV22" s="131"/>
      <c r="AW22" s="365"/>
      <c r="AX22" s="365"/>
      <c r="AY22" s="365"/>
      <c r="AZ22" s="366"/>
      <c r="BA22" s="134"/>
      <c r="BB22" s="134"/>
      <c r="BC22" s="133"/>
      <c r="BD22" s="133"/>
      <c r="BE22" s="134"/>
      <c r="BF22" s="134"/>
      <c r="BG22" s="133"/>
      <c r="BH22" s="134"/>
      <c r="BI22" s="367">
        <v>0</v>
      </c>
      <c r="BJ22" s="121">
        <v>3997630.95</v>
      </c>
      <c r="BK22" s="368">
        <f>5102+16563+17116+13850</f>
        <v>52631</v>
      </c>
      <c r="BL22" s="121"/>
      <c r="BM22" s="369">
        <f>BL22+BK22</f>
        <v>52631</v>
      </c>
      <c r="BN22" s="370">
        <f>BM22+BJ22</f>
        <v>4050261.95</v>
      </c>
      <c r="BO22" s="130"/>
      <c r="BP22" s="130"/>
      <c r="BQ22" s="130"/>
      <c r="BR22" s="130"/>
      <c r="BS22" s="130"/>
      <c r="BT22" s="130"/>
      <c r="BU22" s="130"/>
      <c r="BV22" s="130"/>
      <c r="BW22" s="143"/>
      <c r="BX22" s="143"/>
      <c r="BY22" s="130"/>
      <c r="BZ22" s="130"/>
      <c r="CA22" s="130"/>
      <c r="CB22" s="174" t="s">
        <v>428</v>
      </c>
      <c r="CC22" s="182">
        <v>13148</v>
      </c>
      <c r="CD22" s="174" t="s">
        <v>418</v>
      </c>
      <c r="CE22" s="174">
        <v>713115</v>
      </c>
      <c r="CF22" s="174" t="s">
        <v>429</v>
      </c>
      <c r="CG22" s="174" t="s">
        <v>430</v>
      </c>
    </row>
    <row r="23" spans="1:85" ht="26.25" thickBot="1" x14ac:dyDescent="0.3">
      <c r="A23" s="210"/>
      <c r="B23" s="243"/>
      <c r="C23" s="208"/>
      <c r="D23" s="208"/>
      <c r="E23" s="208"/>
      <c r="F23" s="373"/>
      <c r="G23" s="244"/>
      <c r="H23" s="245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100"/>
      <c r="Y23" s="197"/>
      <c r="Z23" s="208"/>
      <c r="AA23" s="347"/>
      <c r="AB23" s="192"/>
      <c r="AC23" s="194"/>
      <c r="AD23" s="192"/>
      <c r="AE23" s="192"/>
      <c r="AF23" s="193"/>
      <c r="AG23" s="208"/>
      <c r="AH23" s="204"/>
      <c r="AI23" s="214"/>
      <c r="AJ23" s="214"/>
      <c r="AK23" s="222"/>
      <c r="AL23" s="57" t="s">
        <v>192</v>
      </c>
      <c r="AM23" s="58" t="s">
        <v>193</v>
      </c>
      <c r="AN23" s="50">
        <v>43825</v>
      </c>
      <c r="AO23" s="59">
        <v>12710</v>
      </c>
      <c r="AP23" s="58" t="s">
        <v>194</v>
      </c>
      <c r="AQ23" s="50">
        <v>43831</v>
      </c>
      <c r="AR23" s="50">
        <v>44196</v>
      </c>
      <c r="AS23" s="42"/>
      <c r="AT23" s="43"/>
      <c r="AU23" s="42"/>
      <c r="AV23" s="43"/>
      <c r="AW23" s="44"/>
      <c r="AX23" s="44"/>
      <c r="AY23" s="44"/>
      <c r="AZ23" s="45"/>
      <c r="BA23" s="100"/>
      <c r="BB23" s="100"/>
      <c r="BC23" s="58"/>
      <c r="BD23" s="58"/>
      <c r="BE23" s="100"/>
      <c r="BF23" s="100"/>
      <c r="BG23" s="58"/>
      <c r="BH23" s="100"/>
      <c r="BI23" s="144">
        <f t="shared" ref="BI23:BI28" si="0">$AK$22++AW23-AX23</f>
        <v>950649</v>
      </c>
      <c r="BJ23" s="106"/>
      <c r="BK23" s="106"/>
      <c r="BL23" s="106"/>
      <c r="BM23" s="106"/>
      <c r="BN23" s="145">
        <f t="shared" ref="BN23:BN86" si="1">BM23+BJ23</f>
        <v>0</v>
      </c>
      <c r="BO23" s="70"/>
      <c r="BP23" s="70"/>
      <c r="BQ23" s="70"/>
      <c r="BR23" s="70"/>
      <c r="BS23" s="70"/>
      <c r="BT23" s="70"/>
      <c r="BU23" s="70"/>
      <c r="BV23" s="70"/>
      <c r="BW23" s="103"/>
      <c r="BX23" s="103"/>
      <c r="BY23" s="70"/>
      <c r="BZ23" s="70"/>
      <c r="CA23" s="70"/>
      <c r="CB23" s="174"/>
      <c r="CC23" s="182"/>
      <c r="CD23" s="174"/>
      <c r="CE23" s="174"/>
      <c r="CF23" s="174"/>
      <c r="CG23" s="174"/>
    </row>
    <row r="24" spans="1:85" ht="26.25" thickBot="1" x14ac:dyDescent="0.3">
      <c r="A24" s="210"/>
      <c r="B24" s="243"/>
      <c r="C24" s="208"/>
      <c r="D24" s="208"/>
      <c r="E24" s="208"/>
      <c r="F24" s="373"/>
      <c r="G24" s="244"/>
      <c r="H24" s="245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100"/>
      <c r="Y24" s="197"/>
      <c r="Z24" s="208"/>
      <c r="AA24" s="347"/>
      <c r="AB24" s="192"/>
      <c r="AC24" s="194"/>
      <c r="AD24" s="192"/>
      <c r="AE24" s="192"/>
      <c r="AF24" s="193"/>
      <c r="AG24" s="208"/>
      <c r="AH24" s="204"/>
      <c r="AI24" s="214"/>
      <c r="AJ24" s="214"/>
      <c r="AK24" s="222"/>
      <c r="AL24" s="57" t="s">
        <v>192</v>
      </c>
      <c r="AM24" s="58" t="s">
        <v>195</v>
      </c>
      <c r="AN24" s="50">
        <v>44197</v>
      </c>
      <c r="AO24" s="59">
        <v>12953</v>
      </c>
      <c r="AP24" s="58" t="s">
        <v>194</v>
      </c>
      <c r="AQ24" s="50">
        <v>44197</v>
      </c>
      <c r="AR24" s="50">
        <v>44561</v>
      </c>
      <c r="AS24" s="42"/>
      <c r="AT24" s="43"/>
      <c r="AU24" s="42"/>
      <c r="AV24" s="43"/>
      <c r="AW24" s="44"/>
      <c r="AX24" s="44"/>
      <c r="AY24" s="44"/>
      <c r="AZ24" s="45"/>
      <c r="BA24" s="100"/>
      <c r="BB24" s="100"/>
      <c r="BC24" s="58"/>
      <c r="BD24" s="58"/>
      <c r="BE24" s="100"/>
      <c r="BF24" s="100"/>
      <c r="BG24" s="58"/>
      <c r="BH24" s="100"/>
      <c r="BI24" s="144">
        <f t="shared" si="0"/>
        <v>950649</v>
      </c>
      <c r="BJ24" s="106"/>
      <c r="BK24" s="106"/>
      <c r="BL24" s="106"/>
      <c r="BM24" s="106"/>
      <c r="BN24" s="145">
        <f t="shared" si="1"/>
        <v>0</v>
      </c>
      <c r="BO24" s="70"/>
      <c r="BP24" s="70"/>
      <c r="BQ24" s="70"/>
      <c r="BR24" s="70"/>
      <c r="BS24" s="70"/>
      <c r="BT24" s="70"/>
      <c r="BU24" s="70"/>
      <c r="BV24" s="70"/>
      <c r="BW24" s="103"/>
      <c r="BX24" s="103"/>
      <c r="BY24" s="70"/>
      <c r="BZ24" s="70"/>
      <c r="CA24" s="70"/>
      <c r="CB24" s="174"/>
      <c r="CC24" s="182"/>
      <c r="CD24" s="174"/>
      <c r="CE24" s="174"/>
      <c r="CF24" s="174"/>
      <c r="CG24" s="174"/>
    </row>
    <row r="25" spans="1:85" ht="26.25" thickBot="1" x14ac:dyDescent="0.3">
      <c r="A25" s="210"/>
      <c r="B25" s="243"/>
      <c r="C25" s="208"/>
      <c r="D25" s="208"/>
      <c r="E25" s="208"/>
      <c r="F25" s="373"/>
      <c r="G25" s="244"/>
      <c r="H25" s="245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100"/>
      <c r="Y25" s="197"/>
      <c r="Z25" s="208"/>
      <c r="AA25" s="347"/>
      <c r="AB25" s="192"/>
      <c r="AC25" s="194"/>
      <c r="AD25" s="192"/>
      <c r="AE25" s="192"/>
      <c r="AF25" s="204">
        <v>16</v>
      </c>
      <c r="AG25" s="208"/>
      <c r="AH25" s="204"/>
      <c r="AI25" s="214"/>
      <c r="AJ25" s="214"/>
      <c r="AK25" s="222"/>
      <c r="AL25" s="57" t="s">
        <v>192</v>
      </c>
      <c r="AM25" s="58" t="s">
        <v>196</v>
      </c>
      <c r="AN25" s="50">
        <v>44559</v>
      </c>
      <c r="AO25" s="59">
        <v>13206</v>
      </c>
      <c r="AP25" s="58" t="s">
        <v>194</v>
      </c>
      <c r="AQ25" s="50">
        <v>44562</v>
      </c>
      <c r="AR25" s="50">
        <v>44926</v>
      </c>
      <c r="AS25" s="42"/>
      <c r="AT25" s="43"/>
      <c r="AU25" s="42"/>
      <c r="AV25" s="43"/>
      <c r="AW25" s="44"/>
      <c r="AX25" s="44"/>
      <c r="AY25" s="44"/>
      <c r="AZ25" s="45"/>
      <c r="BA25" s="100"/>
      <c r="BB25" s="100"/>
      <c r="BC25" s="58"/>
      <c r="BD25" s="58"/>
      <c r="BE25" s="100"/>
      <c r="BF25" s="100"/>
      <c r="BG25" s="58"/>
      <c r="BH25" s="100"/>
      <c r="BI25" s="144">
        <f t="shared" si="0"/>
        <v>950649</v>
      </c>
      <c r="BJ25" s="106"/>
      <c r="BK25" s="106"/>
      <c r="BL25" s="106"/>
      <c r="BM25" s="106"/>
      <c r="BN25" s="145">
        <f t="shared" si="1"/>
        <v>0</v>
      </c>
      <c r="BO25" s="70"/>
      <c r="BP25" s="70"/>
      <c r="BQ25" s="70"/>
      <c r="BR25" s="70"/>
      <c r="BS25" s="70"/>
      <c r="BT25" s="70"/>
      <c r="BU25" s="70"/>
      <c r="BV25" s="70"/>
      <c r="BW25" s="103"/>
      <c r="BX25" s="103"/>
      <c r="BY25" s="70"/>
      <c r="BZ25" s="70"/>
      <c r="CA25" s="70"/>
      <c r="CB25" s="174"/>
      <c r="CC25" s="182"/>
      <c r="CD25" s="174"/>
      <c r="CE25" s="174"/>
      <c r="CF25" s="174"/>
      <c r="CG25" s="174"/>
    </row>
    <row r="26" spans="1:85" ht="26.25" thickBot="1" x14ac:dyDescent="0.3">
      <c r="A26" s="210"/>
      <c r="B26" s="243"/>
      <c r="C26" s="208"/>
      <c r="D26" s="208"/>
      <c r="E26" s="208"/>
      <c r="F26" s="373"/>
      <c r="G26" s="244"/>
      <c r="H26" s="245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100"/>
      <c r="Y26" s="197"/>
      <c r="Z26" s="208"/>
      <c r="AA26" s="347"/>
      <c r="AB26" s="192"/>
      <c r="AC26" s="194"/>
      <c r="AD26" s="192"/>
      <c r="AE26" s="192"/>
      <c r="AF26" s="204"/>
      <c r="AG26" s="208"/>
      <c r="AH26" s="204"/>
      <c r="AI26" s="214"/>
      <c r="AJ26" s="214"/>
      <c r="AK26" s="222"/>
      <c r="AL26" s="57" t="s">
        <v>192</v>
      </c>
      <c r="AM26" s="58" t="s">
        <v>197</v>
      </c>
      <c r="AN26" s="50">
        <v>44921</v>
      </c>
      <c r="AO26" s="59">
        <v>13457</v>
      </c>
      <c r="AP26" s="58" t="s">
        <v>194</v>
      </c>
      <c r="AQ26" s="50">
        <v>44927</v>
      </c>
      <c r="AR26" s="50">
        <v>45291</v>
      </c>
      <c r="AS26" s="42"/>
      <c r="AT26" s="43"/>
      <c r="AU26" s="42"/>
      <c r="AV26" s="43"/>
      <c r="AW26" s="44"/>
      <c r="AX26" s="44"/>
      <c r="AY26" s="44"/>
      <c r="AZ26" s="45"/>
      <c r="BA26" s="100"/>
      <c r="BB26" s="100"/>
      <c r="BC26" s="58"/>
      <c r="BD26" s="58"/>
      <c r="BE26" s="100"/>
      <c r="BF26" s="100"/>
      <c r="BG26" s="58"/>
      <c r="BH26" s="100"/>
      <c r="BI26" s="144">
        <f t="shared" si="0"/>
        <v>950649</v>
      </c>
      <c r="BJ26" s="106"/>
      <c r="BK26" s="106"/>
      <c r="BL26" s="106"/>
      <c r="BM26" s="106"/>
      <c r="BN26" s="145">
        <f t="shared" si="1"/>
        <v>0</v>
      </c>
      <c r="BO26" s="70"/>
      <c r="BP26" s="70"/>
      <c r="BQ26" s="70"/>
      <c r="BR26" s="70"/>
      <c r="BS26" s="70"/>
      <c r="BT26" s="70"/>
      <c r="BU26" s="70"/>
      <c r="BV26" s="70"/>
      <c r="BW26" s="103"/>
      <c r="BX26" s="103"/>
      <c r="BY26" s="70"/>
      <c r="BZ26" s="70"/>
      <c r="CA26" s="70"/>
      <c r="CB26" s="174"/>
      <c r="CC26" s="182"/>
      <c r="CD26" s="174"/>
      <c r="CE26" s="174"/>
      <c r="CF26" s="174"/>
      <c r="CG26" s="174"/>
    </row>
    <row r="27" spans="1:85" ht="15.75" thickBot="1" x14ac:dyDescent="0.3">
      <c r="A27" s="210"/>
      <c r="B27" s="243"/>
      <c r="C27" s="208"/>
      <c r="D27" s="208"/>
      <c r="E27" s="208"/>
      <c r="F27" s="373"/>
      <c r="G27" s="244"/>
      <c r="H27" s="245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100"/>
      <c r="Y27" s="197"/>
      <c r="Z27" s="208"/>
      <c r="AA27" s="347"/>
      <c r="AB27" s="192"/>
      <c r="AC27" s="194"/>
      <c r="AD27" s="192"/>
      <c r="AE27" s="192"/>
      <c r="AF27" s="204"/>
      <c r="AG27" s="208"/>
      <c r="AH27" s="204"/>
      <c r="AI27" s="214"/>
      <c r="AJ27" s="214"/>
      <c r="AK27" s="222"/>
      <c r="AL27" s="57" t="s">
        <v>192</v>
      </c>
      <c r="AM27" s="58" t="s">
        <v>198</v>
      </c>
      <c r="AN27" s="50">
        <v>45209</v>
      </c>
      <c r="AO27" s="59">
        <v>13639</v>
      </c>
      <c r="AP27" s="58" t="s">
        <v>199</v>
      </c>
      <c r="AQ27" s="50">
        <v>44927</v>
      </c>
      <c r="AR27" s="50">
        <v>45291</v>
      </c>
      <c r="AS27" s="42"/>
      <c r="AT27" s="43"/>
      <c r="AU27" s="42"/>
      <c r="AV27" s="43"/>
      <c r="AW27" s="44"/>
      <c r="AX27" s="44"/>
      <c r="AY27" s="44"/>
      <c r="AZ27" s="45"/>
      <c r="BA27" s="100"/>
      <c r="BB27" s="100"/>
      <c r="BC27" s="58"/>
      <c r="BD27" s="62">
        <f>BE27/BI23</f>
        <v>7.9344794976905247E-2</v>
      </c>
      <c r="BE27" s="63">
        <v>75429.05</v>
      </c>
      <c r="BF27" s="100"/>
      <c r="BG27" s="58"/>
      <c r="BH27" s="100"/>
      <c r="BI27" s="144">
        <f t="shared" si="0"/>
        <v>950649</v>
      </c>
      <c r="BJ27" s="106"/>
      <c r="BK27" s="106"/>
      <c r="BL27" s="106"/>
      <c r="BM27" s="106"/>
      <c r="BN27" s="145">
        <f t="shared" si="1"/>
        <v>0</v>
      </c>
      <c r="BO27" s="70"/>
      <c r="BP27" s="70"/>
      <c r="BQ27" s="70"/>
      <c r="BR27" s="70"/>
      <c r="BS27" s="70"/>
      <c r="BT27" s="70"/>
      <c r="BU27" s="70"/>
      <c r="BV27" s="70"/>
      <c r="BW27" s="103"/>
      <c r="BX27" s="103"/>
      <c r="BY27" s="70"/>
      <c r="BZ27" s="70"/>
      <c r="CA27" s="70"/>
      <c r="CB27" s="174"/>
      <c r="CC27" s="182"/>
      <c r="CD27" s="174"/>
      <c r="CE27" s="174"/>
      <c r="CF27" s="174"/>
      <c r="CG27" s="174"/>
    </row>
    <row r="28" spans="1:85" ht="26.25" thickBot="1" x14ac:dyDescent="0.3">
      <c r="A28" s="191"/>
      <c r="B28" s="171"/>
      <c r="C28" s="164"/>
      <c r="D28" s="164"/>
      <c r="E28" s="164"/>
      <c r="F28" s="374"/>
      <c r="G28" s="166"/>
      <c r="H28" s="16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100"/>
      <c r="Y28" s="157"/>
      <c r="Z28" s="164"/>
      <c r="AA28" s="348"/>
      <c r="AB28" s="153"/>
      <c r="AC28" s="155"/>
      <c r="AD28" s="153"/>
      <c r="AE28" s="153"/>
      <c r="AF28" s="151"/>
      <c r="AG28" s="164"/>
      <c r="AH28" s="151"/>
      <c r="AI28" s="159"/>
      <c r="AJ28" s="159"/>
      <c r="AK28" s="161"/>
      <c r="AL28" s="57" t="s">
        <v>192</v>
      </c>
      <c r="AM28" s="58" t="s">
        <v>200</v>
      </c>
      <c r="AN28" s="50">
        <v>45286</v>
      </c>
      <c r="AO28" s="59">
        <v>13689</v>
      </c>
      <c r="AP28" s="58" t="s">
        <v>201</v>
      </c>
      <c r="AQ28" s="50">
        <v>45292</v>
      </c>
      <c r="AR28" s="50">
        <v>45578</v>
      </c>
      <c r="AS28" s="42"/>
      <c r="AT28" s="43"/>
      <c r="AU28" s="42"/>
      <c r="AV28" s="43"/>
      <c r="AW28" s="44"/>
      <c r="AX28" s="44"/>
      <c r="AY28" s="44"/>
      <c r="AZ28" s="45"/>
      <c r="BA28" s="100"/>
      <c r="BB28" s="100"/>
      <c r="BC28" s="58"/>
      <c r="BD28" s="58"/>
      <c r="BE28" s="100"/>
      <c r="BF28" s="100"/>
      <c r="BG28" s="58"/>
      <c r="BH28" s="100"/>
      <c r="BI28" s="144">
        <f t="shared" si="0"/>
        <v>950649</v>
      </c>
      <c r="BJ28" s="106"/>
      <c r="BK28" s="105"/>
      <c r="BL28" s="105"/>
      <c r="BM28" s="118"/>
      <c r="BN28" s="145">
        <f t="shared" si="1"/>
        <v>0</v>
      </c>
      <c r="BO28" s="70"/>
      <c r="BP28" s="70"/>
      <c r="BQ28" s="70"/>
      <c r="BR28" s="70"/>
      <c r="BS28" s="70"/>
      <c r="BT28" s="70"/>
      <c r="BU28" s="70"/>
      <c r="BV28" s="70"/>
      <c r="BW28" s="103"/>
      <c r="BX28" s="103"/>
      <c r="BY28" s="70"/>
      <c r="BZ28" s="70"/>
      <c r="CA28" s="70"/>
      <c r="CB28" s="175"/>
      <c r="CC28" s="181"/>
      <c r="CD28" s="175"/>
      <c r="CE28" s="175"/>
      <c r="CF28" s="175"/>
      <c r="CG28" s="175"/>
    </row>
    <row r="29" spans="1:85" ht="15.75" thickBot="1" x14ac:dyDescent="0.3">
      <c r="A29" s="190">
        <v>2</v>
      </c>
      <c r="B29" s="162" t="s">
        <v>490</v>
      </c>
      <c r="C29" s="163" t="s">
        <v>250</v>
      </c>
      <c r="D29" s="163" t="s">
        <v>202</v>
      </c>
      <c r="E29" s="163"/>
      <c r="F29" s="375" t="s">
        <v>513</v>
      </c>
      <c r="G29" s="165"/>
      <c r="H29" s="167">
        <v>13881</v>
      </c>
      <c r="I29" s="58"/>
      <c r="J29" s="58"/>
      <c r="K29" s="58"/>
      <c r="L29" s="58"/>
      <c r="M29" s="56"/>
      <c r="N29" s="56"/>
      <c r="O29" s="51"/>
      <c r="P29" s="51"/>
      <c r="Q29" s="58"/>
      <c r="R29" s="58"/>
      <c r="S29" s="58"/>
      <c r="T29" s="59"/>
      <c r="U29" s="58"/>
      <c r="V29" s="70"/>
      <c r="W29" s="58"/>
      <c r="X29" s="100"/>
      <c r="Y29" s="156" t="s">
        <v>514</v>
      </c>
      <c r="Z29" s="163" t="s">
        <v>515</v>
      </c>
      <c r="AA29" s="169" t="s">
        <v>415</v>
      </c>
      <c r="AB29" s="152">
        <v>45581</v>
      </c>
      <c r="AC29" s="154">
        <v>13889</v>
      </c>
      <c r="AD29" s="152">
        <v>45581</v>
      </c>
      <c r="AE29" s="152">
        <v>45946</v>
      </c>
      <c r="AF29" s="156" t="s">
        <v>183</v>
      </c>
      <c r="AG29" s="150" t="s">
        <v>204</v>
      </c>
      <c r="AH29" s="150"/>
      <c r="AI29" s="158"/>
      <c r="AJ29" s="158"/>
      <c r="AK29" s="160">
        <v>70518</v>
      </c>
      <c r="AL29" s="57"/>
      <c r="AM29" s="58"/>
      <c r="AN29" s="50"/>
      <c r="AO29" s="59"/>
      <c r="AP29" s="58"/>
      <c r="AQ29" s="50"/>
      <c r="AR29" s="50"/>
      <c r="AS29" s="42"/>
      <c r="AT29" s="43"/>
      <c r="AU29" s="89"/>
      <c r="AV29" s="58"/>
      <c r="AW29" s="78"/>
      <c r="AX29" s="78"/>
      <c r="AY29" s="44"/>
      <c r="AZ29" s="45"/>
      <c r="BA29" s="100"/>
      <c r="BB29" s="100"/>
      <c r="BC29" s="91"/>
      <c r="BD29" s="63"/>
      <c r="BE29" s="63"/>
      <c r="BF29" s="100"/>
      <c r="BG29" s="58"/>
      <c r="BH29" s="100"/>
      <c r="BI29" s="144">
        <f>$AK$29+AW29-AX29</f>
        <v>70518</v>
      </c>
      <c r="BJ29" s="105"/>
      <c r="BK29" s="120">
        <f>30.66+1283.34+249.66</f>
        <v>1563.66</v>
      </c>
      <c r="BL29" s="105"/>
      <c r="BM29" s="105">
        <f>BK29</f>
        <v>1563.66</v>
      </c>
      <c r="BN29" s="145">
        <f t="shared" si="1"/>
        <v>1563.66</v>
      </c>
      <c r="BO29" s="58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111"/>
      <c r="CC29" s="111"/>
      <c r="CD29" s="110"/>
      <c r="CE29" s="110"/>
      <c r="CF29" s="110"/>
      <c r="CG29" s="110"/>
    </row>
    <row r="30" spans="1:85" ht="15.75" thickBot="1" x14ac:dyDescent="0.3">
      <c r="A30" s="191"/>
      <c r="B30" s="162"/>
      <c r="C30" s="164"/>
      <c r="D30" s="164"/>
      <c r="E30" s="164"/>
      <c r="F30" s="374"/>
      <c r="G30" s="166"/>
      <c r="H30" s="168"/>
      <c r="I30" s="58"/>
      <c r="J30" s="58"/>
      <c r="K30" s="58"/>
      <c r="L30" s="58"/>
      <c r="M30" s="56"/>
      <c r="N30" s="56"/>
      <c r="O30" s="51"/>
      <c r="P30" s="51"/>
      <c r="Q30" s="58"/>
      <c r="R30" s="58"/>
      <c r="S30" s="58"/>
      <c r="T30" s="59"/>
      <c r="U30" s="58"/>
      <c r="V30" s="70"/>
      <c r="W30" s="58"/>
      <c r="X30" s="100"/>
      <c r="Y30" s="157"/>
      <c r="Z30" s="164"/>
      <c r="AA30" s="169"/>
      <c r="AB30" s="153"/>
      <c r="AC30" s="155"/>
      <c r="AD30" s="153"/>
      <c r="AE30" s="153"/>
      <c r="AF30" s="157"/>
      <c r="AG30" s="151"/>
      <c r="AH30" s="151"/>
      <c r="AI30" s="159"/>
      <c r="AJ30" s="159"/>
      <c r="AK30" s="161"/>
      <c r="AL30" s="57"/>
      <c r="AM30" s="58"/>
      <c r="AN30" s="50"/>
      <c r="AO30" s="59"/>
      <c r="AP30" s="58"/>
      <c r="AQ30" s="50"/>
      <c r="AR30" s="50"/>
      <c r="AS30" s="42"/>
      <c r="AT30" s="43"/>
      <c r="AU30" s="89"/>
      <c r="AV30" s="58"/>
      <c r="AW30" s="78"/>
      <c r="AX30" s="78"/>
      <c r="AY30" s="44"/>
      <c r="AZ30" s="45"/>
      <c r="BA30" s="100"/>
      <c r="BB30" s="100"/>
      <c r="BC30" s="91"/>
      <c r="BD30" s="63"/>
      <c r="BE30" s="63"/>
      <c r="BF30" s="100"/>
      <c r="BG30" s="58"/>
      <c r="BH30" s="100"/>
      <c r="BI30" s="144">
        <v>0</v>
      </c>
      <c r="BJ30" s="105"/>
      <c r="BK30" s="105"/>
      <c r="BL30" s="105"/>
      <c r="BM30" s="105"/>
      <c r="BN30" s="145">
        <f t="shared" si="1"/>
        <v>0</v>
      </c>
      <c r="BO30" s="58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111"/>
      <c r="CC30" s="111"/>
      <c r="CD30" s="110"/>
      <c r="CE30" s="110"/>
      <c r="CF30" s="110"/>
      <c r="CG30" s="110"/>
    </row>
    <row r="31" spans="1:85" ht="15.75" thickBot="1" x14ac:dyDescent="0.3">
      <c r="A31" s="190">
        <v>3</v>
      </c>
      <c r="B31" s="162" t="s">
        <v>420</v>
      </c>
      <c r="C31" s="163" t="s">
        <v>250</v>
      </c>
      <c r="D31" s="163" t="s">
        <v>202</v>
      </c>
      <c r="E31" s="163"/>
      <c r="F31" s="375" t="s">
        <v>509</v>
      </c>
      <c r="G31" s="48"/>
      <c r="H31" s="167">
        <v>13860</v>
      </c>
      <c r="I31" s="58"/>
      <c r="J31" s="58"/>
      <c r="K31" s="58"/>
      <c r="L31" s="58"/>
      <c r="M31" s="56"/>
      <c r="N31" s="56"/>
      <c r="O31" s="51"/>
      <c r="P31" s="51"/>
      <c r="Q31" s="58"/>
      <c r="R31" s="58"/>
      <c r="S31" s="58"/>
      <c r="T31" s="59"/>
      <c r="U31" s="58"/>
      <c r="V31" s="70"/>
      <c r="W31" s="58"/>
      <c r="X31" s="100"/>
      <c r="Y31" s="156" t="s">
        <v>510</v>
      </c>
      <c r="Z31" s="163" t="s">
        <v>414</v>
      </c>
      <c r="AA31" s="169" t="s">
        <v>415</v>
      </c>
      <c r="AB31" s="152">
        <v>45587</v>
      </c>
      <c r="AC31" s="154">
        <v>13894</v>
      </c>
      <c r="AD31" s="152">
        <v>45587</v>
      </c>
      <c r="AE31" s="152">
        <v>45952</v>
      </c>
      <c r="AF31" s="156" t="s">
        <v>183</v>
      </c>
      <c r="AG31" s="150" t="s">
        <v>204</v>
      </c>
      <c r="AH31" s="150"/>
      <c r="AI31" s="158"/>
      <c r="AJ31" s="158"/>
      <c r="AK31" s="160">
        <v>734540.59</v>
      </c>
      <c r="AL31" s="57"/>
      <c r="AM31" s="58"/>
      <c r="AN31" s="50"/>
      <c r="AO31" s="59"/>
      <c r="AP31" s="58"/>
      <c r="AQ31" s="50"/>
      <c r="AR31" s="50"/>
      <c r="AS31" s="42"/>
      <c r="AT31" s="43"/>
      <c r="AU31" s="89"/>
      <c r="AV31" s="58"/>
      <c r="AW31" s="78"/>
      <c r="AX31" s="78"/>
      <c r="AY31" s="44"/>
      <c r="AZ31" s="45"/>
      <c r="BA31" s="100"/>
      <c r="BB31" s="100"/>
      <c r="BC31" s="91"/>
      <c r="BD31" s="63"/>
      <c r="BE31" s="63"/>
      <c r="BF31" s="100"/>
      <c r="BG31" s="58"/>
      <c r="BH31" s="100"/>
      <c r="BI31" s="144">
        <f>$AK$31+AW31-AX31</f>
        <v>734540.59</v>
      </c>
      <c r="BJ31" s="105"/>
      <c r="BK31" s="120">
        <f>212594.55+218504.14+255557.83+29631.79</f>
        <v>716288.31</v>
      </c>
      <c r="BL31" s="105"/>
      <c r="BM31" s="105">
        <f>BL31+BK31</f>
        <v>716288.31</v>
      </c>
      <c r="BN31" s="145">
        <f t="shared" si="1"/>
        <v>716288.31</v>
      </c>
      <c r="BO31" s="58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111"/>
      <c r="CC31" s="110"/>
      <c r="CD31" s="110"/>
      <c r="CE31" s="110"/>
      <c r="CF31" s="110"/>
      <c r="CG31" s="110"/>
    </row>
    <row r="32" spans="1:85" ht="15.75" thickBot="1" x14ac:dyDescent="0.3">
      <c r="A32" s="191"/>
      <c r="B32" s="162"/>
      <c r="C32" s="164"/>
      <c r="D32" s="164"/>
      <c r="E32" s="164"/>
      <c r="F32" s="374"/>
      <c r="G32" s="49"/>
      <c r="H32" s="168"/>
      <c r="I32" s="58"/>
      <c r="J32" s="58"/>
      <c r="K32" s="58"/>
      <c r="L32" s="58"/>
      <c r="M32" s="56"/>
      <c r="N32" s="56"/>
      <c r="O32" s="51"/>
      <c r="P32" s="51"/>
      <c r="Q32" s="58"/>
      <c r="R32" s="58"/>
      <c r="S32" s="58"/>
      <c r="T32" s="59"/>
      <c r="U32" s="58"/>
      <c r="V32" s="70"/>
      <c r="W32" s="58"/>
      <c r="X32" s="100"/>
      <c r="Y32" s="157"/>
      <c r="Z32" s="164"/>
      <c r="AA32" s="169"/>
      <c r="AB32" s="153"/>
      <c r="AC32" s="155"/>
      <c r="AD32" s="153"/>
      <c r="AE32" s="153"/>
      <c r="AF32" s="157"/>
      <c r="AG32" s="151"/>
      <c r="AH32" s="151"/>
      <c r="AI32" s="159"/>
      <c r="AJ32" s="159"/>
      <c r="AK32" s="161"/>
      <c r="AL32" s="57"/>
      <c r="AM32" s="58"/>
      <c r="AN32" s="50"/>
      <c r="AO32" s="59"/>
      <c r="AP32" s="58"/>
      <c r="AQ32" s="50"/>
      <c r="AR32" s="50"/>
      <c r="AS32" s="42"/>
      <c r="AT32" s="43"/>
      <c r="AU32" s="89"/>
      <c r="AV32" s="58"/>
      <c r="AW32" s="78"/>
      <c r="AX32" s="78"/>
      <c r="AY32" s="44"/>
      <c r="AZ32" s="45"/>
      <c r="BA32" s="100"/>
      <c r="BB32" s="100"/>
      <c r="BC32" s="91"/>
      <c r="BD32" s="63"/>
      <c r="BE32" s="63"/>
      <c r="BF32" s="100"/>
      <c r="BG32" s="58"/>
      <c r="BH32" s="100"/>
      <c r="BI32" s="144">
        <v>0</v>
      </c>
      <c r="BJ32" s="105"/>
      <c r="BK32" s="105"/>
      <c r="BL32" s="105"/>
      <c r="BM32" s="105"/>
      <c r="BN32" s="145">
        <f t="shared" si="1"/>
        <v>0</v>
      </c>
      <c r="BO32" s="58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111"/>
      <c r="CC32" s="110"/>
      <c r="CD32" s="110"/>
      <c r="CE32" s="110"/>
      <c r="CF32" s="110"/>
      <c r="CG32" s="110"/>
    </row>
    <row r="33" spans="1:85" ht="15.75" thickBot="1" x14ac:dyDescent="0.3">
      <c r="A33" s="190">
        <v>4</v>
      </c>
      <c r="B33" s="162" t="s">
        <v>520</v>
      </c>
      <c r="C33" s="163" t="s">
        <v>475</v>
      </c>
      <c r="D33" s="163" t="s">
        <v>205</v>
      </c>
      <c r="E33" s="163" t="s">
        <v>177</v>
      </c>
      <c r="F33" s="375" t="s">
        <v>516</v>
      </c>
      <c r="G33" s="48"/>
      <c r="H33" s="167">
        <v>13876</v>
      </c>
      <c r="I33" s="58"/>
      <c r="J33" s="58"/>
      <c r="K33" s="58"/>
      <c r="L33" s="58"/>
      <c r="M33" s="56"/>
      <c r="N33" s="56"/>
      <c r="O33" s="51"/>
      <c r="P33" s="51"/>
      <c r="Q33" s="58"/>
      <c r="R33" s="58"/>
      <c r="S33" s="58"/>
      <c r="T33" s="59"/>
      <c r="U33" s="58"/>
      <c r="V33" s="70"/>
      <c r="W33" s="58"/>
      <c r="X33" s="100"/>
      <c r="Y33" s="156" t="s">
        <v>517</v>
      </c>
      <c r="Z33" s="163" t="s">
        <v>518</v>
      </c>
      <c r="AA33" s="169" t="s">
        <v>519</v>
      </c>
      <c r="AB33" s="152">
        <v>45685</v>
      </c>
      <c r="AC33" s="154">
        <v>13954</v>
      </c>
      <c r="AD33" s="152">
        <v>45685</v>
      </c>
      <c r="AE33" s="152">
        <v>46050</v>
      </c>
      <c r="AF33" s="156" t="s">
        <v>183</v>
      </c>
      <c r="AG33" s="150" t="s">
        <v>184</v>
      </c>
      <c r="AH33" s="150"/>
      <c r="AI33" s="158"/>
      <c r="AJ33" s="158"/>
      <c r="AK33" s="160">
        <v>2400841.7200000002</v>
      </c>
      <c r="AL33" s="57"/>
      <c r="AM33" s="58"/>
      <c r="AN33" s="50"/>
      <c r="AO33" s="59"/>
      <c r="AP33" s="58"/>
      <c r="AQ33" s="50"/>
      <c r="AR33" s="50"/>
      <c r="AS33" s="42"/>
      <c r="AT33" s="43"/>
      <c r="AU33" s="89"/>
      <c r="AV33" s="58"/>
      <c r="AW33" s="78"/>
      <c r="AX33" s="78"/>
      <c r="AY33" s="44"/>
      <c r="AZ33" s="45"/>
      <c r="BA33" s="100"/>
      <c r="BB33" s="100"/>
      <c r="BC33" s="91"/>
      <c r="BD33" s="63"/>
      <c r="BE33" s="63"/>
      <c r="BF33" s="100"/>
      <c r="BG33" s="58"/>
      <c r="BH33" s="100"/>
      <c r="BI33" s="144">
        <f>$AK$33+AW33-AX33</f>
        <v>2400841.7200000002</v>
      </c>
      <c r="BJ33" s="93"/>
      <c r="BK33" s="117">
        <f>2399999.99</f>
        <v>2399999.9900000002</v>
      </c>
      <c r="BL33" s="93"/>
      <c r="BM33" s="93">
        <f>BL33+BK33</f>
        <v>2399999.9900000002</v>
      </c>
      <c r="BN33" s="145">
        <f t="shared" si="1"/>
        <v>2399999.9900000002</v>
      </c>
      <c r="BO33" s="58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111"/>
      <c r="CC33" s="111"/>
      <c r="CD33" s="110"/>
      <c r="CE33" s="110"/>
      <c r="CF33" s="110"/>
      <c r="CG33" s="110"/>
    </row>
    <row r="34" spans="1:85" ht="15.75" thickBot="1" x14ac:dyDescent="0.3">
      <c r="A34" s="191"/>
      <c r="B34" s="162"/>
      <c r="C34" s="164"/>
      <c r="D34" s="164"/>
      <c r="E34" s="164"/>
      <c r="F34" s="374"/>
      <c r="G34" s="49"/>
      <c r="H34" s="168"/>
      <c r="I34" s="58"/>
      <c r="J34" s="58"/>
      <c r="K34" s="58"/>
      <c r="L34" s="58"/>
      <c r="M34" s="56"/>
      <c r="N34" s="56"/>
      <c r="O34" s="51"/>
      <c r="P34" s="51"/>
      <c r="Q34" s="58"/>
      <c r="R34" s="58"/>
      <c r="S34" s="58"/>
      <c r="T34" s="59"/>
      <c r="U34" s="58"/>
      <c r="V34" s="70"/>
      <c r="W34" s="58"/>
      <c r="X34" s="100"/>
      <c r="Y34" s="157"/>
      <c r="Z34" s="164"/>
      <c r="AA34" s="169"/>
      <c r="AB34" s="153"/>
      <c r="AC34" s="155"/>
      <c r="AD34" s="153"/>
      <c r="AE34" s="153"/>
      <c r="AF34" s="157"/>
      <c r="AG34" s="151"/>
      <c r="AH34" s="151"/>
      <c r="AI34" s="159"/>
      <c r="AJ34" s="159"/>
      <c r="AK34" s="161"/>
      <c r="AL34" s="57"/>
      <c r="AM34" s="58"/>
      <c r="AN34" s="50"/>
      <c r="AO34" s="59"/>
      <c r="AP34" s="58"/>
      <c r="AQ34" s="50"/>
      <c r="AR34" s="50"/>
      <c r="AS34" s="42"/>
      <c r="AT34" s="43"/>
      <c r="AU34" s="89"/>
      <c r="AV34" s="58"/>
      <c r="AW34" s="78"/>
      <c r="AX34" s="78"/>
      <c r="AY34" s="44"/>
      <c r="AZ34" s="45"/>
      <c r="BA34" s="100"/>
      <c r="BB34" s="100"/>
      <c r="BC34" s="91"/>
      <c r="BD34" s="63"/>
      <c r="BE34" s="63"/>
      <c r="BF34" s="100"/>
      <c r="BG34" s="58"/>
      <c r="BH34" s="100"/>
      <c r="BI34" s="144">
        <v>0</v>
      </c>
      <c r="BJ34" s="93"/>
      <c r="BK34" s="93"/>
      <c r="BL34" s="93"/>
      <c r="BM34" s="93"/>
      <c r="BN34" s="145">
        <f t="shared" si="1"/>
        <v>0</v>
      </c>
      <c r="BO34" s="58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111"/>
      <c r="CC34" s="111"/>
      <c r="CD34" s="110"/>
      <c r="CE34" s="110"/>
      <c r="CF34" s="110"/>
      <c r="CG34" s="110"/>
    </row>
    <row r="35" spans="1:85" ht="15.75" thickBot="1" x14ac:dyDescent="0.3">
      <c r="A35" s="190">
        <v>5</v>
      </c>
      <c r="B35" s="170" t="s">
        <v>419</v>
      </c>
      <c r="C35" s="163" t="s">
        <v>494</v>
      </c>
      <c r="D35" s="163" t="s">
        <v>205</v>
      </c>
      <c r="E35" s="163" t="s">
        <v>177</v>
      </c>
      <c r="F35" s="375" t="s">
        <v>495</v>
      </c>
      <c r="G35" s="165"/>
      <c r="H35" s="167">
        <v>13843</v>
      </c>
      <c r="I35" s="58"/>
      <c r="J35" s="58"/>
      <c r="K35" s="58"/>
      <c r="L35" s="58"/>
      <c r="M35" s="56"/>
      <c r="N35" s="56"/>
      <c r="O35" s="51"/>
      <c r="P35" s="51"/>
      <c r="Q35" s="58"/>
      <c r="R35" s="58"/>
      <c r="S35" s="58"/>
      <c r="T35" s="59"/>
      <c r="U35" s="58"/>
      <c r="V35" s="70"/>
      <c r="W35" s="58"/>
      <c r="X35" s="100"/>
      <c r="Y35" s="156" t="s">
        <v>496</v>
      </c>
      <c r="Z35" s="163" t="s">
        <v>497</v>
      </c>
      <c r="AA35" s="169" t="s">
        <v>498</v>
      </c>
      <c r="AB35" s="172">
        <v>45558</v>
      </c>
      <c r="AC35" s="154">
        <v>13872</v>
      </c>
      <c r="AD35" s="152">
        <v>45558</v>
      </c>
      <c r="AE35" s="152">
        <v>45923</v>
      </c>
      <c r="AF35" s="75" t="s">
        <v>183</v>
      </c>
      <c r="AG35" s="150" t="s">
        <v>204</v>
      </c>
      <c r="AH35" s="60"/>
      <c r="AI35" s="102"/>
      <c r="AJ35" s="102"/>
      <c r="AK35" s="141">
        <v>287035.8</v>
      </c>
      <c r="AL35" s="57"/>
      <c r="AM35" s="58"/>
      <c r="AN35" s="50"/>
      <c r="AO35" s="59"/>
      <c r="AP35" s="58"/>
      <c r="AQ35" s="50"/>
      <c r="AR35" s="50"/>
      <c r="AS35" s="42"/>
      <c r="AT35" s="43"/>
      <c r="AU35" s="89"/>
      <c r="AV35" s="58"/>
      <c r="AW35" s="78"/>
      <c r="AX35" s="78"/>
      <c r="AY35" s="44"/>
      <c r="AZ35" s="45"/>
      <c r="BA35" s="100"/>
      <c r="BB35" s="100"/>
      <c r="BC35" s="91"/>
      <c r="BD35" s="63"/>
      <c r="BE35" s="63"/>
      <c r="BF35" s="100"/>
      <c r="BG35" s="58"/>
      <c r="BH35" s="100"/>
      <c r="BI35" s="144">
        <f>$AK$35+AW35-AX35</f>
        <v>287035.8</v>
      </c>
      <c r="BJ35" s="105">
        <f>AK35</f>
        <v>287035.8</v>
      </c>
      <c r="BK35" s="105"/>
      <c r="BL35" s="120">
        <f>2523+51322.6+76818.7+97218.4+42858.6+4894.5</f>
        <v>275635.8</v>
      </c>
      <c r="BM35" s="105">
        <f>BL35</f>
        <v>275635.8</v>
      </c>
      <c r="BN35" s="145">
        <f t="shared" si="1"/>
        <v>562671.6</v>
      </c>
      <c r="BO35" s="58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110"/>
      <c r="CC35" s="110"/>
      <c r="CD35" s="110"/>
      <c r="CE35" s="110"/>
      <c r="CF35" s="110"/>
      <c r="CG35" s="110"/>
    </row>
    <row r="36" spans="1:85" ht="15.75" thickBot="1" x14ac:dyDescent="0.3">
      <c r="A36" s="191"/>
      <c r="B36" s="171"/>
      <c r="C36" s="164"/>
      <c r="D36" s="164"/>
      <c r="E36" s="164"/>
      <c r="F36" s="374"/>
      <c r="G36" s="166"/>
      <c r="H36" s="168"/>
      <c r="I36" s="58"/>
      <c r="J36" s="58"/>
      <c r="K36" s="58"/>
      <c r="L36" s="58"/>
      <c r="M36" s="56"/>
      <c r="N36" s="56"/>
      <c r="O36" s="51"/>
      <c r="P36" s="51"/>
      <c r="Q36" s="58"/>
      <c r="R36" s="58"/>
      <c r="S36" s="58"/>
      <c r="T36" s="59"/>
      <c r="U36" s="58"/>
      <c r="V36" s="70"/>
      <c r="W36" s="58"/>
      <c r="X36" s="100"/>
      <c r="Y36" s="157"/>
      <c r="Z36" s="164"/>
      <c r="AA36" s="169"/>
      <c r="AB36" s="172"/>
      <c r="AC36" s="155"/>
      <c r="AD36" s="153"/>
      <c r="AE36" s="153"/>
      <c r="AF36" s="75" t="s">
        <v>203</v>
      </c>
      <c r="AG36" s="151"/>
      <c r="AH36" s="60"/>
      <c r="AI36" s="102"/>
      <c r="AJ36" s="102"/>
      <c r="AK36" s="141"/>
      <c r="AL36" s="57"/>
      <c r="AM36" s="58"/>
      <c r="AN36" s="50"/>
      <c r="AO36" s="59"/>
      <c r="AP36" s="58"/>
      <c r="AQ36" s="50"/>
      <c r="AR36" s="50"/>
      <c r="AS36" s="42"/>
      <c r="AT36" s="43"/>
      <c r="AU36" s="89"/>
      <c r="AV36" s="58"/>
      <c r="AW36" s="78"/>
      <c r="AX36" s="78"/>
      <c r="AY36" s="44"/>
      <c r="AZ36" s="45"/>
      <c r="BA36" s="100"/>
      <c r="BB36" s="100"/>
      <c r="BC36" s="91"/>
      <c r="BD36" s="63"/>
      <c r="BE36" s="63"/>
      <c r="BF36" s="100"/>
      <c r="BG36" s="58"/>
      <c r="BH36" s="100"/>
      <c r="BI36" s="144">
        <v>0</v>
      </c>
      <c r="BJ36" s="105"/>
      <c r="BK36" s="105"/>
      <c r="BL36" s="105"/>
      <c r="BM36" s="105"/>
      <c r="BN36" s="145">
        <f t="shared" si="1"/>
        <v>0</v>
      </c>
      <c r="BO36" s="58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110"/>
      <c r="CC36" s="110"/>
      <c r="CD36" s="110"/>
      <c r="CE36" s="110"/>
      <c r="CF36" s="110"/>
      <c r="CG36" s="110"/>
    </row>
    <row r="37" spans="1:85" ht="15.75" thickBot="1" x14ac:dyDescent="0.3">
      <c r="A37" s="190">
        <v>6</v>
      </c>
      <c r="B37" s="170" t="s">
        <v>490</v>
      </c>
      <c r="C37" s="163" t="s">
        <v>491</v>
      </c>
      <c r="D37" s="163" t="s">
        <v>205</v>
      </c>
      <c r="E37" s="163" t="s">
        <v>177</v>
      </c>
      <c r="F37" s="375" t="s">
        <v>492</v>
      </c>
      <c r="G37" s="48"/>
      <c r="H37" s="167">
        <v>13881</v>
      </c>
      <c r="I37" s="58"/>
      <c r="J37" s="58"/>
      <c r="K37" s="58"/>
      <c r="L37" s="58"/>
      <c r="M37" s="56"/>
      <c r="N37" s="56"/>
      <c r="O37" s="51"/>
      <c r="P37" s="51"/>
      <c r="Q37" s="58"/>
      <c r="R37" s="58"/>
      <c r="S37" s="58"/>
      <c r="T37" s="59"/>
      <c r="U37" s="58"/>
      <c r="V37" s="70"/>
      <c r="W37" s="58"/>
      <c r="X37" s="100"/>
      <c r="Y37" s="156" t="s">
        <v>493</v>
      </c>
      <c r="Z37" s="163" t="s">
        <v>269</v>
      </c>
      <c r="AA37" s="169" t="s">
        <v>270</v>
      </c>
      <c r="AB37" s="172">
        <v>45581</v>
      </c>
      <c r="AC37" s="154">
        <v>13889</v>
      </c>
      <c r="AD37" s="152">
        <v>45581</v>
      </c>
      <c r="AE37" s="152">
        <v>45946</v>
      </c>
      <c r="AF37" s="75" t="s">
        <v>183</v>
      </c>
      <c r="AG37" s="150" t="s">
        <v>204</v>
      </c>
      <c r="AH37" s="150"/>
      <c r="AI37" s="158"/>
      <c r="AJ37" s="158"/>
      <c r="AK37" s="141">
        <v>139771.5</v>
      </c>
      <c r="AL37" s="57"/>
      <c r="AM37" s="58"/>
      <c r="AN37" s="50"/>
      <c r="AO37" s="59"/>
      <c r="AP37" s="58"/>
      <c r="AQ37" s="50"/>
      <c r="AR37" s="50"/>
      <c r="AS37" s="42"/>
      <c r="AT37" s="43"/>
      <c r="AU37" s="89"/>
      <c r="AV37" s="58"/>
      <c r="AW37" s="78"/>
      <c r="AX37" s="78"/>
      <c r="AY37" s="44"/>
      <c r="AZ37" s="45"/>
      <c r="BA37" s="100"/>
      <c r="BB37" s="100"/>
      <c r="BC37" s="91"/>
      <c r="BD37" s="63"/>
      <c r="BE37" s="63"/>
      <c r="BF37" s="100"/>
      <c r="BG37" s="58"/>
      <c r="BH37" s="100"/>
      <c r="BI37" s="144">
        <f>$AK$37+AW37-AX37</f>
        <v>139771.5</v>
      </c>
      <c r="BJ37" s="105">
        <f>AK37</f>
        <v>139771.5</v>
      </c>
      <c r="BK37" s="105"/>
      <c r="BL37" s="120">
        <f>10298.74+48532.32+44986.87</f>
        <v>103817.93</v>
      </c>
      <c r="BM37" s="105">
        <f>BL37</f>
        <v>103817.93</v>
      </c>
      <c r="BN37" s="145">
        <f t="shared" si="1"/>
        <v>243589.43</v>
      </c>
      <c r="BO37" s="58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110"/>
      <c r="CC37" s="110"/>
      <c r="CD37" s="110"/>
      <c r="CE37" s="110"/>
      <c r="CF37" s="110"/>
      <c r="CG37" s="110"/>
    </row>
    <row r="38" spans="1:85" ht="15.75" thickBot="1" x14ac:dyDescent="0.3">
      <c r="A38" s="191"/>
      <c r="B38" s="171"/>
      <c r="C38" s="164"/>
      <c r="D38" s="164"/>
      <c r="E38" s="164"/>
      <c r="F38" s="374"/>
      <c r="G38" s="49"/>
      <c r="H38" s="168"/>
      <c r="I38" s="58"/>
      <c r="J38" s="58"/>
      <c r="K38" s="58"/>
      <c r="L38" s="58"/>
      <c r="M38" s="56"/>
      <c r="N38" s="56"/>
      <c r="O38" s="51"/>
      <c r="P38" s="51"/>
      <c r="Q38" s="58"/>
      <c r="R38" s="58"/>
      <c r="S38" s="58"/>
      <c r="T38" s="59"/>
      <c r="U38" s="58"/>
      <c r="V38" s="70"/>
      <c r="W38" s="58"/>
      <c r="X38" s="100"/>
      <c r="Y38" s="157"/>
      <c r="Z38" s="164"/>
      <c r="AA38" s="169"/>
      <c r="AB38" s="172"/>
      <c r="AC38" s="155"/>
      <c r="AD38" s="153"/>
      <c r="AE38" s="153"/>
      <c r="AF38" s="75" t="s">
        <v>203</v>
      </c>
      <c r="AG38" s="151"/>
      <c r="AH38" s="151"/>
      <c r="AI38" s="159"/>
      <c r="AJ38" s="159"/>
      <c r="AK38" s="141"/>
      <c r="AL38" s="57"/>
      <c r="AM38" s="58"/>
      <c r="AN38" s="50"/>
      <c r="AO38" s="59"/>
      <c r="AP38" s="58"/>
      <c r="AQ38" s="50"/>
      <c r="AR38" s="50"/>
      <c r="AS38" s="42"/>
      <c r="AT38" s="43"/>
      <c r="AU38" s="89"/>
      <c r="AV38" s="58"/>
      <c r="AW38" s="78"/>
      <c r="AX38" s="78"/>
      <c r="AY38" s="44"/>
      <c r="AZ38" s="45"/>
      <c r="BA38" s="100"/>
      <c r="BB38" s="100"/>
      <c r="BC38" s="91"/>
      <c r="BD38" s="63"/>
      <c r="BE38" s="63"/>
      <c r="BF38" s="100"/>
      <c r="BG38" s="58"/>
      <c r="BH38" s="100"/>
      <c r="BI38" s="144">
        <v>0</v>
      </c>
      <c r="BJ38" s="105"/>
      <c r="BK38" s="105"/>
      <c r="BL38" s="105"/>
      <c r="BM38" s="105"/>
      <c r="BN38" s="145">
        <f t="shared" si="1"/>
        <v>0</v>
      </c>
      <c r="BO38" s="58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110"/>
      <c r="CC38" s="110"/>
      <c r="CD38" s="110"/>
      <c r="CE38" s="110"/>
      <c r="CF38" s="110"/>
      <c r="CG38" s="110"/>
    </row>
    <row r="39" spans="1:85" ht="15.75" thickBot="1" x14ac:dyDescent="0.3">
      <c r="A39" s="190">
        <v>7</v>
      </c>
      <c r="B39" s="170" t="s">
        <v>490</v>
      </c>
      <c r="C39" s="163" t="s">
        <v>491</v>
      </c>
      <c r="D39" s="163" t="s">
        <v>205</v>
      </c>
      <c r="E39" s="163" t="s">
        <v>177</v>
      </c>
      <c r="F39" s="375" t="s">
        <v>499</v>
      </c>
      <c r="G39" s="48"/>
      <c r="H39" s="167">
        <v>13881</v>
      </c>
      <c r="I39" s="58"/>
      <c r="J39" s="58"/>
      <c r="K39" s="58"/>
      <c r="L39" s="58"/>
      <c r="M39" s="56"/>
      <c r="N39" s="56"/>
      <c r="O39" s="51"/>
      <c r="P39" s="51"/>
      <c r="Q39" s="58"/>
      <c r="R39" s="58"/>
      <c r="S39" s="58"/>
      <c r="T39" s="59"/>
      <c r="U39" s="58"/>
      <c r="V39" s="70"/>
      <c r="W39" s="58"/>
      <c r="X39" s="156" t="s">
        <v>500</v>
      </c>
      <c r="Z39" s="163" t="s">
        <v>501</v>
      </c>
      <c r="AA39" s="169" t="s">
        <v>502</v>
      </c>
      <c r="AB39" s="172">
        <v>45588</v>
      </c>
      <c r="AC39" s="154">
        <v>13889</v>
      </c>
      <c r="AD39" s="152">
        <v>45588</v>
      </c>
      <c r="AE39" s="152">
        <v>45953</v>
      </c>
      <c r="AF39" s="75" t="s">
        <v>183</v>
      </c>
      <c r="AG39" s="150" t="s">
        <v>204</v>
      </c>
      <c r="AH39" s="150"/>
      <c r="AI39" s="158"/>
      <c r="AJ39" s="158"/>
      <c r="AK39" s="141">
        <v>98080</v>
      </c>
      <c r="AL39" s="57"/>
      <c r="AM39" s="58"/>
      <c r="AN39" s="50"/>
      <c r="AO39" s="59"/>
      <c r="AP39" s="58"/>
      <c r="AQ39" s="50"/>
      <c r="AR39" s="50"/>
      <c r="AS39" s="42"/>
      <c r="AT39" s="43"/>
      <c r="AU39" s="89"/>
      <c r="AV39" s="58"/>
      <c r="AW39" s="78"/>
      <c r="AX39" s="78"/>
      <c r="AY39" s="44"/>
      <c r="AZ39" s="45"/>
      <c r="BA39" s="100"/>
      <c r="BB39" s="100"/>
      <c r="BC39" s="91"/>
      <c r="BD39" s="63"/>
      <c r="BE39" s="63"/>
      <c r="BF39" s="100"/>
      <c r="BG39" s="58"/>
      <c r="BH39" s="100"/>
      <c r="BI39" s="144">
        <f>$AK$39+AW39-AX39</f>
        <v>98080</v>
      </c>
      <c r="BJ39" s="105">
        <f>AK39</f>
        <v>98080</v>
      </c>
      <c r="BK39" s="105"/>
      <c r="BL39" s="120">
        <f>26416+26160+28394</f>
        <v>80970</v>
      </c>
      <c r="BM39" s="105">
        <f>BL39</f>
        <v>80970</v>
      </c>
      <c r="BN39" s="145">
        <f t="shared" si="1"/>
        <v>179050</v>
      </c>
      <c r="BO39" s="58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110"/>
      <c r="CC39" s="110"/>
      <c r="CD39" s="110"/>
      <c r="CE39" s="110"/>
      <c r="CF39" s="110"/>
      <c r="CG39" s="110"/>
    </row>
    <row r="40" spans="1:85" ht="15.75" thickBot="1" x14ac:dyDescent="0.3">
      <c r="A40" s="191"/>
      <c r="B40" s="171"/>
      <c r="C40" s="164"/>
      <c r="D40" s="164"/>
      <c r="E40" s="164"/>
      <c r="F40" s="374"/>
      <c r="G40" s="49"/>
      <c r="H40" s="168"/>
      <c r="I40" s="58"/>
      <c r="J40" s="58"/>
      <c r="K40" s="58"/>
      <c r="L40" s="58"/>
      <c r="M40" s="56"/>
      <c r="N40" s="56"/>
      <c r="O40" s="51"/>
      <c r="P40" s="51"/>
      <c r="Q40" s="58"/>
      <c r="R40" s="58"/>
      <c r="S40" s="58"/>
      <c r="T40" s="59"/>
      <c r="U40" s="58"/>
      <c r="V40" s="70"/>
      <c r="W40" s="58"/>
      <c r="X40" s="157"/>
      <c r="Z40" s="164"/>
      <c r="AA40" s="169"/>
      <c r="AB40" s="172"/>
      <c r="AC40" s="155"/>
      <c r="AD40" s="153"/>
      <c r="AE40" s="153"/>
      <c r="AF40" s="75" t="s">
        <v>203</v>
      </c>
      <c r="AG40" s="151"/>
      <c r="AH40" s="151"/>
      <c r="AI40" s="159"/>
      <c r="AJ40" s="159"/>
      <c r="AK40" s="141"/>
      <c r="AL40" s="57"/>
      <c r="AM40" s="58"/>
      <c r="AN40" s="50"/>
      <c r="AO40" s="59"/>
      <c r="AP40" s="58"/>
      <c r="AQ40" s="50"/>
      <c r="AR40" s="50"/>
      <c r="AS40" s="42"/>
      <c r="AT40" s="43"/>
      <c r="AU40" s="89"/>
      <c r="AV40" s="58"/>
      <c r="AW40" s="78"/>
      <c r="AX40" s="78"/>
      <c r="AY40" s="44"/>
      <c r="AZ40" s="45"/>
      <c r="BA40" s="100"/>
      <c r="BB40" s="100"/>
      <c r="BC40" s="91"/>
      <c r="BD40" s="63"/>
      <c r="BE40" s="63"/>
      <c r="BF40" s="100"/>
      <c r="BG40" s="58"/>
      <c r="BH40" s="100"/>
      <c r="BI40" s="144">
        <v>0</v>
      </c>
      <c r="BJ40" s="105"/>
      <c r="BK40" s="105"/>
      <c r="BL40" s="105"/>
      <c r="BM40" s="105"/>
      <c r="BN40" s="145">
        <f t="shared" si="1"/>
        <v>0</v>
      </c>
      <c r="BO40" s="58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110"/>
      <c r="CC40" s="110"/>
      <c r="CD40" s="110"/>
      <c r="CE40" s="110"/>
      <c r="CF40" s="110"/>
      <c r="CG40" s="110"/>
    </row>
    <row r="41" spans="1:85" ht="15.75" thickBot="1" x14ac:dyDescent="0.3">
      <c r="A41" s="190">
        <v>8</v>
      </c>
      <c r="B41" s="170" t="s">
        <v>490</v>
      </c>
      <c r="C41" s="163" t="s">
        <v>491</v>
      </c>
      <c r="D41" s="163" t="s">
        <v>205</v>
      </c>
      <c r="E41" s="163" t="s">
        <v>177</v>
      </c>
      <c r="F41" s="375" t="s">
        <v>511</v>
      </c>
      <c r="G41" s="48"/>
      <c r="H41" s="167">
        <v>13881</v>
      </c>
      <c r="I41" s="58"/>
      <c r="J41" s="58"/>
      <c r="K41" s="58"/>
      <c r="L41" s="58"/>
      <c r="M41" s="56"/>
      <c r="N41" s="56"/>
      <c r="O41" s="51"/>
      <c r="P41" s="51"/>
      <c r="Q41" s="58"/>
      <c r="R41" s="58"/>
      <c r="S41" s="58"/>
      <c r="T41" s="59"/>
      <c r="U41" s="58"/>
      <c r="V41" s="70"/>
      <c r="W41" s="58"/>
      <c r="X41" s="100"/>
      <c r="Y41" s="156" t="s">
        <v>512</v>
      </c>
      <c r="Z41" s="163" t="s">
        <v>416</v>
      </c>
      <c r="AA41" s="169" t="s">
        <v>268</v>
      </c>
      <c r="AB41" s="172">
        <v>45581</v>
      </c>
      <c r="AC41" s="154">
        <v>13889</v>
      </c>
      <c r="AD41" s="152">
        <v>45581</v>
      </c>
      <c r="AE41" s="152">
        <v>45946</v>
      </c>
      <c r="AF41" s="156" t="s">
        <v>183</v>
      </c>
      <c r="AG41" s="150" t="s">
        <v>204</v>
      </c>
      <c r="AH41" s="150"/>
      <c r="AI41" s="158"/>
      <c r="AJ41" s="158"/>
      <c r="AK41" s="160">
        <v>76080</v>
      </c>
      <c r="AL41" s="57"/>
      <c r="AM41" s="58"/>
      <c r="AN41" s="50"/>
      <c r="AO41" s="59"/>
      <c r="AP41" s="58"/>
      <c r="AQ41" s="50"/>
      <c r="AR41" s="50"/>
      <c r="AS41" s="42"/>
      <c r="AT41" s="43"/>
      <c r="AU41" s="89"/>
      <c r="AV41" s="58"/>
      <c r="AW41" s="78"/>
      <c r="AX41" s="78"/>
      <c r="AY41" s="44"/>
      <c r="AZ41" s="45"/>
      <c r="BA41" s="100"/>
      <c r="BB41" s="100"/>
      <c r="BC41" s="91"/>
      <c r="BD41" s="63"/>
      <c r="BE41" s="63"/>
      <c r="BF41" s="100"/>
      <c r="BG41" s="58"/>
      <c r="BH41" s="100"/>
      <c r="BI41" s="144">
        <f>$AK$41+AW41-AX41</f>
        <v>76080</v>
      </c>
      <c r="BJ41" s="93"/>
      <c r="BK41" s="117">
        <f>15924+5860+27060</f>
        <v>48844</v>
      </c>
      <c r="BL41" s="93"/>
      <c r="BM41" s="93">
        <f>BL41+BK41</f>
        <v>48844</v>
      </c>
      <c r="BN41" s="145">
        <f t="shared" si="1"/>
        <v>48844</v>
      </c>
      <c r="BO41" s="58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111"/>
      <c r="CC41" s="111"/>
      <c r="CD41" s="110"/>
      <c r="CE41" s="111"/>
      <c r="CF41" s="110"/>
      <c r="CG41" s="110"/>
    </row>
    <row r="42" spans="1:85" ht="15.75" thickBot="1" x14ac:dyDescent="0.3">
      <c r="A42" s="191"/>
      <c r="B42" s="171"/>
      <c r="C42" s="164"/>
      <c r="D42" s="164"/>
      <c r="E42" s="164"/>
      <c r="F42" s="374"/>
      <c r="G42" s="49"/>
      <c r="H42" s="168"/>
      <c r="I42" s="58"/>
      <c r="J42" s="58"/>
      <c r="K42" s="58"/>
      <c r="L42" s="58"/>
      <c r="M42" s="56"/>
      <c r="N42" s="56"/>
      <c r="O42" s="51"/>
      <c r="P42" s="51"/>
      <c r="Q42" s="58"/>
      <c r="R42" s="58"/>
      <c r="S42" s="58"/>
      <c r="T42" s="59"/>
      <c r="U42" s="58"/>
      <c r="V42" s="70"/>
      <c r="W42" s="58"/>
      <c r="X42" s="100"/>
      <c r="Y42" s="157"/>
      <c r="Z42" s="164"/>
      <c r="AA42" s="169"/>
      <c r="AB42" s="172"/>
      <c r="AC42" s="155"/>
      <c r="AD42" s="153"/>
      <c r="AE42" s="153"/>
      <c r="AF42" s="157"/>
      <c r="AG42" s="151"/>
      <c r="AH42" s="151"/>
      <c r="AI42" s="159"/>
      <c r="AJ42" s="159"/>
      <c r="AK42" s="160"/>
      <c r="AL42" s="57"/>
      <c r="AM42" s="58"/>
      <c r="AN42" s="50"/>
      <c r="AO42" s="59"/>
      <c r="AP42" s="58"/>
      <c r="AQ42" s="50"/>
      <c r="AR42" s="50"/>
      <c r="AS42" s="42"/>
      <c r="AT42" s="43"/>
      <c r="AU42" s="89"/>
      <c r="AV42" s="58"/>
      <c r="AW42" s="78"/>
      <c r="AX42" s="78"/>
      <c r="AY42" s="44"/>
      <c r="AZ42" s="45"/>
      <c r="BA42" s="100"/>
      <c r="BB42" s="100"/>
      <c r="BC42" s="91"/>
      <c r="BD42" s="63"/>
      <c r="BE42" s="63"/>
      <c r="BF42" s="100"/>
      <c r="BG42" s="58"/>
      <c r="BH42" s="100"/>
      <c r="BI42" s="144">
        <v>0</v>
      </c>
      <c r="BJ42" s="93"/>
      <c r="BK42" s="93"/>
      <c r="BL42" s="93"/>
      <c r="BM42" s="93"/>
      <c r="BN42" s="145">
        <f t="shared" si="1"/>
        <v>0</v>
      </c>
      <c r="BO42" s="58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111"/>
      <c r="CC42" s="111"/>
      <c r="CD42" s="110"/>
      <c r="CE42" s="111"/>
      <c r="CF42" s="110"/>
      <c r="CG42" s="110"/>
    </row>
    <row r="43" spans="1:85" ht="15.75" thickBot="1" x14ac:dyDescent="0.3">
      <c r="A43" s="190">
        <v>9</v>
      </c>
      <c r="B43" s="170" t="s">
        <v>206</v>
      </c>
      <c r="C43" s="163" t="s">
        <v>207</v>
      </c>
      <c r="D43" s="163" t="s">
        <v>205</v>
      </c>
      <c r="E43" s="163" t="s">
        <v>177</v>
      </c>
      <c r="F43" s="375" t="s">
        <v>208</v>
      </c>
      <c r="G43" s="48"/>
      <c r="H43" s="167">
        <v>13174</v>
      </c>
      <c r="I43" s="58"/>
      <c r="J43" s="58"/>
      <c r="K43" s="58"/>
      <c r="L43" s="58"/>
      <c r="M43" s="56"/>
      <c r="N43" s="56"/>
      <c r="O43" s="51"/>
      <c r="P43" s="51"/>
      <c r="Q43" s="58"/>
      <c r="R43" s="58"/>
      <c r="S43" s="58"/>
      <c r="T43" s="59"/>
      <c r="U43" s="58"/>
      <c r="V43" s="70"/>
      <c r="W43" s="58"/>
      <c r="X43" s="100"/>
      <c r="Y43" s="156" t="s">
        <v>271</v>
      </c>
      <c r="Z43" s="163" t="s">
        <v>272</v>
      </c>
      <c r="AA43" s="163" t="s">
        <v>273</v>
      </c>
      <c r="AB43" s="152">
        <v>44560</v>
      </c>
      <c r="AC43" s="154">
        <v>13199</v>
      </c>
      <c r="AD43" s="152">
        <v>44560</v>
      </c>
      <c r="AE43" s="152">
        <v>44925</v>
      </c>
      <c r="AF43" s="193" t="s">
        <v>183</v>
      </c>
      <c r="AG43" s="150" t="s">
        <v>204</v>
      </c>
      <c r="AH43" s="58"/>
      <c r="AI43" s="100"/>
      <c r="AJ43" s="100"/>
      <c r="AK43" s="221">
        <v>2071428.24</v>
      </c>
      <c r="AL43" s="57"/>
      <c r="AM43" s="58"/>
      <c r="AN43" s="50"/>
      <c r="AO43" s="59"/>
      <c r="AP43" s="58"/>
      <c r="AQ43" s="50"/>
      <c r="AR43" s="50"/>
      <c r="AS43" s="42"/>
      <c r="AT43" s="43"/>
      <c r="AU43" s="89"/>
      <c r="AV43" s="58"/>
      <c r="AW43" s="78"/>
      <c r="AX43" s="78"/>
      <c r="AY43" s="44"/>
      <c r="AZ43" s="45"/>
      <c r="BA43" s="100"/>
      <c r="BB43" s="100"/>
      <c r="BC43" s="91"/>
      <c r="BD43" s="63"/>
      <c r="BE43" s="63"/>
      <c r="BF43" s="100"/>
      <c r="BG43" s="58"/>
      <c r="BH43" s="100"/>
      <c r="BI43" s="144">
        <v>0</v>
      </c>
      <c r="BJ43" s="93">
        <f>2165475.84+3036590.97+3475007.64</f>
        <v>8677074.4500000011</v>
      </c>
      <c r="BK43" s="117">
        <f>285730.56</f>
        <v>285730.56</v>
      </c>
      <c r="BL43" s="117">
        <f>285730.56+285730.56</f>
        <v>571461.12</v>
      </c>
      <c r="BM43" s="219">
        <f>BL43</f>
        <v>571461.12</v>
      </c>
      <c r="BN43" s="145">
        <f t="shared" si="1"/>
        <v>9248535.5700000003</v>
      </c>
      <c r="BO43" s="58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173" t="s">
        <v>433</v>
      </c>
      <c r="CC43" s="176">
        <v>13354</v>
      </c>
      <c r="CD43" s="173" t="s">
        <v>434</v>
      </c>
      <c r="CE43" s="173" t="s">
        <v>435</v>
      </c>
      <c r="CF43" s="173" t="s">
        <v>436</v>
      </c>
      <c r="CG43" s="173" t="s">
        <v>437</v>
      </c>
    </row>
    <row r="44" spans="1:85" ht="15.75" thickBot="1" x14ac:dyDescent="0.3">
      <c r="A44" s="210"/>
      <c r="B44" s="243"/>
      <c r="C44" s="208"/>
      <c r="D44" s="208"/>
      <c r="E44" s="208"/>
      <c r="F44" s="373"/>
      <c r="G44" s="67"/>
      <c r="H44" s="245"/>
      <c r="I44" s="58"/>
      <c r="J44" s="58"/>
      <c r="K44" s="58"/>
      <c r="L44" s="58"/>
      <c r="M44" s="56"/>
      <c r="N44" s="56"/>
      <c r="O44" s="51"/>
      <c r="P44" s="51"/>
      <c r="Q44" s="58"/>
      <c r="R44" s="58"/>
      <c r="S44" s="58"/>
      <c r="T44" s="59"/>
      <c r="U44" s="58"/>
      <c r="V44" s="70"/>
      <c r="W44" s="58"/>
      <c r="X44" s="100"/>
      <c r="Y44" s="197"/>
      <c r="Z44" s="208"/>
      <c r="AA44" s="208"/>
      <c r="AB44" s="192"/>
      <c r="AC44" s="194"/>
      <c r="AD44" s="192"/>
      <c r="AE44" s="192"/>
      <c r="AF44" s="193"/>
      <c r="AG44" s="204"/>
      <c r="AH44" s="58"/>
      <c r="AI44" s="100"/>
      <c r="AJ44" s="100"/>
      <c r="AK44" s="222"/>
      <c r="AL44" s="57" t="s">
        <v>192</v>
      </c>
      <c r="AM44" s="58" t="s">
        <v>193</v>
      </c>
      <c r="AN44" s="50">
        <v>44788</v>
      </c>
      <c r="AO44" s="59">
        <v>13425</v>
      </c>
      <c r="AP44" s="58" t="s">
        <v>331</v>
      </c>
      <c r="AQ44" s="50">
        <v>44788</v>
      </c>
      <c r="AR44" s="50">
        <v>44926</v>
      </c>
      <c r="AS44" s="42"/>
      <c r="AT44" s="43"/>
      <c r="AU44" s="89" t="e">
        <f>AW44/BI43</f>
        <v>#DIV/0!</v>
      </c>
      <c r="AV44" s="58"/>
      <c r="AW44" s="78">
        <v>499999.92</v>
      </c>
      <c r="AX44" s="78"/>
      <c r="AY44" s="44"/>
      <c r="AZ44" s="45"/>
      <c r="BA44" s="100"/>
      <c r="BB44" s="100"/>
      <c r="BC44" s="91"/>
      <c r="BD44" s="63"/>
      <c r="BE44" s="63"/>
      <c r="BF44" s="100"/>
      <c r="BG44" s="58"/>
      <c r="BH44" s="100"/>
      <c r="BI44" s="144">
        <f t="shared" ref="BI44" si="2">$AK$43+AW44-AX44</f>
        <v>2571428.16</v>
      </c>
      <c r="BJ44" s="93"/>
      <c r="BK44" s="121"/>
      <c r="BL44" s="121"/>
      <c r="BM44" s="220"/>
      <c r="BN44" s="145">
        <f t="shared" si="1"/>
        <v>0</v>
      </c>
      <c r="BO44" s="58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174"/>
      <c r="CC44" s="174"/>
      <c r="CD44" s="174"/>
      <c r="CE44" s="174"/>
      <c r="CF44" s="174"/>
      <c r="CG44" s="174"/>
    </row>
    <row r="45" spans="1:85" ht="26.25" thickBot="1" x14ac:dyDescent="0.3">
      <c r="A45" s="210"/>
      <c r="B45" s="243"/>
      <c r="C45" s="208"/>
      <c r="D45" s="208"/>
      <c r="E45" s="208"/>
      <c r="F45" s="373"/>
      <c r="G45" s="67"/>
      <c r="H45" s="245"/>
      <c r="I45" s="58"/>
      <c r="J45" s="58"/>
      <c r="K45" s="58"/>
      <c r="L45" s="58"/>
      <c r="M45" s="56"/>
      <c r="N45" s="56"/>
      <c r="O45" s="51"/>
      <c r="P45" s="51"/>
      <c r="Q45" s="58"/>
      <c r="R45" s="58"/>
      <c r="S45" s="58"/>
      <c r="T45" s="59"/>
      <c r="U45" s="58"/>
      <c r="V45" s="70"/>
      <c r="W45" s="58"/>
      <c r="X45" s="100"/>
      <c r="Y45" s="197"/>
      <c r="Z45" s="208"/>
      <c r="AA45" s="208"/>
      <c r="AB45" s="192"/>
      <c r="AC45" s="194"/>
      <c r="AD45" s="192"/>
      <c r="AE45" s="192"/>
      <c r="AF45" s="193" t="s">
        <v>417</v>
      </c>
      <c r="AG45" s="204"/>
      <c r="AH45" s="58"/>
      <c r="AI45" s="100"/>
      <c r="AJ45" s="100"/>
      <c r="AK45" s="222"/>
      <c r="AL45" s="57" t="s">
        <v>192</v>
      </c>
      <c r="AM45" s="58" t="s">
        <v>195</v>
      </c>
      <c r="AN45" s="50">
        <v>44921</v>
      </c>
      <c r="AO45" s="59">
        <v>13440</v>
      </c>
      <c r="AP45" s="58" t="s">
        <v>332</v>
      </c>
      <c r="AQ45" s="50">
        <v>44927</v>
      </c>
      <c r="AR45" s="50">
        <v>45291</v>
      </c>
      <c r="AS45" s="42"/>
      <c r="AT45" s="43"/>
      <c r="AU45" s="89"/>
      <c r="AV45" s="58"/>
      <c r="AW45" s="78"/>
      <c r="AX45" s="78"/>
      <c r="AY45" s="44"/>
      <c r="AZ45" s="45"/>
      <c r="BA45" s="100"/>
      <c r="BB45" s="100"/>
      <c r="BC45" s="91"/>
      <c r="BD45" s="62" t="e">
        <f>BE45/BI43</f>
        <v>#DIV/0!</v>
      </c>
      <c r="BE45" s="78">
        <v>483075.36</v>
      </c>
      <c r="BF45" s="100"/>
      <c r="BG45" s="58"/>
      <c r="BH45" s="100"/>
      <c r="BI45" s="144">
        <f>($AK$43+AW45-AX45)+($AK$43+BE45)</f>
        <v>4625931.84</v>
      </c>
      <c r="BJ45" s="93"/>
      <c r="BK45" s="93"/>
      <c r="BL45" s="93"/>
      <c r="BM45" s="219"/>
      <c r="BN45" s="145">
        <f t="shared" si="1"/>
        <v>0</v>
      </c>
      <c r="BO45" s="58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174"/>
      <c r="CC45" s="174"/>
      <c r="CD45" s="174"/>
      <c r="CE45" s="174"/>
      <c r="CF45" s="174"/>
      <c r="CG45" s="174"/>
    </row>
    <row r="46" spans="1:85" ht="26.25" thickBot="1" x14ac:dyDescent="0.3">
      <c r="A46" s="191"/>
      <c r="B46" s="171"/>
      <c r="C46" s="164"/>
      <c r="D46" s="164"/>
      <c r="E46" s="164"/>
      <c r="F46" s="374"/>
      <c r="G46" s="49"/>
      <c r="H46" s="168"/>
      <c r="I46" s="58"/>
      <c r="J46" s="58"/>
      <c r="K46" s="58"/>
      <c r="L46" s="58"/>
      <c r="M46" s="56"/>
      <c r="N46" s="56"/>
      <c r="O46" s="51"/>
      <c r="P46" s="51"/>
      <c r="Q46" s="58"/>
      <c r="R46" s="58"/>
      <c r="S46" s="58"/>
      <c r="T46" s="59"/>
      <c r="U46" s="58"/>
      <c r="V46" s="70"/>
      <c r="W46" s="58"/>
      <c r="X46" s="100"/>
      <c r="Y46" s="157"/>
      <c r="Z46" s="164"/>
      <c r="AA46" s="164"/>
      <c r="AB46" s="153"/>
      <c r="AC46" s="155"/>
      <c r="AD46" s="153"/>
      <c r="AE46" s="153"/>
      <c r="AF46" s="193"/>
      <c r="AG46" s="151"/>
      <c r="AH46" s="58"/>
      <c r="AI46" s="100"/>
      <c r="AJ46" s="100"/>
      <c r="AK46" s="161"/>
      <c r="AL46" s="57" t="s">
        <v>333</v>
      </c>
      <c r="AM46" s="58" t="s">
        <v>182</v>
      </c>
      <c r="AN46" s="50">
        <v>45286</v>
      </c>
      <c r="AO46" s="59">
        <v>13689</v>
      </c>
      <c r="AP46" s="58" t="s">
        <v>334</v>
      </c>
      <c r="AQ46" s="50">
        <v>45292</v>
      </c>
      <c r="AR46" s="50">
        <v>45657</v>
      </c>
      <c r="AS46" s="42"/>
      <c r="AT46" s="43"/>
      <c r="AU46" s="89"/>
      <c r="AV46" s="58"/>
      <c r="AW46" s="78"/>
      <c r="AX46" s="78"/>
      <c r="AY46" s="44"/>
      <c r="AZ46" s="45"/>
      <c r="BA46" s="100"/>
      <c r="BB46" s="100"/>
      <c r="BC46" s="91"/>
      <c r="BD46" s="62">
        <f>BE46/BI45</f>
        <v>4.463692227683147E-2</v>
      </c>
      <c r="BE46" s="63">
        <v>206487.36</v>
      </c>
      <c r="BF46" s="100"/>
      <c r="BG46" s="58"/>
      <c r="BH46" s="100"/>
      <c r="BI46" s="144">
        <f t="shared" ref="BI46" si="3">($AK$43+AW46-AX46)+($AK$43+BE46)</f>
        <v>4349343.84</v>
      </c>
      <c r="BJ46" s="93"/>
      <c r="BK46" s="121"/>
      <c r="BL46" s="121"/>
      <c r="BM46" s="220"/>
      <c r="BN46" s="145">
        <f t="shared" si="1"/>
        <v>0</v>
      </c>
      <c r="BO46" s="58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175"/>
      <c r="CC46" s="175"/>
      <c r="CD46" s="175"/>
      <c r="CE46" s="175"/>
      <c r="CF46" s="175"/>
      <c r="CG46" s="175"/>
    </row>
    <row r="47" spans="1:85" ht="15.75" thickBot="1" x14ac:dyDescent="0.3">
      <c r="A47" s="190">
        <v>10</v>
      </c>
      <c r="B47" s="170" t="s">
        <v>209</v>
      </c>
      <c r="C47" s="163" t="s">
        <v>210</v>
      </c>
      <c r="D47" s="163" t="s">
        <v>211</v>
      </c>
      <c r="E47" s="163" t="s">
        <v>177</v>
      </c>
      <c r="F47" s="375" t="s">
        <v>212</v>
      </c>
      <c r="G47" s="48"/>
      <c r="H47" s="167">
        <v>13146</v>
      </c>
      <c r="I47" s="58"/>
      <c r="J47" s="58"/>
      <c r="K47" s="58"/>
      <c r="L47" s="58"/>
      <c r="M47" s="56"/>
      <c r="N47" s="56"/>
      <c r="O47" s="51"/>
      <c r="P47" s="51"/>
      <c r="Q47" s="150" t="s">
        <v>387</v>
      </c>
      <c r="R47" s="152">
        <v>44482</v>
      </c>
      <c r="S47" s="152">
        <v>44847</v>
      </c>
      <c r="T47" s="154">
        <v>13147</v>
      </c>
      <c r="U47" s="150" t="s">
        <v>388</v>
      </c>
      <c r="V47" s="215">
        <v>13147</v>
      </c>
      <c r="W47" s="150" t="s">
        <v>212</v>
      </c>
      <c r="X47" s="158">
        <v>784875</v>
      </c>
      <c r="Y47" s="156" t="s">
        <v>274</v>
      </c>
      <c r="Z47" s="163" t="s">
        <v>275</v>
      </c>
      <c r="AA47" s="163" t="s">
        <v>276</v>
      </c>
      <c r="AB47" s="152">
        <v>44789</v>
      </c>
      <c r="AC47" s="154">
        <v>13354</v>
      </c>
      <c r="AD47" s="152">
        <v>44789</v>
      </c>
      <c r="AE47" s="152">
        <v>45154</v>
      </c>
      <c r="AF47" s="156" t="s">
        <v>183</v>
      </c>
      <c r="AG47" s="150" t="s">
        <v>178</v>
      </c>
      <c r="AH47" s="58"/>
      <c r="AI47" s="100"/>
      <c r="AJ47" s="100"/>
      <c r="AK47" s="221">
        <v>784875</v>
      </c>
      <c r="AL47" s="57" t="s">
        <v>335</v>
      </c>
      <c r="AM47" s="58" t="s">
        <v>180</v>
      </c>
      <c r="AN47" s="50">
        <v>45287</v>
      </c>
      <c r="AO47" s="59"/>
      <c r="AP47" s="58" t="s">
        <v>336</v>
      </c>
      <c r="AQ47" s="50">
        <v>45155</v>
      </c>
      <c r="AR47" s="50">
        <v>45520</v>
      </c>
      <c r="AS47" s="42"/>
      <c r="AT47" s="43"/>
      <c r="AU47" s="89"/>
      <c r="AV47" s="58"/>
      <c r="AW47" s="78"/>
      <c r="AX47" s="78"/>
      <c r="AY47" s="44"/>
      <c r="AZ47" s="45"/>
      <c r="BA47" s="100"/>
      <c r="BB47" s="100"/>
      <c r="BC47" s="91"/>
      <c r="BD47" s="62">
        <f>BE47/BI47</f>
        <v>0.17683205014048523</v>
      </c>
      <c r="BE47" s="63">
        <v>168606</v>
      </c>
      <c r="BF47" s="100"/>
      <c r="BG47" s="58"/>
      <c r="BH47" s="100"/>
      <c r="BI47" s="144">
        <f>($AK$47+BE47)</f>
        <v>953481</v>
      </c>
      <c r="BJ47" s="93">
        <f>80144.45+654639.2+1158606.48</f>
        <v>1893390.13</v>
      </c>
      <c r="BK47" s="117">
        <f>83680.25+87362.18</f>
        <v>171042.43</v>
      </c>
      <c r="BL47" s="117">
        <f>87473.75</f>
        <v>87473.75</v>
      </c>
      <c r="BM47" s="93">
        <f>BL47+BK47</f>
        <v>258516.18</v>
      </c>
      <c r="BN47" s="145">
        <f t="shared" si="1"/>
        <v>2151906.31</v>
      </c>
      <c r="BO47" s="58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173" t="s">
        <v>438</v>
      </c>
      <c r="CC47" s="176">
        <v>13376</v>
      </c>
      <c r="CD47" s="173" t="s">
        <v>434</v>
      </c>
      <c r="CE47" s="173" t="s">
        <v>435</v>
      </c>
      <c r="CF47" s="173" t="s">
        <v>436</v>
      </c>
      <c r="CG47" s="173" t="s">
        <v>437</v>
      </c>
    </row>
    <row r="48" spans="1:85" ht="26.25" thickBot="1" x14ac:dyDescent="0.3">
      <c r="A48" s="191"/>
      <c r="B48" s="171"/>
      <c r="C48" s="164"/>
      <c r="D48" s="164"/>
      <c r="E48" s="164"/>
      <c r="F48" s="374"/>
      <c r="G48" s="49"/>
      <c r="H48" s="168"/>
      <c r="I48" s="58"/>
      <c r="J48" s="58"/>
      <c r="K48" s="58"/>
      <c r="L48" s="58"/>
      <c r="M48" s="56"/>
      <c r="N48" s="56"/>
      <c r="O48" s="51"/>
      <c r="P48" s="51"/>
      <c r="Q48" s="151"/>
      <c r="R48" s="151"/>
      <c r="S48" s="151"/>
      <c r="T48" s="155"/>
      <c r="U48" s="151"/>
      <c r="V48" s="191"/>
      <c r="W48" s="151"/>
      <c r="X48" s="159"/>
      <c r="Y48" s="157"/>
      <c r="Z48" s="164"/>
      <c r="AA48" s="164"/>
      <c r="AB48" s="153"/>
      <c r="AC48" s="155"/>
      <c r="AD48" s="153"/>
      <c r="AE48" s="153"/>
      <c r="AF48" s="157"/>
      <c r="AG48" s="151"/>
      <c r="AH48" s="58"/>
      <c r="AI48" s="100"/>
      <c r="AJ48" s="100"/>
      <c r="AK48" s="161"/>
      <c r="AL48" s="57" t="s">
        <v>192</v>
      </c>
      <c r="AM48" s="58" t="s">
        <v>193</v>
      </c>
      <c r="AN48" s="50">
        <v>45155</v>
      </c>
      <c r="AO48" s="59">
        <v>13600</v>
      </c>
      <c r="AP48" s="58" t="s">
        <v>337</v>
      </c>
      <c r="AQ48" s="50">
        <v>45155</v>
      </c>
      <c r="AR48" s="50">
        <v>45520</v>
      </c>
      <c r="AS48" s="42"/>
      <c r="AT48" s="43"/>
      <c r="AU48" s="89"/>
      <c r="AV48" s="58"/>
      <c r="AW48" s="78"/>
      <c r="AX48" s="78"/>
      <c r="AY48" s="44"/>
      <c r="AZ48" s="45"/>
      <c r="BA48" s="100"/>
      <c r="BB48" s="100"/>
      <c r="BC48" s="91"/>
      <c r="BD48" s="63"/>
      <c r="BE48" s="63"/>
      <c r="BF48" s="100"/>
      <c r="BG48" s="58"/>
      <c r="BH48" s="100"/>
      <c r="BI48" s="144">
        <v>0</v>
      </c>
      <c r="BJ48" s="93"/>
      <c r="BK48" s="93"/>
      <c r="BL48" s="93"/>
      <c r="BM48" s="106"/>
      <c r="BN48" s="145">
        <f t="shared" si="1"/>
        <v>0</v>
      </c>
      <c r="BO48" s="58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175"/>
      <c r="CC48" s="175"/>
      <c r="CD48" s="175"/>
      <c r="CE48" s="175"/>
      <c r="CF48" s="175"/>
      <c r="CG48" s="175"/>
    </row>
    <row r="49" spans="1:85" ht="15.75" thickBot="1" x14ac:dyDescent="0.3">
      <c r="A49" s="190">
        <v>11</v>
      </c>
      <c r="B49" s="170" t="s">
        <v>214</v>
      </c>
      <c r="C49" s="163" t="s">
        <v>215</v>
      </c>
      <c r="D49" s="163" t="s">
        <v>216</v>
      </c>
      <c r="E49" s="163" t="s">
        <v>177</v>
      </c>
      <c r="F49" s="376" t="s">
        <v>217</v>
      </c>
      <c r="G49" s="56"/>
      <c r="H49" s="167">
        <v>13411</v>
      </c>
      <c r="I49" s="58"/>
      <c r="J49" s="58"/>
      <c r="K49" s="58"/>
      <c r="L49" s="58"/>
      <c r="M49" s="56"/>
      <c r="N49" s="56"/>
      <c r="O49" s="51"/>
      <c r="P49" s="51"/>
      <c r="Q49" s="150" t="s">
        <v>215</v>
      </c>
      <c r="R49" s="152">
        <v>44881</v>
      </c>
      <c r="S49" s="152">
        <v>45246</v>
      </c>
      <c r="T49" s="154">
        <v>13499</v>
      </c>
      <c r="U49" s="150" t="s">
        <v>389</v>
      </c>
      <c r="V49" s="154">
        <v>13499</v>
      </c>
      <c r="W49" s="150" t="s">
        <v>217</v>
      </c>
      <c r="X49" s="158">
        <v>2117988</v>
      </c>
      <c r="Y49" s="156" t="s">
        <v>277</v>
      </c>
      <c r="Z49" s="163" t="s">
        <v>278</v>
      </c>
      <c r="AA49" s="163" t="s">
        <v>279</v>
      </c>
      <c r="AB49" s="152">
        <v>45000</v>
      </c>
      <c r="AC49" s="154">
        <v>13499</v>
      </c>
      <c r="AD49" s="195">
        <v>45017</v>
      </c>
      <c r="AE49" s="195">
        <v>45382</v>
      </c>
      <c r="AF49" s="156" t="s">
        <v>183</v>
      </c>
      <c r="AG49" s="150" t="s">
        <v>178</v>
      </c>
      <c r="AH49" s="58"/>
      <c r="AI49" s="100"/>
      <c r="AJ49" s="100"/>
      <c r="AK49" s="158">
        <v>2117988</v>
      </c>
      <c r="AL49" s="57" t="s">
        <v>335</v>
      </c>
      <c r="AM49" s="58" t="s">
        <v>193</v>
      </c>
      <c r="AN49" s="50">
        <v>45306</v>
      </c>
      <c r="AO49" s="59">
        <v>13697</v>
      </c>
      <c r="AP49" s="58" t="s">
        <v>340</v>
      </c>
      <c r="AQ49" s="50">
        <v>45017</v>
      </c>
      <c r="AR49" s="50">
        <v>45382</v>
      </c>
      <c r="AS49" s="42"/>
      <c r="AT49" s="43"/>
      <c r="AU49" s="89"/>
      <c r="AV49" s="58"/>
      <c r="AW49" s="78"/>
      <c r="AX49" s="78"/>
      <c r="AY49" s="44"/>
      <c r="AZ49" s="45"/>
      <c r="BA49" s="100"/>
      <c r="BB49" s="100"/>
      <c r="BC49" s="91"/>
      <c r="BD49" s="62">
        <f>BE49/BI49</f>
        <v>4.7011795415112682E-2</v>
      </c>
      <c r="BE49" s="63">
        <v>104482.32</v>
      </c>
      <c r="BF49" s="100"/>
      <c r="BG49" s="58"/>
      <c r="BH49" s="100"/>
      <c r="BI49" s="144">
        <f>$AK$49+BE49</f>
        <v>2222470.3199999998</v>
      </c>
      <c r="BJ49" s="118">
        <f>1496709.21+2393456.61</f>
        <v>3890165.82</v>
      </c>
      <c r="BK49" s="122">
        <f>190740.02</f>
        <v>190740.02</v>
      </c>
      <c r="BL49" s="122">
        <f>194243.58</f>
        <v>194243.58</v>
      </c>
      <c r="BM49" s="118">
        <f>BK49+BL49</f>
        <v>384983.6</v>
      </c>
      <c r="BN49" s="145">
        <f t="shared" si="1"/>
        <v>4275149.42</v>
      </c>
      <c r="BO49" s="58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173" t="s">
        <v>440</v>
      </c>
      <c r="CC49" s="176">
        <v>13523</v>
      </c>
      <c r="CD49" s="173" t="s">
        <v>432</v>
      </c>
      <c r="CE49" s="176">
        <v>713115</v>
      </c>
      <c r="CF49" s="173" t="s">
        <v>441</v>
      </c>
      <c r="CG49" s="173" t="s">
        <v>442</v>
      </c>
    </row>
    <row r="50" spans="1:85" ht="15.75" thickBot="1" x14ac:dyDescent="0.3">
      <c r="A50" s="191"/>
      <c r="B50" s="243"/>
      <c r="C50" s="208"/>
      <c r="D50" s="208"/>
      <c r="E50" s="208"/>
      <c r="F50" s="377"/>
      <c r="G50" s="60"/>
      <c r="H50" s="168"/>
      <c r="I50" s="58"/>
      <c r="J50" s="58"/>
      <c r="K50" s="58"/>
      <c r="L50" s="58"/>
      <c r="M50" s="56"/>
      <c r="N50" s="56"/>
      <c r="O50" s="51"/>
      <c r="P50" s="51"/>
      <c r="Q50" s="151"/>
      <c r="R50" s="153"/>
      <c r="S50" s="153"/>
      <c r="T50" s="155"/>
      <c r="U50" s="151"/>
      <c r="V50" s="155"/>
      <c r="W50" s="151"/>
      <c r="X50" s="159"/>
      <c r="Y50" s="197"/>
      <c r="Z50" s="208"/>
      <c r="AA50" s="208"/>
      <c r="AB50" s="192"/>
      <c r="AC50" s="194"/>
      <c r="AD50" s="196"/>
      <c r="AE50" s="196"/>
      <c r="AF50" s="197"/>
      <c r="AG50" s="204"/>
      <c r="AH50" s="58"/>
      <c r="AI50" s="100"/>
      <c r="AJ50" s="100"/>
      <c r="AK50" s="214"/>
      <c r="AL50" s="57"/>
      <c r="AM50" s="58"/>
      <c r="AN50" s="58"/>
      <c r="AO50" s="59"/>
      <c r="AP50" s="58"/>
      <c r="AQ50" s="58"/>
      <c r="AR50" s="58"/>
      <c r="AS50" s="42"/>
      <c r="AT50" s="43"/>
      <c r="AU50" s="89"/>
      <c r="AV50" s="58"/>
      <c r="AW50" s="78"/>
      <c r="AX50" s="78"/>
      <c r="AY50" s="44"/>
      <c r="AZ50" s="45"/>
      <c r="BA50" s="100"/>
      <c r="BB50" s="100"/>
      <c r="BC50" s="91"/>
      <c r="BD50" s="63"/>
      <c r="BE50" s="63"/>
      <c r="BF50" s="100"/>
      <c r="BG50" s="58"/>
      <c r="BH50" s="100"/>
      <c r="BI50" s="144">
        <v>0</v>
      </c>
      <c r="BJ50" s="93"/>
      <c r="BK50" s="93"/>
      <c r="BL50" s="93"/>
      <c r="BM50" s="106"/>
      <c r="BN50" s="145">
        <f t="shared" si="1"/>
        <v>0</v>
      </c>
      <c r="BO50" s="58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174"/>
      <c r="CC50" s="174"/>
      <c r="CD50" s="174"/>
      <c r="CE50" s="174"/>
      <c r="CF50" s="174"/>
      <c r="CG50" s="174"/>
    </row>
    <row r="51" spans="1:85" ht="15.75" thickBot="1" x14ac:dyDescent="0.3">
      <c r="A51" s="230">
        <v>12</v>
      </c>
      <c r="B51" s="170" t="s">
        <v>218</v>
      </c>
      <c r="C51" s="163" t="s">
        <v>219</v>
      </c>
      <c r="D51" s="163" t="s">
        <v>216</v>
      </c>
      <c r="E51" s="163" t="s">
        <v>177</v>
      </c>
      <c r="F51" s="376" t="s">
        <v>220</v>
      </c>
      <c r="G51" s="56"/>
      <c r="H51" s="167">
        <v>13327</v>
      </c>
      <c r="I51" s="58"/>
      <c r="J51" s="58"/>
      <c r="K51" s="58"/>
      <c r="L51" s="58"/>
      <c r="M51" s="56"/>
      <c r="N51" s="56"/>
      <c r="O51" s="51"/>
      <c r="P51" s="51"/>
      <c r="Q51" s="150" t="s">
        <v>391</v>
      </c>
      <c r="R51" s="152">
        <v>44754</v>
      </c>
      <c r="S51" s="152">
        <v>45119</v>
      </c>
      <c r="T51" s="154">
        <v>13327</v>
      </c>
      <c r="U51" s="150" t="s">
        <v>392</v>
      </c>
      <c r="V51" s="190">
        <v>13327</v>
      </c>
      <c r="W51" s="150" t="s">
        <v>220</v>
      </c>
      <c r="X51" s="207">
        <f>AK51</f>
        <v>1501207.2</v>
      </c>
      <c r="Y51" s="156" t="s">
        <v>280</v>
      </c>
      <c r="Z51" s="163" t="s">
        <v>278</v>
      </c>
      <c r="AA51" s="163" t="s">
        <v>279</v>
      </c>
      <c r="AB51" s="152">
        <v>44823</v>
      </c>
      <c r="AC51" s="154">
        <v>13372</v>
      </c>
      <c r="AD51" s="152">
        <v>44823</v>
      </c>
      <c r="AE51" s="152">
        <v>44926</v>
      </c>
      <c r="AF51" s="193" t="s">
        <v>183</v>
      </c>
      <c r="AG51" s="209" t="s">
        <v>178</v>
      </c>
      <c r="AH51" s="58"/>
      <c r="AI51" s="100"/>
      <c r="AJ51" s="100"/>
      <c r="AK51" s="158">
        <v>1501207.2</v>
      </c>
      <c r="AL51" s="57"/>
      <c r="AM51" s="58"/>
      <c r="AN51" s="58"/>
      <c r="AO51" s="59"/>
      <c r="AP51" s="58"/>
      <c r="AQ51" s="58"/>
      <c r="AR51" s="58"/>
      <c r="AS51" s="42"/>
      <c r="AT51" s="43"/>
      <c r="AU51" s="89"/>
      <c r="AV51" s="58"/>
      <c r="AW51" s="78"/>
      <c r="AX51" s="78"/>
      <c r="AY51" s="44"/>
      <c r="AZ51" s="45"/>
      <c r="BA51" s="100"/>
      <c r="BB51" s="100"/>
      <c r="BC51" s="91"/>
      <c r="BD51" s="63"/>
      <c r="BE51" s="63"/>
      <c r="BF51" s="100"/>
      <c r="BG51" s="58"/>
      <c r="BH51" s="100"/>
      <c r="BI51" s="144">
        <v>0</v>
      </c>
      <c r="BJ51" s="93">
        <f>156375.75+1417946.92+1785568.8</f>
        <v>3359891.4699999997</v>
      </c>
      <c r="BK51" s="117">
        <f>116664.94+25244.86</f>
        <v>141909.79999999999</v>
      </c>
      <c r="BL51" s="117">
        <f>141889.8+141889.8</f>
        <v>283779.59999999998</v>
      </c>
      <c r="BM51" s="93">
        <f>BL51</f>
        <v>283779.59999999998</v>
      </c>
      <c r="BN51" s="145">
        <f t="shared" si="1"/>
        <v>3643671.07</v>
      </c>
      <c r="BO51" s="58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174" t="s">
        <v>443</v>
      </c>
      <c r="CC51" s="182">
        <v>13388</v>
      </c>
      <c r="CD51" s="174" t="s">
        <v>434</v>
      </c>
      <c r="CE51" s="174" t="s">
        <v>435</v>
      </c>
      <c r="CF51" s="174" t="s">
        <v>436</v>
      </c>
      <c r="CG51" s="174" t="s">
        <v>437</v>
      </c>
    </row>
    <row r="52" spans="1:85" ht="39" thickBot="1" x14ac:dyDescent="0.3">
      <c r="A52" s="190"/>
      <c r="B52" s="243"/>
      <c r="C52" s="208"/>
      <c r="D52" s="208"/>
      <c r="E52" s="208"/>
      <c r="F52" s="377"/>
      <c r="G52" s="60"/>
      <c r="H52" s="168"/>
      <c r="I52" s="58"/>
      <c r="J52" s="58"/>
      <c r="K52" s="58"/>
      <c r="L52" s="58"/>
      <c r="M52" s="56"/>
      <c r="N52" s="56"/>
      <c r="O52" s="51"/>
      <c r="P52" s="51"/>
      <c r="Q52" s="151"/>
      <c r="R52" s="151"/>
      <c r="S52" s="151"/>
      <c r="T52" s="155"/>
      <c r="U52" s="151"/>
      <c r="V52" s="191"/>
      <c r="W52" s="151"/>
      <c r="X52" s="159"/>
      <c r="Y52" s="197"/>
      <c r="Z52" s="208"/>
      <c r="AA52" s="208"/>
      <c r="AB52" s="192"/>
      <c r="AC52" s="194"/>
      <c r="AD52" s="192"/>
      <c r="AE52" s="192"/>
      <c r="AF52" s="156"/>
      <c r="AG52" s="209"/>
      <c r="AH52" s="58"/>
      <c r="AI52" s="100"/>
      <c r="AJ52" s="100"/>
      <c r="AK52" s="214"/>
      <c r="AL52" s="57" t="s">
        <v>333</v>
      </c>
      <c r="AM52" s="58" t="s">
        <v>193</v>
      </c>
      <c r="AN52" s="50">
        <v>45184</v>
      </c>
      <c r="AO52" s="59">
        <v>13619</v>
      </c>
      <c r="AP52" s="58" t="s">
        <v>341</v>
      </c>
      <c r="AQ52" s="50">
        <v>45184</v>
      </c>
      <c r="AR52" s="50">
        <v>45549</v>
      </c>
      <c r="AS52" s="42"/>
      <c r="AT52" s="43"/>
      <c r="AU52" s="89"/>
      <c r="AV52" s="58"/>
      <c r="AW52" s="78"/>
      <c r="AX52" s="78"/>
      <c r="AY52" s="44"/>
      <c r="AZ52" s="45"/>
      <c r="BA52" s="100"/>
      <c r="BB52" s="100"/>
      <c r="BC52" s="91"/>
      <c r="BD52" s="62" t="e">
        <f>BE52/BI51</f>
        <v>#DIV/0!</v>
      </c>
      <c r="BE52" s="63">
        <v>142099.9</v>
      </c>
      <c r="BF52" s="100"/>
      <c r="BG52" s="58"/>
      <c r="BH52" s="100"/>
      <c r="BI52" s="144">
        <f>$AK$51+BE52</f>
        <v>1643307.0999999999</v>
      </c>
      <c r="BJ52" s="93"/>
      <c r="BK52" s="93"/>
      <c r="BL52" s="93"/>
      <c r="BM52" s="106"/>
      <c r="BN52" s="145">
        <f t="shared" si="1"/>
        <v>0</v>
      </c>
      <c r="BO52" s="58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175"/>
      <c r="CC52" s="175"/>
      <c r="CD52" s="174"/>
      <c r="CE52" s="174"/>
      <c r="CF52" s="174"/>
      <c r="CG52" s="174"/>
    </row>
    <row r="53" spans="1:85" ht="15.75" thickBot="1" x14ac:dyDescent="0.3">
      <c r="A53" s="190">
        <v>13</v>
      </c>
      <c r="B53" s="170" t="s">
        <v>222</v>
      </c>
      <c r="C53" s="163" t="s">
        <v>223</v>
      </c>
      <c r="D53" s="163" t="s">
        <v>224</v>
      </c>
      <c r="E53" s="163" t="s">
        <v>177</v>
      </c>
      <c r="F53" s="377" t="s">
        <v>225</v>
      </c>
      <c r="G53" s="56"/>
      <c r="H53" s="167">
        <v>12710</v>
      </c>
      <c r="I53" s="58"/>
      <c r="J53" s="58"/>
      <c r="K53" s="58"/>
      <c r="L53" s="58"/>
      <c r="M53" s="58"/>
      <c r="N53" s="58"/>
      <c r="O53" s="59"/>
      <c r="P53" s="59"/>
      <c r="Q53" s="57"/>
      <c r="R53" s="57"/>
      <c r="S53" s="57"/>
      <c r="T53" s="54"/>
      <c r="U53" s="57"/>
      <c r="V53" s="69"/>
      <c r="W53" s="58"/>
      <c r="X53" s="100"/>
      <c r="Y53" s="156" t="s">
        <v>281</v>
      </c>
      <c r="Z53" s="163" t="s">
        <v>282</v>
      </c>
      <c r="AA53" s="163" t="s">
        <v>283</v>
      </c>
      <c r="AB53" s="152">
        <v>43832</v>
      </c>
      <c r="AC53" s="154">
        <v>12721</v>
      </c>
      <c r="AD53" s="152">
        <v>43842</v>
      </c>
      <c r="AE53" s="152">
        <v>44196</v>
      </c>
      <c r="AF53" s="156" t="s">
        <v>183</v>
      </c>
      <c r="AG53" s="150" t="s">
        <v>178</v>
      </c>
      <c r="AH53" s="58"/>
      <c r="AI53" s="100"/>
      <c r="AJ53" s="100"/>
      <c r="AK53" s="158">
        <v>5235558</v>
      </c>
      <c r="AL53" s="57"/>
      <c r="AM53" s="58"/>
      <c r="AN53" s="50"/>
      <c r="AO53" s="59"/>
      <c r="AP53" s="58"/>
      <c r="AQ53" s="50"/>
      <c r="AR53" s="58"/>
      <c r="AS53" s="42"/>
      <c r="AT53" s="43"/>
      <c r="AU53" s="89"/>
      <c r="AV53" s="89"/>
      <c r="AW53" s="78"/>
      <c r="AX53" s="78"/>
      <c r="AY53" s="44"/>
      <c r="AZ53" s="45"/>
      <c r="BA53" s="100"/>
      <c r="BB53" s="100"/>
      <c r="BC53" s="91"/>
      <c r="BD53" s="63"/>
      <c r="BE53" s="63"/>
      <c r="BF53" s="100"/>
      <c r="BG53" s="58"/>
      <c r="BH53" s="100"/>
      <c r="BI53" s="144">
        <v>0</v>
      </c>
      <c r="BJ53" s="93">
        <f>349354.75+403070.75+390910.75+361315.75+313117.5+253437+40886.57+12160+244862+284802+287918+287918+288770+143769.58+146704.42+5156418+6237780+7821524.5</f>
        <v>23024719.57</v>
      </c>
      <c r="BK53" s="117">
        <f>657958.5</f>
        <v>657958.5</v>
      </c>
      <c r="BL53" s="117">
        <f>657958.5</f>
        <v>657958.5</v>
      </c>
      <c r="BM53" s="93">
        <f>BL53+BK53</f>
        <v>1315917</v>
      </c>
      <c r="BN53" s="145">
        <f t="shared" si="1"/>
        <v>24340636.57</v>
      </c>
      <c r="BO53" s="58"/>
      <c r="BP53" s="70"/>
      <c r="BQ53" s="70"/>
      <c r="BR53" s="70"/>
      <c r="BS53" s="70"/>
      <c r="BT53" s="70"/>
      <c r="BU53" s="70"/>
      <c r="BV53" s="70"/>
      <c r="BW53" s="71"/>
      <c r="BX53" s="70"/>
      <c r="BY53" s="70"/>
      <c r="BZ53" s="70"/>
      <c r="CA53" s="70"/>
      <c r="CB53" s="173" t="s">
        <v>445</v>
      </c>
      <c r="CC53" s="176">
        <v>13354</v>
      </c>
      <c r="CD53" s="173" t="s">
        <v>434</v>
      </c>
      <c r="CE53" s="173" t="s">
        <v>435</v>
      </c>
      <c r="CF53" s="173" t="s">
        <v>436</v>
      </c>
      <c r="CG53" s="173" t="s">
        <v>437</v>
      </c>
    </row>
    <row r="54" spans="1:85" ht="15.75" thickBot="1" x14ac:dyDescent="0.3">
      <c r="A54" s="210"/>
      <c r="B54" s="243"/>
      <c r="C54" s="208"/>
      <c r="D54" s="208"/>
      <c r="E54" s="208"/>
      <c r="F54" s="378"/>
      <c r="G54" s="60"/>
      <c r="H54" s="245"/>
      <c r="I54" s="58"/>
      <c r="J54" s="58"/>
      <c r="K54" s="58"/>
      <c r="L54" s="58"/>
      <c r="M54" s="58"/>
      <c r="N54" s="58"/>
      <c r="O54" s="59"/>
      <c r="P54" s="59"/>
      <c r="Q54" s="57"/>
      <c r="R54" s="57"/>
      <c r="S54" s="57"/>
      <c r="T54" s="54"/>
      <c r="U54" s="57"/>
      <c r="V54" s="69"/>
      <c r="W54" s="58"/>
      <c r="X54" s="100"/>
      <c r="Y54" s="197"/>
      <c r="Z54" s="208"/>
      <c r="AA54" s="208"/>
      <c r="AB54" s="192"/>
      <c r="AC54" s="194"/>
      <c r="AD54" s="192"/>
      <c r="AE54" s="192"/>
      <c r="AF54" s="197"/>
      <c r="AG54" s="204"/>
      <c r="AH54" s="58"/>
      <c r="AI54" s="100"/>
      <c r="AJ54" s="100"/>
      <c r="AK54" s="214"/>
      <c r="AL54" s="57" t="s">
        <v>192</v>
      </c>
      <c r="AM54" s="58" t="s">
        <v>193</v>
      </c>
      <c r="AN54" s="50">
        <v>44026</v>
      </c>
      <c r="AO54" s="59">
        <v>12872</v>
      </c>
      <c r="AP54" s="58" t="s">
        <v>342</v>
      </c>
      <c r="AQ54" s="50">
        <v>43842</v>
      </c>
      <c r="AR54" s="58" t="s">
        <v>378</v>
      </c>
      <c r="AS54" s="42"/>
      <c r="AT54" s="43"/>
      <c r="AU54" s="89"/>
      <c r="AV54" s="89" t="e">
        <f>AX54/BI53</f>
        <v>#DIV/0!</v>
      </c>
      <c r="AW54" s="78"/>
      <c r="AX54" s="78">
        <v>23589</v>
      </c>
      <c r="AY54" s="44"/>
      <c r="AZ54" s="45"/>
      <c r="BA54" s="100"/>
      <c r="BB54" s="100"/>
      <c r="BC54" s="91"/>
      <c r="BD54" s="63"/>
      <c r="BE54" s="63"/>
      <c r="BF54" s="100"/>
      <c r="BG54" s="58"/>
      <c r="BH54" s="100"/>
      <c r="BI54" s="144">
        <f t="shared" ref="BI54:BI59" si="4">$AK$53+AW54-AX54</f>
        <v>5211969</v>
      </c>
      <c r="BJ54" s="93"/>
      <c r="BK54" s="93"/>
      <c r="BL54" s="93"/>
      <c r="BM54" s="106"/>
      <c r="BN54" s="145">
        <f t="shared" si="1"/>
        <v>0</v>
      </c>
      <c r="BO54" s="58"/>
      <c r="BP54" s="70"/>
      <c r="BQ54" s="70"/>
      <c r="BR54" s="70"/>
      <c r="BS54" s="70"/>
      <c r="BT54" s="70"/>
      <c r="BU54" s="70"/>
      <c r="BV54" s="70"/>
      <c r="BW54" s="71"/>
      <c r="BX54" s="70"/>
      <c r="BY54" s="70"/>
      <c r="BZ54" s="70"/>
      <c r="CA54" s="70"/>
      <c r="CB54" s="174"/>
      <c r="CC54" s="174"/>
      <c r="CD54" s="174"/>
      <c r="CE54" s="174"/>
      <c r="CF54" s="174"/>
      <c r="CG54" s="174"/>
    </row>
    <row r="55" spans="1:85" ht="15.75" thickBot="1" x14ac:dyDescent="0.3">
      <c r="A55" s="210"/>
      <c r="B55" s="243"/>
      <c r="C55" s="208"/>
      <c r="D55" s="208"/>
      <c r="E55" s="208"/>
      <c r="F55" s="378"/>
      <c r="G55" s="60"/>
      <c r="H55" s="245"/>
      <c r="I55" s="58"/>
      <c r="J55" s="58"/>
      <c r="K55" s="58"/>
      <c r="L55" s="58"/>
      <c r="M55" s="58"/>
      <c r="N55" s="58"/>
      <c r="O55" s="59"/>
      <c r="P55" s="59"/>
      <c r="Q55" s="57"/>
      <c r="R55" s="57"/>
      <c r="S55" s="57"/>
      <c r="T55" s="54"/>
      <c r="U55" s="57"/>
      <c r="V55" s="69"/>
      <c r="W55" s="58"/>
      <c r="X55" s="100"/>
      <c r="Y55" s="197"/>
      <c r="Z55" s="208"/>
      <c r="AA55" s="208"/>
      <c r="AB55" s="192"/>
      <c r="AC55" s="194"/>
      <c r="AD55" s="192"/>
      <c r="AE55" s="192"/>
      <c r="AF55" s="197"/>
      <c r="AG55" s="204"/>
      <c r="AH55" s="58"/>
      <c r="AI55" s="100"/>
      <c r="AJ55" s="100"/>
      <c r="AK55" s="214"/>
      <c r="AL55" s="57" t="s">
        <v>338</v>
      </c>
      <c r="AM55" s="58" t="s">
        <v>193</v>
      </c>
      <c r="AN55" s="50">
        <v>44224</v>
      </c>
      <c r="AO55" s="59">
        <v>12988</v>
      </c>
      <c r="AP55" s="58" t="s">
        <v>343</v>
      </c>
      <c r="AQ55" s="50">
        <v>43831</v>
      </c>
      <c r="AR55" s="50">
        <v>44196</v>
      </c>
      <c r="AS55" s="42"/>
      <c r="AT55" s="43"/>
      <c r="AU55" s="89"/>
      <c r="AV55" s="89">
        <f>AX55/BI54</f>
        <v>8.3396121504176246E-2</v>
      </c>
      <c r="AW55" s="78"/>
      <c r="AX55" s="78">
        <v>434658</v>
      </c>
      <c r="AY55" s="44"/>
      <c r="AZ55" s="45"/>
      <c r="BA55" s="100"/>
      <c r="BB55" s="100"/>
      <c r="BC55" s="91"/>
      <c r="BD55" s="63"/>
      <c r="BE55" s="63"/>
      <c r="BF55" s="100"/>
      <c r="BG55" s="58"/>
      <c r="BH55" s="100"/>
      <c r="BI55" s="144">
        <f t="shared" si="4"/>
        <v>4800900</v>
      </c>
      <c r="BJ55" s="93"/>
      <c r="BK55" s="93"/>
      <c r="BL55" s="93"/>
      <c r="BM55" s="106"/>
      <c r="BN55" s="145">
        <f t="shared" si="1"/>
        <v>0</v>
      </c>
      <c r="BO55" s="58"/>
      <c r="BP55" s="70"/>
      <c r="BQ55" s="70"/>
      <c r="BR55" s="70"/>
      <c r="BS55" s="70"/>
      <c r="BT55" s="70"/>
      <c r="BU55" s="70"/>
      <c r="BV55" s="70"/>
      <c r="BW55" s="71"/>
      <c r="BX55" s="70"/>
      <c r="BY55" s="70"/>
      <c r="BZ55" s="70"/>
      <c r="CA55" s="70"/>
      <c r="CB55" s="174"/>
      <c r="CC55" s="174"/>
      <c r="CD55" s="174"/>
      <c r="CE55" s="174"/>
      <c r="CF55" s="174"/>
      <c r="CG55" s="174"/>
    </row>
    <row r="56" spans="1:85" ht="26.25" thickBot="1" x14ac:dyDescent="0.3">
      <c r="A56" s="210"/>
      <c r="B56" s="243"/>
      <c r="C56" s="208"/>
      <c r="D56" s="208"/>
      <c r="E56" s="208"/>
      <c r="F56" s="378"/>
      <c r="G56" s="60"/>
      <c r="H56" s="245"/>
      <c r="I56" s="58"/>
      <c r="J56" s="58"/>
      <c r="K56" s="58"/>
      <c r="L56" s="58"/>
      <c r="M56" s="58"/>
      <c r="N56" s="58"/>
      <c r="O56" s="59"/>
      <c r="P56" s="59"/>
      <c r="Q56" s="57"/>
      <c r="R56" s="57"/>
      <c r="S56" s="57"/>
      <c r="T56" s="54"/>
      <c r="U56" s="57"/>
      <c r="V56" s="69"/>
      <c r="W56" s="58"/>
      <c r="X56" s="100"/>
      <c r="Y56" s="197"/>
      <c r="Z56" s="208"/>
      <c r="AA56" s="208"/>
      <c r="AB56" s="192"/>
      <c r="AC56" s="194"/>
      <c r="AD56" s="192"/>
      <c r="AE56" s="192"/>
      <c r="AF56" s="197"/>
      <c r="AG56" s="204"/>
      <c r="AH56" s="58"/>
      <c r="AI56" s="100"/>
      <c r="AJ56" s="100"/>
      <c r="AK56" s="214"/>
      <c r="AL56" s="57" t="s">
        <v>192</v>
      </c>
      <c r="AM56" s="58" t="s">
        <v>195</v>
      </c>
      <c r="AN56" s="50">
        <v>44197</v>
      </c>
      <c r="AO56" s="59">
        <v>12948</v>
      </c>
      <c r="AP56" s="58" t="s">
        <v>344</v>
      </c>
      <c r="AQ56" s="50">
        <v>44197</v>
      </c>
      <c r="AR56" s="50">
        <v>44561</v>
      </c>
      <c r="AS56" s="42"/>
      <c r="AT56" s="43"/>
      <c r="AU56" s="89"/>
      <c r="AV56" s="58"/>
      <c r="AW56" s="78"/>
      <c r="AX56" s="78"/>
      <c r="AY56" s="44"/>
      <c r="AZ56" s="45"/>
      <c r="BA56" s="100"/>
      <c r="BB56" s="100"/>
      <c r="BC56" s="91"/>
      <c r="BD56" s="63"/>
      <c r="BE56" s="63"/>
      <c r="BF56" s="100"/>
      <c r="BG56" s="58"/>
      <c r="BH56" s="100"/>
      <c r="BI56" s="144">
        <v>0</v>
      </c>
      <c r="BJ56" s="93"/>
      <c r="BK56" s="93"/>
      <c r="BL56" s="93"/>
      <c r="BM56" s="106"/>
      <c r="BN56" s="145">
        <f t="shared" si="1"/>
        <v>0</v>
      </c>
      <c r="BO56" s="58"/>
      <c r="BP56" s="70"/>
      <c r="BQ56" s="70"/>
      <c r="BR56" s="70"/>
      <c r="BS56" s="70"/>
      <c r="BT56" s="70"/>
      <c r="BU56" s="70"/>
      <c r="BV56" s="70"/>
      <c r="BW56" s="71"/>
      <c r="BX56" s="70"/>
      <c r="BY56" s="70"/>
      <c r="BZ56" s="70"/>
      <c r="CA56" s="70"/>
      <c r="CB56" s="174"/>
      <c r="CC56" s="174"/>
      <c r="CD56" s="174"/>
      <c r="CE56" s="174"/>
      <c r="CF56" s="174"/>
      <c r="CG56" s="174"/>
    </row>
    <row r="57" spans="1:85" ht="39" thickBot="1" x14ac:dyDescent="0.3">
      <c r="A57" s="210"/>
      <c r="B57" s="243"/>
      <c r="C57" s="208"/>
      <c r="D57" s="208"/>
      <c r="E57" s="208"/>
      <c r="F57" s="378"/>
      <c r="G57" s="60"/>
      <c r="H57" s="245"/>
      <c r="I57" s="58"/>
      <c r="J57" s="58"/>
      <c r="K57" s="58"/>
      <c r="L57" s="58"/>
      <c r="M57" s="58"/>
      <c r="N57" s="58"/>
      <c r="O57" s="59"/>
      <c r="P57" s="59"/>
      <c r="Q57" s="57"/>
      <c r="R57" s="57"/>
      <c r="S57" s="57"/>
      <c r="T57" s="54"/>
      <c r="U57" s="57"/>
      <c r="V57" s="69"/>
      <c r="W57" s="58"/>
      <c r="X57" s="100"/>
      <c r="Y57" s="197"/>
      <c r="Z57" s="208"/>
      <c r="AA57" s="208"/>
      <c r="AB57" s="192"/>
      <c r="AC57" s="194"/>
      <c r="AD57" s="192"/>
      <c r="AE57" s="192"/>
      <c r="AF57" s="197"/>
      <c r="AG57" s="204"/>
      <c r="AH57" s="58"/>
      <c r="AI57" s="100"/>
      <c r="AJ57" s="100"/>
      <c r="AK57" s="214"/>
      <c r="AL57" s="57" t="s">
        <v>192</v>
      </c>
      <c r="AM57" s="58" t="s">
        <v>196</v>
      </c>
      <c r="AN57" s="50">
        <v>44553</v>
      </c>
      <c r="AO57" s="59">
        <v>13194</v>
      </c>
      <c r="AP57" s="58" t="s">
        <v>345</v>
      </c>
      <c r="AQ57" s="50">
        <v>44562</v>
      </c>
      <c r="AR57" s="50">
        <v>44926</v>
      </c>
      <c r="AS57" s="42"/>
      <c r="AT57" s="43"/>
      <c r="AU57" s="89">
        <f>AW57/BI55</f>
        <v>8.7482971942760737E-2</v>
      </c>
      <c r="AV57" s="89"/>
      <c r="AW57" s="78">
        <v>419997</v>
      </c>
      <c r="AX57" s="78"/>
      <c r="AY57" s="44"/>
      <c r="AZ57" s="45"/>
      <c r="BA57" s="100"/>
      <c r="BB57" s="100"/>
      <c r="BC57" s="91"/>
      <c r="BD57" s="63"/>
      <c r="BE57" s="63"/>
      <c r="BF57" s="100"/>
      <c r="BG57" s="58"/>
      <c r="BH57" s="100"/>
      <c r="BI57" s="144">
        <f>$AK$53+AW57-AX57</f>
        <v>5655555</v>
      </c>
      <c r="BJ57" s="93"/>
      <c r="BK57" s="93"/>
      <c r="BL57" s="93"/>
      <c r="BM57" s="106"/>
      <c r="BN57" s="145">
        <f t="shared" si="1"/>
        <v>0</v>
      </c>
      <c r="BO57" s="58"/>
      <c r="BP57" s="70"/>
      <c r="BQ57" s="70"/>
      <c r="BR57" s="70"/>
      <c r="BS57" s="70"/>
      <c r="BT57" s="70"/>
      <c r="BU57" s="70"/>
      <c r="BV57" s="70"/>
      <c r="BW57" s="71"/>
      <c r="BX57" s="70"/>
      <c r="BY57" s="70"/>
      <c r="BZ57" s="70"/>
      <c r="CA57" s="70"/>
      <c r="CB57" s="174"/>
      <c r="CC57" s="174"/>
      <c r="CD57" s="174"/>
      <c r="CE57" s="174"/>
      <c r="CF57" s="174"/>
      <c r="CG57" s="174"/>
    </row>
    <row r="58" spans="1:85" ht="64.5" thickBot="1" x14ac:dyDescent="0.3">
      <c r="A58" s="210"/>
      <c r="B58" s="243"/>
      <c r="C58" s="208"/>
      <c r="D58" s="208"/>
      <c r="E58" s="208"/>
      <c r="F58" s="378"/>
      <c r="G58" s="60"/>
      <c r="H58" s="245"/>
      <c r="I58" s="58"/>
      <c r="J58" s="58"/>
      <c r="K58" s="58"/>
      <c r="L58" s="58"/>
      <c r="M58" s="58"/>
      <c r="N58" s="58"/>
      <c r="O58" s="59"/>
      <c r="P58" s="59"/>
      <c r="Q58" s="57"/>
      <c r="R58" s="57"/>
      <c r="S58" s="57"/>
      <c r="T58" s="54"/>
      <c r="U58" s="57"/>
      <c r="V58" s="69"/>
      <c r="W58" s="58"/>
      <c r="X58" s="100"/>
      <c r="Y58" s="197"/>
      <c r="Z58" s="208"/>
      <c r="AA58" s="208"/>
      <c r="AB58" s="192"/>
      <c r="AC58" s="194"/>
      <c r="AD58" s="192"/>
      <c r="AE58" s="192"/>
      <c r="AF58" s="197"/>
      <c r="AG58" s="204"/>
      <c r="AH58" s="58"/>
      <c r="AI58" s="100"/>
      <c r="AJ58" s="100"/>
      <c r="AK58" s="214"/>
      <c r="AL58" s="57" t="s">
        <v>192</v>
      </c>
      <c r="AM58" s="58" t="s">
        <v>197</v>
      </c>
      <c r="AN58" s="50">
        <v>44889</v>
      </c>
      <c r="AO58" s="59">
        <v>13424</v>
      </c>
      <c r="AP58" s="58" t="s">
        <v>346</v>
      </c>
      <c r="AQ58" s="50">
        <v>44927</v>
      </c>
      <c r="AR58" s="50">
        <v>45291</v>
      </c>
      <c r="AS58" s="42"/>
      <c r="AT58" s="43"/>
      <c r="AU58" s="89">
        <f>AW58/BI57</f>
        <v>0.18800489076668869</v>
      </c>
      <c r="AV58" s="89"/>
      <c r="AW58" s="78">
        <v>1063272</v>
      </c>
      <c r="AX58" s="78"/>
      <c r="AY58" s="44"/>
      <c r="AZ58" s="45"/>
      <c r="BA58" s="100"/>
      <c r="BB58" s="100"/>
      <c r="BC58" s="91"/>
      <c r="BD58" s="63"/>
      <c r="BE58" s="63"/>
      <c r="BF58" s="100"/>
      <c r="BG58" s="58"/>
      <c r="BH58" s="100"/>
      <c r="BI58" s="144">
        <f t="shared" si="4"/>
        <v>6298830</v>
      </c>
      <c r="BJ58" s="93"/>
      <c r="BK58" s="93"/>
      <c r="BL58" s="93"/>
      <c r="BM58" s="106"/>
      <c r="BN58" s="145">
        <f t="shared" si="1"/>
        <v>0</v>
      </c>
      <c r="BO58" s="58"/>
      <c r="BP58" s="70"/>
      <c r="BQ58" s="70"/>
      <c r="BR58" s="70"/>
      <c r="BS58" s="70"/>
      <c r="BT58" s="70"/>
      <c r="BU58" s="70"/>
      <c r="BV58" s="70"/>
      <c r="BW58" s="69"/>
      <c r="BX58" s="70"/>
      <c r="BY58" s="70"/>
      <c r="BZ58" s="70"/>
      <c r="CA58" s="70"/>
      <c r="CB58" s="174"/>
      <c r="CC58" s="174"/>
      <c r="CD58" s="174"/>
      <c r="CE58" s="174"/>
      <c r="CF58" s="174"/>
      <c r="CG58" s="174"/>
    </row>
    <row r="59" spans="1:85" ht="39" thickBot="1" x14ac:dyDescent="0.3">
      <c r="A59" s="191"/>
      <c r="B59" s="46"/>
      <c r="C59" s="47"/>
      <c r="D59" s="47"/>
      <c r="E59" s="47"/>
      <c r="F59" s="379"/>
      <c r="G59" s="60"/>
      <c r="H59" s="66"/>
      <c r="I59" s="58"/>
      <c r="J59" s="58"/>
      <c r="K59" s="58"/>
      <c r="L59" s="58"/>
      <c r="M59" s="58"/>
      <c r="N59" s="58"/>
      <c r="O59" s="59"/>
      <c r="P59" s="59"/>
      <c r="Q59" s="57"/>
      <c r="R59" s="57"/>
      <c r="S59" s="57"/>
      <c r="T59" s="54"/>
      <c r="U59" s="57"/>
      <c r="V59" s="69"/>
      <c r="W59" s="58"/>
      <c r="X59" s="100"/>
      <c r="Y59" s="157"/>
      <c r="Z59" s="164"/>
      <c r="AA59" s="47"/>
      <c r="AB59" s="61"/>
      <c r="AC59" s="64"/>
      <c r="AD59" s="61"/>
      <c r="AE59" s="61"/>
      <c r="AF59" s="157"/>
      <c r="AG59" s="151"/>
      <c r="AH59" s="58"/>
      <c r="AI59" s="100"/>
      <c r="AJ59" s="100"/>
      <c r="AK59" s="116"/>
      <c r="AL59" s="57" t="s">
        <v>179</v>
      </c>
      <c r="AM59" s="58" t="s">
        <v>198</v>
      </c>
      <c r="AN59" s="50">
        <v>45286</v>
      </c>
      <c r="AO59" s="59">
        <v>13692</v>
      </c>
      <c r="AP59" s="58" t="s">
        <v>347</v>
      </c>
      <c r="AQ59" s="50">
        <v>45292</v>
      </c>
      <c r="AR59" s="50">
        <v>45657</v>
      </c>
      <c r="AS59" s="42"/>
      <c r="AT59" s="43"/>
      <c r="AU59" s="89">
        <f>AW59/BI58</f>
        <v>0.11180409695133858</v>
      </c>
      <c r="AV59" s="89"/>
      <c r="AW59" s="63">
        <v>704235</v>
      </c>
      <c r="AX59" s="78"/>
      <c r="AY59" s="44"/>
      <c r="AZ59" s="45"/>
      <c r="BA59" s="100"/>
      <c r="BB59" s="100"/>
      <c r="BC59" s="91"/>
      <c r="BD59" s="62"/>
      <c r="BE59" s="63"/>
      <c r="BF59" s="100"/>
      <c r="BG59" s="58"/>
      <c r="BH59" s="100"/>
      <c r="BI59" s="144">
        <f t="shared" si="4"/>
        <v>5939793</v>
      </c>
      <c r="BJ59" s="93"/>
      <c r="BK59" s="93"/>
      <c r="BL59" s="93"/>
      <c r="BM59" s="106"/>
      <c r="BN59" s="145">
        <f t="shared" si="1"/>
        <v>0</v>
      </c>
      <c r="BO59" s="58"/>
      <c r="BP59" s="70"/>
      <c r="BQ59" s="70"/>
      <c r="BR59" s="70"/>
      <c r="BS59" s="70"/>
      <c r="BT59" s="70"/>
      <c r="BU59" s="70"/>
      <c r="BV59" s="70"/>
      <c r="BW59" s="71"/>
      <c r="BX59" s="70"/>
      <c r="BY59" s="70"/>
      <c r="BZ59" s="70"/>
      <c r="CA59" s="70"/>
      <c r="CB59" s="175"/>
      <c r="CC59" s="175"/>
      <c r="CD59" s="175"/>
      <c r="CE59" s="175"/>
      <c r="CF59" s="175"/>
      <c r="CG59" s="175"/>
    </row>
    <row r="60" spans="1:85" ht="15.75" thickBot="1" x14ac:dyDescent="0.3">
      <c r="A60" s="190">
        <v>14</v>
      </c>
      <c r="B60" s="170" t="s">
        <v>222</v>
      </c>
      <c r="C60" s="163" t="s">
        <v>223</v>
      </c>
      <c r="D60" s="163" t="s">
        <v>224</v>
      </c>
      <c r="E60" s="163" t="s">
        <v>177</v>
      </c>
      <c r="F60" s="377" t="s">
        <v>225</v>
      </c>
      <c r="G60" s="56"/>
      <c r="H60" s="167">
        <v>12710</v>
      </c>
      <c r="I60" s="58"/>
      <c r="J60" s="58"/>
      <c r="K60" s="58"/>
      <c r="L60" s="58"/>
      <c r="M60" s="58"/>
      <c r="N60" s="58"/>
      <c r="O60" s="59"/>
      <c r="P60" s="59"/>
      <c r="Q60" s="57"/>
      <c r="R60" s="57"/>
      <c r="S60" s="57"/>
      <c r="T60" s="54"/>
      <c r="U60" s="57"/>
      <c r="V60" s="69"/>
      <c r="W60" s="58"/>
      <c r="X60" s="100"/>
      <c r="Y60" s="156" t="s">
        <v>284</v>
      </c>
      <c r="Z60" s="163" t="s">
        <v>278</v>
      </c>
      <c r="AA60" s="163" t="s">
        <v>279</v>
      </c>
      <c r="AB60" s="152">
        <v>43832</v>
      </c>
      <c r="AC60" s="154">
        <v>12721</v>
      </c>
      <c r="AD60" s="152">
        <v>43842</v>
      </c>
      <c r="AE60" s="152">
        <v>44196</v>
      </c>
      <c r="AF60" s="156" t="s">
        <v>183</v>
      </c>
      <c r="AG60" s="150" t="s">
        <v>178</v>
      </c>
      <c r="AH60" s="58"/>
      <c r="AI60" s="100"/>
      <c r="AJ60" s="100"/>
      <c r="AK60" s="158">
        <v>3973572</v>
      </c>
      <c r="AL60" s="57"/>
      <c r="AM60" s="58"/>
      <c r="AN60" s="58"/>
      <c r="AO60" s="59"/>
      <c r="AP60" s="58"/>
      <c r="AQ60" s="58"/>
      <c r="AR60" s="58"/>
      <c r="AS60" s="42"/>
      <c r="AT60" s="43"/>
      <c r="AU60" s="89"/>
      <c r="AV60" s="58"/>
      <c r="AW60" s="78"/>
      <c r="AX60" s="78"/>
      <c r="AY60" s="44"/>
      <c r="AZ60" s="45"/>
      <c r="BA60" s="100"/>
      <c r="BB60" s="100"/>
      <c r="BC60" s="91"/>
      <c r="BD60" s="63"/>
      <c r="BE60" s="63"/>
      <c r="BF60" s="100"/>
      <c r="BG60" s="58"/>
      <c r="BH60" s="100"/>
      <c r="BI60" s="144">
        <v>0</v>
      </c>
      <c r="BJ60" s="93">
        <f>320711.1+318823.1+320711.1+314723.1+265603.2+189517.2+1888+31273.4+192289.8+216682.8+223676+221353.2+221074.8+222952.8+59468+359468+359468+359468+359468+359468+359468+359468+359468+359468+359468+359468+51645.42+365359.22+317091.6+3846216+4895596.8+6021616.41</f>
        <v>22572421.050000001</v>
      </c>
      <c r="BK60" s="117">
        <f>468602.4</f>
        <v>468602.4</v>
      </c>
      <c r="BL60" s="117">
        <f>468602.4+468602.4</f>
        <v>937204.8</v>
      </c>
      <c r="BM60" s="93">
        <f>BL60+BK60</f>
        <v>1405807.2000000002</v>
      </c>
      <c r="BN60" s="145">
        <f t="shared" si="1"/>
        <v>23978228.25</v>
      </c>
      <c r="BO60" s="58"/>
      <c r="BP60" s="70"/>
      <c r="BQ60" s="70"/>
      <c r="BR60" s="70"/>
      <c r="BS60" s="70"/>
      <c r="BT60" s="70"/>
      <c r="BU60" s="70"/>
      <c r="BV60" s="70"/>
      <c r="BW60" s="71"/>
      <c r="BX60" s="70"/>
      <c r="BY60" s="70"/>
      <c r="BZ60" s="70"/>
      <c r="CA60" s="70"/>
      <c r="CB60" s="173" t="s">
        <v>446</v>
      </c>
      <c r="CC60" s="176">
        <v>13354</v>
      </c>
      <c r="CD60" s="173" t="s">
        <v>434</v>
      </c>
      <c r="CE60" s="173" t="s">
        <v>435</v>
      </c>
      <c r="CF60" s="173" t="s">
        <v>436</v>
      </c>
      <c r="CG60" s="173" t="s">
        <v>437</v>
      </c>
    </row>
    <row r="61" spans="1:85" ht="15.75" thickBot="1" x14ac:dyDescent="0.3">
      <c r="A61" s="210"/>
      <c r="B61" s="243"/>
      <c r="C61" s="208"/>
      <c r="D61" s="208"/>
      <c r="E61" s="208"/>
      <c r="F61" s="378"/>
      <c r="G61" s="60"/>
      <c r="H61" s="245"/>
      <c r="I61" s="58"/>
      <c r="J61" s="58"/>
      <c r="K61" s="58"/>
      <c r="L61" s="58"/>
      <c r="M61" s="58"/>
      <c r="N61" s="58"/>
      <c r="O61" s="59"/>
      <c r="P61" s="59"/>
      <c r="Q61" s="57"/>
      <c r="R61" s="57"/>
      <c r="S61" s="57"/>
      <c r="T61" s="54"/>
      <c r="U61" s="57"/>
      <c r="V61" s="69"/>
      <c r="W61" s="58"/>
      <c r="X61" s="100"/>
      <c r="Y61" s="197"/>
      <c r="Z61" s="208"/>
      <c r="AA61" s="208"/>
      <c r="AB61" s="192"/>
      <c r="AC61" s="194"/>
      <c r="AD61" s="192"/>
      <c r="AE61" s="192"/>
      <c r="AF61" s="197"/>
      <c r="AG61" s="204"/>
      <c r="AH61" s="58"/>
      <c r="AI61" s="100"/>
      <c r="AJ61" s="100"/>
      <c r="AK61" s="214"/>
      <c r="AL61" s="57" t="s">
        <v>192</v>
      </c>
      <c r="AM61" s="58" t="s">
        <v>193</v>
      </c>
      <c r="AN61" s="50">
        <v>44026</v>
      </c>
      <c r="AO61" s="59">
        <v>12872</v>
      </c>
      <c r="AP61" s="58" t="s">
        <v>342</v>
      </c>
      <c r="AQ61" s="50">
        <v>43842</v>
      </c>
      <c r="AR61" s="50">
        <v>44196</v>
      </c>
      <c r="AS61" s="42"/>
      <c r="AT61" s="43"/>
      <c r="AU61" s="89"/>
      <c r="AV61" s="89" t="e">
        <f>AX61/BI60</f>
        <v>#DIV/0!</v>
      </c>
      <c r="AW61" s="78"/>
      <c r="AX61" s="78">
        <f>1470*12</f>
        <v>17640</v>
      </c>
      <c r="AY61" s="44"/>
      <c r="AZ61" s="45"/>
      <c r="BA61" s="100"/>
      <c r="BB61" s="100"/>
      <c r="BC61" s="91"/>
      <c r="BD61" s="63"/>
      <c r="BE61" s="63"/>
      <c r="BF61" s="100"/>
      <c r="BG61" s="58"/>
      <c r="BH61" s="100"/>
      <c r="BI61" s="144">
        <f t="shared" ref="BI61:BI65" si="5">$AK$60+AW61-AX61</f>
        <v>3955932</v>
      </c>
      <c r="BJ61" s="93"/>
      <c r="BK61" s="93"/>
      <c r="BL61" s="93"/>
      <c r="BM61" s="106"/>
      <c r="BN61" s="145">
        <f t="shared" si="1"/>
        <v>0</v>
      </c>
      <c r="BO61" s="58"/>
      <c r="BP61" s="70"/>
      <c r="BQ61" s="70"/>
      <c r="BR61" s="70"/>
      <c r="BS61" s="70"/>
      <c r="BT61" s="70"/>
      <c r="BU61" s="70"/>
      <c r="BV61" s="70"/>
      <c r="BW61" s="71"/>
      <c r="BX61" s="70"/>
      <c r="BY61" s="70"/>
      <c r="BZ61" s="70"/>
      <c r="CA61" s="70"/>
      <c r="CB61" s="174"/>
      <c r="CC61" s="174"/>
      <c r="CD61" s="174"/>
      <c r="CE61" s="174"/>
      <c r="CF61" s="174"/>
      <c r="CG61" s="174"/>
    </row>
    <row r="62" spans="1:85" ht="26.25" thickBot="1" x14ac:dyDescent="0.3">
      <c r="A62" s="210"/>
      <c r="B62" s="243"/>
      <c r="C62" s="208"/>
      <c r="D62" s="208"/>
      <c r="E62" s="208"/>
      <c r="F62" s="378"/>
      <c r="G62" s="60"/>
      <c r="H62" s="245"/>
      <c r="I62" s="58"/>
      <c r="J62" s="58"/>
      <c r="K62" s="58"/>
      <c r="L62" s="58"/>
      <c r="M62" s="58"/>
      <c r="N62" s="58"/>
      <c r="O62" s="59"/>
      <c r="P62" s="59"/>
      <c r="Q62" s="57"/>
      <c r="R62" s="57"/>
      <c r="S62" s="57"/>
      <c r="T62" s="54"/>
      <c r="U62" s="57"/>
      <c r="V62" s="69"/>
      <c r="W62" s="58"/>
      <c r="X62" s="100"/>
      <c r="Y62" s="197"/>
      <c r="Z62" s="208"/>
      <c r="AA62" s="208"/>
      <c r="AB62" s="192"/>
      <c r="AC62" s="194"/>
      <c r="AD62" s="192"/>
      <c r="AE62" s="192"/>
      <c r="AF62" s="197"/>
      <c r="AG62" s="204"/>
      <c r="AH62" s="58"/>
      <c r="AI62" s="100"/>
      <c r="AJ62" s="100"/>
      <c r="AK62" s="214"/>
      <c r="AL62" s="57" t="s">
        <v>192</v>
      </c>
      <c r="AM62" s="58" t="s">
        <v>195</v>
      </c>
      <c r="AN62" s="50">
        <v>44197</v>
      </c>
      <c r="AO62" s="59">
        <v>12947</v>
      </c>
      <c r="AP62" s="58" t="s">
        <v>348</v>
      </c>
      <c r="AQ62" s="50">
        <v>44197</v>
      </c>
      <c r="AR62" s="50">
        <v>44561</v>
      </c>
      <c r="AS62" s="42"/>
      <c r="AT62" s="43"/>
      <c r="AU62" s="89"/>
      <c r="AV62" s="89"/>
      <c r="AW62" s="78"/>
      <c r="AX62" s="78"/>
      <c r="AY62" s="44"/>
      <c r="AZ62" s="45"/>
      <c r="BA62" s="100"/>
      <c r="BB62" s="100"/>
      <c r="BC62" s="91"/>
      <c r="BD62" s="63"/>
      <c r="BE62" s="63"/>
      <c r="BF62" s="100"/>
      <c r="BG62" s="58"/>
      <c r="BH62" s="100"/>
      <c r="BI62" s="144">
        <v>0</v>
      </c>
      <c r="BJ62" s="93"/>
      <c r="BK62" s="93"/>
      <c r="BL62" s="93"/>
      <c r="BM62" s="106"/>
      <c r="BN62" s="145">
        <f t="shared" si="1"/>
        <v>0</v>
      </c>
      <c r="BO62" s="58"/>
      <c r="BP62" s="70"/>
      <c r="BQ62" s="70"/>
      <c r="BR62" s="70"/>
      <c r="BS62" s="70"/>
      <c r="BT62" s="70"/>
      <c r="BU62" s="70"/>
      <c r="BV62" s="70"/>
      <c r="BW62" s="71"/>
      <c r="BX62" s="70"/>
      <c r="BY62" s="70"/>
      <c r="BZ62" s="70"/>
      <c r="CA62" s="70"/>
      <c r="CB62" s="174"/>
      <c r="CC62" s="174"/>
      <c r="CD62" s="174"/>
      <c r="CE62" s="174"/>
      <c r="CF62" s="174"/>
      <c r="CG62" s="174"/>
    </row>
    <row r="63" spans="1:85" ht="15.75" thickBot="1" x14ac:dyDescent="0.3">
      <c r="A63" s="210"/>
      <c r="B63" s="243"/>
      <c r="C63" s="208"/>
      <c r="D63" s="208"/>
      <c r="E63" s="208"/>
      <c r="F63" s="378"/>
      <c r="G63" s="60"/>
      <c r="H63" s="245"/>
      <c r="I63" s="58"/>
      <c r="J63" s="58"/>
      <c r="K63" s="58"/>
      <c r="L63" s="58"/>
      <c r="M63" s="58"/>
      <c r="N63" s="58"/>
      <c r="O63" s="59"/>
      <c r="P63" s="59"/>
      <c r="Q63" s="57"/>
      <c r="R63" s="57"/>
      <c r="S63" s="57"/>
      <c r="T63" s="54"/>
      <c r="U63" s="57"/>
      <c r="V63" s="69"/>
      <c r="W63" s="58"/>
      <c r="X63" s="100"/>
      <c r="Y63" s="197"/>
      <c r="Z63" s="208"/>
      <c r="AA63" s="208"/>
      <c r="AB63" s="192"/>
      <c r="AC63" s="194"/>
      <c r="AD63" s="192"/>
      <c r="AE63" s="192"/>
      <c r="AF63" s="197"/>
      <c r="AG63" s="204"/>
      <c r="AH63" s="58"/>
      <c r="AI63" s="100"/>
      <c r="AJ63" s="100"/>
      <c r="AK63" s="214"/>
      <c r="AL63" s="57" t="s">
        <v>338</v>
      </c>
      <c r="AM63" s="58" t="s">
        <v>193</v>
      </c>
      <c r="AN63" s="50">
        <v>44235</v>
      </c>
      <c r="AO63" s="59">
        <v>12988</v>
      </c>
      <c r="AP63" s="58" t="s">
        <v>342</v>
      </c>
      <c r="AQ63" s="50"/>
      <c r="AR63" s="50"/>
      <c r="AS63" s="42"/>
      <c r="AT63" s="43"/>
      <c r="AU63" s="89"/>
      <c r="AV63" s="89">
        <f>AX63/BI61</f>
        <v>5.677104662061936E-2</v>
      </c>
      <c r="AW63" s="78"/>
      <c r="AX63" s="78">
        <v>224582.39999999999</v>
      </c>
      <c r="AY63" s="44"/>
      <c r="AZ63" s="45"/>
      <c r="BA63" s="100"/>
      <c r="BB63" s="100"/>
      <c r="BC63" s="91"/>
      <c r="BD63" s="63"/>
      <c r="BE63" s="63"/>
      <c r="BF63" s="100"/>
      <c r="BG63" s="58"/>
      <c r="BH63" s="100"/>
      <c r="BI63" s="144">
        <f t="shared" si="5"/>
        <v>3748989.6</v>
      </c>
      <c r="BJ63" s="93"/>
      <c r="BK63" s="93"/>
      <c r="BL63" s="93"/>
      <c r="BM63" s="106"/>
      <c r="BN63" s="145">
        <f t="shared" si="1"/>
        <v>0</v>
      </c>
      <c r="BO63" s="58"/>
      <c r="BP63" s="70"/>
      <c r="BQ63" s="70"/>
      <c r="BR63" s="70"/>
      <c r="BS63" s="70"/>
      <c r="BT63" s="70"/>
      <c r="BU63" s="70"/>
      <c r="BV63" s="70"/>
      <c r="BW63" s="71"/>
      <c r="BX63" s="70"/>
      <c r="BY63" s="70"/>
      <c r="BZ63" s="70"/>
      <c r="CA63" s="70"/>
      <c r="CB63" s="174"/>
      <c r="CC63" s="174"/>
      <c r="CD63" s="174"/>
      <c r="CE63" s="174"/>
      <c r="CF63" s="174"/>
      <c r="CG63" s="174"/>
    </row>
    <row r="64" spans="1:85" ht="26.25" thickBot="1" x14ac:dyDescent="0.3">
      <c r="A64" s="210"/>
      <c r="B64" s="243"/>
      <c r="C64" s="208"/>
      <c r="D64" s="208"/>
      <c r="E64" s="208"/>
      <c r="F64" s="378"/>
      <c r="G64" s="60"/>
      <c r="H64" s="245"/>
      <c r="I64" s="58"/>
      <c r="J64" s="58"/>
      <c r="K64" s="58"/>
      <c r="L64" s="58"/>
      <c r="M64" s="58"/>
      <c r="N64" s="58"/>
      <c r="O64" s="59"/>
      <c r="P64" s="59"/>
      <c r="Q64" s="57"/>
      <c r="R64" s="57"/>
      <c r="S64" s="57"/>
      <c r="T64" s="54"/>
      <c r="U64" s="57"/>
      <c r="V64" s="69"/>
      <c r="W64" s="58"/>
      <c r="X64" s="100"/>
      <c r="Y64" s="197"/>
      <c r="Z64" s="208"/>
      <c r="AA64" s="208"/>
      <c r="AB64" s="192"/>
      <c r="AC64" s="194"/>
      <c r="AD64" s="192"/>
      <c r="AE64" s="192"/>
      <c r="AF64" s="197"/>
      <c r="AG64" s="204"/>
      <c r="AH64" s="58"/>
      <c r="AI64" s="100"/>
      <c r="AJ64" s="100"/>
      <c r="AK64" s="214"/>
      <c r="AL64" s="57" t="s">
        <v>192</v>
      </c>
      <c r="AM64" s="58" t="s">
        <v>196</v>
      </c>
      <c r="AN64" s="50">
        <v>44559</v>
      </c>
      <c r="AO64" s="59">
        <v>13195</v>
      </c>
      <c r="AP64" s="58" t="s">
        <v>349</v>
      </c>
      <c r="AQ64" s="50">
        <v>44562</v>
      </c>
      <c r="AR64" s="50">
        <v>44926</v>
      </c>
      <c r="AS64" s="42"/>
      <c r="AT64" s="43"/>
      <c r="AU64" s="89">
        <f>AW64/BI63</f>
        <v>4.6065531896914307E-2</v>
      </c>
      <c r="AV64" s="89"/>
      <c r="AW64" s="78">
        <v>172699.2</v>
      </c>
      <c r="AX64" s="78"/>
      <c r="AY64" s="44"/>
      <c r="AZ64" s="45"/>
      <c r="BA64" s="100"/>
      <c r="BB64" s="100"/>
      <c r="BC64" s="91"/>
      <c r="BD64" s="63"/>
      <c r="BE64" s="63"/>
      <c r="BF64" s="100"/>
      <c r="BG64" s="58"/>
      <c r="BH64" s="100"/>
      <c r="BI64" s="144">
        <f t="shared" si="5"/>
        <v>4146271.2</v>
      </c>
      <c r="BJ64" s="93"/>
      <c r="BK64" s="93"/>
      <c r="BL64" s="93"/>
      <c r="BM64" s="106"/>
      <c r="BN64" s="145">
        <f t="shared" si="1"/>
        <v>0</v>
      </c>
      <c r="BO64" s="58"/>
      <c r="BP64" s="70"/>
      <c r="BQ64" s="70"/>
      <c r="BR64" s="70"/>
      <c r="BS64" s="70"/>
      <c r="BT64" s="70"/>
      <c r="BU64" s="70"/>
      <c r="BV64" s="70"/>
      <c r="BW64" s="71"/>
      <c r="BX64" s="70"/>
      <c r="BY64" s="70"/>
      <c r="BZ64" s="70"/>
      <c r="CA64" s="70"/>
      <c r="CB64" s="174"/>
      <c r="CC64" s="174"/>
      <c r="CD64" s="174"/>
      <c r="CE64" s="174"/>
      <c r="CF64" s="174"/>
      <c r="CG64" s="174"/>
    </row>
    <row r="65" spans="1:85" ht="26.25" thickBot="1" x14ac:dyDescent="0.3">
      <c r="A65" s="210"/>
      <c r="B65" s="243"/>
      <c r="C65" s="208"/>
      <c r="D65" s="208"/>
      <c r="E65" s="208"/>
      <c r="F65" s="378"/>
      <c r="G65" s="60"/>
      <c r="H65" s="245"/>
      <c r="I65" s="58"/>
      <c r="J65" s="58"/>
      <c r="K65" s="58"/>
      <c r="L65" s="58"/>
      <c r="M65" s="58"/>
      <c r="N65" s="58"/>
      <c r="O65" s="59"/>
      <c r="P65" s="59"/>
      <c r="Q65" s="57"/>
      <c r="R65" s="57"/>
      <c r="S65" s="57"/>
      <c r="T65" s="54"/>
      <c r="U65" s="57"/>
      <c r="V65" s="69"/>
      <c r="W65" s="58"/>
      <c r="X65" s="100"/>
      <c r="Y65" s="197"/>
      <c r="Z65" s="208"/>
      <c r="AA65" s="208"/>
      <c r="AB65" s="192"/>
      <c r="AC65" s="194"/>
      <c r="AD65" s="192"/>
      <c r="AE65" s="192"/>
      <c r="AF65" s="197"/>
      <c r="AG65" s="204"/>
      <c r="AH65" s="58"/>
      <c r="AI65" s="100"/>
      <c r="AJ65" s="100"/>
      <c r="AK65" s="214"/>
      <c r="AL65" s="57" t="s">
        <v>192</v>
      </c>
      <c r="AM65" s="58" t="s">
        <v>197</v>
      </c>
      <c r="AN65" s="50">
        <v>44917</v>
      </c>
      <c r="AO65" s="59">
        <v>13438</v>
      </c>
      <c r="AP65" s="58" t="s">
        <v>350</v>
      </c>
      <c r="AQ65" s="50">
        <v>44927</v>
      </c>
      <c r="AR65" s="50">
        <v>45291</v>
      </c>
      <c r="AS65" s="42"/>
      <c r="AT65" s="43"/>
      <c r="AU65" s="89">
        <f>AW65/BI64</f>
        <v>0.23914209953270785</v>
      </c>
      <c r="AV65" s="58"/>
      <c r="AW65" s="78">
        <v>991548</v>
      </c>
      <c r="AX65" s="78"/>
      <c r="AY65" s="44"/>
      <c r="AZ65" s="45"/>
      <c r="BA65" s="100"/>
      <c r="BB65" s="100"/>
      <c r="BC65" s="91"/>
      <c r="BD65" s="63"/>
      <c r="BE65" s="63"/>
      <c r="BF65" s="100"/>
      <c r="BG65" s="58"/>
      <c r="BH65" s="100"/>
      <c r="BI65" s="144">
        <f t="shared" si="5"/>
        <v>4965120</v>
      </c>
      <c r="BJ65" s="93"/>
      <c r="BK65" s="93"/>
      <c r="BL65" s="93"/>
      <c r="BM65" s="106"/>
      <c r="BN65" s="145">
        <f t="shared" si="1"/>
        <v>0</v>
      </c>
      <c r="BO65" s="58"/>
      <c r="BP65" s="70"/>
      <c r="BQ65" s="70"/>
      <c r="BR65" s="70"/>
      <c r="BS65" s="70"/>
      <c r="BT65" s="70"/>
      <c r="BU65" s="70"/>
      <c r="BV65" s="70"/>
      <c r="BW65" s="69"/>
      <c r="BX65" s="70"/>
      <c r="BY65" s="70"/>
      <c r="BZ65" s="70"/>
      <c r="CA65" s="70"/>
      <c r="CB65" s="174"/>
      <c r="CC65" s="174"/>
      <c r="CD65" s="174"/>
      <c r="CE65" s="174"/>
      <c r="CF65" s="174"/>
      <c r="CG65" s="174"/>
    </row>
    <row r="66" spans="1:85" ht="39" thickBot="1" x14ac:dyDescent="0.3">
      <c r="A66" s="191"/>
      <c r="B66" s="46"/>
      <c r="C66" s="47"/>
      <c r="D66" s="47"/>
      <c r="E66" s="47"/>
      <c r="F66" s="379"/>
      <c r="G66" s="60"/>
      <c r="H66" s="66"/>
      <c r="I66" s="58"/>
      <c r="J66" s="58"/>
      <c r="K66" s="58"/>
      <c r="L66" s="58"/>
      <c r="M66" s="58"/>
      <c r="N66" s="58"/>
      <c r="O66" s="59"/>
      <c r="P66" s="59"/>
      <c r="Q66" s="57"/>
      <c r="R66" s="57"/>
      <c r="S66" s="57"/>
      <c r="T66" s="54"/>
      <c r="U66" s="57"/>
      <c r="V66" s="69"/>
      <c r="W66" s="58"/>
      <c r="X66" s="100"/>
      <c r="Y66" s="157"/>
      <c r="Z66" s="164"/>
      <c r="AA66" s="47"/>
      <c r="AB66" s="61"/>
      <c r="AC66" s="64"/>
      <c r="AD66" s="61"/>
      <c r="AE66" s="61"/>
      <c r="AF66" s="65"/>
      <c r="AG66" s="151"/>
      <c r="AH66" s="58"/>
      <c r="AI66" s="100"/>
      <c r="AJ66" s="100"/>
      <c r="AK66" s="116"/>
      <c r="AL66" s="57" t="s">
        <v>333</v>
      </c>
      <c r="AM66" s="58" t="s">
        <v>198</v>
      </c>
      <c r="AN66" s="50">
        <v>45280</v>
      </c>
      <c r="AO66" s="59">
        <v>13686</v>
      </c>
      <c r="AP66" s="58" t="s">
        <v>341</v>
      </c>
      <c r="AQ66" s="55">
        <v>45292</v>
      </c>
      <c r="AR66" s="55">
        <v>45657</v>
      </c>
      <c r="AS66" s="42"/>
      <c r="AT66" s="43"/>
      <c r="AU66" s="89"/>
      <c r="AV66" s="58"/>
      <c r="AW66" s="78"/>
      <c r="AX66" s="78"/>
      <c r="AY66" s="44"/>
      <c r="AZ66" s="45"/>
      <c r="BA66" s="100"/>
      <c r="BB66" s="100"/>
      <c r="BC66" s="91"/>
      <c r="BD66" s="62">
        <f>BE66/BI65</f>
        <v>8.0237093967517395E-2</v>
      </c>
      <c r="BE66" s="63">
        <v>398386.8</v>
      </c>
      <c r="BF66" s="100"/>
      <c r="BG66" s="58"/>
      <c r="BH66" s="100"/>
      <c r="BI66" s="144">
        <f>($AK$60+AW66-AX66)+($AK$60+BE66)</f>
        <v>8345530.7999999998</v>
      </c>
      <c r="BJ66" s="93"/>
      <c r="BK66" s="93"/>
      <c r="BL66" s="93"/>
      <c r="BM66" s="106"/>
      <c r="BN66" s="145">
        <f t="shared" si="1"/>
        <v>0</v>
      </c>
      <c r="BO66" s="58"/>
      <c r="BP66" s="70"/>
      <c r="BQ66" s="70"/>
      <c r="BR66" s="70"/>
      <c r="BS66" s="70"/>
      <c r="BT66" s="70"/>
      <c r="BU66" s="70"/>
      <c r="BV66" s="70"/>
      <c r="BW66" s="69"/>
      <c r="BX66" s="70"/>
      <c r="BY66" s="70"/>
      <c r="BZ66" s="70"/>
      <c r="CA66" s="70"/>
      <c r="CB66" s="175"/>
      <c r="CC66" s="175"/>
      <c r="CD66" s="175"/>
      <c r="CE66" s="175"/>
      <c r="CF66" s="175"/>
      <c r="CG66" s="175"/>
    </row>
    <row r="67" spans="1:85" ht="15.75" thickBot="1" x14ac:dyDescent="0.3">
      <c r="A67" s="190">
        <v>15</v>
      </c>
      <c r="B67" s="170" t="s">
        <v>226</v>
      </c>
      <c r="C67" s="238" t="s">
        <v>227</v>
      </c>
      <c r="D67" s="163" t="s">
        <v>228</v>
      </c>
      <c r="E67" s="163" t="s">
        <v>229</v>
      </c>
      <c r="F67" s="377" t="s">
        <v>421</v>
      </c>
      <c r="G67" s="56"/>
      <c r="H67" s="167">
        <v>13497</v>
      </c>
      <c r="I67" s="58"/>
      <c r="J67" s="58"/>
      <c r="K67" s="58"/>
      <c r="L67" s="58"/>
      <c r="M67" s="58"/>
      <c r="N67" s="58"/>
      <c r="O67" s="59"/>
      <c r="P67" s="59"/>
      <c r="Q67" s="232" t="s">
        <v>393</v>
      </c>
      <c r="R67" s="152">
        <v>45084</v>
      </c>
      <c r="S67" s="152">
        <v>45450</v>
      </c>
      <c r="T67" s="154">
        <v>13499</v>
      </c>
      <c r="U67" s="150" t="s">
        <v>394</v>
      </c>
      <c r="V67" s="190">
        <v>13499</v>
      </c>
      <c r="W67" s="150" t="s">
        <v>421</v>
      </c>
      <c r="X67" s="158">
        <v>2334273.06</v>
      </c>
      <c r="Y67" s="156" t="s">
        <v>285</v>
      </c>
      <c r="Z67" s="163" t="s">
        <v>286</v>
      </c>
      <c r="AA67" s="163" t="s">
        <v>287</v>
      </c>
      <c r="AB67" s="152">
        <v>45238</v>
      </c>
      <c r="AC67" s="154">
        <v>13653</v>
      </c>
      <c r="AD67" s="152">
        <v>45238</v>
      </c>
      <c r="AE67" s="152">
        <v>45604</v>
      </c>
      <c r="AF67" s="75" t="s">
        <v>183</v>
      </c>
      <c r="AG67" s="150" t="s">
        <v>204</v>
      </c>
      <c r="AH67" s="58"/>
      <c r="AI67" s="100"/>
      <c r="AJ67" s="100"/>
      <c r="AK67" s="158">
        <f>2334273.06</f>
        <v>2334273.06</v>
      </c>
      <c r="AL67" s="58"/>
      <c r="AM67" s="58"/>
      <c r="AN67" s="50"/>
      <c r="AO67" s="51"/>
      <c r="AP67" s="58"/>
      <c r="AQ67" s="50"/>
      <c r="AR67" s="50"/>
      <c r="AS67" s="42"/>
      <c r="AT67" s="43"/>
      <c r="AU67" s="90"/>
      <c r="AV67" s="56"/>
      <c r="AW67" s="63"/>
      <c r="AX67" s="63"/>
      <c r="AY67" s="44"/>
      <c r="AZ67" s="45"/>
      <c r="BA67" s="100"/>
      <c r="BB67" s="100"/>
      <c r="BC67" s="91"/>
      <c r="BD67" s="63"/>
      <c r="BE67" s="63"/>
      <c r="BF67" s="100"/>
      <c r="BG67" s="58"/>
      <c r="BH67" s="100"/>
      <c r="BI67" s="144">
        <f>$AK$67+AW67-AX67</f>
        <v>2334273.06</v>
      </c>
      <c r="BJ67" s="93">
        <f>1309176.71</f>
        <v>1309176.71</v>
      </c>
      <c r="BK67" s="117">
        <f>401175.36+45861.7+36888.72</f>
        <v>483925.78</v>
      </c>
      <c r="BL67" s="93"/>
      <c r="BM67" s="93">
        <f>BL67+BK67</f>
        <v>483925.78</v>
      </c>
      <c r="BN67" s="145">
        <f t="shared" si="1"/>
        <v>1793102.49</v>
      </c>
      <c r="BO67" s="58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/>
      <c r="CA67" s="70"/>
      <c r="CB67" s="184" t="s">
        <v>450</v>
      </c>
      <c r="CC67" s="184">
        <v>13660</v>
      </c>
      <c r="CD67" s="184" t="s">
        <v>432</v>
      </c>
      <c r="CE67" s="184">
        <v>713115</v>
      </c>
      <c r="CF67" s="184" t="s">
        <v>447</v>
      </c>
      <c r="CG67" s="186" t="s">
        <v>448</v>
      </c>
    </row>
    <row r="68" spans="1:85" ht="15.75" thickBot="1" x14ac:dyDescent="0.3">
      <c r="A68" s="191"/>
      <c r="B68" s="171"/>
      <c r="C68" s="239"/>
      <c r="D68" s="164"/>
      <c r="E68" s="164"/>
      <c r="F68" s="379"/>
      <c r="G68" s="57"/>
      <c r="H68" s="168"/>
      <c r="I68" s="58"/>
      <c r="J68" s="58"/>
      <c r="K68" s="58"/>
      <c r="L68" s="58"/>
      <c r="M68" s="58"/>
      <c r="N68" s="58"/>
      <c r="O68" s="59"/>
      <c r="P68" s="59"/>
      <c r="Q68" s="233"/>
      <c r="R68" s="153"/>
      <c r="S68" s="153"/>
      <c r="T68" s="155"/>
      <c r="U68" s="151"/>
      <c r="V68" s="191"/>
      <c r="W68" s="151"/>
      <c r="X68" s="159"/>
      <c r="Y68" s="157"/>
      <c r="Z68" s="164"/>
      <c r="AA68" s="164"/>
      <c r="AB68" s="153"/>
      <c r="AC68" s="155"/>
      <c r="AD68" s="153"/>
      <c r="AE68" s="153"/>
      <c r="AF68" s="75" t="s">
        <v>326</v>
      </c>
      <c r="AG68" s="151"/>
      <c r="AH68" s="58"/>
      <c r="AI68" s="100"/>
      <c r="AJ68" s="100"/>
      <c r="AK68" s="159"/>
      <c r="AL68" s="57"/>
      <c r="AM68" s="58"/>
      <c r="AN68" s="50"/>
      <c r="AO68" s="51"/>
      <c r="AP68" s="58"/>
      <c r="AQ68" s="50"/>
      <c r="AR68" s="50"/>
      <c r="AS68" s="42"/>
      <c r="AT68" s="43"/>
      <c r="AU68" s="90"/>
      <c r="AV68" s="56"/>
      <c r="AW68" s="63"/>
      <c r="AX68" s="63"/>
      <c r="AY68" s="44"/>
      <c r="AZ68" s="45"/>
      <c r="BA68" s="100"/>
      <c r="BB68" s="100"/>
      <c r="BC68" s="91"/>
      <c r="BD68" s="63"/>
      <c r="BE68" s="63"/>
      <c r="BF68" s="100"/>
      <c r="BG68" s="58"/>
      <c r="BH68" s="100"/>
      <c r="BI68" s="144">
        <v>0</v>
      </c>
      <c r="BJ68" s="93">
        <f>625454.04+219445.65+763763.39</f>
        <v>1608663.08</v>
      </c>
      <c r="BK68" s="93"/>
      <c r="BL68" s="93"/>
      <c r="BM68" s="119">
        <f>BL68+BK68</f>
        <v>0</v>
      </c>
      <c r="BN68" s="145">
        <f t="shared" si="1"/>
        <v>1608663.08</v>
      </c>
      <c r="BO68" s="58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185"/>
      <c r="CC68" s="185"/>
      <c r="CD68" s="185"/>
      <c r="CE68" s="185"/>
      <c r="CF68" s="185"/>
      <c r="CG68" s="187"/>
    </row>
    <row r="69" spans="1:85" ht="15.75" thickBot="1" x14ac:dyDescent="0.3">
      <c r="A69" s="230">
        <v>16</v>
      </c>
      <c r="B69" s="190" t="s">
        <v>232</v>
      </c>
      <c r="C69" s="150" t="s">
        <v>230</v>
      </c>
      <c r="D69" s="234" t="s">
        <v>211</v>
      </c>
      <c r="E69" s="234" t="s">
        <v>177</v>
      </c>
      <c r="F69" s="377" t="s">
        <v>231</v>
      </c>
      <c r="G69" s="56"/>
      <c r="H69" s="215">
        <v>13340</v>
      </c>
      <c r="I69" s="58"/>
      <c r="J69" s="58"/>
      <c r="K69" s="58"/>
      <c r="L69" s="58"/>
      <c r="M69" s="58"/>
      <c r="N69" s="58"/>
      <c r="O69" s="59"/>
      <c r="P69" s="59"/>
      <c r="Q69" s="150" t="s">
        <v>395</v>
      </c>
      <c r="R69" s="152">
        <v>44802</v>
      </c>
      <c r="S69" s="152">
        <v>45167</v>
      </c>
      <c r="T69" s="154">
        <v>13363</v>
      </c>
      <c r="U69" s="150" t="s">
        <v>396</v>
      </c>
      <c r="V69" s="190">
        <v>13363</v>
      </c>
      <c r="W69" s="150" t="s">
        <v>422</v>
      </c>
      <c r="X69" s="158">
        <v>75375.240000000005</v>
      </c>
      <c r="Y69" s="156" t="s">
        <v>288</v>
      </c>
      <c r="Z69" s="152" t="s">
        <v>289</v>
      </c>
      <c r="AA69" s="227" t="s">
        <v>290</v>
      </c>
      <c r="AB69" s="152">
        <v>44872</v>
      </c>
      <c r="AC69" s="198">
        <v>13409</v>
      </c>
      <c r="AD69" s="200">
        <v>44872</v>
      </c>
      <c r="AE69" s="200">
        <v>45237</v>
      </c>
      <c r="AF69" s="202" t="s">
        <v>183</v>
      </c>
      <c r="AG69" s="150" t="s">
        <v>178</v>
      </c>
      <c r="AH69" s="58"/>
      <c r="AI69" s="100"/>
      <c r="AJ69" s="100"/>
      <c r="AK69" s="205">
        <v>75375.240000000005</v>
      </c>
      <c r="AL69" s="57" t="s">
        <v>192</v>
      </c>
      <c r="AM69" s="58" t="s">
        <v>193</v>
      </c>
      <c r="AN69" s="50">
        <v>45238</v>
      </c>
      <c r="AO69" s="59">
        <v>13659</v>
      </c>
      <c r="AP69" s="58" t="s">
        <v>352</v>
      </c>
      <c r="AQ69" s="55">
        <v>45238</v>
      </c>
      <c r="AR69" s="55">
        <v>45604</v>
      </c>
      <c r="AS69" s="42"/>
      <c r="AT69" s="43"/>
      <c r="AU69" s="89"/>
      <c r="AV69" s="58"/>
      <c r="AW69" s="78"/>
      <c r="AX69" s="78"/>
      <c r="AY69" s="44"/>
      <c r="AZ69" s="45"/>
      <c r="BA69" s="100"/>
      <c r="BB69" s="100"/>
      <c r="BC69" s="91"/>
      <c r="BD69" s="63"/>
      <c r="BE69" s="63"/>
      <c r="BF69" s="100"/>
      <c r="BG69" s="58"/>
      <c r="BH69" s="100"/>
      <c r="BI69" s="144">
        <f>AK69+AW69-AX69</f>
        <v>75375.240000000005</v>
      </c>
      <c r="BJ69" s="118">
        <f>62812.7+75375.24</f>
        <v>138187.94</v>
      </c>
      <c r="BK69" s="122">
        <f>6281.27+6281.27</f>
        <v>12562.54</v>
      </c>
      <c r="BL69" s="118"/>
      <c r="BM69" s="118">
        <f>BL69+BK69</f>
        <v>12562.54</v>
      </c>
      <c r="BN69" s="145">
        <f t="shared" si="1"/>
        <v>150750.48000000001</v>
      </c>
      <c r="BO69" s="58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173" t="s">
        <v>452</v>
      </c>
      <c r="CC69" s="176">
        <v>13416</v>
      </c>
      <c r="CD69" s="180" t="s">
        <v>427</v>
      </c>
      <c r="CE69" s="183">
        <v>713115</v>
      </c>
      <c r="CF69" s="173" t="s">
        <v>444</v>
      </c>
      <c r="CG69" s="173" t="s">
        <v>451</v>
      </c>
    </row>
    <row r="70" spans="1:85" ht="15.75" thickBot="1" x14ac:dyDescent="0.3">
      <c r="A70" s="230"/>
      <c r="B70" s="191"/>
      <c r="C70" s="151"/>
      <c r="D70" s="236"/>
      <c r="E70" s="236"/>
      <c r="F70" s="379"/>
      <c r="G70" s="57"/>
      <c r="H70" s="217"/>
      <c r="I70" s="58"/>
      <c r="J70" s="58"/>
      <c r="K70" s="58"/>
      <c r="L70" s="58"/>
      <c r="M70" s="58"/>
      <c r="N70" s="58"/>
      <c r="O70" s="59"/>
      <c r="P70" s="59"/>
      <c r="Q70" s="151"/>
      <c r="R70" s="151"/>
      <c r="S70" s="151"/>
      <c r="T70" s="155"/>
      <c r="U70" s="151"/>
      <c r="V70" s="191"/>
      <c r="W70" s="151"/>
      <c r="X70" s="159"/>
      <c r="Y70" s="157"/>
      <c r="Z70" s="153"/>
      <c r="AA70" s="229"/>
      <c r="AB70" s="153"/>
      <c r="AC70" s="199"/>
      <c r="AD70" s="201"/>
      <c r="AE70" s="201"/>
      <c r="AF70" s="203"/>
      <c r="AG70" s="151"/>
      <c r="AH70" s="58"/>
      <c r="AI70" s="100"/>
      <c r="AJ70" s="100"/>
      <c r="AK70" s="206"/>
      <c r="AL70" s="57"/>
      <c r="AM70" s="58"/>
      <c r="AN70" s="50"/>
      <c r="AO70" s="59"/>
      <c r="AP70" s="58"/>
      <c r="AQ70" s="55"/>
      <c r="AR70" s="55"/>
      <c r="AS70" s="42"/>
      <c r="AT70" s="43"/>
      <c r="AU70" s="89"/>
      <c r="AV70" s="58"/>
      <c r="AW70" s="78"/>
      <c r="AX70" s="78"/>
      <c r="AY70" s="44"/>
      <c r="AZ70" s="45"/>
      <c r="BA70" s="100"/>
      <c r="BB70" s="100"/>
      <c r="BC70" s="91"/>
      <c r="BD70" s="63"/>
      <c r="BE70" s="63"/>
      <c r="BF70" s="100"/>
      <c r="BG70" s="58"/>
      <c r="BH70" s="100"/>
      <c r="BI70" s="144">
        <f>AK70+AW70-AX70</f>
        <v>0</v>
      </c>
      <c r="BJ70" s="118"/>
      <c r="BK70" s="118"/>
      <c r="BL70" s="118"/>
      <c r="BM70" s="106"/>
      <c r="BN70" s="145">
        <f t="shared" si="1"/>
        <v>0</v>
      </c>
      <c r="BO70" s="58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175"/>
      <c r="CC70" s="175"/>
      <c r="CD70" s="180"/>
      <c r="CE70" s="180"/>
      <c r="CF70" s="175"/>
      <c r="CG70" s="175"/>
    </row>
    <row r="71" spans="1:85" ht="15.75" thickBot="1" x14ac:dyDescent="0.3">
      <c r="A71" s="190">
        <v>17</v>
      </c>
      <c r="B71" s="190" t="s">
        <v>233</v>
      </c>
      <c r="C71" s="150" t="s">
        <v>234</v>
      </c>
      <c r="D71" s="234" t="s">
        <v>221</v>
      </c>
      <c r="E71" s="234" t="s">
        <v>177</v>
      </c>
      <c r="F71" s="377" t="s">
        <v>235</v>
      </c>
      <c r="G71" s="56"/>
      <c r="H71" s="215">
        <v>13194</v>
      </c>
      <c r="I71" s="58"/>
      <c r="J71" s="58"/>
      <c r="K71" s="58"/>
      <c r="L71" s="58"/>
      <c r="M71" s="58"/>
      <c r="N71" s="58"/>
      <c r="O71" s="59"/>
      <c r="P71" s="59"/>
      <c r="Q71" s="57"/>
      <c r="R71" s="57"/>
      <c r="S71" s="57"/>
      <c r="T71" s="54"/>
      <c r="U71" s="57"/>
      <c r="V71" s="69"/>
      <c r="W71" s="58"/>
      <c r="X71" s="100"/>
      <c r="Y71" s="156" t="s">
        <v>291</v>
      </c>
      <c r="Z71" s="152" t="s">
        <v>292</v>
      </c>
      <c r="AA71" s="227" t="s">
        <v>293</v>
      </c>
      <c r="AB71" s="152">
        <v>44564</v>
      </c>
      <c r="AC71" s="198">
        <v>13208</v>
      </c>
      <c r="AD71" s="200">
        <v>44564</v>
      </c>
      <c r="AE71" s="200">
        <v>44928</v>
      </c>
      <c r="AF71" s="202" t="s">
        <v>183</v>
      </c>
      <c r="AG71" s="190" t="s">
        <v>178</v>
      </c>
      <c r="AH71" s="58"/>
      <c r="AI71" s="100"/>
      <c r="AJ71" s="100"/>
      <c r="AK71" s="205">
        <f>6207644.77</f>
        <v>6207644.7699999996</v>
      </c>
      <c r="AL71" s="57"/>
      <c r="AM71" s="58"/>
      <c r="AN71" s="50"/>
      <c r="AO71" s="59"/>
      <c r="AP71" s="58"/>
      <c r="AQ71" s="50"/>
      <c r="AR71" s="58"/>
      <c r="AS71" s="42"/>
      <c r="AT71" s="43"/>
      <c r="AU71" s="89"/>
      <c r="AV71" s="58"/>
      <c r="AW71" s="78"/>
      <c r="AX71" s="78"/>
      <c r="AY71" s="44"/>
      <c r="AZ71" s="45"/>
      <c r="BA71" s="100"/>
      <c r="BB71" s="100"/>
      <c r="BC71" s="91"/>
      <c r="BD71" s="63"/>
      <c r="BE71" s="78"/>
      <c r="BF71" s="100"/>
      <c r="BG71" s="58"/>
      <c r="BH71" s="100"/>
      <c r="BI71" s="144">
        <f>$AK$71+BE71</f>
        <v>6207644.7699999996</v>
      </c>
      <c r="BJ71" s="92">
        <f>6108093.25+6870500.34+7948172.34</f>
        <v>20926765.93</v>
      </c>
      <c r="BK71" s="117">
        <f>658781.62</f>
        <v>658781.62</v>
      </c>
      <c r="BL71" s="117">
        <f>649050.58+649167.46</f>
        <v>1298218.04</v>
      </c>
      <c r="BM71" s="93">
        <f>BK71+BL71</f>
        <v>1956999.6600000001</v>
      </c>
      <c r="BN71" s="145">
        <f t="shared" si="1"/>
        <v>22883765.59</v>
      </c>
      <c r="BO71" s="58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173" t="s">
        <v>453</v>
      </c>
      <c r="CC71" s="173">
        <v>13354</v>
      </c>
      <c r="CD71" s="173" t="s">
        <v>434</v>
      </c>
      <c r="CE71" s="173" t="s">
        <v>435</v>
      </c>
      <c r="CF71" s="173" t="s">
        <v>436</v>
      </c>
      <c r="CG71" s="173" t="s">
        <v>437</v>
      </c>
    </row>
    <row r="72" spans="1:85" ht="39" thickBot="1" x14ac:dyDescent="0.3">
      <c r="A72" s="210"/>
      <c r="B72" s="210"/>
      <c r="C72" s="204"/>
      <c r="D72" s="235"/>
      <c r="E72" s="235"/>
      <c r="F72" s="378"/>
      <c r="G72" s="60"/>
      <c r="H72" s="216"/>
      <c r="I72" s="58"/>
      <c r="J72" s="58"/>
      <c r="K72" s="58"/>
      <c r="L72" s="58"/>
      <c r="M72" s="58"/>
      <c r="N72" s="58"/>
      <c r="O72" s="59"/>
      <c r="P72" s="59"/>
      <c r="Q72" s="57"/>
      <c r="R72" s="57"/>
      <c r="S72" s="57"/>
      <c r="T72" s="54"/>
      <c r="U72" s="57"/>
      <c r="V72" s="69"/>
      <c r="W72" s="58"/>
      <c r="X72" s="100"/>
      <c r="Y72" s="197"/>
      <c r="Z72" s="192"/>
      <c r="AA72" s="228"/>
      <c r="AB72" s="192"/>
      <c r="AC72" s="211"/>
      <c r="AD72" s="213"/>
      <c r="AE72" s="213"/>
      <c r="AF72" s="203"/>
      <c r="AG72" s="210"/>
      <c r="AH72" s="58"/>
      <c r="AI72" s="100"/>
      <c r="AJ72" s="100"/>
      <c r="AK72" s="223"/>
      <c r="AL72" s="57" t="s">
        <v>338</v>
      </c>
      <c r="AM72" s="58">
        <v>1</v>
      </c>
      <c r="AN72" s="50">
        <v>44937</v>
      </c>
      <c r="AO72" s="59">
        <v>13460</v>
      </c>
      <c r="AP72" s="58" t="s">
        <v>353</v>
      </c>
      <c r="AQ72" s="50">
        <v>44927</v>
      </c>
      <c r="AR72" s="50">
        <v>44926</v>
      </c>
      <c r="AS72" s="42"/>
      <c r="AT72" s="43"/>
      <c r="AU72" s="89"/>
      <c r="AV72" s="58"/>
      <c r="AW72" s="78"/>
      <c r="AX72" s="78"/>
      <c r="AY72" s="44"/>
      <c r="AZ72" s="45"/>
      <c r="BA72" s="100"/>
      <c r="BB72" s="100"/>
      <c r="BC72" s="91">
        <v>44572</v>
      </c>
      <c r="BD72" s="62">
        <f>BE72/BI71</f>
        <v>7.8455860160310045E-2</v>
      </c>
      <c r="BE72" s="78">
        <v>487026.11</v>
      </c>
      <c r="BF72" s="100"/>
      <c r="BG72" s="58"/>
      <c r="BH72" s="100"/>
      <c r="BI72" s="144">
        <f t="shared" ref="BI72:BI74" si="6">$AK$71+BE72</f>
        <v>6694670.8799999999</v>
      </c>
      <c r="BJ72" s="92"/>
      <c r="BK72" s="92"/>
      <c r="BL72" s="92"/>
      <c r="BM72" s="106"/>
      <c r="BN72" s="145">
        <f t="shared" si="1"/>
        <v>0</v>
      </c>
      <c r="BO72" s="58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174"/>
      <c r="CC72" s="174"/>
      <c r="CD72" s="174"/>
      <c r="CE72" s="174"/>
      <c r="CF72" s="174"/>
      <c r="CG72" s="174"/>
    </row>
    <row r="73" spans="1:85" ht="39" thickBot="1" x14ac:dyDescent="0.3">
      <c r="A73" s="210"/>
      <c r="B73" s="210"/>
      <c r="C73" s="204"/>
      <c r="D73" s="235"/>
      <c r="E73" s="235"/>
      <c r="F73" s="378"/>
      <c r="G73" s="60"/>
      <c r="H73" s="216"/>
      <c r="I73" s="58"/>
      <c r="J73" s="58"/>
      <c r="K73" s="58"/>
      <c r="L73" s="58"/>
      <c r="M73" s="58"/>
      <c r="N73" s="58"/>
      <c r="O73" s="59"/>
      <c r="P73" s="59"/>
      <c r="Q73" s="57"/>
      <c r="R73" s="57"/>
      <c r="S73" s="57"/>
      <c r="T73" s="54"/>
      <c r="U73" s="57"/>
      <c r="V73" s="69"/>
      <c r="W73" s="58"/>
      <c r="X73" s="100"/>
      <c r="Y73" s="197"/>
      <c r="Z73" s="192"/>
      <c r="AA73" s="228"/>
      <c r="AB73" s="192"/>
      <c r="AC73" s="211"/>
      <c r="AD73" s="213"/>
      <c r="AE73" s="213"/>
      <c r="AF73" s="202" t="s">
        <v>417</v>
      </c>
      <c r="AG73" s="210"/>
      <c r="AH73" s="58"/>
      <c r="AI73" s="100"/>
      <c r="AJ73" s="100"/>
      <c r="AK73" s="223"/>
      <c r="AL73" s="57" t="s">
        <v>192</v>
      </c>
      <c r="AM73" s="58" t="s">
        <v>195</v>
      </c>
      <c r="AN73" s="50">
        <v>45289</v>
      </c>
      <c r="AO73" s="59">
        <v>13689</v>
      </c>
      <c r="AP73" s="58" t="s">
        <v>354</v>
      </c>
      <c r="AQ73" s="50">
        <v>45292</v>
      </c>
      <c r="AR73" s="50">
        <v>45657</v>
      </c>
      <c r="AS73" s="42"/>
      <c r="AT73" s="43"/>
      <c r="AU73" s="89"/>
      <c r="AV73" s="58"/>
      <c r="AW73" s="78"/>
      <c r="AX73" s="78"/>
      <c r="AY73" s="44"/>
      <c r="AZ73" s="45"/>
      <c r="BA73" s="100"/>
      <c r="BB73" s="100"/>
      <c r="BC73" s="91"/>
      <c r="BD73" s="62">
        <f>BE73/BI72</f>
        <v>7.2662810273953299E-2</v>
      </c>
      <c r="BE73" s="63">
        <v>486453.6</v>
      </c>
      <c r="BF73" s="100"/>
      <c r="BG73" s="58"/>
      <c r="BH73" s="100"/>
      <c r="BI73" s="144">
        <f t="shared" si="6"/>
        <v>6694098.3699999992</v>
      </c>
      <c r="BJ73" s="93">
        <f>437053.5</f>
        <v>437053.5</v>
      </c>
      <c r="BK73" s="93"/>
      <c r="BL73" s="93"/>
      <c r="BM73" s="93"/>
      <c r="BN73" s="145">
        <f t="shared" si="1"/>
        <v>437053.5</v>
      </c>
      <c r="BO73" s="58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174"/>
      <c r="CC73" s="174"/>
      <c r="CD73" s="174"/>
      <c r="CE73" s="174"/>
      <c r="CF73" s="174"/>
      <c r="CG73" s="174"/>
    </row>
    <row r="74" spans="1:85" ht="15.75" thickBot="1" x14ac:dyDescent="0.3">
      <c r="A74" s="191"/>
      <c r="B74" s="191"/>
      <c r="C74" s="151"/>
      <c r="D74" s="236"/>
      <c r="E74" s="236"/>
      <c r="F74" s="379"/>
      <c r="G74" s="57"/>
      <c r="H74" s="217"/>
      <c r="I74" s="58"/>
      <c r="J74" s="58"/>
      <c r="K74" s="58"/>
      <c r="L74" s="58"/>
      <c r="M74" s="58"/>
      <c r="N74" s="58"/>
      <c r="O74" s="59"/>
      <c r="P74" s="59"/>
      <c r="Q74" s="57"/>
      <c r="R74" s="57"/>
      <c r="S74" s="57"/>
      <c r="T74" s="54"/>
      <c r="U74" s="57"/>
      <c r="V74" s="69"/>
      <c r="W74" s="58"/>
      <c r="X74" s="100"/>
      <c r="Y74" s="157"/>
      <c r="Z74" s="153"/>
      <c r="AA74" s="229"/>
      <c r="AB74" s="153"/>
      <c r="AC74" s="199"/>
      <c r="AD74" s="201"/>
      <c r="AE74" s="201"/>
      <c r="AF74" s="203"/>
      <c r="AG74" s="191"/>
      <c r="AH74" s="58"/>
      <c r="AI74" s="100"/>
      <c r="AJ74" s="100"/>
      <c r="AK74" s="206"/>
      <c r="AL74" s="57"/>
      <c r="AM74" s="58"/>
      <c r="AN74" s="50"/>
      <c r="AO74" s="59"/>
      <c r="AP74" s="58"/>
      <c r="AQ74" s="50"/>
      <c r="AR74" s="50"/>
      <c r="AS74" s="42"/>
      <c r="AT74" s="43"/>
      <c r="AU74" s="89"/>
      <c r="AV74" s="58"/>
      <c r="AW74" s="78"/>
      <c r="AX74" s="78"/>
      <c r="AY74" s="44"/>
      <c r="AZ74" s="45"/>
      <c r="BA74" s="100"/>
      <c r="BB74" s="100"/>
      <c r="BC74" s="91"/>
      <c r="BD74" s="63"/>
      <c r="BE74" s="63"/>
      <c r="BF74" s="100"/>
      <c r="BG74" s="58"/>
      <c r="BH74" s="100"/>
      <c r="BI74" s="144">
        <f t="shared" si="6"/>
        <v>6207644.7699999996</v>
      </c>
      <c r="BJ74" s="92"/>
      <c r="BK74" s="92"/>
      <c r="BL74" s="92"/>
      <c r="BM74" s="106"/>
      <c r="BN74" s="145">
        <f t="shared" si="1"/>
        <v>0</v>
      </c>
      <c r="BO74" s="58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175"/>
      <c r="CC74" s="175"/>
      <c r="CD74" s="175"/>
      <c r="CE74" s="175"/>
      <c r="CF74" s="175"/>
      <c r="CG74" s="175"/>
    </row>
    <row r="75" spans="1:85" ht="15.75" thickBot="1" x14ac:dyDescent="0.3">
      <c r="A75" s="190">
        <v>18</v>
      </c>
      <c r="B75" s="190" t="s">
        <v>236</v>
      </c>
      <c r="C75" s="150" t="s">
        <v>237</v>
      </c>
      <c r="D75" s="234" t="s">
        <v>216</v>
      </c>
      <c r="E75" s="234" t="s">
        <v>177</v>
      </c>
      <c r="F75" s="377" t="s">
        <v>238</v>
      </c>
      <c r="G75" s="56"/>
      <c r="H75" s="215">
        <v>13248</v>
      </c>
      <c r="I75" s="58"/>
      <c r="J75" s="58"/>
      <c r="K75" s="58"/>
      <c r="L75" s="58"/>
      <c r="M75" s="58"/>
      <c r="N75" s="58"/>
      <c r="O75" s="59"/>
      <c r="P75" s="59"/>
      <c r="Q75" s="150" t="s">
        <v>237</v>
      </c>
      <c r="R75" s="152">
        <v>44643</v>
      </c>
      <c r="S75" s="150" t="s">
        <v>397</v>
      </c>
      <c r="T75" s="154">
        <v>13267</v>
      </c>
      <c r="U75" s="150" t="s">
        <v>398</v>
      </c>
      <c r="V75" s="190">
        <v>13267</v>
      </c>
      <c r="W75" s="150" t="s">
        <v>423</v>
      </c>
      <c r="X75" s="158">
        <v>3977499</v>
      </c>
      <c r="Y75" s="156" t="s">
        <v>294</v>
      </c>
      <c r="Z75" s="152" t="s">
        <v>282</v>
      </c>
      <c r="AA75" s="227" t="s">
        <v>283</v>
      </c>
      <c r="AB75" s="152">
        <v>44782</v>
      </c>
      <c r="AC75" s="198">
        <v>13345</v>
      </c>
      <c r="AD75" s="200">
        <v>44782</v>
      </c>
      <c r="AE75" s="200">
        <v>45147</v>
      </c>
      <c r="AF75" s="202" t="s">
        <v>183</v>
      </c>
      <c r="AG75" s="190" t="s">
        <v>178</v>
      </c>
      <c r="AH75" s="58"/>
      <c r="AI75" s="100"/>
      <c r="AJ75" s="100"/>
      <c r="AK75" s="205">
        <v>3977499</v>
      </c>
      <c r="AL75" s="57"/>
      <c r="AM75" s="58"/>
      <c r="AN75" s="50"/>
      <c r="AO75" s="59"/>
      <c r="AP75" s="58"/>
      <c r="AQ75" s="58"/>
      <c r="AR75" s="58"/>
      <c r="AS75" s="42"/>
      <c r="AT75" s="43"/>
      <c r="AU75" s="89"/>
      <c r="AV75" s="58"/>
      <c r="AW75" s="78"/>
      <c r="AX75" s="78"/>
      <c r="AY75" s="44"/>
      <c r="AZ75" s="45"/>
      <c r="BA75" s="100"/>
      <c r="BB75" s="100"/>
      <c r="BC75" s="91"/>
      <c r="BD75" s="62"/>
      <c r="BE75" s="63"/>
      <c r="BF75" s="100"/>
      <c r="BG75" s="58"/>
      <c r="BH75" s="100"/>
      <c r="BI75" s="144">
        <f>$AK$75+BE75</f>
        <v>3977499</v>
      </c>
      <c r="BJ75" s="93">
        <f>1388909.91+369854.93+4660565.45+5768704.26</f>
        <v>12188034.550000001</v>
      </c>
      <c r="BK75" s="117">
        <f>455940.95</f>
        <v>455940.95</v>
      </c>
      <c r="BL75" s="117">
        <f>468101.6</f>
        <v>468101.6</v>
      </c>
      <c r="BM75" s="93">
        <f>BL75+BK75</f>
        <v>924042.55</v>
      </c>
      <c r="BN75" s="145">
        <f t="shared" si="1"/>
        <v>13112077.100000001</v>
      </c>
      <c r="BO75" s="58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174" t="s">
        <v>454</v>
      </c>
      <c r="CC75" s="182">
        <v>13354</v>
      </c>
      <c r="CD75" s="174" t="s">
        <v>434</v>
      </c>
      <c r="CE75" s="174" t="s">
        <v>435</v>
      </c>
      <c r="CF75" s="174" t="s">
        <v>436</v>
      </c>
      <c r="CG75" s="174" t="s">
        <v>437</v>
      </c>
    </row>
    <row r="76" spans="1:85" ht="15.75" thickBot="1" x14ac:dyDescent="0.3">
      <c r="A76" s="210"/>
      <c r="B76" s="210"/>
      <c r="C76" s="204"/>
      <c r="D76" s="235"/>
      <c r="E76" s="235"/>
      <c r="F76" s="378"/>
      <c r="G76" s="60"/>
      <c r="H76" s="216"/>
      <c r="I76" s="58"/>
      <c r="J76" s="58"/>
      <c r="K76" s="58"/>
      <c r="L76" s="58"/>
      <c r="M76" s="58"/>
      <c r="N76" s="58"/>
      <c r="O76" s="59"/>
      <c r="P76" s="59"/>
      <c r="Q76" s="204"/>
      <c r="R76" s="192"/>
      <c r="S76" s="204"/>
      <c r="T76" s="194"/>
      <c r="U76" s="204"/>
      <c r="V76" s="210"/>
      <c r="W76" s="204"/>
      <c r="X76" s="214"/>
      <c r="Y76" s="197"/>
      <c r="Z76" s="192"/>
      <c r="AA76" s="228"/>
      <c r="AB76" s="192"/>
      <c r="AC76" s="211"/>
      <c r="AD76" s="213"/>
      <c r="AE76" s="213"/>
      <c r="AF76" s="218"/>
      <c r="AG76" s="210"/>
      <c r="AH76" s="58"/>
      <c r="AI76" s="100"/>
      <c r="AJ76" s="100"/>
      <c r="AK76" s="223"/>
      <c r="AL76" s="57" t="s">
        <v>338</v>
      </c>
      <c r="AM76" s="58" t="s">
        <v>193</v>
      </c>
      <c r="AN76" s="50">
        <v>44888</v>
      </c>
      <c r="AO76" s="59">
        <v>13417</v>
      </c>
      <c r="AP76" s="58" t="s">
        <v>336</v>
      </c>
      <c r="AQ76" s="58"/>
      <c r="AR76" s="58"/>
      <c r="AS76" s="42"/>
      <c r="AT76" s="43"/>
      <c r="AU76" s="89"/>
      <c r="AV76" s="58"/>
      <c r="AW76" s="78"/>
      <c r="AX76" s="78"/>
      <c r="AY76" s="44"/>
      <c r="AZ76" s="45"/>
      <c r="BA76" s="100"/>
      <c r="BB76" s="100"/>
      <c r="BC76" s="91"/>
      <c r="BD76" s="62">
        <f>BE76/BI75</f>
        <v>0.19611916935742787</v>
      </c>
      <c r="BE76" s="63">
        <v>780063.8</v>
      </c>
      <c r="BF76" s="100"/>
      <c r="BG76" s="58"/>
      <c r="BH76" s="100"/>
      <c r="BI76" s="144">
        <f t="shared" ref="BI76:BI77" si="7">$AK$75+BE76</f>
        <v>4757562.8</v>
      </c>
      <c r="BJ76" s="93"/>
      <c r="BK76" s="93"/>
      <c r="BL76" s="93"/>
      <c r="BM76" s="106"/>
      <c r="BN76" s="145">
        <f t="shared" si="1"/>
        <v>0</v>
      </c>
      <c r="BO76" s="58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174"/>
      <c r="CC76" s="174"/>
      <c r="CD76" s="174"/>
      <c r="CE76" s="174"/>
      <c r="CF76" s="174"/>
      <c r="CG76" s="174"/>
    </row>
    <row r="77" spans="1:85" ht="39" thickBot="1" x14ac:dyDescent="0.3">
      <c r="A77" s="191"/>
      <c r="B77" s="191"/>
      <c r="C77" s="151"/>
      <c r="D77" s="236"/>
      <c r="E77" s="236"/>
      <c r="F77" s="379"/>
      <c r="G77" s="57"/>
      <c r="H77" s="217"/>
      <c r="I77" s="58"/>
      <c r="J77" s="58"/>
      <c r="K77" s="58"/>
      <c r="L77" s="58"/>
      <c r="M77" s="58"/>
      <c r="N77" s="58"/>
      <c r="O77" s="59"/>
      <c r="P77" s="59"/>
      <c r="Q77" s="151"/>
      <c r="R77" s="153"/>
      <c r="S77" s="151"/>
      <c r="T77" s="155"/>
      <c r="U77" s="151"/>
      <c r="V77" s="191"/>
      <c r="W77" s="151"/>
      <c r="X77" s="159"/>
      <c r="Y77" s="157"/>
      <c r="Z77" s="153"/>
      <c r="AA77" s="229"/>
      <c r="AB77" s="153"/>
      <c r="AC77" s="199"/>
      <c r="AD77" s="201"/>
      <c r="AE77" s="201"/>
      <c r="AF77" s="203"/>
      <c r="AG77" s="191"/>
      <c r="AH77" s="58"/>
      <c r="AI77" s="100"/>
      <c r="AJ77" s="100"/>
      <c r="AK77" s="206"/>
      <c r="AL77" s="57" t="s">
        <v>192</v>
      </c>
      <c r="AM77" s="58" t="s">
        <v>193</v>
      </c>
      <c r="AN77" s="50">
        <v>45139</v>
      </c>
      <c r="AO77" s="59">
        <v>13590</v>
      </c>
      <c r="AP77" s="58" t="s">
        <v>347</v>
      </c>
      <c r="AQ77" s="50">
        <v>45139</v>
      </c>
      <c r="AR77" s="50">
        <v>45504</v>
      </c>
      <c r="AS77" s="42"/>
      <c r="AT77" s="43"/>
      <c r="AU77" s="89"/>
      <c r="AV77" s="58"/>
      <c r="AW77" s="78"/>
      <c r="AX77" s="78"/>
      <c r="AY77" s="44"/>
      <c r="AZ77" s="45"/>
      <c r="BA77" s="100"/>
      <c r="BB77" s="100"/>
      <c r="BC77" s="91"/>
      <c r="BD77" s="62">
        <f>BE77/BI76</f>
        <v>7.097991433765205E-2</v>
      </c>
      <c r="BE77" s="63">
        <v>337691.4</v>
      </c>
      <c r="BF77" s="100"/>
      <c r="BG77" s="58"/>
      <c r="BH77" s="100"/>
      <c r="BI77" s="144">
        <f t="shared" si="7"/>
        <v>4315190.4000000004</v>
      </c>
      <c r="BJ77" s="93"/>
      <c r="BK77" s="93"/>
      <c r="BL77" s="93"/>
      <c r="BM77" s="106"/>
      <c r="BN77" s="145">
        <f t="shared" si="1"/>
        <v>0</v>
      </c>
      <c r="BO77" s="58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175"/>
      <c r="CC77" s="175"/>
      <c r="CD77" s="175"/>
      <c r="CE77" s="175"/>
      <c r="CF77" s="175"/>
      <c r="CG77" s="175"/>
    </row>
    <row r="78" spans="1:85" ht="15.75" thickBot="1" x14ac:dyDescent="0.3">
      <c r="A78" s="190">
        <v>19</v>
      </c>
      <c r="B78" s="190" t="s">
        <v>239</v>
      </c>
      <c r="C78" s="150" t="s">
        <v>240</v>
      </c>
      <c r="D78" s="234" t="s">
        <v>216</v>
      </c>
      <c r="E78" s="234" t="s">
        <v>177</v>
      </c>
      <c r="F78" s="377" t="s">
        <v>241</v>
      </c>
      <c r="G78" s="56"/>
      <c r="H78" s="215">
        <v>12972</v>
      </c>
      <c r="I78" s="58"/>
      <c r="J78" s="58"/>
      <c r="K78" s="58"/>
      <c r="L78" s="58"/>
      <c r="M78" s="58"/>
      <c r="N78" s="58"/>
      <c r="O78" s="59"/>
      <c r="P78" s="59"/>
      <c r="Q78" s="150" t="s">
        <v>390</v>
      </c>
      <c r="R78" s="152">
        <v>44487</v>
      </c>
      <c r="S78" s="152">
        <v>44852</v>
      </c>
      <c r="T78" s="154">
        <v>13151</v>
      </c>
      <c r="U78" s="150" t="s">
        <v>399</v>
      </c>
      <c r="V78" s="215">
        <v>13151</v>
      </c>
      <c r="W78" s="150" t="s">
        <v>241</v>
      </c>
      <c r="X78" s="158" t="s">
        <v>424</v>
      </c>
      <c r="Y78" s="156" t="s">
        <v>295</v>
      </c>
      <c r="Z78" s="152" t="s">
        <v>296</v>
      </c>
      <c r="AA78" s="227" t="s">
        <v>297</v>
      </c>
      <c r="AB78" s="152">
        <v>44538</v>
      </c>
      <c r="AC78" s="198">
        <v>13181</v>
      </c>
      <c r="AD78" s="200">
        <v>44538</v>
      </c>
      <c r="AE78" s="200">
        <v>44903</v>
      </c>
      <c r="AF78" s="202" t="s">
        <v>183</v>
      </c>
      <c r="AG78" s="190" t="s">
        <v>178</v>
      </c>
      <c r="AH78" s="58"/>
      <c r="AI78" s="100"/>
      <c r="AJ78" s="100"/>
      <c r="AK78" s="205">
        <v>89208</v>
      </c>
      <c r="AL78" s="57"/>
      <c r="AM78" s="58"/>
      <c r="AN78" s="50"/>
      <c r="AO78" s="59"/>
      <c r="AP78" s="58"/>
      <c r="AQ78" s="58"/>
      <c r="AR78" s="58"/>
      <c r="AS78" s="42"/>
      <c r="AT78" s="43"/>
      <c r="AU78" s="89"/>
      <c r="AV78" s="58"/>
      <c r="AW78" s="78"/>
      <c r="AX78" s="78"/>
      <c r="AY78" s="44"/>
      <c r="AZ78" s="45"/>
      <c r="BA78" s="100"/>
      <c r="BB78" s="100"/>
      <c r="BC78" s="91"/>
      <c r="BD78" s="63"/>
      <c r="BE78" s="63"/>
      <c r="BF78" s="100"/>
      <c r="BG78" s="58"/>
      <c r="BH78" s="100"/>
      <c r="BI78" s="144">
        <f>$AK$78+AW78-AX78</f>
        <v>89208</v>
      </c>
      <c r="BJ78" s="93">
        <f>5197.5+67167+51013.44+51013.44</f>
        <v>174391.38</v>
      </c>
      <c r="BK78" s="117">
        <f>10627.8</f>
        <v>10627.8</v>
      </c>
      <c r="BL78" s="93"/>
      <c r="BM78" s="93">
        <f>BL78+BK78</f>
        <v>10627.8</v>
      </c>
      <c r="BN78" s="145">
        <f t="shared" si="1"/>
        <v>185019.18</v>
      </c>
      <c r="BO78" s="58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173" t="s">
        <v>455</v>
      </c>
      <c r="CC78" s="173">
        <v>13185</v>
      </c>
      <c r="CD78" s="173" t="s">
        <v>456</v>
      </c>
      <c r="CE78" s="173">
        <v>713115</v>
      </c>
      <c r="CF78" s="173" t="s">
        <v>457</v>
      </c>
      <c r="CG78" s="173" t="s">
        <v>458</v>
      </c>
    </row>
    <row r="79" spans="1:85" ht="15.75" thickBot="1" x14ac:dyDescent="0.3">
      <c r="A79" s="210"/>
      <c r="B79" s="210"/>
      <c r="C79" s="204"/>
      <c r="D79" s="235"/>
      <c r="E79" s="235"/>
      <c r="F79" s="378"/>
      <c r="G79" s="60"/>
      <c r="H79" s="216"/>
      <c r="I79" s="58"/>
      <c r="J79" s="58"/>
      <c r="K79" s="58"/>
      <c r="L79" s="58"/>
      <c r="M79" s="58"/>
      <c r="N79" s="58"/>
      <c r="O79" s="59"/>
      <c r="P79" s="59"/>
      <c r="Q79" s="204"/>
      <c r="R79" s="192"/>
      <c r="S79" s="192"/>
      <c r="T79" s="194"/>
      <c r="U79" s="204"/>
      <c r="V79" s="216"/>
      <c r="W79" s="204"/>
      <c r="X79" s="214"/>
      <c r="Y79" s="197"/>
      <c r="Z79" s="192"/>
      <c r="AA79" s="228"/>
      <c r="AB79" s="192"/>
      <c r="AC79" s="211"/>
      <c r="AD79" s="213"/>
      <c r="AE79" s="213"/>
      <c r="AF79" s="218"/>
      <c r="AG79" s="210"/>
      <c r="AH79" s="58"/>
      <c r="AI79" s="100"/>
      <c r="AJ79" s="100"/>
      <c r="AK79" s="223"/>
      <c r="AL79" s="86"/>
      <c r="AM79" s="58"/>
      <c r="AN79" s="87"/>
      <c r="AO79" s="88"/>
      <c r="AP79" s="58"/>
      <c r="AQ79" s="87"/>
      <c r="AR79" s="87"/>
      <c r="AS79" s="42"/>
      <c r="AT79" s="43"/>
      <c r="AU79" s="89"/>
      <c r="AV79" s="89">
        <f>AX79/BI78</f>
        <v>0.42815173527037931</v>
      </c>
      <c r="AW79" s="78"/>
      <c r="AX79" s="78">
        <v>38194.559999999998</v>
      </c>
      <c r="AY79" s="44"/>
      <c r="AZ79" s="45"/>
      <c r="BA79" s="100"/>
      <c r="BB79" s="100"/>
      <c r="BC79" s="91"/>
      <c r="BD79" s="63"/>
      <c r="BE79" s="63"/>
      <c r="BF79" s="100"/>
      <c r="BG79" s="58"/>
      <c r="BH79" s="100"/>
      <c r="BI79" s="144">
        <f t="shared" ref="BI79:BI81" si="8">$AK$78+AW79-AX79</f>
        <v>51013.440000000002</v>
      </c>
      <c r="BJ79" s="93"/>
      <c r="BK79" s="93"/>
      <c r="BL79" s="93"/>
      <c r="BM79" s="106"/>
      <c r="BN79" s="145">
        <f t="shared" si="1"/>
        <v>0</v>
      </c>
      <c r="BO79" s="58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174"/>
      <c r="CC79" s="174"/>
      <c r="CD79" s="174"/>
      <c r="CE79" s="174"/>
      <c r="CF79" s="174"/>
      <c r="CG79" s="174"/>
    </row>
    <row r="80" spans="1:85" ht="102.75" thickBot="1" x14ac:dyDescent="0.3">
      <c r="A80" s="210"/>
      <c r="B80" s="210"/>
      <c r="C80" s="204"/>
      <c r="D80" s="235"/>
      <c r="E80" s="235"/>
      <c r="F80" s="378"/>
      <c r="G80" s="60"/>
      <c r="H80" s="216"/>
      <c r="I80" s="58"/>
      <c r="J80" s="58"/>
      <c r="K80" s="58"/>
      <c r="L80" s="58"/>
      <c r="M80" s="58"/>
      <c r="N80" s="58"/>
      <c r="O80" s="59"/>
      <c r="P80" s="59"/>
      <c r="Q80" s="204"/>
      <c r="R80" s="192"/>
      <c r="S80" s="192"/>
      <c r="T80" s="194"/>
      <c r="U80" s="204"/>
      <c r="V80" s="216"/>
      <c r="W80" s="204"/>
      <c r="X80" s="214"/>
      <c r="Y80" s="197"/>
      <c r="Z80" s="192"/>
      <c r="AA80" s="228"/>
      <c r="AB80" s="192"/>
      <c r="AC80" s="211"/>
      <c r="AD80" s="213"/>
      <c r="AE80" s="213"/>
      <c r="AF80" s="218"/>
      <c r="AG80" s="210"/>
      <c r="AH80" s="58"/>
      <c r="AI80" s="100"/>
      <c r="AJ80" s="100"/>
      <c r="AK80" s="223"/>
      <c r="AL80" s="86" t="s">
        <v>179</v>
      </c>
      <c r="AM80" s="58" t="s">
        <v>193</v>
      </c>
      <c r="AN80" s="87">
        <v>44903</v>
      </c>
      <c r="AO80" s="59">
        <v>13445</v>
      </c>
      <c r="AP80" s="58" t="s">
        <v>355</v>
      </c>
      <c r="AQ80" s="87">
        <v>44904</v>
      </c>
      <c r="AR80" s="87">
        <v>45268</v>
      </c>
      <c r="AS80" s="42"/>
      <c r="AT80" s="43"/>
      <c r="AU80" s="89"/>
      <c r="AV80" s="89"/>
      <c r="AW80" s="78"/>
      <c r="AX80" s="78"/>
      <c r="AY80" s="44"/>
      <c r="AZ80" s="45"/>
      <c r="BA80" s="100"/>
      <c r="BB80" s="100"/>
      <c r="BC80" s="91"/>
      <c r="BD80" s="63"/>
      <c r="BE80" s="63"/>
      <c r="BF80" s="100"/>
      <c r="BG80" s="58"/>
      <c r="BH80" s="100"/>
      <c r="BI80" s="144">
        <f t="shared" si="8"/>
        <v>89208</v>
      </c>
      <c r="BJ80" s="93"/>
      <c r="BK80" s="93"/>
      <c r="BL80" s="93"/>
      <c r="BM80" s="106"/>
      <c r="BN80" s="145">
        <f t="shared" si="1"/>
        <v>0</v>
      </c>
      <c r="BO80" s="58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174"/>
      <c r="CC80" s="174"/>
      <c r="CD80" s="174"/>
      <c r="CE80" s="174"/>
      <c r="CF80" s="174"/>
      <c r="CG80" s="174"/>
    </row>
    <row r="81" spans="1:85" ht="15.75" thickBot="1" x14ac:dyDescent="0.3">
      <c r="A81" s="191"/>
      <c r="B81" s="191"/>
      <c r="C81" s="151"/>
      <c r="D81" s="236"/>
      <c r="E81" s="236"/>
      <c r="F81" s="379"/>
      <c r="G81" s="57"/>
      <c r="H81" s="217"/>
      <c r="I81" s="58"/>
      <c r="J81" s="58"/>
      <c r="K81" s="58"/>
      <c r="L81" s="58"/>
      <c r="M81" s="58"/>
      <c r="N81" s="58"/>
      <c r="O81" s="59"/>
      <c r="P81" s="59"/>
      <c r="Q81" s="151"/>
      <c r="R81" s="153"/>
      <c r="S81" s="153"/>
      <c r="T81" s="155"/>
      <c r="U81" s="151"/>
      <c r="V81" s="217"/>
      <c r="W81" s="151"/>
      <c r="X81" s="159"/>
      <c r="Y81" s="157"/>
      <c r="Z81" s="153"/>
      <c r="AA81" s="229"/>
      <c r="AB81" s="153"/>
      <c r="AC81" s="199"/>
      <c r="AD81" s="201"/>
      <c r="AE81" s="201"/>
      <c r="AF81" s="203"/>
      <c r="AG81" s="191"/>
      <c r="AH81" s="58"/>
      <c r="AI81" s="100"/>
      <c r="AJ81" s="100"/>
      <c r="AK81" s="206"/>
      <c r="AL81" s="86" t="s">
        <v>179</v>
      </c>
      <c r="AM81" s="58" t="s">
        <v>195</v>
      </c>
      <c r="AN81" s="87">
        <v>45269</v>
      </c>
      <c r="AO81" s="59">
        <v>13677</v>
      </c>
      <c r="AP81" s="58" t="s">
        <v>352</v>
      </c>
      <c r="AQ81" s="87">
        <v>45269</v>
      </c>
      <c r="AR81" s="87">
        <v>45634</v>
      </c>
      <c r="AS81" s="42"/>
      <c r="AT81" s="43"/>
      <c r="AU81" s="89"/>
      <c r="AV81" s="89"/>
      <c r="AW81" s="78"/>
      <c r="AX81" s="78"/>
      <c r="AY81" s="44"/>
      <c r="AZ81" s="45"/>
      <c r="BA81" s="100"/>
      <c r="BB81" s="100"/>
      <c r="BC81" s="91"/>
      <c r="BD81" s="63"/>
      <c r="BE81" s="63"/>
      <c r="BF81" s="100"/>
      <c r="BG81" s="58"/>
      <c r="BH81" s="100"/>
      <c r="BI81" s="144">
        <f t="shared" si="8"/>
        <v>89208</v>
      </c>
      <c r="BJ81" s="93"/>
      <c r="BK81" s="93"/>
      <c r="BL81" s="93"/>
      <c r="BM81" s="106"/>
      <c r="BN81" s="145">
        <f t="shared" si="1"/>
        <v>0</v>
      </c>
      <c r="BO81" s="58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174"/>
      <c r="CC81" s="174"/>
      <c r="CD81" s="174"/>
      <c r="CE81" s="174"/>
      <c r="CF81" s="174"/>
      <c r="CG81" s="174"/>
    </row>
    <row r="82" spans="1:85" ht="105.75" thickBot="1" x14ac:dyDescent="0.3">
      <c r="A82" s="69">
        <v>20</v>
      </c>
      <c r="B82" s="70" t="s">
        <v>242</v>
      </c>
      <c r="C82" s="56" t="s">
        <v>242</v>
      </c>
      <c r="D82" s="73" t="s">
        <v>243</v>
      </c>
      <c r="E82" s="73" t="s">
        <v>229</v>
      </c>
      <c r="F82" s="380" t="s">
        <v>244</v>
      </c>
      <c r="G82" s="43"/>
      <c r="H82" s="72"/>
      <c r="I82" s="58"/>
      <c r="J82" s="58"/>
      <c r="K82" s="58"/>
      <c r="L82" s="58"/>
      <c r="M82" s="58"/>
      <c r="N82" s="58"/>
      <c r="O82" s="59"/>
      <c r="P82" s="59"/>
      <c r="Q82" s="57" t="s">
        <v>400</v>
      </c>
      <c r="R82" s="55">
        <v>44895</v>
      </c>
      <c r="S82" s="55">
        <v>45260</v>
      </c>
      <c r="T82" s="54">
        <v>13469</v>
      </c>
      <c r="U82" s="57" t="s">
        <v>401</v>
      </c>
      <c r="V82" s="69">
        <v>13469</v>
      </c>
      <c r="W82" s="58"/>
      <c r="X82" s="100"/>
      <c r="Y82" s="75" t="s">
        <v>298</v>
      </c>
      <c r="Z82" s="52" t="s">
        <v>299</v>
      </c>
      <c r="AA82" s="76" t="s">
        <v>300</v>
      </c>
      <c r="AB82" s="77">
        <v>45204</v>
      </c>
      <c r="AC82" s="79">
        <v>13633</v>
      </c>
      <c r="AD82" s="84">
        <v>45204</v>
      </c>
      <c r="AE82" s="84">
        <v>45570</v>
      </c>
      <c r="AF82" s="83" t="s">
        <v>183</v>
      </c>
      <c r="AG82" s="85" t="s">
        <v>178</v>
      </c>
      <c r="AH82" s="58"/>
      <c r="AI82" s="100"/>
      <c r="AJ82" s="100"/>
      <c r="AK82" s="142">
        <f>295200</f>
        <v>295200</v>
      </c>
      <c r="AL82" s="57"/>
      <c r="AM82" s="58"/>
      <c r="AN82" s="58"/>
      <c r="AO82" s="59"/>
      <c r="AP82" s="58"/>
      <c r="AQ82" s="58"/>
      <c r="AR82" s="58"/>
      <c r="AS82" s="42"/>
      <c r="AT82" s="43"/>
      <c r="AU82" s="89"/>
      <c r="AV82" s="58"/>
      <c r="AW82" s="78"/>
      <c r="AX82" s="78"/>
      <c r="AY82" s="44"/>
      <c r="AZ82" s="45"/>
      <c r="BA82" s="100"/>
      <c r="BB82" s="100"/>
      <c r="BC82" s="91"/>
      <c r="BD82" s="63"/>
      <c r="BE82" s="63"/>
      <c r="BF82" s="100"/>
      <c r="BG82" s="58"/>
      <c r="BH82" s="100"/>
      <c r="BI82" s="144">
        <f>AK82+AW82-AX82</f>
        <v>295200</v>
      </c>
      <c r="BJ82" s="118">
        <f>67240+295200</f>
        <v>362440</v>
      </c>
      <c r="BK82" s="122">
        <f>50756.16</f>
        <v>50756.160000000003</v>
      </c>
      <c r="BL82" s="118"/>
      <c r="BM82" s="118">
        <f>BL82+BK82</f>
        <v>50756.160000000003</v>
      </c>
      <c r="BN82" s="145">
        <f t="shared" si="1"/>
        <v>413196.16000000003</v>
      </c>
      <c r="BO82" s="57"/>
      <c r="BP82" s="69"/>
      <c r="BQ82" s="70"/>
      <c r="BR82" s="70"/>
      <c r="BS82" s="69"/>
      <c r="BT82" s="69"/>
      <c r="BU82" s="69"/>
      <c r="BV82" s="69"/>
      <c r="BW82" s="69"/>
      <c r="BX82" s="70"/>
      <c r="BY82" s="70"/>
      <c r="BZ82" s="70"/>
      <c r="CA82" s="70"/>
      <c r="CB82" s="107" t="s">
        <v>459</v>
      </c>
      <c r="CC82" s="108">
        <v>13636</v>
      </c>
      <c r="CD82" s="109" t="s">
        <v>432</v>
      </c>
      <c r="CE82" s="109">
        <v>713115</v>
      </c>
      <c r="CF82" s="107" t="s">
        <v>449</v>
      </c>
      <c r="CG82" s="107" t="s">
        <v>426</v>
      </c>
    </row>
    <row r="83" spans="1:85" ht="90" thickBot="1" x14ac:dyDescent="0.3">
      <c r="A83" s="69">
        <v>21</v>
      </c>
      <c r="B83" s="70" t="s">
        <v>245</v>
      </c>
      <c r="C83" s="56" t="s">
        <v>213</v>
      </c>
      <c r="D83" s="73" t="s">
        <v>216</v>
      </c>
      <c r="E83" s="73" t="s">
        <v>177</v>
      </c>
      <c r="F83" s="380" t="s">
        <v>246</v>
      </c>
      <c r="G83" s="47"/>
      <c r="H83" s="72">
        <v>13155</v>
      </c>
      <c r="I83" s="58"/>
      <c r="J83" s="58"/>
      <c r="K83" s="58"/>
      <c r="L83" s="58"/>
      <c r="M83" s="58"/>
      <c r="N83" s="58"/>
      <c r="O83" s="59"/>
      <c r="P83" s="59"/>
      <c r="Q83" s="57" t="s">
        <v>402</v>
      </c>
      <c r="R83" s="55">
        <v>44496</v>
      </c>
      <c r="S83" s="55">
        <v>44861</v>
      </c>
      <c r="T83" s="54">
        <v>13157</v>
      </c>
      <c r="U83" s="57" t="s">
        <v>403</v>
      </c>
      <c r="V83" s="54">
        <v>13157</v>
      </c>
      <c r="W83" s="101" t="s">
        <v>246</v>
      </c>
      <c r="X83" s="100">
        <v>472499.4</v>
      </c>
      <c r="Y83" s="75" t="s">
        <v>301</v>
      </c>
      <c r="Z83" s="52" t="s">
        <v>302</v>
      </c>
      <c r="AA83" s="76" t="s">
        <v>303</v>
      </c>
      <c r="AB83" s="77">
        <v>44687</v>
      </c>
      <c r="AC83" s="79">
        <v>13292</v>
      </c>
      <c r="AD83" s="84">
        <v>44687</v>
      </c>
      <c r="AE83" s="84">
        <v>45051</v>
      </c>
      <c r="AF83" s="83" t="s">
        <v>183</v>
      </c>
      <c r="AG83" s="85" t="s">
        <v>178</v>
      </c>
      <c r="AH83" s="58"/>
      <c r="AI83" s="100"/>
      <c r="AJ83" s="100"/>
      <c r="AK83" s="142">
        <v>472499.4</v>
      </c>
      <c r="AL83" s="57" t="s">
        <v>192</v>
      </c>
      <c r="AM83" s="58" t="s">
        <v>193</v>
      </c>
      <c r="AN83" s="50">
        <v>45050</v>
      </c>
      <c r="AO83" s="59">
        <v>13529</v>
      </c>
      <c r="AP83" s="58" t="s">
        <v>337</v>
      </c>
      <c r="AQ83" s="50">
        <v>45052</v>
      </c>
      <c r="AR83" s="50">
        <v>45417</v>
      </c>
      <c r="AS83" s="42"/>
      <c r="AT83" s="43"/>
      <c r="AU83" s="89"/>
      <c r="AV83" s="58"/>
      <c r="AW83" s="78"/>
      <c r="AX83" s="78"/>
      <c r="AY83" s="44"/>
      <c r="AZ83" s="45"/>
      <c r="BA83" s="100"/>
      <c r="BB83" s="100"/>
      <c r="BC83" s="91"/>
      <c r="BD83" s="63"/>
      <c r="BE83" s="63"/>
      <c r="BF83" s="100"/>
      <c r="BG83" s="58"/>
      <c r="BH83" s="100"/>
      <c r="BI83" s="144">
        <f>AK83+AW83-AX83</f>
        <v>472499.4</v>
      </c>
      <c r="BJ83" s="93">
        <f>270899.59+472499.28+454124.28</f>
        <v>1197523.1500000001</v>
      </c>
      <c r="BK83" s="117">
        <f>39374.94+39374.94</f>
        <v>78749.88</v>
      </c>
      <c r="BL83" s="117">
        <v>39374.94</v>
      </c>
      <c r="BM83" s="93">
        <f>BL83+BK83</f>
        <v>118124.82</v>
      </c>
      <c r="BN83" s="145">
        <f t="shared" si="1"/>
        <v>1315647.9700000002</v>
      </c>
      <c r="BO83" s="57"/>
      <c r="BP83" s="69"/>
      <c r="BQ83" s="70"/>
      <c r="BR83" s="70"/>
      <c r="BS83" s="69"/>
      <c r="BT83" s="69"/>
      <c r="BU83" s="69"/>
      <c r="BV83" s="69"/>
      <c r="BW83" s="69"/>
      <c r="BX83" s="70"/>
      <c r="BY83" s="70"/>
      <c r="BZ83" s="70"/>
      <c r="CA83" s="70"/>
      <c r="CB83" s="107" t="s">
        <v>460</v>
      </c>
      <c r="CC83" s="108">
        <v>13354</v>
      </c>
      <c r="CD83" s="107" t="s">
        <v>461</v>
      </c>
      <c r="CE83" s="107" t="s">
        <v>462</v>
      </c>
      <c r="CF83" s="107" t="s">
        <v>463</v>
      </c>
      <c r="CG83" s="107" t="s">
        <v>437</v>
      </c>
    </row>
    <row r="84" spans="1:85" ht="15.75" thickBot="1" x14ac:dyDescent="0.3">
      <c r="A84" s="230">
        <v>22</v>
      </c>
      <c r="B84" s="190" t="s">
        <v>247</v>
      </c>
      <c r="C84" s="150"/>
      <c r="D84" s="150" t="s">
        <v>248</v>
      </c>
      <c r="E84" s="188" t="s">
        <v>177</v>
      </c>
      <c r="F84" s="377" t="s">
        <v>249</v>
      </c>
      <c r="G84" s="56"/>
      <c r="H84" s="190"/>
      <c r="I84" s="58"/>
      <c r="J84" s="58"/>
      <c r="K84" s="58"/>
      <c r="L84" s="58"/>
      <c r="M84" s="150" t="s">
        <v>404</v>
      </c>
      <c r="N84" s="150" t="s">
        <v>405</v>
      </c>
      <c r="O84" s="154">
        <v>12454</v>
      </c>
      <c r="P84" s="154">
        <v>12454</v>
      </c>
      <c r="Q84" s="97"/>
      <c r="R84" s="95"/>
      <c r="S84" s="95"/>
      <c r="T84" s="96"/>
      <c r="U84" s="86"/>
      <c r="V84" s="96"/>
      <c r="W84" s="58"/>
      <c r="X84" s="100"/>
      <c r="Y84" s="150" t="s">
        <v>304</v>
      </c>
      <c r="Z84" s="150" t="s">
        <v>305</v>
      </c>
      <c r="AA84" s="150" t="s">
        <v>320</v>
      </c>
      <c r="AB84" s="152">
        <v>43070</v>
      </c>
      <c r="AC84" s="198">
        <v>12282</v>
      </c>
      <c r="AD84" s="200">
        <v>43070</v>
      </c>
      <c r="AE84" s="200">
        <v>43434</v>
      </c>
      <c r="AF84" s="202" t="s">
        <v>325</v>
      </c>
      <c r="AG84" s="190" t="s">
        <v>178</v>
      </c>
      <c r="AH84" s="58"/>
      <c r="AI84" s="100"/>
      <c r="AJ84" s="100"/>
      <c r="AK84" s="205">
        <v>144000</v>
      </c>
      <c r="AL84" s="75"/>
      <c r="AM84" s="75"/>
      <c r="AN84" s="50"/>
      <c r="AO84" s="59"/>
      <c r="AP84" s="58"/>
      <c r="AQ84" s="50"/>
      <c r="AR84" s="50"/>
      <c r="AS84" s="42"/>
      <c r="AT84" s="43"/>
      <c r="AU84" s="89"/>
      <c r="AV84" s="89"/>
      <c r="AW84" s="78"/>
      <c r="AX84" s="78"/>
      <c r="AY84" s="44"/>
      <c r="AZ84" s="45"/>
      <c r="BA84" s="100"/>
      <c r="BB84" s="100"/>
      <c r="BC84" s="63"/>
      <c r="BD84" s="63"/>
      <c r="BE84" s="63"/>
      <c r="BF84" s="100"/>
      <c r="BG84" s="58"/>
      <c r="BH84" s="100"/>
      <c r="BI84" s="144">
        <f>$AK$84+AW84-AX84</f>
        <v>144000</v>
      </c>
      <c r="BJ84" s="123">
        <f>12000+12000+60000+12000+12000+36000+24000+36000+48000+144000+121756.03+132000+13048.39+168639.24+168639.24+168639.24</f>
        <v>1168722.1400000001</v>
      </c>
      <c r="BK84" s="124"/>
      <c r="BL84" s="124">
        <f>14053.27</f>
        <v>14053.27</v>
      </c>
      <c r="BM84" s="125">
        <f>BL84+BK84</f>
        <v>14053.27</v>
      </c>
      <c r="BN84" s="145">
        <f t="shared" si="1"/>
        <v>1182775.4100000001</v>
      </c>
      <c r="BO84" s="58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173" t="s">
        <v>464</v>
      </c>
      <c r="CC84" s="173">
        <v>12982</v>
      </c>
      <c r="CD84" s="173" t="s">
        <v>465</v>
      </c>
      <c r="CE84" s="177">
        <v>712961</v>
      </c>
      <c r="CF84" s="177" t="s">
        <v>466</v>
      </c>
      <c r="CG84" s="180" t="s">
        <v>467</v>
      </c>
    </row>
    <row r="85" spans="1:85" ht="26.25" thickBot="1" x14ac:dyDescent="0.3">
      <c r="A85" s="230"/>
      <c r="B85" s="210"/>
      <c r="C85" s="204"/>
      <c r="D85" s="204"/>
      <c r="E85" s="237"/>
      <c r="F85" s="378"/>
      <c r="G85" s="60"/>
      <c r="H85" s="210"/>
      <c r="I85" s="58"/>
      <c r="J85" s="58"/>
      <c r="K85" s="58"/>
      <c r="L85" s="58"/>
      <c r="M85" s="204"/>
      <c r="N85" s="204"/>
      <c r="O85" s="194"/>
      <c r="P85" s="194"/>
      <c r="Q85" s="97"/>
      <c r="R85" s="95"/>
      <c r="S85" s="95"/>
      <c r="T85" s="96"/>
      <c r="U85" s="86"/>
      <c r="V85" s="96"/>
      <c r="W85" s="58"/>
      <c r="X85" s="100"/>
      <c r="Y85" s="204"/>
      <c r="Z85" s="204"/>
      <c r="AA85" s="204"/>
      <c r="AB85" s="192"/>
      <c r="AC85" s="211"/>
      <c r="AD85" s="213"/>
      <c r="AE85" s="213"/>
      <c r="AF85" s="218"/>
      <c r="AG85" s="210"/>
      <c r="AH85" s="58"/>
      <c r="AI85" s="100"/>
      <c r="AJ85" s="100"/>
      <c r="AK85" s="223"/>
      <c r="AL85" s="75" t="s">
        <v>192</v>
      </c>
      <c r="AM85" s="75" t="s">
        <v>193</v>
      </c>
      <c r="AN85" s="50">
        <v>43434</v>
      </c>
      <c r="AO85" s="59">
        <v>12454</v>
      </c>
      <c r="AP85" s="58" t="s">
        <v>351</v>
      </c>
      <c r="AQ85" s="50">
        <v>43435</v>
      </c>
      <c r="AR85" s="50">
        <v>43799</v>
      </c>
      <c r="AS85" s="42"/>
      <c r="AT85" s="43"/>
      <c r="AU85" s="89"/>
      <c r="AV85" s="89"/>
      <c r="AW85" s="78"/>
      <c r="AX85" s="78"/>
      <c r="AY85" s="44"/>
      <c r="AZ85" s="45"/>
      <c r="BA85" s="100"/>
      <c r="BB85" s="100"/>
      <c r="BC85" s="63"/>
      <c r="BD85" s="63"/>
      <c r="BE85" s="63"/>
      <c r="BF85" s="100"/>
      <c r="BG85" s="58"/>
      <c r="BH85" s="100"/>
      <c r="BI85" s="144">
        <f t="shared" ref="BI85:BI88" si="9">$AK$84+AW85-AX85</f>
        <v>144000</v>
      </c>
      <c r="BJ85" s="123"/>
      <c r="BK85" s="123"/>
      <c r="BL85" s="123"/>
      <c r="BM85" s="106"/>
      <c r="BN85" s="145">
        <f t="shared" si="1"/>
        <v>0</v>
      </c>
      <c r="BO85" s="58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174"/>
      <c r="CC85" s="174"/>
      <c r="CD85" s="174"/>
      <c r="CE85" s="178"/>
      <c r="CF85" s="178"/>
      <c r="CG85" s="180"/>
    </row>
    <row r="86" spans="1:85" ht="39" thickBot="1" x14ac:dyDescent="0.3">
      <c r="A86" s="230"/>
      <c r="B86" s="210"/>
      <c r="C86" s="204"/>
      <c r="D86" s="204"/>
      <c r="E86" s="237"/>
      <c r="F86" s="378"/>
      <c r="G86" s="60"/>
      <c r="H86" s="210"/>
      <c r="I86" s="58"/>
      <c r="J86" s="58"/>
      <c r="K86" s="58"/>
      <c r="L86" s="58"/>
      <c r="M86" s="204"/>
      <c r="N86" s="204"/>
      <c r="O86" s="194"/>
      <c r="P86" s="194"/>
      <c r="Q86" s="97"/>
      <c r="R86" s="95"/>
      <c r="S86" s="95"/>
      <c r="T86" s="96"/>
      <c r="U86" s="86"/>
      <c r="V86" s="96"/>
      <c r="W86" s="58"/>
      <c r="X86" s="100"/>
      <c r="Y86" s="204"/>
      <c r="Z86" s="204"/>
      <c r="AA86" s="204"/>
      <c r="AB86" s="192"/>
      <c r="AC86" s="211"/>
      <c r="AD86" s="213"/>
      <c r="AE86" s="213"/>
      <c r="AF86" s="218"/>
      <c r="AG86" s="210"/>
      <c r="AH86" s="58"/>
      <c r="AI86" s="100"/>
      <c r="AJ86" s="100"/>
      <c r="AK86" s="223"/>
      <c r="AL86" s="75" t="s">
        <v>192</v>
      </c>
      <c r="AM86" s="75" t="s">
        <v>195</v>
      </c>
      <c r="AN86" s="50">
        <v>43757</v>
      </c>
      <c r="AO86" s="59">
        <v>12694</v>
      </c>
      <c r="AP86" s="58" t="s">
        <v>356</v>
      </c>
      <c r="AQ86" s="50">
        <v>43757</v>
      </c>
      <c r="AR86" s="50">
        <v>43799</v>
      </c>
      <c r="AS86" s="42"/>
      <c r="AT86" s="43"/>
      <c r="AU86" s="89"/>
      <c r="AV86" s="89"/>
      <c r="AW86" s="78"/>
      <c r="AX86" s="78"/>
      <c r="AY86" s="44"/>
      <c r="AZ86" s="45"/>
      <c r="BA86" s="100"/>
      <c r="BB86" s="100"/>
      <c r="BC86" s="63"/>
      <c r="BD86" s="63"/>
      <c r="BE86" s="63"/>
      <c r="BF86" s="100"/>
      <c r="BG86" s="58"/>
      <c r="BH86" s="100"/>
      <c r="BI86" s="144">
        <f t="shared" si="9"/>
        <v>144000</v>
      </c>
      <c r="BJ86" s="123"/>
      <c r="BK86" s="123"/>
      <c r="BL86" s="123"/>
      <c r="BM86" s="106"/>
      <c r="BN86" s="145">
        <f t="shared" si="1"/>
        <v>0</v>
      </c>
      <c r="BO86" s="58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174"/>
      <c r="CC86" s="174"/>
      <c r="CD86" s="174"/>
      <c r="CE86" s="178"/>
      <c r="CF86" s="178"/>
      <c r="CG86" s="180"/>
    </row>
    <row r="87" spans="1:85" ht="26.25" thickBot="1" x14ac:dyDescent="0.3">
      <c r="A87" s="230"/>
      <c r="B87" s="210"/>
      <c r="C87" s="204"/>
      <c r="D87" s="204"/>
      <c r="E87" s="237"/>
      <c r="F87" s="378"/>
      <c r="G87" s="60"/>
      <c r="H87" s="210"/>
      <c r="I87" s="58"/>
      <c r="J87" s="58"/>
      <c r="K87" s="58"/>
      <c r="L87" s="58"/>
      <c r="M87" s="204"/>
      <c r="N87" s="204"/>
      <c r="O87" s="194"/>
      <c r="P87" s="194"/>
      <c r="Q87" s="97"/>
      <c r="R87" s="95"/>
      <c r="S87" s="95"/>
      <c r="T87" s="96"/>
      <c r="U87" s="86"/>
      <c r="V87" s="96"/>
      <c r="W87" s="58"/>
      <c r="X87" s="100"/>
      <c r="Y87" s="204"/>
      <c r="Z87" s="204"/>
      <c r="AA87" s="204"/>
      <c r="AB87" s="192"/>
      <c r="AC87" s="211"/>
      <c r="AD87" s="213"/>
      <c r="AE87" s="213"/>
      <c r="AF87" s="218"/>
      <c r="AG87" s="210"/>
      <c r="AH87" s="58"/>
      <c r="AI87" s="100"/>
      <c r="AJ87" s="100"/>
      <c r="AK87" s="223"/>
      <c r="AL87" s="75" t="s">
        <v>192</v>
      </c>
      <c r="AM87" s="75" t="s">
        <v>196</v>
      </c>
      <c r="AN87" s="50">
        <v>43799</v>
      </c>
      <c r="AO87" s="59">
        <v>12697</v>
      </c>
      <c r="AP87" s="58" t="s">
        <v>351</v>
      </c>
      <c r="AQ87" s="50">
        <v>43800</v>
      </c>
      <c r="AR87" s="50">
        <v>44165</v>
      </c>
      <c r="AS87" s="42"/>
      <c r="AT87" s="43"/>
      <c r="AU87" s="89"/>
      <c r="AV87" s="89"/>
      <c r="AW87" s="78"/>
      <c r="AX87" s="78"/>
      <c r="AY87" s="44"/>
      <c r="AZ87" s="45"/>
      <c r="BA87" s="100"/>
      <c r="BB87" s="100"/>
      <c r="BC87" s="63"/>
      <c r="BD87" s="63"/>
      <c r="BE87" s="63"/>
      <c r="BF87" s="100"/>
      <c r="BG87" s="58"/>
      <c r="BH87" s="100"/>
      <c r="BI87" s="144">
        <f t="shared" si="9"/>
        <v>144000</v>
      </c>
      <c r="BJ87" s="123"/>
      <c r="BK87" s="123"/>
      <c r="BL87" s="123"/>
      <c r="BM87" s="106"/>
      <c r="BN87" s="145">
        <f t="shared" ref="BN87:BN118" si="10">BM87+BJ87</f>
        <v>0</v>
      </c>
      <c r="BO87" s="58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174"/>
      <c r="CC87" s="174"/>
      <c r="CD87" s="174"/>
      <c r="CE87" s="178"/>
      <c r="CF87" s="178"/>
      <c r="CG87" s="180"/>
    </row>
    <row r="88" spans="1:85" ht="26.25" thickBot="1" x14ac:dyDescent="0.3">
      <c r="A88" s="230"/>
      <c r="B88" s="210"/>
      <c r="C88" s="204"/>
      <c r="D88" s="204"/>
      <c r="E88" s="237"/>
      <c r="F88" s="378"/>
      <c r="G88" s="60"/>
      <c r="H88" s="210"/>
      <c r="I88" s="58"/>
      <c r="J88" s="58"/>
      <c r="K88" s="58"/>
      <c r="L88" s="58"/>
      <c r="M88" s="204"/>
      <c r="N88" s="204"/>
      <c r="O88" s="194"/>
      <c r="P88" s="194"/>
      <c r="Q88" s="97"/>
      <c r="R88" s="95"/>
      <c r="S88" s="95"/>
      <c r="T88" s="96"/>
      <c r="U88" s="86"/>
      <c r="V88" s="96"/>
      <c r="W88" s="58"/>
      <c r="X88" s="100"/>
      <c r="Y88" s="204"/>
      <c r="Z88" s="204"/>
      <c r="AA88" s="204"/>
      <c r="AB88" s="192"/>
      <c r="AC88" s="211"/>
      <c r="AD88" s="213"/>
      <c r="AE88" s="213"/>
      <c r="AF88" s="218"/>
      <c r="AG88" s="210"/>
      <c r="AH88" s="58"/>
      <c r="AI88" s="100"/>
      <c r="AJ88" s="100"/>
      <c r="AK88" s="223"/>
      <c r="AL88" s="75" t="s">
        <v>192</v>
      </c>
      <c r="AM88" s="75" t="s">
        <v>197</v>
      </c>
      <c r="AN88" s="50">
        <v>44147</v>
      </c>
      <c r="AO88" s="59">
        <v>12926</v>
      </c>
      <c r="AP88" s="58" t="s">
        <v>351</v>
      </c>
      <c r="AQ88" s="50">
        <v>44166</v>
      </c>
      <c r="AR88" s="50">
        <v>44530</v>
      </c>
      <c r="AS88" s="42"/>
      <c r="AT88" s="43"/>
      <c r="AU88" s="89"/>
      <c r="AV88" s="89"/>
      <c r="AW88" s="78"/>
      <c r="AX88" s="78"/>
      <c r="AY88" s="44"/>
      <c r="AZ88" s="45"/>
      <c r="BA88" s="100"/>
      <c r="BB88" s="100"/>
      <c r="BC88" s="63"/>
      <c r="BD88" s="63"/>
      <c r="BE88" s="63"/>
      <c r="BF88" s="100"/>
      <c r="BG88" s="58"/>
      <c r="BH88" s="100"/>
      <c r="BI88" s="144">
        <f t="shared" si="9"/>
        <v>144000</v>
      </c>
      <c r="BJ88" s="123"/>
      <c r="BK88" s="123"/>
      <c r="BL88" s="123"/>
      <c r="BM88" s="106"/>
      <c r="BN88" s="145">
        <f t="shared" si="10"/>
        <v>0</v>
      </c>
      <c r="BO88" s="58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174"/>
      <c r="CC88" s="174"/>
      <c r="CD88" s="174"/>
      <c r="CE88" s="178"/>
      <c r="CF88" s="178"/>
      <c r="CG88" s="180"/>
    </row>
    <row r="89" spans="1:85" ht="26.25" thickBot="1" x14ac:dyDescent="0.3">
      <c r="A89" s="230"/>
      <c r="B89" s="210"/>
      <c r="C89" s="204"/>
      <c r="D89" s="204"/>
      <c r="E89" s="237"/>
      <c r="F89" s="378"/>
      <c r="G89" s="60"/>
      <c r="H89" s="210"/>
      <c r="I89" s="58"/>
      <c r="J89" s="58"/>
      <c r="K89" s="58"/>
      <c r="L89" s="58"/>
      <c r="M89" s="204"/>
      <c r="N89" s="204"/>
      <c r="O89" s="194"/>
      <c r="P89" s="194"/>
      <c r="Q89" s="97"/>
      <c r="R89" s="95"/>
      <c r="S89" s="95"/>
      <c r="T89" s="96"/>
      <c r="U89" s="86"/>
      <c r="V89" s="96"/>
      <c r="W89" s="58"/>
      <c r="X89" s="100"/>
      <c r="Y89" s="204"/>
      <c r="Z89" s="204"/>
      <c r="AA89" s="204"/>
      <c r="AB89" s="192"/>
      <c r="AC89" s="211"/>
      <c r="AD89" s="213"/>
      <c r="AE89" s="213"/>
      <c r="AF89" s="218"/>
      <c r="AG89" s="210"/>
      <c r="AH89" s="58"/>
      <c r="AI89" s="100"/>
      <c r="AJ89" s="100"/>
      <c r="AK89" s="223"/>
      <c r="AL89" s="75" t="s">
        <v>192</v>
      </c>
      <c r="AM89" s="75" t="s">
        <v>198</v>
      </c>
      <c r="AN89" s="50">
        <v>44530</v>
      </c>
      <c r="AO89" s="59">
        <v>13181</v>
      </c>
      <c r="AP89" s="58" t="s">
        <v>357</v>
      </c>
      <c r="AQ89" s="50">
        <v>44531</v>
      </c>
      <c r="AR89" s="50">
        <v>44895</v>
      </c>
      <c r="AS89" s="42"/>
      <c r="AT89" s="43"/>
      <c r="AU89" s="89"/>
      <c r="AV89" s="89"/>
      <c r="AW89" s="78"/>
      <c r="AX89" s="78"/>
      <c r="AY89" s="44"/>
      <c r="AZ89" s="45"/>
      <c r="BA89" s="100"/>
      <c r="BB89" s="100"/>
      <c r="BC89" s="63"/>
      <c r="BD89" s="62">
        <f>BE89/BI84</f>
        <v>0.17110583333333335</v>
      </c>
      <c r="BE89" s="63">
        <v>24639.24</v>
      </c>
      <c r="BF89" s="100"/>
      <c r="BG89" s="58"/>
      <c r="BH89" s="100"/>
      <c r="BI89" s="144">
        <f>($AK$84+AW89-AX89)+($AK$84+BE89)</f>
        <v>312639.24</v>
      </c>
      <c r="BJ89" s="123"/>
      <c r="BK89" s="123"/>
      <c r="BL89" s="123"/>
      <c r="BM89" s="106"/>
      <c r="BN89" s="145">
        <f t="shared" si="10"/>
        <v>0</v>
      </c>
      <c r="BO89" s="58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174"/>
      <c r="CC89" s="174"/>
      <c r="CD89" s="174"/>
      <c r="CE89" s="178"/>
      <c r="CF89" s="178"/>
      <c r="CG89" s="180"/>
    </row>
    <row r="90" spans="1:85" ht="15.75" thickBot="1" x14ac:dyDescent="0.3">
      <c r="A90" s="230"/>
      <c r="B90" s="210"/>
      <c r="C90" s="204"/>
      <c r="D90" s="204"/>
      <c r="E90" s="237"/>
      <c r="F90" s="378"/>
      <c r="G90" s="60"/>
      <c r="H90" s="210"/>
      <c r="I90" s="58"/>
      <c r="J90" s="58"/>
      <c r="K90" s="58"/>
      <c r="L90" s="58"/>
      <c r="M90" s="204"/>
      <c r="N90" s="204"/>
      <c r="O90" s="194"/>
      <c r="P90" s="194"/>
      <c r="Q90" s="97"/>
      <c r="R90" s="95"/>
      <c r="S90" s="95"/>
      <c r="T90" s="96"/>
      <c r="U90" s="86"/>
      <c r="V90" s="96"/>
      <c r="W90" s="58"/>
      <c r="X90" s="100"/>
      <c r="Y90" s="204"/>
      <c r="Z90" s="204"/>
      <c r="AA90" s="204"/>
      <c r="AB90" s="192"/>
      <c r="AC90" s="211"/>
      <c r="AD90" s="213"/>
      <c r="AE90" s="213"/>
      <c r="AF90" s="218"/>
      <c r="AG90" s="210"/>
      <c r="AH90" s="58"/>
      <c r="AI90" s="100"/>
      <c r="AJ90" s="100"/>
      <c r="AK90" s="223"/>
      <c r="AL90" s="75" t="s">
        <v>192</v>
      </c>
      <c r="AM90" s="75" t="s">
        <v>358</v>
      </c>
      <c r="AN90" s="50">
        <v>44895</v>
      </c>
      <c r="AO90" s="59">
        <v>13427</v>
      </c>
      <c r="AP90" s="58" t="s">
        <v>352</v>
      </c>
      <c r="AQ90" s="50">
        <v>44896</v>
      </c>
      <c r="AR90" s="50">
        <v>45260</v>
      </c>
      <c r="AS90" s="42"/>
      <c r="AT90" s="43"/>
      <c r="AU90" s="89"/>
      <c r="AV90" s="89"/>
      <c r="AW90" s="78"/>
      <c r="AX90" s="78"/>
      <c r="AY90" s="44"/>
      <c r="AZ90" s="45"/>
      <c r="BA90" s="100"/>
      <c r="BB90" s="100"/>
      <c r="BC90" s="63"/>
      <c r="BD90" s="62"/>
      <c r="BE90" s="63"/>
      <c r="BF90" s="100"/>
      <c r="BG90" s="58"/>
      <c r="BH90" s="100"/>
      <c r="BI90" s="144">
        <f>($AK$84+AW90-AX90)</f>
        <v>144000</v>
      </c>
      <c r="BJ90" s="123"/>
      <c r="BK90" s="123"/>
      <c r="BL90" s="123"/>
      <c r="BM90" s="106"/>
      <c r="BN90" s="145">
        <f t="shared" si="10"/>
        <v>0</v>
      </c>
      <c r="BO90" s="58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174"/>
      <c r="CC90" s="174"/>
      <c r="CD90" s="174"/>
      <c r="CE90" s="178"/>
      <c r="CF90" s="178"/>
      <c r="CG90" s="180"/>
    </row>
    <row r="91" spans="1:85" ht="15.75" thickBot="1" x14ac:dyDescent="0.3">
      <c r="A91" s="230"/>
      <c r="B91" s="191"/>
      <c r="C91" s="151"/>
      <c r="D91" s="151"/>
      <c r="E91" s="189"/>
      <c r="F91" s="379"/>
      <c r="G91" s="57"/>
      <c r="H91" s="191"/>
      <c r="I91" s="58"/>
      <c r="J91" s="58"/>
      <c r="K91" s="58"/>
      <c r="L91" s="58"/>
      <c r="M91" s="151"/>
      <c r="N91" s="151"/>
      <c r="O91" s="155"/>
      <c r="P91" s="155"/>
      <c r="Q91" s="97"/>
      <c r="R91" s="95"/>
      <c r="S91" s="95"/>
      <c r="T91" s="96"/>
      <c r="U91" s="86"/>
      <c r="V91" s="96"/>
      <c r="W91" s="58"/>
      <c r="X91" s="100"/>
      <c r="Y91" s="151"/>
      <c r="Z91" s="151"/>
      <c r="AA91" s="151"/>
      <c r="AB91" s="153"/>
      <c r="AC91" s="212"/>
      <c r="AD91" s="201"/>
      <c r="AE91" s="201"/>
      <c r="AF91" s="203"/>
      <c r="AG91" s="191"/>
      <c r="AH91" s="58"/>
      <c r="AI91" s="100"/>
      <c r="AJ91" s="100"/>
      <c r="AK91" s="206"/>
      <c r="AL91" s="75" t="s">
        <v>333</v>
      </c>
      <c r="AM91" s="75" t="s">
        <v>359</v>
      </c>
      <c r="AN91" s="50">
        <v>45250</v>
      </c>
      <c r="AO91" s="59">
        <v>13660</v>
      </c>
      <c r="AP91" s="58" t="s">
        <v>352</v>
      </c>
      <c r="AQ91" s="50">
        <v>45261</v>
      </c>
      <c r="AR91" s="50">
        <v>45627</v>
      </c>
      <c r="AS91" s="42"/>
      <c r="AT91" s="43"/>
      <c r="AU91" s="89"/>
      <c r="AV91" s="89"/>
      <c r="AW91" s="78"/>
      <c r="AX91" s="78"/>
      <c r="AY91" s="44"/>
      <c r="AZ91" s="45"/>
      <c r="BA91" s="100"/>
      <c r="BB91" s="100"/>
      <c r="BC91" s="63"/>
      <c r="BD91" s="63"/>
      <c r="BE91" s="63"/>
      <c r="BF91" s="100"/>
      <c r="BG91" s="58"/>
      <c r="BH91" s="100"/>
      <c r="BI91" s="144">
        <f>($AK$84+AW91-AX91)</f>
        <v>144000</v>
      </c>
      <c r="BJ91" s="123"/>
      <c r="BK91" s="123"/>
      <c r="BL91" s="123"/>
      <c r="BM91" s="106"/>
      <c r="BN91" s="145">
        <f t="shared" si="10"/>
        <v>0</v>
      </c>
      <c r="BO91" s="58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70"/>
      <c r="CB91" s="175"/>
      <c r="CC91" s="175"/>
      <c r="CD91" s="175"/>
      <c r="CE91" s="179"/>
      <c r="CF91" s="179"/>
      <c r="CG91" s="180"/>
    </row>
    <row r="92" spans="1:85" ht="15.75" thickBot="1" x14ac:dyDescent="0.3">
      <c r="A92" s="190">
        <v>23</v>
      </c>
      <c r="B92" s="190" t="s">
        <v>251</v>
      </c>
      <c r="C92" s="150" t="s">
        <v>227</v>
      </c>
      <c r="D92" s="150" t="s">
        <v>248</v>
      </c>
      <c r="E92" s="188" t="s">
        <v>177</v>
      </c>
      <c r="F92" s="377" t="s">
        <v>252</v>
      </c>
      <c r="G92" s="150"/>
      <c r="H92" s="190"/>
      <c r="I92" s="58"/>
      <c r="J92" s="58"/>
      <c r="K92" s="58"/>
      <c r="L92" s="58"/>
      <c r="M92" s="150" t="s">
        <v>404</v>
      </c>
      <c r="N92" s="150" t="s">
        <v>407</v>
      </c>
      <c r="O92" s="154">
        <v>13555</v>
      </c>
      <c r="P92" s="154">
        <v>13605</v>
      </c>
      <c r="Q92" s="75"/>
      <c r="R92" s="94"/>
      <c r="S92" s="94"/>
      <c r="T92" s="70"/>
      <c r="U92" s="58"/>
      <c r="V92" s="70"/>
      <c r="W92" s="58"/>
      <c r="X92" s="100"/>
      <c r="Y92" s="150" t="s">
        <v>306</v>
      </c>
      <c r="Z92" s="150" t="s">
        <v>307</v>
      </c>
      <c r="AA92" s="150" t="s">
        <v>308</v>
      </c>
      <c r="AB92" s="152">
        <v>45160</v>
      </c>
      <c r="AC92" s="198">
        <v>13602</v>
      </c>
      <c r="AD92" s="200">
        <v>45160</v>
      </c>
      <c r="AE92" s="202" t="s">
        <v>327</v>
      </c>
      <c r="AF92" s="202" t="s">
        <v>183</v>
      </c>
      <c r="AG92" s="190" t="s">
        <v>330</v>
      </c>
      <c r="AH92" s="58"/>
      <c r="AI92" s="158"/>
      <c r="AJ92" s="158"/>
      <c r="AK92" s="205">
        <v>48000</v>
      </c>
      <c r="AL92" s="75"/>
      <c r="AM92" s="75"/>
      <c r="AN92" s="50"/>
      <c r="AO92" s="59"/>
      <c r="AP92" s="58"/>
      <c r="AQ92" s="55"/>
      <c r="AR92" s="55"/>
      <c r="AS92" s="42"/>
      <c r="AT92" s="43"/>
      <c r="AU92" s="89"/>
      <c r="AV92" s="89"/>
      <c r="AW92" s="78"/>
      <c r="AX92" s="78"/>
      <c r="AY92" s="44"/>
      <c r="AZ92" s="45"/>
      <c r="BA92" s="100"/>
      <c r="BB92" s="100"/>
      <c r="BC92" s="63"/>
      <c r="BD92" s="63"/>
      <c r="BE92" s="63"/>
      <c r="BF92" s="100"/>
      <c r="BG92" s="58"/>
      <c r="BH92" s="100"/>
      <c r="BI92" s="144">
        <f>$AK$92+AW92-AX92</f>
        <v>48000</v>
      </c>
      <c r="BJ92" s="118">
        <f>18400+66800</f>
        <v>85200</v>
      </c>
      <c r="BK92" s="122">
        <f>8000</f>
        <v>8000</v>
      </c>
      <c r="BL92" s="118"/>
      <c r="BM92" s="118">
        <f>BL92+BK92</f>
        <v>8000</v>
      </c>
      <c r="BN92" s="145">
        <f t="shared" si="10"/>
        <v>93200</v>
      </c>
      <c r="BO92" s="58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173" t="s">
        <v>468</v>
      </c>
      <c r="CC92" s="173">
        <v>13605</v>
      </c>
      <c r="CD92" s="173" t="s">
        <v>432</v>
      </c>
      <c r="CE92" s="176">
        <v>713115</v>
      </c>
      <c r="CF92" s="173" t="s">
        <v>469</v>
      </c>
      <c r="CG92" s="173" t="s">
        <v>470</v>
      </c>
    </row>
    <row r="93" spans="1:85" ht="26.25" thickBot="1" x14ac:dyDescent="0.3">
      <c r="A93" s="191"/>
      <c r="B93" s="191"/>
      <c r="C93" s="151"/>
      <c r="D93" s="151"/>
      <c r="E93" s="189"/>
      <c r="F93" s="379"/>
      <c r="G93" s="151"/>
      <c r="H93" s="191"/>
      <c r="I93" s="58"/>
      <c r="J93" s="58"/>
      <c r="K93" s="58"/>
      <c r="L93" s="58"/>
      <c r="M93" s="151"/>
      <c r="N93" s="151"/>
      <c r="O93" s="155"/>
      <c r="P93" s="155"/>
      <c r="Q93" s="75"/>
      <c r="R93" s="94"/>
      <c r="S93" s="94"/>
      <c r="T93" s="70"/>
      <c r="U93" s="58"/>
      <c r="V93" s="70"/>
      <c r="W93" s="58"/>
      <c r="X93" s="100"/>
      <c r="Y93" s="151"/>
      <c r="Z93" s="151"/>
      <c r="AA93" s="151"/>
      <c r="AB93" s="153"/>
      <c r="AC93" s="199"/>
      <c r="AD93" s="201"/>
      <c r="AE93" s="203"/>
      <c r="AF93" s="203"/>
      <c r="AG93" s="191"/>
      <c r="AH93" s="58"/>
      <c r="AI93" s="159"/>
      <c r="AJ93" s="159"/>
      <c r="AK93" s="206"/>
      <c r="AL93" s="75" t="s">
        <v>192</v>
      </c>
      <c r="AM93" s="75" t="s">
        <v>193</v>
      </c>
      <c r="AN93" s="50">
        <v>45527</v>
      </c>
      <c r="AO93" s="59">
        <v>13850</v>
      </c>
      <c r="AP93" s="58" t="s">
        <v>374</v>
      </c>
      <c r="AQ93" s="55">
        <v>45527</v>
      </c>
      <c r="AR93" s="55"/>
      <c r="AS93" s="42"/>
      <c r="AT93" s="43"/>
      <c r="AU93" s="89"/>
      <c r="AV93" s="89"/>
      <c r="AW93" s="78"/>
      <c r="AX93" s="78"/>
      <c r="AY93" s="44"/>
      <c r="AZ93" s="45"/>
      <c r="BA93" s="100"/>
      <c r="BB93" s="100"/>
      <c r="BC93" s="63"/>
      <c r="BD93" s="63"/>
      <c r="BE93" s="63"/>
      <c r="BF93" s="100"/>
      <c r="BG93" s="58"/>
      <c r="BH93" s="100"/>
      <c r="BI93" s="144">
        <f>$AK$92+AW93-AX93</f>
        <v>48000</v>
      </c>
      <c r="BJ93" s="118"/>
      <c r="BK93" s="118"/>
      <c r="BL93" s="118"/>
      <c r="BM93" s="118"/>
      <c r="BN93" s="145">
        <f t="shared" si="10"/>
        <v>0</v>
      </c>
      <c r="BO93" s="58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175"/>
      <c r="CC93" s="175"/>
      <c r="CD93" s="175"/>
      <c r="CE93" s="181"/>
      <c r="CF93" s="175"/>
      <c r="CG93" s="175"/>
    </row>
    <row r="94" spans="1:85" ht="51.75" thickBot="1" x14ac:dyDescent="0.3">
      <c r="A94" s="70">
        <v>24</v>
      </c>
      <c r="B94" s="69" t="s">
        <v>253</v>
      </c>
      <c r="C94" s="57" t="s">
        <v>254</v>
      </c>
      <c r="D94" s="57" t="s">
        <v>248</v>
      </c>
      <c r="E94" s="74" t="s">
        <v>177</v>
      </c>
      <c r="F94" s="381" t="s">
        <v>255</v>
      </c>
      <c r="G94" s="57"/>
      <c r="H94" s="69"/>
      <c r="I94" s="58"/>
      <c r="J94" s="58"/>
      <c r="K94" s="58"/>
      <c r="L94" s="58"/>
      <c r="M94" s="56" t="s">
        <v>404</v>
      </c>
      <c r="N94" s="56" t="s">
        <v>407</v>
      </c>
      <c r="O94" s="51">
        <v>13380</v>
      </c>
      <c r="P94" s="51">
        <v>13381</v>
      </c>
      <c r="Q94" s="75"/>
      <c r="R94" s="94"/>
      <c r="S94" s="94"/>
      <c r="T94" s="70"/>
      <c r="U94" s="58"/>
      <c r="V94" s="70"/>
      <c r="W94" s="58"/>
      <c r="X94" s="100"/>
      <c r="Y94" s="57" t="s">
        <v>309</v>
      </c>
      <c r="Z94" s="57" t="s">
        <v>310</v>
      </c>
      <c r="AA94" s="57" t="s">
        <v>311</v>
      </c>
      <c r="AB94" s="55">
        <v>44805</v>
      </c>
      <c r="AC94" s="80">
        <v>13381</v>
      </c>
      <c r="AD94" s="81">
        <v>44805</v>
      </c>
      <c r="AE94" s="82" t="s">
        <v>328</v>
      </c>
      <c r="AF94" s="82" t="s">
        <v>183</v>
      </c>
      <c r="AG94" s="69" t="s">
        <v>178</v>
      </c>
      <c r="AH94" s="58"/>
      <c r="AI94" s="100"/>
      <c r="AJ94" s="100"/>
      <c r="AK94" s="143">
        <f>25000*12</f>
        <v>300000</v>
      </c>
      <c r="AL94" s="75" t="s">
        <v>192</v>
      </c>
      <c r="AM94" s="75" t="s">
        <v>193</v>
      </c>
      <c r="AN94" s="50">
        <v>45171</v>
      </c>
      <c r="AO94" s="59">
        <v>13649</v>
      </c>
      <c r="AP94" s="58" t="s">
        <v>337</v>
      </c>
      <c r="AQ94" s="55">
        <v>45171</v>
      </c>
      <c r="AR94" s="55">
        <v>45537</v>
      </c>
      <c r="AS94" s="42"/>
      <c r="AT94" s="43"/>
      <c r="AU94" s="89"/>
      <c r="AV94" s="89"/>
      <c r="AW94" s="78"/>
      <c r="AX94" s="78"/>
      <c r="AY94" s="44"/>
      <c r="AZ94" s="45"/>
      <c r="BA94" s="100"/>
      <c r="BB94" s="100"/>
      <c r="BC94" s="63"/>
      <c r="BD94" s="63"/>
      <c r="BE94" s="63"/>
      <c r="BF94" s="100"/>
      <c r="BG94" s="58"/>
      <c r="BH94" s="100"/>
      <c r="BI94" s="144">
        <f>AK94+AW94-AX94</f>
        <v>300000</v>
      </c>
      <c r="BJ94" s="118">
        <f>200000+100000+333396.52</f>
        <v>633396.52</v>
      </c>
      <c r="BK94" s="122">
        <f>26065.4+26065.4</f>
        <v>52130.8</v>
      </c>
      <c r="BL94" s="122"/>
      <c r="BM94" s="118">
        <f>BL94+BK94</f>
        <v>52130.8</v>
      </c>
      <c r="BN94" s="145">
        <f t="shared" si="10"/>
        <v>685527.32000000007</v>
      </c>
      <c r="BO94" s="58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107" t="s">
        <v>471</v>
      </c>
      <c r="CC94" s="107">
        <v>13385</v>
      </c>
      <c r="CD94" s="107" t="s">
        <v>432</v>
      </c>
      <c r="CE94" s="108">
        <v>713115</v>
      </c>
      <c r="CF94" s="107" t="s">
        <v>472</v>
      </c>
      <c r="CG94" s="107" t="s">
        <v>473</v>
      </c>
    </row>
    <row r="95" spans="1:85" ht="51.75" thickBot="1" x14ac:dyDescent="0.3">
      <c r="A95" s="70">
        <v>25</v>
      </c>
      <c r="B95" s="69" t="s">
        <v>256</v>
      </c>
      <c r="C95" s="57" t="s">
        <v>257</v>
      </c>
      <c r="D95" s="57" t="s">
        <v>248</v>
      </c>
      <c r="E95" s="74" t="s">
        <v>177</v>
      </c>
      <c r="F95" s="381" t="s">
        <v>258</v>
      </c>
      <c r="G95" s="57"/>
      <c r="H95" s="69"/>
      <c r="I95" s="58"/>
      <c r="J95" s="58"/>
      <c r="K95" s="58"/>
      <c r="L95" s="58"/>
      <c r="M95" s="56" t="s">
        <v>404</v>
      </c>
      <c r="N95" s="56" t="s">
        <v>408</v>
      </c>
      <c r="O95" s="51">
        <v>13381</v>
      </c>
      <c r="P95" s="51">
        <v>13381</v>
      </c>
      <c r="Q95" s="53"/>
      <c r="R95" s="76"/>
      <c r="S95" s="76"/>
      <c r="T95" s="68"/>
      <c r="U95" s="60"/>
      <c r="V95" s="71"/>
      <c r="W95" s="58"/>
      <c r="X95" s="100"/>
      <c r="Y95" s="57" t="s">
        <v>312</v>
      </c>
      <c r="Z95" s="57" t="s">
        <v>310</v>
      </c>
      <c r="AA95" s="57" t="s">
        <v>311</v>
      </c>
      <c r="AB95" s="55">
        <v>45007</v>
      </c>
      <c r="AC95" s="80"/>
      <c r="AD95" s="81">
        <v>45007</v>
      </c>
      <c r="AE95" s="82" t="s">
        <v>329</v>
      </c>
      <c r="AF95" s="82" t="s">
        <v>183</v>
      </c>
      <c r="AG95" s="69" t="s">
        <v>178</v>
      </c>
      <c r="AH95" s="58"/>
      <c r="AI95" s="100"/>
      <c r="AJ95" s="100"/>
      <c r="AK95" s="143">
        <f>2500*12</f>
        <v>30000</v>
      </c>
      <c r="AL95" s="75"/>
      <c r="AM95" s="75"/>
      <c r="AN95" s="50"/>
      <c r="AO95" s="59"/>
      <c r="AP95" s="58"/>
      <c r="AQ95" s="55"/>
      <c r="AR95" s="55"/>
      <c r="AS95" s="42"/>
      <c r="AT95" s="43"/>
      <c r="AU95" s="89"/>
      <c r="AV95" s="89"/>
      <c r="AW95" s="78"/>
      <c r="AX95" s="78"/>
      <c r="AY95" s="44"/>
      <c r="AZ95" s="45"/>
      <c r="BA95" s="100"/>
      <c r="BB95" s="100"/>
      <c r="BC95" s="63"/>
      <c r="BD95" s="63"/>
      <c r="BE95" s="63"/>
      <c r="BF95" s="100"/>
      <c r="BG95" s="58"/>
      <c r="BH95" s="100"/>
      <c r="BI95" s="144">
        <f t="shared" ref="BI95:BI96" si="11">AK95+AW95-AX95</f>
        <v>30000</v>
      </c>
      <c r="BJ95" s="118">
        <f>22500+57442.49+47799.42</f>
        <v>127741.90999999999</v>
      </c>
      <c r="BK95" s="122">
        <f>3700.02+2500</f>
        <v>6200.02</v>
      </c>
      <c r="BL95" s="122">
        <f>2500</f>
        <v>2500</v>
      </c>
      <c r="BM95" s="118">
        <f>BL95+BK95</f>
        <v>8700.02</v>
      </c>
      <c r="BN95" s="145">
        <f t="shared" si="10"/>
        <v>136441.93</v>
      </c>
      <c r="BO95" s="58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107" t="s">
        <v>474</v>
      </c>
      <c r="CC95" s="107"/>
      <c r="CD95" s="107" t="s">
        <v>432</v>
      </c>
      <c r="CE95" s="108">
        <v>713115</v>
      </c>
      <c r="CF95" s="107" t="s">
        <v>472</v>
      </c>
      <c r="CG95" s="107" t="s">
        <v>473</v>
      </c>
    </row>
    <row r="96" spans="1:85" ht="77.25" thickBot="1" x14ac:dyDescent="0.3">
      <c r="A96" s="68">
        <v>26</v>
      </c>
      <c r="B96" s="56">
        <v>1474</v>
      </c>
      <c r="C96" s="56"/>
      <c r="D96" s="56" t="s">
        <v>248</v>
      </c>
      <c r="E96" s="56" t="s">
        <v>177</v>
      </c>
      <c r="F96" s="382" t="s">
        <v>259</v>
      </c>
      <c r="G96" s="56"/>
      <c r="H96" s="51">
        <v>9186</v>
      </c>
      <c r="I96" s="58"/>
      <c r="J96" s="58"/>
      <c r="K96" s="58"/>
      <c r="L96" s="58"/>
      <c r="M96" s="56" t="s">
        <v>404</v>
      </c>
      <c r="N96" s="56" t="s">
        <v>409</v>
      </c>
      <c r="O96" s="51">
        <v>9186</v>
      </c>
      <c r="P96" s="51">
        <v>9186</v>
      </c>
      <c r="Q96" s="97"/>
      <c r="R96" s="95"/>
      <c r="S96" s="95"/>
      <c r="T96" s="96"/>
      <c r="U96" s="86"/>
      <c r="V96" s="70"/>
      <c r="W96" s="58"/>
      <c r="X96" s="100"/>
      <c r="Y96" s="53" t="s">
        <v>314</v>
      </c>
      <c r="Z96" s="56" t="s">
        <v>315</v>
      </c>
      <c r="AA96" s="56" t="s">
        <v>316</v>
      </c>
      <c r="AB96" s="52">
        <v>38688</v>
      </c>
      <c r="AC96" s="56">
        <v>9186</v>
      </c>
      <c r="AD96" s="52">
        <v>38688</v>
      </c>
      <c r="AE96" s="52">
        <v>39418</v>
      </c>
      <c r="AF96" s="53" t="s">
        <v>183</v>
      </c>
      <c r="AG96" s="56" t="s">
        <v>330</v>
      </c>
      <c r="AH96" s="58"/>
      <c r="AI96" s="100"/>
      <c r="AJ96" s="100"/>
      <c r="AK96" s="115">
        <v>151200</v>
      </c>
      <c r="AL96" s="75"/>
      <c r="AM96" s="58"/>
      <c r="AN96" s="58"/>
      <c r="AO96" s="59"/>
      <c r="AP96" s="75"/>
      <c r="AQ96" s="58"/>
      <c r="AR96" s="58"/>
      <c r="AS96" s="42"/>
      <c r="AT96" s="43"/>
      <c r="AU96" s="89"/>
      <c r="AV96" s="58"/>
      <c r="AW96" s="78"/>
      <c r="AX96" s="78"/>
      <c r="AY96" s="44"/>
      <c r="AZ96" s="45"/>
      <c r="BA96" s="100"/>
      <c r="BB96" s="100"/>
      <c r="BC96" s="78"/>
      <c r="BD96" s="78"/>
      <c r="BE96" s="78"/>
      <c r="BF96" s="100"/>
      <c r="BG96" s="58"/>
      <c r="BH96" s="100"/>
      <c r="BI96" s="144">
        <f t="shared" si="11"/>
        <v>151200</v>
      </c>
      <c r="BJ96" s="98">
        <f>760047.9+81812.72+137430.19+68133.36+246396.99+12906509+152531.47+140798.28+11733.19+11733.19+23466.38+11733.19+11733.19+11733.19+11733.19+23466.38+11733.19+11733.19+140798.28+175997.76+175997.75</f>
        <v>15127251.979999997</v>
      </c>
      <c r="BK96" s="126">
        <f>14666.48+14666.48</f>
        <v>29332.959999999999</v>
      </c>
      <c r="BL96" s="127"/>
      <c r="BM96" s="127">
        <f>BL96+BK96</f>
        <v>29332.959999999999</v>
      </c>
      <c r="BN96" s="145">
        <f t="shared" si="10"/>
        <v>15156584.939999998</v>
      </c>
      <c r="BO96" s="58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109" t="s">
        <v>475</v>
      </c>
      <c r="CC96" s="109">
        <v>12983</v>
      </c>
      <c r="CD96" s="109" t="s">
        <v>476</v>
      </c>
      <c r="CE96" s="109">
        <v>712961</v>
      </c>
      <c r="CF96" s="109" t="s">
        <v>477</v>
      </c>
      <c r="CG96" s="109" t="s">
        <v>478</v>
      </c>
    </row>
    <row r="97" spans="1:85" ht="15.75" thickBot="1" x14ac:dyDescent="0.3">
      <c r="A97" s="190">
        <v>27</v>
      </c>
      <c r="B97" s="150" t="s">
        <v>260</v>
      </c>
      <c r="C97" s="150"/>
      <c r="D97" s="150" t="s">
        <v>248</v>
      </c>
      <c r="E97" s="150" t="s">
        <v>177</v>
      </c>
      <c r="F97" s="377" t="s">
        <v>261</v>
      </c>
      <c r="G97" s="56"/>
      <c r="H97" s="154"/>
      <c r="I97" s="58"/>
      <c r="J97" s="58"/>
      <c r="K97" s="58"/>
      <c r="L97" s="58"/>
      <c r="M97" s="150" t="s">
        <v>404</v>
      </c>
      <c r="N97" s="150" t="s">
        <v>410</v>
      </c>
      <c r="O97" s="154">
        <v>11444</v>
      </c>
      <c r="P97" s="150">
        <v>11444</v>
      </c>
      <c r="Q97" s="58"/>
      <c r="R97" s="58"/>
      <c r="S97" s="58"/>
      <c r="T97" s="59"/>
      <c r="U97" s="58"/>
      <c r="V97" s="96"/>
      <c r="W97" s="58"/>
      <c r="X97" s="100"/>
      <c r="Y97" s="156" t="s">
        <v>317</v>
      </c>
      <c r="Z97" s="150" t="s">
        <v>313</v>
      </c>
      <c r="AA97" s="150" t="s">
        <v>318</v>
      </c>
      <c r="AB97" s="152">
        <v>41981</v>
      </c>
      <c r="AC97" s="150"/>
      <c r="AD97" s="152">
        <v>41981</v>
      </c>
      <c r="AE97" s="152">
        <v>42345</v>
      </c>
      <c r="AF97" s="156" t="s">
        <v>325</v>
      </c>
      <c r="AG97" s="150" t="s">
        <v>178</v>
      </c>
      <c r="AH97" s="58"/>
      <c r="AI97" s="100"/>
      <c r="AJ97" s="100"/>
      <c r="AK97" s="158">
        <v>120000</v>
      </c>
      <c r="AL97" s="58"/>
      <c r="AM97" s="75"/>
      <c r="AN97" s="50"/>
      <c r="AO97" s="59"/>
      <c r="AP97" s="75"/>
      <c r="AQ97" s="50"/>
      <c r="AR97" s="50"/>
      <c r="AS97" s="42"/>
      <c r="AT97" s="43"/>
      <c r="AU97" s="89"/>
      <c r="AV97" s="58"/>
      <c r="AW97" s="78"/>
      <c r="AX97" s="78"/>
      <c r="AY97" s="44"/>
      <c r="AZ97" s="45"/>
      <c r="BA97" s="100"/>
      <c r="BB97" s="100"/>
      <c r="BC97" s="78"/>
      <c r="BD97" s="78"/>
      <c r="BE97" s="78"/>
      <c r="BF97" s="100"/>
      <c r="BG97" s="58"/>
      <c r="BH97" s="100"/>
      <c r="BI97" s="144">
        <f>$AK$97+AW97-AX97</f>
        <v>120000</v>
      </c>
      <c r="BJ97" s="93">
        <f>377088.62+22137.46+33206.19+33206.19+11068.73+11068.73*3+11068.73+11068.73+11068.73+22137.46+44274.92+132824.76+157443.53+166934.88+166934.88</f>
        <v>1233670</v>
      </c>
      <c r="BK97" s="117">
        <f>13911.24</f>
        <v>13911.24</v>
      </c>
      <c r="BL97" s="117">
        <f>13911.24</f>
        <v>13911.24</v>
      </c>
      <c r="BM97" s="93">
        <f>BL97+BK97</f>
        <v>27822.48</v>
      </c>
      <c r="BN97" s="145">
        <f t="shared" si="10"/>
        <v>1261492.48</v>
      </c>
      <c r="BO97" s="57"/>
      <c r="BP97" s="69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173" t="s">
        <v>479</v>
      </c>
      <c r="CC97" s="173">
        <v>12983</v>
      </c>
      <c r="CD97" s="173" t="s">
        <v>431</v>
      </c>
      <c r="CE97" s="173">
        <v>712961</v>
      </c>
      <c r="CF97" s="173" t="s">
        <v>480</v>
      </c>
      <c r="CG97" s="173" t="s">
        <v>481</v>
      </c>
    </row>
    <row r="98" spans="1:85" ht="26.25" thickBot="1" x14ac:dyDescent="0.3">
      <c r="A98" s="210"/>
      <c r="B98" s="204"/>
      <c r="C98" s="204"/>
      <c r="D98" s="204"/>
      <c r="E98" s="204"/>
      <c r="F98" s="378"/>
      <c r="G98" s="60"/>
      <c r="H98" s="194"/>
      <c r="I98" s="58"/>
      <c r="J98" s="58"/>
      <c r="K98" s="58"/>
      <c r="L98" s="58"/>
      <c r="M98" s="204"/>
      <c r="N98" s="204"/>
      <c r="O98" s="194"/>
      <c r="P98" s="204"/>
      <c r="Q98" s="58"/>
      <c r="R98" s="58"/>
      <c r="S98" s="58"/>
      <c r="T98" s="59"/>
      <c r="U98" s="58"/>
      <c r="V98" s="96"/>
      <c r="W98" s="58"/>
      <c r="X98" s="100"/>
      <c r="Y98" s="197"/>
      <c r="Z98" s="204"/>
      <c r="AA98" s="204"/>
      <c r="AB98" s="192"/>
      <c r="AC98" s="204"/>
      <c r="AD98" s="192"/>
      <c r="AE98" s="192"/>
      <c r="AF98" s="197"/>
      <c r="AG98" s="204"/>
      <c r="AH98" s="58"/>
      <c r="AI98" s="100"/>
      <c r="AJ98" s="100"/>
      <c r="AK98" s="214"/>
      <c r="AL98" s="58" t="s">
        <v>360</v>
      </c>
      <c r="AM98" s="75" t="s">
        <v>193</v>
      </c>
      <c r="AN98" s="50">
        <v>42345</v>
      </c>
      <c r="AO98" s="59">
        <v>11706</v>
      </c>
      <c r="AP98" s="75" t="s">
        <v>371</v>
      </c>
      <c r="AQ98" s="50">
        <v>42346</v>
      </c>
      <c r="AR98" s="50">
        <v>42711</v>
      </c>
      <c r="AS98" s="42"/>
      <c r="AT98" s="43"/>
      <c r="AU98" s="89">
        <f>AW98/BI97</f>
        <v>0.106873</v>
      </c>
      <c r="AV98" s="58"/>
      <c r="AW98" s="78">
        <v>12824.76</v>
      </c>
      <c r="AX98" s="78"/>
      <c r="AY98" s="44"/>
      <c r="AZ98" s="45"/>
      <c r="BA98" s="100"/>
      <c r="BB98" s="100"/>
      <c r="BC98" s="78"/>
      <c r="BD98" s="78"/>
      <c r="BE98" s="78"/>
      <c r="BF98" s="100"/>
      <c r="BG98" s="58"/>
      <c r="BH98" s="100"/>
      <c r="BI98" s="144">
        <f t="shared" ref="BI98:BI108" si="12">$AK$97+AW98-AX98</f>
        <v>132824.76</v>
      </c>
      <c r="BJ98" s="93"/>
      <c r="BK98" s="93"/>
      <c r="BL98" s="93"/>
      <c r="BM98" s="106"/>
      <c r="BN98" s="145">
        <f t="shared" si="10"/>
        <v>0</v>
      </c>
      <c r="BO98" s="57"/>
      <c r="BP98" s="69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174"/>
      <c r="CC98" s="174"/>
      <c r="CD98" s="174"/>
      <c r="CE98" s="174"/>
      <c r="CF98" s="174"/>
      <c r="CG98" s="174"/>
    </row>
    <row r="99" spans="1:85" ht="26.25" thickBot="1" x14ac:dyDescent="0.3">
      <c r="A99" s="210"/>
      <c r="B99" s="204"/>
      <c r="C99" s="204"/>
      <c r="D99" s="204"/>
      <c r="E99" s="204"/>
      <c r="F99" s="378"/>
      <c r="G99" s="60"/>
      <c r="H99" s="194"/>
      <c r="I99" s="58"/>
      <c r="J99" s="58"/>
      <c r="K99" s="58"/>
      <c r="L99" s="58"/>
      <c r="M99" s="204"/>
      <c r="N99" s="204"/>
      <c r="O99" s="194"/>
      <c r="P99" s="204"/>
      <c r="Q99" s="58"/>
      <c r="R99" s="58"/>
      <c r="S99" s="58"/>
      <c r="T99" s="59"/>
      <c r="U99" s="58"/>
      <c r="V99" s="96"/>
      <c r="W99" s="58"/>
      <c r="X99" s="100"/>
      <c r="Y99" s="197"/>
      <c r="Z99" s="204"/>
      <c r="AA99" s="204"/>
      <c r="AB99" s="192"/>
      <c r="AC99" s="204"/>
      <c r="AD99" s="192"/>
      <c r="AE99" s="192"/>
      <c r="AF99" s="197"/>
      <c r="AG99" s="204"/>
      <c r="AH99" s="58"/>
      <c r="AI99" s="100"/>
      <c r="AJ99" s="100"/>
      <c r="AK99" s="214"/>
      <c r="AL99" s="58" t="s">
        <v>360</v>
      </c>
      <c r="AM99" s="75" t="s">
        <v>195</v>
      </c>
      <c r="AN99" s="50">
        <v>42709</v>
      </c>
      <c r="AO99" s="59">
        <v>11984</v>
      </c>
      <c r="AP99" s="75" t="s">
        <v>366</v>
      </c>
      <c r="AQ99" s="50">
        <v>42712</v>
      </c>
      <c r="AR99" s="50">
        <v>42893</v>
      </c>
      <c r="AS99" s="42"/>
      <c r="AT99" s="43"/>
      <c r="AU99" s="89"/>
      <c r="AV99" s="58"/>
      <c r="AW99" s="78"/>
      <c r="AX99" s="78"/>
      <c r="AY99" s="44"/>
      <c r="AZ99" s="45"/>
      <c r="BA99" s="100"/>
      <c r="BB99" s="100"/>
      <c r="BC99" s="78"/>
      <c r="BD99" s="78"/>
      <c r="BE99" s="78"/>
      <c r="BF99" s="100"/>
      <c r="BG99" s="58"/>
      <c r="BH99" s="100"/>
      <c r="BI99" s="144">
        <f t="shared" si="12"/>
        <v>120000</v>
      </c>
      <c r="BJ99" s="93"/>
      <c r="BK99" s="93"/>
      <c r="BL99" s="93"/>
      <c r="BM99" s="106"/>
      <c r="BN99" s="145">
        <f t="shared" si="10"/>
        <v>0</v>
      </c>
      <c r="BO99" s="57"/>
      <c r="BP99" s="69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174"/>
      <c r="CC99" s="174"/>
      <c r="CD99" s="174"/>
      <c r="CE99" s="174"/>
      <c r="CF99" s="174"/>
      <c r="CG99" s="174"/>
    </row>
    <row r="100" spans="1:85" ht="26.25" thickBot="1" x14ac:dyDescent="0.3">
      <c r="A100" s="210"/>
      <c r="B100" s="204"/>
      <c r="C100" s="204"/>
      <c r="D100" s="204"/>
      <c r="E100" s="204"/>
      <c r="F100" s="378"/>
      <c r="G100" s="60"/>
      <c r="H100" s="194"/>
      <c r="I100" s="58"/>
      <c r="J100" s="58"/>
      <c r="K100" s="58"/>
      <c r="L100" s="58"/>
      <c r="M100" s="204"/>
      <c r="N100" s="204"/>
      <c r="O100" s="194"/>
      <c r="P100" s="204"/>
      <c r="Q100" s="58"/>
      <c r="R100" s="58"/>
      <c r="S100" s="58"/>
      <c r="T100" s="59"/>
      <c r="U100" s="58"/>
      <c r="V100" s="96"/>
      <c r="W100" s="58"/>
      <c r="X100" s="100"/>
      <c r="Y100" s="197"/>
      <c r="Z100" s="204"/>
      <c r="AA100" s="204"/>
      <c r="AB100" s="192"/>
      <c r="AC100" s="204"/>
      <c r="AD100" s="192"/>
      <c r="AE100" s="192"/>
      <c r="AF100" s="197"/>
      <c r="AG100" s="204"/>
      <c r="AH100" s="58"/>
      <c r="AI100" s="100"/>
      <c r="AJ100" s="100"/>
      <c r="AK100" s="214"/>
      <c r="AL100" s="58" t="s">
        <v>360</v>
      </c>
      <c r="AM100" s="75" t="s">
        <v>196</v>
      </c>
      <c r="AN100" s="50">
        <v>42880</v>
      </c>
      <c r="AO100" s="59">
        <v>12113</v>
      </c>
      <c r="AP100" s="75" t="s">
        <v>366</v>
      </c>
      <c r="AQ100" s="50">
        <v>42894</v>
      </c>
      <c r="AR100" s="50">
        <v>43076</v>
      </c>
      <c r="AS100" s="42"/>
      <c r="AT100" s="43"/>
      <c r="AU100" s="89"/>
      <c r="AV100" s="58"/>
      <c r="AW100" s="78"/>
      <c r="AX100" s="78"/>
      <c r="AY100" s="44"/>
      <c r="AZ100" s="45"/>
      <c r="BA100" s="100"/>
      <c r="BB100" s="100"/>
      <c r="BC100" s="78"/>
      <c r="BD100" s="78"/>
      <c r="BE100" s="78"/>
      <c r="BF100" s="100"/>
      <c r="BG100" s="58"/>
      <c r="BH100" s="100"/>
      <c r="BI100" s="144">
        <f t="shared" si="12"/>
        <v>120000</v>
      </c>
      <c r="BJ100" s="93"/>
      <c r="BK100" s="93"/>
      <c r="BL100" s="93"/>
      <c r="BM100" s="106"/>
      <c r="BN100" s="145">
        <f t="shared" si="10"/>
        <v>0</v>
      </c>
      <c r="BO100" s="57"/>
      <c r="BP100" s="69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174"/>
      <c r="CC100" s="174"/>
      <c r="CD100" s="174"/>
      <c r="CE100" s="174"/>
      <c r="CF100" s="174"/>
      <c r="CG100" s="174"/>
    </row>
    <row r="101" spans="1:85" ht="26.25" thickBot="1" x14ac:dyDescent="0.3">
      <c r="A101" s="210"/>
      <c r="B101" s="204"/>
      <c r="C101" s="204"/>
      <c r="D101" s="204"/>
      <c r="E101" s="204"/>
      <c r="F101" s="378"/>
      <c r="G101" s="60"/>
      <c r="H101" s="194"/>
      <c r="I101" s="58"/>
      <c r="J101" s="58"/>
      <c r="K101" s="58"/>
      <c r="L101" s="58"/>
      <c r="M101" s="204"/>
      <c r="N101" s="204"/>
      <c r="O101" s="194"/>
      <c r="P101" s="204"/>
      <c r="Q101" s="58"/>
      <c r="R101" s="58"/>
      <c r="S101" s="58"/>
      <c r="T101" s="59"/>
      <c r="U101" s="58"/>
      <c r="V101" s="96"/>
      <c r="W101" s="58"/>
      <c r="X101" s="100"/>
      <c r="Y101" s="197"/>
      <c r="Z101" s="204"/>
      <c r="AA101" s="204"/>
      <c r="AB101" s="192"/>
      <c r="AC101" s="204"/>
      <c r="AD101" s="192"/>
      <c r="AE101" s="192"/>
      <c r="AF101" s="197"/>
      <c r="AG101" s="204"/>
      <c r="AH101" s="58"/>
      <c r="AI101" s="100"/>
      <c r="AJ101" s="100"/>
      <c r="AK101" s="214"/>
      <c r="AL101" s="58" t="s">
        <v>179</v>
      </c>
      <c r="AM101" s="75" t="s">
        <v>363</v>
      </c>
      <c r="AN101" s="50">
        <v>43068</v>
      </c>
      <c r="AO101" s="59">
        <v>12230</v>
      </c>
      <c r="AP101" s="75" t="s">
        <v>372</v>
      </c>
      <c r="AQ101" s="50">
        <v>43077</v>
      </c>
      <c r="AR101" s="50">
        <v>43442</v>
      </c>
      <c r="AS101" s="42"/>
      <c r="AT101" s="43"/>
      <c r="AU101" s="89"/>
      <c r="AV101" s="58"/>
      <c r="AW101" s="78"/>
      <c r="AX101" s="78"/>
      <c r="AY101" s="44"/>
      <c r="AZ101" s="45"/>
      <c r="BA101" s="100"/>
      <c r="BB101" s="100"/>
      <c r="BC101" s="78"/>
      <c r="BD101" s="78"/>
      <c r="BE101" s="78"/>
      <c r="BF101" s="100"/>
      <c r="BG101" s="58"/>
      <c r="BH101" s="100"/>
      <c r="BI101" s="144">
        <f t="shared" si="12"/>
        <v>120000</v>
      </c>
      <c r="BJ101" s="93"/>
      <c r="BK101" s="93"/>
      <c r="BL101" s="93"/>
      <c r="BM101" s="106"/>
      <c r="BN101" s="145">
        <f t="shared" si="10"/>
        <v>0</v>
      </c>
      <c r="BO101" s="57"/>
      <c r="BP101" s="69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174"/>
      <c r="CC101" s="174"/>
      <c r="CD101" s="174"/>
      <c r="CE101" s="174"/>
      <c r="CF101" s="174"/>
      <c r="CG101" s="174"/>
    </row>
    <row r="102" spans="1:85" ht="26.25" thickBot="1" x14ac:dyDescent="0.3">
      <c r="A102" s="210"/>
      <c r="B102" s="204"/>
      <c r="C102" s="204"/>
      <c r="D102" s="204"/>
      <c r="E102" s="204"/>
      <c r="F102" s="378"/>
      <c r="G102" s="60"/>
      <c r="H102" s="194"/>
      <c r="I102" s="58"/>
      <c r="J102" s="58"/>
      <c r="K102" s="58"/>
      <c r="L102" s="58"/>
      <c r="M102" s="204"/>
      <c r="N102" s="204"/>
      <c r="O102" s="194"/>
      <c r="P102" s="204"/>
      <c r="Q102" s="58"/>
      <c r="R102" s="58"/>
      <c r="S102" s="58"/>
      <c r="T102" s="59"/>
      <c r="U102" s="58"/>
      <c r="V102" s="96"/>
      <c r="W102" s="58"/>
      <c r="X102" s="100"/>
      <c r="Y102" s="197"/>
      <c r="Z102" s="204"/>
      <c r="AA102" s="204"/>
      <c r="AB102" s="192"/>
      <c r="AC102" s="204"/>
      <c r="AD102" s="192"/>
      <c r="AE102" s="192"/>
      <c r="AF102" s="197"/>
      <c r="AG102" s="204"/>
      <c r="AH102" s="58"/>
      <c r="AI102" s="100"/>
      <c r="AJ102" s="100"/>
      <c r="AK102" s="214"/>
      <c r="AL102" s="58" t="s">
        <v>179</v>
      </c>
      <c r="AM102" s="75" t="s">
        <v>364</v>
      </c>
      <c r="AN102" s="50">
        <v>43461</v>
      </c>
      <c r="AO102" s="59">
        <v>12460</v>
      </c>
      <c r="AP102" s="75" t="s">
        <v>372</v>
      </c>
      <c r="AQ102" s="50">
        <v>43443</v>
      </c>
      <c r="AR102" s="50">
        <v>43808</v>
      </c>
      <c r="AS102" s="42"/>
      <c r="AT102" s="43"/>
      <c r="AU102" s="89"/>
      <c r="AV102" s="58"/>
      <c r="AW102" s="78"/>
      <c r="AX102" s="78"/>
      <c r="AY102" s="44"/>
      <c r="AZ102" s="45"/>
      <c r="BA102" s="100"/>
      <c r="BB102" s="100"/>
      <c r="BC102" s="78"/>
      <c r="BD102" s="78"/>
      <c r="BE102" s="78"/>
      <c r="BF102" s="100"/>
      <c r="BG102" s="58"/>
      <c r="BH102" s="100"/>
      <c r="BI102" s="144">
        <f t="shared" si="12"/>
        <v>120000</v>
      </c>
      <c r="BJ102" s="93"/>
      <c r="BK102" s="93"/>
      <c r="BL102" s="93"/>
      <c r="BM102" s="106"/>
      <c r="BN102" s="145">
        <f t="shared" si="10"/>
        <v>0</v>
      </c>
      <c r="BO102" s="57"/>
      <c r="BP102" s="69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174"/>
      <c r="CC102" s="174"/>
      <c r="CD102" s="174"/>
      <c r="CE102" s="174"/>
      <c r="CF102" s="174"/>
      <c r="CG102" s="174"/>
    </row>
    <row r="103" spans="1:85" ht="39" thickBot="1" x14ac:dyDescent="0.3">
      <c r="A103" s="210"/>
      <c r="B103" s="204"/>
      <c r="C103" s="204"/>
      <c r="D103" s="204"/>
      <c r="E103" s="204"/>
      <c r="F103" s="378"/>
      <c r="G103" s="60"/>
      <c r="H103" s="194"/>
      <c r="I103" s="58"/>
      <c r="J103" s="58"/>
      <c r="K103" s="58"/>
      <c r="L103" s="58"/>
      <c r="M103" s="204"/>
      <c r="N103" s="204"/>
      <c r="O103" s="194"/>
      <c r="P103" s="204"/>
      <c r="Q103" s="58"/>
      <c r="R103" s="58"/>
      <c r="S103" s="58"/>
      <c r="T103" s="59"/>
      <c r="U103" s="58"/>
      <c r="V103" s="96"/>
      <c r="W103" s="58"/>
      <c r="X103" s="100"/>
      <c r="Y103" s="197"/>
      <c r="Z103" s="204"/>
      <c r="AA103" s="204"/>
      <c r="AB103" s="192"/>
      <c r="AC103" s="204"/>
      <c r="AD103" s="192"/>
      <c r="AE103" s="192"/>
      <c r="AF103" s="197"/>
      <c r="AG103" s="204"/>
      <c r="AH103" s="58"/>
      <c r="AI103" s="100"/>
      <c r="AJ103" s="100"/>
      <c r="AK103" s="214"/>
      <c r="AL103" s="58" t="s">
        <v>179</v>
      </c>
      <c r="AM103" s="75" t="s">
        <v>365</v>
      </c>
      <c r="AN103" s="50">
        <v>43757</v>
      </c>
      <c r="AO103" s="59">
        <v>12694</v>
      </c>
      <c r="AP103" s="75" t="s">
        <v>356</v>
      </c>
      <c r="AQ103" s="50">
        <v>43443</v>
      </c>
      <c r="AR103" s="50">
        <v>43808</v>
      </c>
      <c r="AS103" s="42"/>
      <c r="AT103" s="43"/>
      <c r="AU103" s="89"/>
      <c r="AV103" s="58"/>
      <c r="AW103" s="78"/>
      <c r="AX103" s="78"/>
      <c r="AY103" s="44"/>
      <c r="AZ103" s="45"/>
      <c r="BA103" s="100"/>
      <c r="BB103" s="100"/>
      <c r="BC103" s="78"/>
      <c r="BD103" s="78"/>
      <c r="BE103" s="78"/>
      <c r="BF103" s="100"/>
      <c r="BG103" s="58"/>
      <c r="BH103" s="100"/>
      <c r="BI103" s="144">
        <f t="shared" si="12"/>
        <v>120000</v>
      </c>
      <c r="BJ103" s="93"/>
      <c r="BK103" s="93"/>
      <c r="BL103" s="93"/>
      <c r="BM103" s="106"/>
      <c r="BN103" s="145">
        <f t="shared" si="10"/>
        <v>0</v>
      </c>
      <c r="BO103" s="57"/>
      <c r="BP103" s="69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174"/>
      <c r="CC103" s="174"/>
      <c r="CD103" s="174"/>
      <c r="CE103" s="174"/>
      <c r="CF103" s="174"/>
      <c r="CG103" s="174"/>
    </row>
    <row r="104" spans="1:85" ht="26.25" thickBot="1" x14ac:dyDescent="0.3">
      <c r="A104" s="210"/>
      <c r="B104" s="204"/>
      <c r="C104" s="204"/>
      <c r="D104" s="204"/>
      <c r="E104" s="204"/>
      <c r="F104" s="378"/>
      <c r="G104" s="60"/>
      <c r="H104" s="194"/>
      <c r="I104" s="58"/>
      <c r="J104" s="58"/>
      <c r="K104" s="58"/>
      <c r="L104" s="58"/>
      <c r="M104" s="204"/>
      <c r="N104" s="204"/>
      <c r="O104" s="194"/>
      <c r="P104" s="204"/>
      <c r="Q104" s="58"/>
      <c r="R104" s="58"/>
      <c r="S104" s="58"/>
      <c r="T104" s="59"/>
      <c r="U104" s="58"/>
      <c r="V104" s="96"/>
      <c r="W104" s="58"/>
      <c r="X104" s="100"/>
      <c r="Y104" s="197"/>
      <c r="Z104" s="204"/>
      <c r="AA104" s="204"/>
      <c r="AB104" s="192"/>
      <c r="AC104" s="204"/>
      <c r="AD104" s="192"/>
      <c r="AE104" s="192"/>
      <c r="AF104" s="197"/>
      <c r="AG104" s="204"/>
      <c r="AH104" s="58"/>
      <c r="AI104" s="100"/>
      <c r="AJ104" s="100"/>
      <c r="AK104" s="214"/>
      <c r="AL104" s="58" t="s">
        <v>179</v>
      </c>
      <c r="AM104" s="75" t="s">
        <v>367</v>
      </c>
      <c r="AN104" s="50">
        <v>43805</v>
      </c>
      <c r="AO104" s="59">
        <v>12736</v>
      </c>
      <c r="AP104" s="75" t="s">
        <v>372</v>
      </c>
      <c r="AQ104" s="50">
        <v>43806</v>
      </c>
      <c r="AR104" s="50">
        <v>44171</v>
      </c>
      <c r="AS104" s="42"/>
      <c r="AT104" s="43"/>
      <c r="AU104" s="89"/>
      <c r="AV104" s="58"/>
      <c r="AW104" s="78"/>
      <c r="AX104" s="78"/>
      <c r="AY104" s="44"/>
      <c r="AZ104" s="45"/>
      <c r="BA104" s="100"/>
      <c r="BB104" s="100"/>
      <c r="BC104" s="78"/>
      <c r="BD104" s="78"/>
      <c r="BE104" s="78"/>
      <c r="BF104" s="100"/>
      <c r="BG104" s="58"/>
      <c r="BH104" s="100"/>
      <c r="BI104" s="144">
        <f>$AK$97+AW104-AX104</f>
        <v>120000</v>
      </c>
      <c r="BJ104" s="93"/>
      <c r="BK104" s="93"/>
      <c r="BL104" s="93"/>
      <c r="BM104" s="106"/>
      <c r="BN104" s="145">
        <f t="shared" si="10"/>
        <v>0</v>
      </c>
      <c r="BO104" s="57"/>
      <c r="BP104" s="69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174"/>
      <c r="CC104" s="174"/>
      <c r="CD104" s="174"/>
      <c r="CE104" s="174"/>
      <c r="CF104" s="174"/>
      <c r="CG104" s="174"/>
    </row>
    <row r="105" spans="1:85" ht="15.75" thickBot="1" x14ac:dyDescent="0.3">
      <c r="A105" s="210"/>
      <c r="B105" s="204"/>
      <c r="C105" s="204"/>
      <c r="D105" s="204"/>
      <c r="E105" s="204"/>
      <c r="F105" s="378"/>
      <c r="G105" s="60"/>
      <c r="H105" s="194"/>
      <c r="I105" s="58"/>
      <c r="J105" s="58"/>
      <c r="K105" s="58"/>
      <c r="L105" s="58"/>
      <c r="M105" s="204"/>
      <c r="N105" s="204"/>
      <c r="O105" s="194"/>
      <c r="P105" s="204"/>
      <c r="Q105" s="58"/>
      <c r="R105" s="58"/>
      <c r="S105" s="58"/>
      <c r="T105" s="59"/>
      <c r="U105" s="58"/>
      <c r="V105" s="96"/>
      <c r="W105" s="58"/>
      <c r="X105" s="100"/>
      <c r="Y105" s="197"/>
      <c r="Z105" s="204"/>
      <c r="AA105" s="204"/>
      <c r="AB105" s="192"/>
      <c r="AC105" s="204"/>
      <c r="AD105" s="192"/>
      <c r="AE105" s="192"/>
      <c r="AF105" s="197"/>
      <c r="AG105" s="204"/>
      <c r="AH105" s="58"/>
      <c r="AI105" s="100"/>
      <c r="AJ105" s="100"/>
      <c r="AK105" s="214"/>
      <c r="AL105" s="58" t="s">
        <v>179</v>
      </c>
      <c r="AM105" s="75" t="s">
        <v>368</v>
      </c>
      <c r="AN105" s="50">
        <v>44182</v>
      </c>
      <c r="AO105" s="59">
        <v>12947</v>
      </c>
      <c r="AP105" s="75" t="s">
        <v>339</v>
      </c>
      <c r="AQ105" s="75" t="s">
        <v>379</v>
      </c>
      <c r="AR105" s="75" t="s">
        <v>380</v>
      </c>
      <c r="AS105" s="42"/>
      <c r="AT105" s="43"/>
      <c r="AU105" s="89"/>
      <c r="AV105" s="58"/>
      <c r="AW105" s="78"/>
      <c r="AX105" s="78"/>
      <c r="AY105" s="44"/>
      <c r="AZ105" s="45"/>
      <c r="BA105" s="100"/>
      <c r="BB105" s="100"/>
      <c r="BC105" s="78"/>
      <c r="BD105" s="78"/>
      <c r="BE105" s="78"/>
      <c r="BF105" s="100"/>
      <c r="BG105" s="58"/>
      <c r="BH105" s="100"/>
      <c r="BI105" s="144">
        <f t="shared" si="12"/>
        <v>120000</v>
      </c>
      <c r="BJ105" s="93"/>
      <c r="BK105" s="93"/>
      <c r="BL105" s="93"/>
      <c r="BM105" s="106"/>
      <c r="BN105" s="145">
        <f t="shared" si="10"/>
        <v>0</v>
      </c>
      <c r="BO105" s="57"/>
      <c r="BP105" s="69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174"/>
      <c r="CC105" s="174"/>
      <c r="CD105" s="174"/>
      <c r="CE105" s="174"/>
      <c r="CF105" s="174"/>
      <c r="CG105" s="174"/>
    </row>
    <row r="106" spans="1:85" ht="26.25" thickBot="1" x14ac:dyDescent="0.3">
      <c r="A106" s="210"/>
      <c r="B106" s="204"/>
      <c r="C106" s="204"/>
      <c r="D106" s="204"/>
      <c r="E106" s="204"/>
      <c r="F106" s="378"/>
      <c r="G106" s="60"/>
      <c r="H106" s="194"/>
      <c r="I106" s="58"/>
      <c r="J106" s="58"/>
      <c r="K106" s="58"/>
      <c r="L106" s="58"/>
      <c r="M106" s="204"/>
      <c r="N106" s="204"/>
      <c r="O106" s="194"/>
      <c r="P106" s="204"/>
      <c r="Q106" s="58"/>
      <c r="R106" s="58"/>
      <c r="S106" s="58"/>
      <c r="T106" s="59"/>
      <c r="U106" s="58"/>
      <c r="V106" s="96"/>
      <c r="W106" s="58"/>
      <c r="X106" s="100"/>
      <c r="Y106" s="197"/>
      <c r="Z106" s="204"/>
      <c r="AA106" s="204"/>
      <c r="AB106" s="192"/>
      <c r="AC106" s="204"/>
      <c r="AD106" s="192"/>
      <c r="AE106" s="192"/>
      <c r="AF106" s="197"/>
      <c r="AG106" s="204"/>
      <c r="AH106" s="58"/>
      <c r="AI106" s="100"/>
      <c r="AJ106" s="100"/>
      <c r="AK106" s="214"/>
      <c r="AL106" s="58" t="s">
        <v>179</v>
      </c>
      <c r="AM106" s="75" t="s">
        <v>369</v>
      </c>
      <c r="AN106" s="50">
        <v>44536</v>
      </c>
      <c r="AO106" s="59">
        <v>13181</v>
      </c>
      <c r="AP106" s="75" t="s">
        <v>357</v>
      </c>
      <c r="AQ106" s="75" t="s">
        <v>381</v>
      </c>
      <c r="AR106" s="75" t="s">
        <v>382</v>
      </c>
      <c r="AS106" s="42"/>
      <c r="AT106" s="43"/>
      <c r="AU106" s="89">
        <f>AW106/BI98</f>
        <v>0.1788515936335966</v>
      </c>
      <c r="AV106" s="58"/>
      <c r="AW106" s="78">
        <v>23755.919999999998</v>
      </c>
      <c r="AX106" s="78"/>
      <c r="AY106" s="44"/>
      <c r="AZ106" s="45"/>
      <c r="BA106" s="100"/>
      <c r="BB106" s="100"/>
      <c r="BC106" s="78"/>
      <c r="BD106" s="78"/>
      <c r="BE106" s="78"/>
      <c r="BF106" s="100"/>
      <c r="BG106" s="58"/>
      <c r="BH106" s="100"/>
      <c r="BI106" s="144">
        <f t="shared" si="12"/>
        <v>143755.91999999998</v>
      </c>
      <c r="BJ106" s="93"/>
      <c r="BK106" s="93"/>
      <c r="BL106" s="93"/>
      <c r="BM106" s="106"/>
      <c r="BN106" s="145">
        <f t="shared" si="10"/>
        <v>0</v>
      </c>
      <c r="BO106" s="57"/>
      <c r="BP106" s="69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174"/>
      <c r="CC106" s="174"/>
      <c r="CD106" s="174"/>
      <c r="CE106" s="174"/>
      <c r="CF106" s="174"/>
      <c r="CG106" s="174"/>
    </row>
    <row r="107" spans="1:85" ht="26.25" thickBot="1" x14ac:dyDescent="0.3">
      <c r="A107" s="210"/>
      <c r="B107" s="204"/>
      <c r="C107" s="204"/>
      <c r="D107" s="204"/>
      <c r="E107" s="204"/>
      <c r="F107" s="378"/>
      <c r="G107" s="60"/>
      <c r="H107" s="194"/>
      <c r="I107" s="58"/>
      <c r="J107" s="58"/>
      <c r="K107" s="58"/>
      <c r="L107" s="58"/>
      <c r="M107" s="204"/>
      <c r="N107" s="204"/>
      <c r="O107" s="194"/>
      <c r="P107" s="204"/>
      <c r="Q107" s="58"/>
      <c r="R107" s="58"/>
      <c r="S107" s="58"/>
      <c r="T107" s="59"/>
      <c r="U107" s="58"/>
      <c r="V107" s="96"/>
      <c r="W107" s="58"/>
      <c r="X107" s="100"/>
      <c r="Y107" s="197"/>
      <c r="Z107" s="204"/>
      <c r="AA107" s="204"/>
      <c r="AB107" s="192"/>
      <c r="AC107" s="204"/>
      <c r="AD107" s="192"/>
      <c r="AE107" s="192"/>
      <c r="AF107" s="197"/>
      <c r="AG107" s="204"/>
      <c r="AH107" s="58"/>
      <c r="AI107" s="100"/>
      <c r="AJ107" s="100"/>
      <c r="AK107" s="214"/>
      <c r="AL107" s="58" t="s">
        <v>179</v>
      </c>
      <c r="AM107" s="75" t="s">
        <v>370</v>
      </c>
      <c r="AN107" s="50">
        <v>44901</v>
      </c>
      <c r="AO107" s="59">
        <v>13431</v>
      </c>
      <c r="AP107" s="75" t="s">
        <v>373</v>
      </c>
      <c r="AQ107" s="75" t="s">
        <v>383</v>
      </c>
      <c r="AR107" s="75" t="s">
        <v>384</v>
      </c>
      <c r="AS107" s="42"/>
      <c r="AT107" s="43"/>
      <c r="AU107" s="89">
        <f>AW107/BI106</f>
        <v>7.2026251162386923E-2</v>
      </c>
      <c r="AV107" s="58"/>
      <c r="AW107" s="78">
        <v>10354.200000000001</v>
      </c>
      <c r="AX107" s="78"/>
      <c r="AY107" s="44"/>
      <c r="AZ107" s="45"/>
      <c r="BA107" s="100"/>
      <c r="BB107" s="100"/>
      <c r="BC107" s="78"/>
      <c r="BD107" s="78"/>
      <c r="BE107" s="78"/>
      <c r="BF107" s="100"/>
      <c r="BG107" s="58"/>
      <c r="BH107" s="100"/>
      <c r="BI107" s="144">
        <f t="shared" si="12"/>
        <v>130354.2</v>
      </c>
      <c r="BJ107" s="93"/>
      <c r="BK107" s="93"/>
      <c r="BL107" s="93"/>
      <c r="BM107" s="106"/>
      <c r="BN107" s="145">
        <f t="shared" si="10"/>
        <v>0</v>
      </c>
      <c r="BO107" s="57"/>
      <c r="BP107" s="69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174"/>
      <c r="CC107" s="174"/>
      <c r="CD107" s="174"/>
      <c r="CE107" s="174"/>
      <c r="CF107" s="174"/>
      <c r="CG107" s="174"/>
    </row>
    <row r="108" spans="1:85" ht="15.75" thickBot="1" x14ac:dyDescent="0.3">
      <c r="A108" s="191"/>
      <c r="B108" s="151"/>
      <c r="C108" s="151"/>
      <c r="D108" s="151"/>
      <c r="E108" s="151"/>
      <c r="F108" s="379"/>
      <c r="G108" s="57"/>
      <c r="H108" s="155"/>
      <c r="I108" s="58"/>
      <c r="J108" s="58"/>
      <c r="K108" s="58"/>
      <c r="L108" s="58"/>
      <c r="M108" s="151"/>
      <c r="N108" s="151"/>
      <c r="O108" s="155"/>
      <c r="P108" s="151"/>
      <c r="Q108" s="58"/>
      <c r="R108" s="58"/>
      <c r="S108" s="58"/>
      <c r="T108" s="59"/>
      <c r="U108" s="58"/>
      <c r="V108" s="96"/>
      <c r="W108" s="58"/>
      <c r="X108" s="100"/>
      <c r="Y108" s="157"/>
      <c r="Z108" s="151"/>
      <c r="AA108" s="151"/>
      <c r="AB108" s="153"/>
      <c r="AC108" s="151"/>
      <c r="AD108" s="153"/>
      <c r="AE108" s="153"/>
      <c r="AF108" s="157"/>
      <c r="AG108" s="151"/>
      <c r="AH108" s="58"/>
      <c r="AI108" s="100"/>
      <c r="AJ108" s="100"/>
      <c r="AK108" s="159"/>
      <c r="AL108" s="58" t="s">
        <v>179</v>
      </c>
      <c r="AM108" s="75" t="s">
        <v>362</v>
      </c>
      <c r="AN108" s="50">
        <v>45252</v>
      </c>
      <c r="AO108" s="59">
        <v>13660</v>
      </c>
      <c r="AP108" s="75" t="s">
        <v>352</v>
      </c>
      <c r="AQ108" s="50">
        <v>45267</v>
      </c>
      <c r="AR108" s="50">
        <v>45633</v>
      </c>
      <c r="AS108" s="42"/>
      <c r="AT108" s="43"/>
      <c r="AU108" s="89"/>
      <c r="AV108" s="58"/>
      <c r="AW108" s="78"/>
      <c r="AX108" s="78"/>
      <c r="AY108" s="44"/>
      <c r="AZ108" s="45"/>
      <c r="BA108" s="100"/>
      <c r="BB108" s="100"/>
      <c r="BC108" s="78"/>
      <c r="BD108" s="78"/>
      <c r="BE108" s="78"/>
      <c r="BF108" s="100"/>
      <c r="BG108" s="58"/>
      <c r="BH108" s="100"/>
      <c r="BI108" s="144">
        <f t="shared" si="12"/>
        <v>120000</v>
      </c>
      <c r="BJ108" s="93"/>
      <c r="BK108" s="93"/>
      <c r="BL108" s="93"/>
      <c r="BM108" s="106"/>
      <c r="BN108" s="145">
        <f t="shared" si="10"/>
        <v>0</v>
      </c>
      <c r="BO108" s="57"/>
      <c r="BP108" s="69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175"/>
      <c r="CC108" s="175"/>
      <c r="CD108" s="175"/>
      <c r="CE108" s="175"/>
      <c r="CF108" s="175"/>
      <c r="CG108" s="175"/>
    </row>
    <row r="109" spans="1:85" ht="15.75" thickBot="1" x14ac:dyDescent="0.3">
      <c r="A109" s="190">
        <v>28</v>
      </c>
      <c r="B109" s="150" t="s">
        <v>439</v>
      </c>
      <c r="C109" s="232"/>
      <c r="D109" s="150" t="s">
        <v>504</v>
      </c>
      <c r="E109" s="163" t="s">
        <v>229</v>
      </c>
      <c r="F109" s="377" t="s">
        <v>507</v>
      </c>
      <c r="G109" s="56"/>
      <c r="H109" s="167"/>
      <c r="I109" s="58"/>
      <c r="J109" s="58"/>
      <c r="K109" s="58"/>
      <c r="L109" s="58"/>
      <c r="M109" s="150" t="s">
        <v>406</v>
      </c>
      <c r="N109" s="150" t="s">
        <v>521</v>
      </c>
      <c r="O109" s="154">
        <v>13470</v>
      </c>
      <c r="P109" s="154">
        <v>13470</v>
      </c>
      <c r="Q109" s="104"/>
      <c r="R109" s="104"/>
      <c r="S109" s="104"/>
      <c r="T109" s="98"/>
      <c r="U109" s="86"/>
      <c r="V109" s="86"/>
      <c r="W109" s="58"/>
      <c r="X109" s="100"/>
      <c r="Y109" s="156" t="s">
        <v>505</v>
      </c>
      <c r="Z109" s="150" t="s">
        <v>506</v>
      </c>
      <c r="AA109" s="150" t="s">
        <v>508</v>
      </c>
      <c r="AB109" s="152">
        <v>44966</v>
      </c>
      <c r="AC109" s="154">
        <v>13477</v>
      </c>
      <c r="AD109" s="152">
        <v>44966</v>
      </c>
      <c r="AE109" s="152" t="s">
        <v>522</v>
      </c>
      <c r="AF109" s="156" t="s">
        <v>183</v>
      </c>
      <c r="AG109" s="150" t="s">
        <v>178</v>
      </c>
      <c r="AH109" s="58"/>
      <c r="AI109" s="100"/>
      <c r="AJ109" s="100"/>
      <c r="AK109" s="158" t="s">
        <v>523</v>
      </c>
      <c r="AL109" s="58"/>
      <c r="AM109" s="75"/>
      <c r="AN109" s="52"/>
      <c r="AO109" s="51"/>
      <c r="AP109" s="53"/>
      <c r="AQ109" s="52"/>
      <c r="AR109" s="52"/>
      <c r="AS109" s="42"/>
      <c r="AT109" s="43"/>
      <c r="AU109" s="89"/>
      <c r="AV109" s="58"/>
      <c r="AW109" s="78"/>
      <c r="AX109" s="78"/>
      <c r="AY109" s="44"/>
      <c r="AZ109" s="45"/>
      <c r="BA109" s="100"/>
      <c r="BB109" s="100"/>
      <c r="BC109" s="78"/>
      <c r="BD109" s="78"/>
      <c r="BE109" s="78"/>
      <c r="BF109" s="100"/>
      <c r="BG109" s="58"/>
      <c r="BH109" s="100"/>
      <c r="BI109" s="144">
        <v>0</v>
      </c>
      <c r="BJ109" s="93"/>
      <c r="BK109" s="117">
        <f>1627.47+1627.47+49945.8+27062.19+25402.73+46202.1+26024.75+21959.46</f>
        <v>199851.97</v>
      </c>
      <c r="BL109" s="93"/>
      <c r="BM109" s="128">
        <f>BL109+BK109</f>
        <v>199851.97</v>
      </c>
      <c r="BN109" s="145">
        <f t="shared" si="10"/>
        <v>199851.97</v>
      </c>
      <c r="BO109" s="57"/>
      <c r="BP109" s="54"/>
      <c r="BQ109" s="50"/>
      <c r="BR109" s="59"/>
      <c r="BS109" s="50"/>
      <c r="BT109" s="58"/>
      <c r="BU109" s="70"/>
      <c r="BV109" s="70"/>
      <c r="BW109" s="68"/>
      <c r="BX109" s="70"/>
      <c r="BY109" s="70"/>
      <c r="BZ109" s="70"/>
      <c r="CA109" s="70"/>
      <c r="CB109" s="110"/>
      <c r="CC109" s="110"/>
      <c r="CD109" s="110"/>
      <c r="CE109" s="110"/>
      <c r="CF109" s="110"/>
      <c r="CG109" s="110"/>
    </row>
    <row r="110" spans="1:85" ht="15.75" thickBot="1" x14ac:dyDescent="0.3">
      <c r="A110" s="191"/>
      <c r="B110" s="151"/>
      <c r="C110" s="233"/>
      <c r="D110" s="151"/>
      <c r="E110" s="164"/>
      <c r="F110" s="379"/>
      <c r="G110" s="57"/>
      <c r="H110" s="168"/>
      <c r="I110" s="58"/>
      <c r="J110" s="58"/>
      <c r="K110" s="58"/>
      <c r="L110" s="58"/>
      <c r="M110" s="151"/>
      <c r="N110" s="151"/>
      <c r="O110" s="155"/>
      <c r="P110" s="155"/>
      <c r="Q110" s="104"/>
      <c r="R110" s="104"/>
      <c r="S110" s="104"/>
      <c r="T110" s="98"/>
      <c r="U110" s="86"/>
      <c r="V110" s="86"/>
      <c r="W110" s="58"/>
      <c r="X110" s="100"/>
      <c r="Y110" s="157"/>
      <c r="Z110" s="151"/>
      <c r="AA110" s="151"/>
      <c r="AB110" s="153"/>
      <c r="AC110" s="155"/>
      <c r="AD110" s="153"/>
      <c r="AE110" s="153"/>
      <c r="AF110" s="157"/>
      <c r="AG110" s="151"/>
      <c r="AH110" s="58"/>
      <c r="AI110" s="100"/>
      <c r="AJ110" s="100"/>
      <c r="AK110" s="159"/>
      <c r="AL110" s="58"/>
      <c r="AM110" s="75"/>
      <c r="AN110" s="52"/>
      <c r="AO110" s="51"/>
      <c r="AP110" s="53"/>
      <c r="AQ110" s="52"/>
      <c r="AR110" s="52"/>
      <c r="AS110" s="42"/>
      <c r="AT110" s="43"/>
      <c r="AU110" s="89"/>
      <c r="AV110" s="58"/>
      <c r="AW110" s="78"/>
      <c r="AX110" s="78"/>
      <c r="AY110" s="44"/>
      <c r="AZ110" s="45"/>
      <c r="BA110" s="100"/>
      <c r="BB110" s="100"/>
      <c r="BC110" s="78"/>
      <c r="BD110" s="78"/>
      <c r="BE110" s="78"/>
      <c r="BF110" s="100"/>
      <c r="BG110" s="58"/>
      <c r="BH110" s="100"/>
      <c r="BI110" s="144">
        <v>0</v>
      </c>
      <c r="BJ110" s="93"/>
      <c r="BK110" s="93"/>
      <c r="BL110" s="93"/>
      <c r="BM110" s="105"/>
      <c r="BN110" s="145">
        <f t="shared" si="10"/>
        <v>0</v>
      </c>
      <c r="BO110" s="57"/>
      <c r="BP110" s="54"/>
      <c r="BQ110" s="50"/>
      <c r="BR110" s="59"/>
      <c r="BS110" s="50"/>
      <c r="BT110" s="58"/>
      <c r="BU110" s="70"/>
      <c r="BV110" s="70"/>
      <c r="BW110" s="68"/>
      <c r="BX110" s="70"/>
      <c r="BY110" s="70"/>
      <c r="BZ110" s="70"/>
      <c r="CA110" s="70"/>
      <c r="CB110" s="110"/>
      <c r="CC110" s="110"/>
      <c r="CD110" s="110"/>
      <c r="CE110" s="110"/>
      <c r="CF110" s="110"/>
      <c r="CG110" s="110"/>
    </row>
    <row r="111" spans="1:85" ht="15.75" thickBot="1" x14ac:dyDescent="0.3">
      <c r="A111" s="190">
        <v>29</v>
      </c>
      <c r="B111" s="150" t="s">
        <v>262</v>
      </c>
      <c r="C111" s="232" t="s">
        <v>263</v>
      </c>
      <c r="D111" s="150" t="s">
        <v>248</v>
      </c>
      <c r="E111" s="163" t="s">
        <v>229</v>
      </c>
      <c r="F111" s="377" t="s">
        <v>264</v>
      </c>
      <c r="G111" s="56"/>
      <c r="H111" s="167"/>
      <c r="I111" s="58"/>
      <c r="J111" s="58"/>
      <c r="K111" s="58"/>
      <c r="L111" s="58"/>
      <c r="M111" s="150" t="s">
        <v>404</v>
      </c>
      <c r="N111" s="150" t="s">
        <v>411</v>
      </c>
      <c r="O111" s="154">
        <v>13123</v>
      </c>
      <c r="P111" s="154">
        <v>13123</v>
      </c>
      <c r="Q111" s="57"/>
      <c r="R111" s="57"/>
      <c r="S111" s="57"/>
      <c r="T111" s="98"/>
      <c r="U111" s="86"/>
      <c r="V111" s="86"/>
      <c r="W111" s="58"/>
      <c r="X111" s="100"/>
      <c r="Y111" s="156" t="s">
        <v>321</v>
      </c>
      <c r="Z111" s="150" t="s">
        <v>319</v>
      </c>
      <c r="AA111" s="150" t="s">
        <v>320</v>
      </c>
      <c r="AB111" s="152">
        <v>44417</v>
      </c>
      <c r="AC111" s="154">
        <v>13123</v>
      </c>
      <c r="AD111" s="152">
        <v>44417</v>
      </c>
      <c r="AE111" s="152">
        <v>45147</v>
      </c>
      <c r="AF111" s="156" t="s">
        <v>183</v>
      </c>
      <c r="AG111" s="150" t="s">
        <v>178</v>
      </c>
      <c r="AH111" s="58"/>
      <c r="AI111" s="100"/>
      <c r="AJ111" s="100"/>
      <c r="AK111" s="158">
        <v>240000</v>
      </c>
      <c r="AL111" s="58"/>
      <c r="AM111" s="75"/>
      <c r="AN111" s="152">
        <v>45145</v>
      </c>
      <c r="AO111" s="154">
        <v>13593</v>
      </c>
      <c r="AP111" s="156" t="s">
        <v>374</v>
      </c>
      <c r="AQ111" s="156" t="s">
        <v>385</v>
      </c>
      <c r="AR111" s="156" t="s">
        <v>386</v>
      </c>
      <c r="AS111" s="42"/>
      <c r="AT111" s="43"/>
      <c r="AU111" s="89"/>
      <c r="AV111" s="58"/>
      <c r="AW111" s="78"/>
      <c r="AX111" s="78"/>
      <c r="AY111" s="44"/>
      <c r="AZ111" s="45"/>
      <c r="BA111" s="100"/>
      <c r="BB111" s="100"/>
      <c r="BC111" s="78"/>
      <c r="BD111" s="78"/>
      <c r="BE111" s="78"/>
      <c r="BF111" s="100"/>
      <c r="BG111" s="58"/>
      <c r="BH111" s="100"/>
      <c r="BI111" s="144">
        <f>$AK$111+AW111-AX111</f>
        <v>240000</v>
      </c>
      <c r="BJ111" s="219">
        <f>240000+251888.63+243823.9</f>
        <v>735712.53</v>
      </c>
      <c r="BK111" s="117">
        <f>20764.78+20764.78</f>
        <v>41529.56</v>
      </c>
      <c r="BL111" s="93"/>
      <c r="BM111" s="93">
        <f>BL111+BK111</f>
        <v>41529.56</v>
      </c>
      <c r="BN111" s="145">
        <f t="shared" si="10"/>
        <v>777242.09000000008</v>
      </c>
      <c r="BO111" s="57"/>
      <c r="BP111" s="54"/>
      <c r="BQ111" s="50"/>
      <c r="BR111" s="59"/>
      <c r="BS111" s="50"/>
      <c r="BT111" s="58"/>
      <c r="BU111" s="70"/>
      <c r="BV111" s="70"/>
      <c r="BW111" s="68"/>
      <c r="BX111" s="70"/>
      <c r="BY111" s="70"/>
      <c r="BZ111" s="70"/>
      <c r="CA111" s="70"/>
      <c r="CB111" s="173" t="s">
        <v>482</v>
      </c>
      <c r="CC111" s="173">
        <v>13128</v>
      </c>
      <c r="CD111" s="173" t="s">
        <v>432</v>
      </c>
      <c r="CE111" s="173">
        <v>713115</v>
      </c>
      <c r="CF111" s="173" t="s">
        <v>483</v>
      </c>
      <c r="CG111" s="173" t="s">
        <v>484</v>
      </c>
    </row>
    <row r="112" spans="1:85" ht="15.75" thickBot="1" x14ac:dyDescent="0.3">
      <c r="A112" s="191"/>
      <c r="B112" s="151"/>
      <c r="C112" s="233"/>
      <c r="D112" s="151"/>
      <c r="E112" s="164"/>
      <c r="F112" s="379"/>
      <c r="G112" s="57"/>
      <c r="H112" s="168"/>
      <c r="I112" s="58"/>
      <c r="J112" s="58"/>
      <c r="K112" s="58"/>
      <c r="L112" s="58"/>
      <c r="M112" s="151"/>
      <c r="N112" s="151"/>
      <c r="O112" s="155"/>
      <c r="P112" s="155"/>
      <c r="Q112" s="57"/>
      <c r="R112" s="57"/>
      <c r="S112" s="57"/>
      <c r="T112" s="98"/>
      <c r="U112" s="86"/>
      <c r="V112" s="86"/>
      <c r="W112" s="58"/>
      <c r="X112" s="100"/>
      <c r="Y112" s="157"/>
      <c r="Z112" s="151"/>
      <c r="AA112" s="151"/>
      <c r="AB112" s="153"/>
      <c r="AC112" s="155"/>
      <c r="AD112" s="153"/>
      <c r="AE112" s="153"/>
      <c r="AF112" s="157"/>
      <c r="AG112" s="151"/>
      <c r="AH112" s="58"/>
      <c r="AI112" s="100"/>
      <c r="AJ112" s="100"/>
      <c r="AK112" s="159"/>
      <c r="AL112" s="58" t="s">
        <v>333</v>
      </c>
      <c r="AM112" s="75" t="s">
        <v>180</v>
      </c>
      <c r="AN112" s="153"/>
      <c r="AO112" s="155"/>
      <c r="AP112" s="157"/>
      <c r="AQ112" s="157"/>
      <c r="AR112" s="157"/>
      <c r="AS112" s="42"/>
      <c r="AT112" s="43"/>
      <c r="AU112" s="89"/>
      <c r="AV112" s="58"/>
      <c r="AW112" s="78"/>
      <c r="AX112" s="78"/>
      <c r="AY112" s="44"/>
      <c r="AZ112" s="45"/>
      <c r="BA112" s="100"/>
      <c r="BB112" s="100"/>
      <c r="BC112" s="78"/>
      <c r="BD112" s="78"/>
      <c r="BE112" s="78"/>
      <c r="BF112" s="100"/>
      <c r="BG112" s="58"/>
      <c r="BH112" s="100"/>
      <c r="BI112" s="144">
        <f>$AK$111+AW112-AX112</f>
        <v>240000</v>
      </c>
      <c r="BJ112" s="220"/>
      <c r="BK112" s="129"/>
      <c r="BL112" s="129"/>
      <c r="BM112" s="106"/>
      <c r="BN112" s="145">
        <f t="shared" si="10"/>
        <v>0</v>
      </c>
      <c r="BO112" s="57"/>
      <c r="BP112" s="54"/>
      <c r="BQ112" s="50"/>
      <c r="BR112" s="59"/>
      <c r="BS112" s="50"/>
      <c r="BT112" s="58"/>
      <c r="BU112" s="70"/>
      <c r="BV112" s="70"/>
      <c r="BW112" s="68"/>
      <c r="BX112" s="70"/>
      <c r="BY112" s="70"/>
      <c r="BZ112" s="70"/>
      <c r="CA112" s="70"/>
      <c r="CB112" s="175"/>
      <c r="CC112" s="175"/>
      <c r="CD112" s="175"/>
      <c r="CE112" s="175"/>
      <c r="CF112" s="175"/>
      <c r="CG112" s="175"/>
    </row>
    <row r="113" spans="1:85" ht="15.75" thickBot="1" x14ac:dyDescent="0.3">
      <c r="A113" s="230">
        <v>30</v>
      </c>
      <c r="B113" s="162" t="s">
        <v>265</v>
      </c>
      <c r="C113" s="169" t="s">
        <v>265</v>
      </c>
      <c r="D113" s="169" t="s">
        <v>266</v>
      </c>
      <c r="E113" s="169" t="s">
        <v>177</v>
      </c>
      <c r="F113" s="376" t="s">
        <v>267</v>
      </c>
      <c r="G113" s="58"/>
      <c r="H113" s="231"/>
      <c r="I113" s="58"/>
      <c r="J113" s="58"/>
      <c r="K113" s="58"/>
      <c r="L113" s="58"/>
      <c r="M113" s="150" t="s">
        <v>406</v>
      </c>
      <c r="N113" s="150" t="s">
        <v>412</v>
      </c>
      <c r="O113" s="154">
        <v>13406</v>
      </c>
      <c r="P113" s="154">
        <v>13408</v>
      </c>
      <c r="Q113" s="57"/>
      <c r="R113" s="57"/>
      <c r="S113" s="57"/>
      <c r="T113" s="98"/>
      <c r="U113" s="86"/>
      <c r="V113" s="86"/>
      <c r="W113" s="58"/>
      <c r="X113" s="100"/>
      <c r="Y113" s="193" t="s">
        <v>322</v>
      </c>
      <c r="Z113" s="169" t="s">
        <v>323</v>
      </c>
      <c r="AA113" s="169" t="s">
        <v>324</v>
      </c>
      <c r="AB113" s="224">
        <v>44889</v>
      </c>
      <c r="AC113" s="154">
        <v>13416</v>
      </c>
      <c r="AD113" s="152">
        <v>44889</v>
      </c>
      <c r="AE113" s="152">
        <v>44926</v>
      </c>
      <c r="AF113" s="156" t="s">
        <v>183</v>
      </c>
      <c r="AG113" s="150" t="s">
        <v>178</v>
      </c>
      <c r="AH113" s="58"/>
      <c r="AI113" s="100"/>
      <c r="AJ113" s="100"/>
      <c r="AK113" s="221">
        <v>231000</v>
      </c>
      <c r="AL113" s="56"/>
      <c r="AM113" s="53"/>
      <c r="AN113" s="52"/>
      <c r="AO113" s="51"/>
      <c r="AP113" s="53"/>
      <c r="AQ113" s="52"/>
      <c r="AR113" s="52"/>
      <c r="AS113" s="42"/>
      <c r="AT113" s="43"/>
      <c r="AU113" s="62"/>
      <c r="AV113" s="56"/>
      <c r="AW113" s="63"/>
      <c r="AX113" s="63"/>
      <c r="AY113" s="44"/>
      <c r="AZ113" s="45"/>
      <c r="BA113" s="100"/>
      <c r="BB113" s="100"/>
      <c r="BC113" s="63"/>
      <c r="BD113" s="63"/>
      <c r="BE113" s="63"/>
      <c r="BF113" s="100"/>
      <c r="BG113" s="58"/>
      <c r="BH113" s="100"/>
      <c r="BI113" s="144">
        <f>$AK$113+AW113-AX113</f>
        <v>231000</v>
      </c>
      <c r="BJ113" s="93">
        <f>19810.65+92714.68+95598.87</f>
        <v>208124.19999999998</v>
      </c>
      <c r="BK113" s="117">
        <f>7204.41</f>
        <v>7204.41</v>
      </c>
      <c r="BL113" s="93"/>
      <c r="BM113" s="93">
        <f>BL113+BK113</f>
        <v>7204.41</v>
      </c>
      <c r="BN113" s="145">
        <f t="shared" si="10"/>
        <v>215328.61</v>
      </c>
      <c r="BO113" s="57"/>
      <c r="BP113" s="54"/>
      <c r="BQ113" s="50"/>
      <c r="BR113" s="59"/>
      <c r="BS113" s="50"/>
      <c r="BT113" s="58"/>
      <c r="BU113" s="70"/>
      <c r="BV113" s="70"/>
      <c r="BW113" s="68"/>
      <c r="BX113" s="70"/>
      <c r="BY113" s="70"/>
      <c r="BZ113" s="70"/>
      <c r="CA113" s="70"/>
      <c r="CB113" s="173" t="s">
        <v>485</v>
      </c>
      <c r="CC113" s="173">
        <v>13424</v>
      </c>
      <c r="CD113" s="173" t="s">
        <v>432</v>
      </c>
      <c r="CE113" s="176">
        <v>713115</v>
      </c>
      <c r="CF113" s="173" t="s">
        <v>486</v>
      </c>
      <c r="CG113" s="173" t="s">
        <v>487</v>
      </c>
    </row>
    <row r="114" spans="1:85" ht="26.25" thickBot="1" x14ac:dyDescent="0.3">
      <c r="A114" s="230"/>
      <c r="B114" s="162"/>
      <c r="C114" s="169"/>
      <c r="D114" s="169"/>
      <c r="E114" s="169"/>
      <c r="F114" s="376"/>
      <c r="G114" s="58"/>
      <c r="H114" s="231"/>
      <c r="I114" s="58"/>
      <c r="J114" s="58"/>
      <c r="K114" s="58"/>
      <c r="L114" s="58"/>
      <c r="M114" s="204"/>
      <c r="N114" s="204"/>
      <c r="O114" s="194"/>
      <c r="P114" s="194"/>
      <c r="Q114" s="57"/>
      <c r="R114" s="57"/>
      <c r="S114" s="57"/>
      <c r="T114" s="98"/>
      <c r="U114" s="86"/>
      <c r="V114" s="86"/>
      <c r="W114" s="58"/>
      <c r="X114" s="100"/>
      <c r="Y114" s="193"/>
      <c r="Z114" s="169"/>
      <c r="AA114" s="169"/>
      <c r="AB114" s="225"/>
      <c r="AC114" s="194"/>
      <c r="AD114" s="192"/>
      <c r="AE114" s="192"/>
      <c r="AF114" s="197"/>
      <c r="AG114" s="204"/>
      <c r="AH114" s="58"/>
      <c r="AI114" s="100"/>
      <c r="AJ114" s="100"/>
      <c r="AK114" s="222"/>
      <c r="AL114" s="58" t="s">
        <v>360</v>
      </c>
      <c r="AM114" s="75" t="s">
        <v>180</v>
      </c>
      <c r="AN114" s="50">
        <v>44958</v>
      </c>
      <c r="AO114" s="59">
        <v>13485</v>
      </c>
      <c r="AP114" s="75" t="s">
        <v>375</v>
      </c>
      <c r="AQ114" s="50">
        <v>44958</v>
      </c>
      <c r="AR114" s="50">
        <v>45046</v>
      </c>
      <c r="AS114" s="42"/>
      <c r="AT114" s="43"/>
      <c r="AU114" s="62"/>
      <c r="AV114" s="56"/>
      <c r="AW114" s="63"/>
      <c r="AX114" s="63"/>
      <c r="AY114" s="44"/>
      <c r="AZ114" s="45"/>
      <c r="BA114" s="100"/>
      <c r="BB114" s="100"/>
      <c r="BC114" s="63"/>
      <c r="BD114" s="63"/>
      <c r="BE114" s="63"/>
      <c r="BF114" s="100"/>
      <c r="BG114" s="58"/>
      <c r="BH114" s="100"/>
      <c r="BI114" s="144">
        <f t="shared" ref="BI114:BI118" si="13">$AK$113+AW114-AX114</f>
        <v>231000</v>
      </c>
      <c r="BJ114" s="93"/>
      <c r="BK114" s="93"/>
      <c r="BL114" s="93"/>
      <c r="BM114" s="106"/>
      <c r="BN114" s="145">
        <f t="shared" si="10"/>
        <v>0</v>
      </c>
      <c r="BO114" s="57"/>
      <c r="BP114" s="54"/>
      <c r="BQ114" s="50"/>
      <c r="BR114" s="59"/>
      <c r="BS114" s="50"/>
      <c r="BT114" s="58"/>
      <c r="BU114" s="70"/>
      <c r="BV114" s="70"/>
      <c r="BW114" s="68"/>
      <c r="BX114" s="70"/>
      <c r="BY114" s="70"/>
      <c r="BZ114" s="70"/>
      <c r="CA114" s="70"/>
      <c r="CB114" s="174"/>
      <c r="CC114" s="174"/>
      <c r="CD114" s="174"/>
      <c r="CE114" s="174"/>
      <c r="CF114" s="174"/>
      <c r="CG114" s="174"/>
    </row>
    <row r="115" spans="1:85" ht="39" thickBot="1" x14ac:dyDescent="0.3">
      <c r="A115" s="230"/>
      <c r="B115" s="162"/>
      <c r="C115" s="169"/>
      <c r="D115" s="169"/>
      <c r="E115" s="169"/>
      <c r="F115" s="376"/>
      <c r="G115" s="58"/>
      <c r="H115" s="231"/>
      <c r="I115" s="58"/>
      <c r="J115" s="58"/>
      <c r="K115" s="58"/>
      <c r="L115" s="58"/>
      <c r="M115" s="204"/>
      <c r="N115" s="204"/>
      <c r="O115" s="194"/>
      <c r="P115" s="194"/>
      <c r="Q115" s="57"/>
      <c r="R115" s="57"/>
      <c r="S115" s="57"/>
      <c r="T115" s="98"/>
      <c r="U115" s="86"/>
      <c r="V115" s="86"/>
      <c r="W115" s="58"/>
      <c r="X115" s="100"/>
      <c r="Y115" s="193"/>
      <c r="Z115" s="169"/>
      <c r="AA115" s="169"/>
      <c r="AB115" s="225"/>
      <c r="AC115" s="194"/>
      <c r="AD115" s="192"/>
      <c r="AE115" s="192"/>
      <c r="AF115" s="197"/>
      <c r="AG115" s="204"/>
      <c r="AH115" s="58"/>
      <c r="AI115" s="100"/>
      <c r="AJ115" s="100"/>
      <c r="AK115" s="222"/>
      <c r="AL115" s="57" t="s">
        <v>335</v>
      </c>
      <c r="AM115" s="75" t="s">
        <v>180</v>
      </c>
      <c r="AN115" s="50">
        <v>45089</v>
      </c>
      <c r="AO115" s="59">
        <v>13555</v>
      </c>
      <c r="AP115" s="75" t="s">
        <v>376</v>
      </c>
      <c r="AQ115" s="50">
        <v>45047</v>
      </c>
      <c r="AR115" s="50">
        <v>45138</v>
      </c>
      <c r="AS115" s="42"/>
      <c r="AT115" s="43"/>
      <c r="AU115" s="62"/>
      <c r="AV115" s="56"/>
      <c r="AW115" s="63"/>
      <c r="AX115" s="63"/>
      <c r="AY115" s="44"/>
      <c r="AZ115" s="45"/>
      <c r="BA115" s="100"/>
      <c r="BB115" s="100"/>
      <c r="BC115" s="63"/>
      <c r="BD115" s="63"/>
      <c r="BE115" s="63"/>
      <c r="BF115" s="100"/>
      <c r="BG115" s="58"/>
      <c r="BH115" s="100"/>
      <c r="BI115" s="144">
        <f t="shared" si="13"/>
        <v>231000</v>
      </c>
      <c r="BJ115" s="93"/>
      <c r="BK115" s="93"/>
      <c r="BL115" s="93"/>
      <c r="BM115" s="106"/>
      <c r="BN115" s="145">
        <f t="shared" si="10"/>
        <v>0</v>
      </c>
      <c r="BO115" s="57"/>
      <c r="BP115" s="54"/>
      <c r="BQ115" s="50"/>
      <c r="BR115" s="59"/>
      <c r="BS115" s="50"/>
      <c r="BT115" s="58"/>
      <c r="BU115" s="70"/>
      <c r="BV115" s="70"/>
      <c r="BW115" s="68"/>
      <c r="BX115" s="70"/>
      <c r="BY115" s="70"/>
      <c r="BZ115" s="70"/>
      <c r="CA115" s="70"/>
      <c r="CB115" s="174"/>
      <c r="CC115" s="174"/>
      <c r="CD115" s="174"/>
      <c r="CE115" s="174"/>
      <c r="CF115" s="174"/>
      <c r="CG115" s="174"/>
    </row>
    <row r="116" spans="1:85" ht="26.25" thickBot="1" x14ac:dyDescent="0.3">
      <c r="A116" s="230"/>
      <c r="B116" s="162"/>
      <c r="C116" s="169"/>
      <c r="D116" s="169"/>
      <c r="E116" s="169"/>
      <c r="F116" s="376"/>
      <c r="G116" s="58"/>
      <c r="H116" s="231"/>
      <c r="I116" s="58"/>
      <c r="J116" s="58"/>
      <c r="K116" s="58"/>
      <c r="L116" s="58"/>
      <c r="M116" s="204"/>
      <c r="N116" s="204"/>
      <c r="O116" s="194"/>
      <c r="P116" s="194"/>
      <c r="Q116" s="57"/>
      <c r="R116" s="57"/>
      <c r="S116" s="57"/>
      <c r="T116" s="98"/>
      <c r="U116" s="86"/>
      <c r="V116" s="86"/>
      <c r="W116" s="58"/>
      <c r="X116" s="100"/>
      <c r="Y116" s="193"/>
      <c r="Z116" s="169"/>
      <c r="AA116" s="169"/>
      <c r="AB116" s="225"/>
      <c r="AC116" s="194"/>
      <c r="AD116" s="192"/>
      <c r="AE116" s="192"/>
      <c r="AF116" s="197"/>
      <c r="AG116" s="204"/>
      <c r="AH116" s="58"/>
      <c r="AI116" s="100"/>
      <c r="AJ116" s="100"/>
      <c r="AK116" s="222"/>
      <c r="AL116" s="57" t="s">
        <v>333</v>
      </c>
      <c r="AM116" s="75" t="s">
        <v>181</v>
      </c>
      <c r="AN116" s="50">
        <v>45042</v>
      </c>
      <c r="AO116" s="59">
        <v>13547</v>
      </c>
      <c r="AP116" s="75" t="s">
        <v>377</v>
      </c>
      <c r="AQ116" s="50">
        <v>45047</v>
      </c>
      <c r="AR116" s="50">
        <v>45137</v>
      </c>
      <c r="AS116" s="42"/>
      <c r="AT116" s="43"/>
      <c r="AU116" s="62"/>
      <c r="AV116" s="56"/>
      <c r="AW116" s="63"/>
      <c r="AX116" s="63"/>
      <c r="AY116" s="44"/>
      <c r="AZ116" s="45"/>
      <c r="BA116" s="100"/>
      <c r="BB116" s="100"/>
      <c r="BC116" s="63"/>
      <c r="BD116" s="63"/>
      <c r="BE116" s="63"/>
      <c r="BF116" s="100"/>
      <c r="BG116" s="58"/>
      <c r="BH116" s="100"/>
      <c r="BI116" s="144">
        <f t="shared" si="13"/>
        <v>231000</v>
      </c>
      <c r="BJ116" s="93"/>
      <c r="BK116" s="93"/>
      <c r="BL116" s="93"/>
      <c r="BM116" s="106"/>
      <c r="BN116" s="145">
        <f t="shared" si="10"/>
        <v>0</v>
      </c>
      <c r="BO116" s="57"/>
      <c r="BP116" s="54"/>
      <c r="BQ116" s="50"/>
      <c r="BR116" s="59"/>
      <c r="BS116" s="50"/>
      <c r="BT116" s="58"/>
      <c r="BU116" s="70"/>
      <c r="BV116" s="70"/>
      <c r="BW116" s="68"/>
      <c r="BX116" s="70"/>
      <c r="BY116" s="70"/>
      <c r="BZ116" s="70"/>
      <c r="CA116" s="70"/>
      <c r="CB116" s="174"/>
      <c r="CC116" s="174"/>
      <c r="CD116" s="174"/>
      <c r="CE116" s="174"/>
      <c r="CF116" s="174"/>
      <c r="CG116" s="174"/>
    </row>
    <row r="117" spans="1:85" ht="26.25" thickBot="1" x14ac:dyDescent="0.3">
      <c r="A117" s="230"/>
      <c r="B117" s="162"/>
      <c r="C117" s="169"/>
      <c r="D117" s="169"/>
      <c r="E117" s="169"/>
      <c r="F117" s="376"/>
      <c r="G117" s="58"/>
      <c r="H117" s="231"/>
      <c r="I117" s="58"/>
      <c r="J117" s="58"/>
      <c r="K117" s="58"/>
      <c r="L117" s="58"/>
      <c r="M117" s="204"/>
      <c r="N117" s="204"/>
      <c r="O117" s="194"/>
      <c r="P117" s="194"/>
      <c r="Q117" s="57"/>
      <c r="R117" s="57"/>
      <c r="S117" s="57"/>
      <c r="T117" s="98"/>
      <c r="U117" s="86"/>
      <c r="V117" s="86"/>
      <c r="W117" s="58"/>
      <c r="X117" s="100"/>
      <c r="Y117" s="193"/>
      <c r="Z117" s="169"/>
      <c r="AA117" s="169"/>
      <c r="AB117" s="225"/>
      <c r="AC117" s="194"/>
      <c r="AD117" s="192"/>
      <c r="AE117" s="192"/>
      <c r="AF117" s="197"/>
      <c r="AG117" s="204"/>
      <c r="AH117" s="58"/>
      <c r="AI117" s="100"/>
      <c r="AJ117" s="100"/>
      <c r="AK117" s="222"/>
      <c r="AL117" s="57" t="s">
        <v>333</v>
      </c>
      <c r="AM117" s="75" t="s">
        <v>196</v>
      </c>
      <c r="AN117" s="50">
        <v>45138</v>
      </c>
      <c r="AO117" s="59">
        <v>13588</v>
      </c>
      <c r="AP117" s="75" t="s">
        <v>377</v>
      </c>
      <c r="AQ117" s="50">
        <v>45139</v>
      </c>
      <c r="AR117" s="50">
        <v>45230</v>
      </c>
      <c r="AS117" s="42"/>
      <c r="AT117" s="43"/>
      <c r="AU117" s="62"/>
      <c r="AV117" s="56"/>
      <c r="AW117" s="63"/>
      <c r="AX117" s="63"/>
      <c r="AY117" s="44"/>
      <c r="AZ117" s="45"/>
      <c r="BA117" s="100"/>
      <c r="BB117" s="100"/>
      <c r="BC117" s="63"/>
      <c r="BD117" s="63"/>
      <c r="BE117" s="63"/>
      <c r="BF117" s="100"/>
      <c r="BG117" s="58"/>
      <c r="BH117" s="100"/>
      <c r="BI117" s="144">
        <f t="shared" si="13"/>
        <v>231000</v>
      </c>
      <c r="BJ117" s="93"/>
      <c r="BK117" s="93"/>
      <c r="BL117" s="93"/>
      <c r="BM117" s="106"/>
      <c r="BN117" s="145">
        <f t="shared" si="10"/>
        <v>0</v>
      </c>
      <c r="BO117" s="57"/>
      <c r="BP117" s="54"/>
      <c r="BQ117" s="50"/>
      <c r="BR117" s="59"/>
      <c r="BS117" s="50"/>
      <c r="BT117" s="58"/>
      <c r="BU117" s="70"/>
      <c r="BV117" s="70"/>
      <c r="BW117" s="68"/>
      <c r="BX117" s="70"/>
      <c r="BY117" s="70"/>
      <c r="BZ117" s="70"/>
      <c r="CA117" s="70"/>
      <c r="CB117" s="174"/>
      <c r="CC117" s="174"/>
      <c r="CD117" s="174"/>
      <c r="CE117" s="174"/>
      <c r="CF117" s="174"/>
      <c r="CG117" s="174"/>
    </row>
    <row r="118" spans="1:85" ht="26.25" thickBot="1" x14ac:dyDescent="0.3">
      <c r="A118" s="230"/>
      <c r="B118" s="162"/>
      <c r="C118" s="169"/>
      <c r="D118" s="169"/>
      <c r="E118" s="169"/>
      <c r="F118" s="376"/>
      <c r="G118" s="58"/>
      <c r="H118" s="231"/>
      <c r="I118" s="58"/>
      <c r="J118" s="58"/>
      <c r="K118" s="58"/>
      <c r="L118" s="58"/>
      <c r="M118" s="151"/>
      <c r="N118" s="151"/>
      <c r="O118" s="155"/>
      <c r="P118" s="155"/>
      <c r="Q118" s="57"/>
      <c r="R118" s="57"/>
      <c r="S118" s="57"/>
      <c r="T118" s="98"/>
      <c r="U118" s="86"/>
      <c r="V118" s="86"/>
      <c r="W118" s="58"/>
      <c r="X118" s="100"/>
      <c r="Y118" s="193"/>
      <c r="Z118" s="169"/>
      <c r="AA118" s="169"/>
      <c r="AB118" s="226"/>
      <c r="AC118" s="155"/>
      <c r="AD118" s="153"/>
      <c r="AE118" s="153"/>
      <c r="AF118" s="157"/>
      <c r="AG118" s="204"/>
      <c r="AH118" s="58"/>
      <c r="AI118" s="100"/>
      <c r="AJ118" s="100"/>
      <c r="AK118" s="161"/>
      <c r="AL118" s="57" t="s">
        <v>333</v>
      </c>
      <c r="AM118" s="75" t="s">
        <v>197</v>
      </c>
      <c r="AN118" s="50">
        <v>45230</v>
      </c>
      <c r="AO118" s="59">
        <v>13655</v>
      </c>
      <c r="AP118" s="75" t="s">
        <v>361</v>
      </c>
      <c r="AQ118" s="50">
        <v>45231</v>
      </c>
      <c r="AR118" s="50">
        <v>45412</v>
      </c>
      <c r="AS118" s="42"/>
      <c r="AT118" s="43"/>
      <c r="AU118" s="62"/>
      <c r="AV118" s="56"/>
      <c r="AW118" s="63"/>
      <c r="AX118" s="63"/>
      <c r="AY118" s="44"/>
      <c r="AZ118" s="45"/>
      <c r="BA118" s="100"/>
      <c r="BB118" s="100"/>
      <c r="BC118" s="63"/>
      <c r="BD118" s="63"/>
      <c r="BE118" s="63"/>
      <c r="BF118" s="100"/>
      <c r="BG118" s="58"/>
      <c r="BH118" s="100"/>
      <c r="BI118" s="144">
        <f t="shared" si="13"/>
        <v>231000</v>
      </c>
      <c r="BJ118" s="93"/>
      <c r="BK118" s="93"/>
      <c r="BL118" s="93"/>
      <c r="BM118" s="106"/>
      <c r="BN118" s="145">
        <f t="shared" si="10"/>
        <v>0</v>
      </c>
      <c r="BO118" s="57"/>
      <c r="BP118" s="54"/>
      <c r="BQ118" s="50"/>
      <c r="BR118" s="59"/>
      <c r="BS118" s="50"/>
      <c r="BT118" s="58"/>
      <c r="BU118" s="70"/>
      <c r="BV118" s="70"/>
      <c r="BW118" s="68"/>
      <c r="BX118" s="70"/>
      <c r="BY118" s="70"/>
      <c r="BZ118" s="70"/>
      <c r="CA118" s="70"/>
      <c r="CB118" s="174"/>
      <c r="CC118" s="174"/>
      <c r="CD118" s="174"/>
      <c r="CE118" s="174"/>
      <c r="CF118" s="174"/>
      <c r="CG118" s="174"/>
    </row>
    <row r="119" spans="1:85" s="5" customFormat="1" ht="13.5" thickBot="1" x14ac:dyDescent="0.3">
      <c r="A119" s="247" t="s">
        <v>173</v>
      </c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49"/>
      <c r="X119" s="31">
        <f>SUM(X21:X118)</f>
        <v>11263716.9</v>
      </c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31">
        <f>SUM(AI21:AI118)</f>
        <v>0</v>
      </c>
      <c r="AJ119" s="31">
        <f>SUM(AJ21:AJ118)</f>
        <v>0</v>
      </c>
      <c r="AK119" s="31">
        <f>SUM(AK21:AK118)</f>
        <v>35158044.519999996</v>
      </c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31">
        <f>SUM(AW21:AW118)</f>
        <v>3898686</v>
      </c>
      <c r="AX119" s="31">
        <f>SUM(AX21:AX118)</f>
        <v>738663.96</v>
      </c>
      <c r="AY119" s="21"/>
      <c r="AZ119" s="21"/>
      <c r="BA119" s="31">
        <f>SUM(BA21:BA118)</f>
        <v>0</v>
      </c>
      <c r="BB119" s="31">
        <f>SUM(BB21:BB118)</f>
        <v>0</v>
      </c>
      <c r="BC119" s="21"/>
      <c r="BD119" s="21"/>
      <c r="BE119" s="31">
        <f>SUM(BE21:BE118)</f>
        <v>3694440.94</v>
      </c>
      <c r="BF119" s="31">
        <f>SUM(BF21:BF118)</f>
        <v>0</v>
      </c>
      <c r="BG119" s="21"/>
      <c r="BH119" s="31">
        <f>SUM(BH21:BH118)</f>
        <v>0</v>
      </c>
      <c r="BI119" s="35">
        <f>SUM(BI21:BI118)</f>
        <v>126546684.72000001</v>
      </c>
      <c r="BJ119" s="31">
        <f>SUM(BJ21:BJ118)</f>
        <v>125602236.25999998</v>
      </c>
      <c r="BK119" s="31"/>
      <c r="BL119" s="31"/>
      <c r="BM119" s="31">
        <f>SUM(BM21:BM118)</f>
        <v>11845880.170000004</v>
      </c>
      <c r="BN119" s="145">
        <f>SUM(BN22:BN118)</f>
        <v>137448116.43000001</v>
      </c>
      <c r="BO119" s="41"/>
      <c r="BP119" s="19"/>
      <c r="BQ119" s="19"/>
      <c r="BR119" s="19"/>
      <c r="BS119" s="19"/>
      <c r="BT119" s="19"/>
      <c r="BU119" s="19"/>
      <c r="BV119" s="19"/>
      <c r="BW119" s="31">
        <f>SUM(BW21:BW118)</f>
        <v>0</v>
      </c>
      <c r="BX119" s="31">
        <f>SUM(BX21:BX118)</f>
        <v>0</v>
      </c>
      <c r="BY119" s="19"/>
      <c r="BZ119" s="19"/>
      <c r="CA119" s="19"/>
      <c r="CB119" s="149"/>
      <c r="CC119" s="146"/>
      <c r="CD119" s="147"/>
      <c r="CE119" s="147"/>
      <c r="CF119" s="147"/>
      <c r="CG119" s="148"/>
    </row>
    <row r="120" spans="1:85" x14ac:dyDescent="0.25">
      <c r="A120" s="2"/>
      <c r="B120" s="2"/>
      <c r="C120" s="2"/>
      <c r="D120" s="2"/>
      <c r="E120" s="2"/>
      <c r="F120" s="140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5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5"/>
      <c r="AJ120" s="25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5"/>
      <c r="AX120" s="25"/>
      <c r="AY120" s="2"/>
      <c r="AZ120" s="2"/>
      <c r="BA120" s="25"/>
      <c r="BB120" s="25"/>
      <c r="BC120" s="2"/>
      <c r="BD120" s="2"/>
      <c r="BE120" s="25"/>
      <c r="BF120" s="25"/>
      <c r="BG120" s="2"/>
      <c r="BH120" s="25"/>
      <c r="BI120" s="25"/>
      <c r="BJ120" s="36"/>
      <c r="BK120" s="36"/>
      <c r="BL120" s="36"/>
      <c r="BM120" s="36"/>
      <c r="BN120" s="36"/>
      <c r="BO120" s="3"/>
      <c r="BP120" s="4"/>
      <c r="BQ120" s="4"/>
      <c r="BR120" s="4"/>
      <c r="BS120" s="4"/>
      <c r="BT120" s="4"/>
      <c r="BU120" s="4"/>
      <c r="BV120" s="4"/>
      <c r="BW120" s="38"/>
      <c r="BX120" s="38"/>
      <c r="BY120" s="4"/>
      <c r="BZ120" s="4"/>
      <c r="CA120" s="4"/>
    </row>
    <row r="121" spans="1:85" x14ac:dyDescent="0.25">
      <c r="A121" s="2" t="s">
        <v>175</v>
      </c>
      <c r="B121" s="246" t="s">
        <v>176</v>
      </c>
      <c r="C121" s="246"/>
      <c r="D121" s="246"/>
      <c r="E121" s="246"/>
      <c r="F121" s="246"/>
      <c r="G121" s="246"/>
      <c r="H121" s="246"/>
      <c r="I121" s="246"/>
      <c r="J121" s="246"/>
      <c r="K121" s="246"/>
      <c r="L121" s="246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5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5"/>
      <c r="AJ121" s="25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5"/>
      <c r="AX121" s="25"/>
      <c r="AY121" s="2"/>
      <c r="AZ121" s="2"/>
      <c r="BA121" s="25"/>
      <c r="BB121" s="25"/>
      <c r="BC121" s="2"/>
      <c r="BD121" s="2"/>
      <c r="BE121" s="25"/>
      <c r="BF121" s="25"/>
      <c r="BG121" s="2"/>
      <c r="BH121" s="25"/>
      <c r="BI121" s="25"/>
      <c r="BJ121" s="36"/>
      <c r="BK121" s="36"/>
      <c r="BL121" s="36"/>
      <c r="BM121" s="36"/>
      <c r="BN121" s="36"/>
      <c r="BO121" s="3"/>
      <c r="BP121" s="4"/>
      <c r="BQ121" s="4"/>
      <c r="BR121" s="4"/>
      <c r="BS121" s="4"/>
      <c r="BT121" s="4"/>
      <c r="BU121" s="4"/>
      <c r="BV121" s="4"/>
      <c r="BW121" s="38"/>
      <c r="BX121" s="38"/>
      <c r="BY121" s="4"/>
      <c r="BZ121" s="4"/>
      <c r="CA121" s="4"/>
    </row>
    <row r="122" spans="1:85" x14ac:dyDescent="0.25">
      <c r="A122" s="2"/>
      <c r="B122" s="2"/>
      <c r="C122" s="2"/>
      <c r="D122" s="2"/>
      <c r="E122" s="2"/>
      <c r="F122" s="140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5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5"/>
      <c r="AJ122" s="25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5"/>
      <c r="AX122" s="25"/>
      <c r="AY122" s="2"/>
      <c r="AZ122" s="2"/>
      <c r="BA122" s="25"/>
      <c r="BB122" s="25"/>
      <c r="BC122" s="2"/>
      <c r="BD122" s="2"/>
      <c r="BE122" s="25"/>
      <c r="BF122" s="25"/>
      <c r="BG122" s="2"/>
      <c r="BH122" s="25"/>
      <c r="BI122" s="25"/>
      <c r="BJ122" s="36"/>
      <c r="BK122" s="36"/>
      <c r="BL122" s="36"/>
      <c r="BM122" s="36"/>
      <c r="BN122" s="36"/>
      <c r="BO122" s="3"/>
      <c r="BP122" s="4"/>
      <c r="BQ122" s="4"/>
      <c r="BR122" s="4"/>
      <c r="BS122" s="4"/>
      <c r="BT122" s="4"/>
      <c r="BU122" s="4"/>
      <c r="BV122" s="4"/>
      <c r="BW122" s="38"/>
      <c r="BX122" s="38"/>
      <c r="BY122" s="4"/>
      <c r="BZ122" s="4"/>
      <c r="CA122" s="4"/>
    </row>
    <row r="123" spans="1:85" x14ac:dyDescent="0.25">
      <c r="A123" s="5" t="s">
        <v>524</v>
      </c>
      <c r="B123" s="5"/>
      <c r="C123" s="5"/>
      <c r="D123" s="5"/>
      <c r="E123" s="5"/>
      <c r="F123" s="7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26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26"/>
      <c r="AJ123" s="26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26"/>
      <c r="AX123" s="26"/>
      <c r="AY123" s="5"/>
      <c r="AZ123" s="5"/>
      <c r="BA123" s="26"/>
      <c r="BB123" s="26"/>
      <c r="BC123" s="5"/>
      <c r="BD123" s="5"/>
      <c r="BE123" s="26"/>
      <c r="BF123" s="26"/>
      <c r="BG123" s="5"/>
      <c r="BH123" s="26"/>
      <c r="BI123" s="26"/>
      <c r="BJ123" s="26"/>
      <c r="BK123" s="26"/>
      <c r="BL123" s="26"/>
      <c r="BM123" s="26"/>
      <c r="BN123" s="26"/>
      <c r="BO123" s="5"/>
      <c r="BW123" s="39"/>
      <c r="BX123" s="39"/>
    </row>
    <row r="124" spans="1:85" x14ac:dyDescent="0.25">
      <c r="A124" s="7" t="s">
        <v>413</v>
      </c>
      <c r="B124" s="7"/>
      <c r="C124" s="7"/>
      <c r="D124" s="7"/>
      <c r="E124" s="5"/>
      <c r="F124" s="7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27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27"/>
      <c r="AJ124" s="27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27"/>
      <c r="AX124" s="27"/>
      <c r="AY124" s="5"/>
      <c r="AZ124" s="5"/>
      <c r="BA124" s="27"/>
      <c r="BB124" s="27"/>
      <c r="BC124" s="5"/>
      <c r="BD124" s="5"/>
      <c r="BE124" s="27"/>
      <c r="BF124" s="27"/>
      <c r="BG124" s="5"/>
      <c r="BH124" s="27"/>
      <c r="BI124" s="27"/>
      <c r="BJ124" s="27"/>
      <c r="BK124" s="27"/>
      <c r="BL124" s="27"/>
      <c r="BM124" s="27"/>
      <c r="BN124" s="27"/>
      <c r="BO124" s="5"/>
    </row>
    <row r="125" spans="1:85" x14ac:dyDescent="0.25">
      <c r="A125" s="5" t="s">
        <v>425</v>
      </c>
      <c r="B125" s="5"/>
      <c r="C125" s="5"/>
      <c r="D125" s="5"/>
      <c r="E125" s="5"/>
      <c r="F125" s="7"/>
      <c r="G125" s="5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28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28"/>
      <c r="AJ125" s="28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28"/>
      <c r="AX125" s="28"/>
      <c r="AY125" s="7"/>
      <c r="AZ125" s="7"/>
      <c r="BA125" s="28"/>
      <c r="BB125" s="28"/>
      <c r="BC125" s="7"/>
      <c r="BD125" s="7"/>
      <c r="BE125" s="28"/>
      <c r="BF125" s="28"/>
      <c r="BG125" s="7"/>
      <c r="BH125" s="28"/>
      <c r="BI125" s="28"/>
      <c r="BJ125" s="27"/>
      <c r="BK125" s="27"/>
      <c r="BL125" s="27"/>
      <c r="BM125" s="27"/>
      <c r="BN125" s="27"/>
      <c r="BO125" s="5"/>
    </row>
    <row r="126" spans="1:85" x14ac:dyDescent="0.25">
      <c r="A126" s="6"/>
      <c r="B126" s="6"/>
      <c r="C126" s="6"/>
      <c r="D126" s="6"/>
      <c r="E126" s="6"/>
      <c r="G126" s="6"/>
      <c r="H126" s="6"/>
      <c r="I126" s="6"/>
      <c r="J126" s="6"/>
      <c r="K126" s="6"/>
      <c r="L126" s="6"/>
      <c r="M126" s="6"/>
      <c r="N126" s="6"/>
      <c r="Q126" s="6"/>
      <c r="R126" s="6"/>
      <c r="S126" s="6"/>
      <c r="T126" s="6"/>
      <c r="U126" s="6"/>
      <c r="V126" s="6"/>
      <c r="W126" s="6"/>
      <c r="X126" s="29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29"/>
      <c r="AJ126" s="29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29"/>
      <c r="AX126" s="29"/>
      <c r="AY126" s="6"/>
      <c r="AZ126" s="6"/>
      <c r="BA126" s="29"/>
      <c r="BB126" s="29"/>
      <c r="BC126" s="6"/>
      <c r="BD126" s="6"/>
      <c r="BE126" s="29"/>
      <c r="BF126" s="29"/>
      <c r="BG126" s="6"/>
      <c r="BH126" s="29"/>
      <c r="BI126" s="29"/>
    </row>
  </sheetData>
  <mergeCells count="703">
    <mergeCell ref="AB39:AB40"/>
    <mergeCell ref="AC39:AC40"/>
    <mergeCell ref="AD39:AD40"/>
    <mergeCell ref="AE39:AE40"/>
    <mergeCell ref="AG39:AG40"/>
    <mergeCell ref="AH39:AH40"/>
    <mergeCell ref="AI39:AI40"/>
    <mergeCell ref="A31:A32"/>
    <mergeCell ref="A109:A110"/>
    <mergeCell ref="B39:B40"/>
    <mergeCell ref="C39:C40"/>
    <mergeCell ref="D39:D40"/>
    <mergeCell ref="E39:E40"/>
    <mergeCell ref="F39:F40"/>
    <mergeCell ref="H39:H40"/>
    <mergeCell ref="X39:X40"/>
    <mergeCell ref="B35:B36"/>
    <mergeCell ref="C35:C36"/>
    <mergeCell ref="D35:D36"/>
    <mergeCell ref="E35:E36"/>
    <mergeCell ref="F35:F36"/>
    <mergeCell ref="H35:H36"/>
    <mergeCell ref="A35:A36"/>
    <mergeCell ref="A33:A34"/>
    <mergeCell ref="A53:A59"/>
    <mergeCell ref="B53:B58"/>
    <mergeCell ref="C53:C58"/>
    <mergeCell ref="D53:D58"/>
    <mergeCell ref="E53:E58"/>
    <mergeCell ref="F53:F59"/>
    <mergeCell ref="H53:H58"/>
    <mergeCell ref="A60:A66"/>
    <mergeCell ref="B60:B65"/>
    <mergeCell ref="C60:C65"/>
    <mergeCell ref="D60:D65"/>
    <mergeCell ref="E60:E65"/>
    <mergeCell ref="F60:F66"/>
    <mergeCell ref="H60:H65"/>
    <mergeCell ref="AB43:AB46"/>
    <mergeCell ref="BM43:BM44"/>
    <mergeCell ref="BM45:BM46"/>
    <mergeCell ref="A43:A46"/>
    <mergeCell ref="A41:A42"/>
    <mergeCell ref="B37:B38"/>
    <mergeCell ref="C37:C38"/>
    <mergeCell ref="D37:D38"/>
    <mergeCell ref="E37:E38"/>
    <mergeCell ref="F37:F38"/>
    <mergeCell ref="A39:A40"/>
    <mergeCell ref="A37:A38"/>
    <mergeCell ref="AJ39:AJ40"/>
    <mergeCell ref="H37:H38"/>
    <mergeCell ref="Y37:Y38"/>
    <mergeCell ref="Z37:Z38"/>
    <mergeCell ref="AA37:AA38"/>
    <mergeCell ref="AB37:AB38"/>
    <mergeCell ref="AC37:AC38"/>
    <mergeCell ref="AD37:AD38"/>
    <mergeCell ref="AE37:AE38"/>
    <mergeCell ref="AG37:AG38"/>
    <mergeCell ref="AH37:AH38"/>
    <mergeCell ref="AI37:AI38"/>
    <mergeCell ref="A22:A28"/>
    <mergeCell ref="D22:D28"/>
    <mergeCell ref="C22:C28"/>
    <mergeCell ref="B22:B28"/>
    <mergeCell ref="AK22:AK28"/>
    <mergeCell ref="AE22:AE28"/>
    <mergeCell ref="Y22:Y28"/>
    <mergeCell ref="H22:H28"/>
    <mergeCell ref="G22:G28"/>
    <mergeCell ref="F22:F28"/>
    <mergeCell ref="E22:E28"/>
    <mergeCell ref="AD22:AD28"/>
    <mergeCell ref="AC22:AC28"/>
    <mergeCell ref="AB22:AB28"/>
    <mergeCell ref="AA22:AA28"/>
    <mergeCell ref="Z22:Z28"/>
    <mergeCell ref="AF25:AF28"/>
    <mergeCell ref="AF22:AF24"/>
    <mergeCell ref="AH22:AH28"/>
    <mergeCell ref="AI22:AI28"/>
    <mergeCell ref="AJ22:AJ28"/>
    <mergeCell ref="A29:A30"/>
    <mergeCell ref="CB15:CG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O19:AO20"/>
    <mergeCell ref="J19:K19"/>
    <mergeCell ref="AL19:AL20"/>
    <mergeCell ref="B15:X15"/>
    <mergeCell ref="AD19:AD20"/>
    <mergeCell ref="I19:I20"/>
    <mergeCell ref="BY18:CA19"/>
    <mergeCell ref="BT18:BU19"/>
    <mergeCell ref="BQ18:BS19"/>
    <mergeCell ref="BV18:BV20"/>
    <mergeCell ref="L19:L20"/>
    <mergeCell ref="BW18:BW20"/>
    <mergeCell ref="BX18:BX20"/>
    <mergeCell ref="BO18:BO20"/>
    <mergeCell ref="BP18:BP20"/>
    <mergeCell ref="BJ18:BN18"/>
    <mergeCell ref="BJ19:BN19"/>
    <mergeCell ref="R19:S19"/>
    <mergeCell ref="T19:T20"/>
    <mergeCell ref="Y15:BN17"/>
    <mergeCell ref="AE19:AE20"/>
    <mergeCell ref="AF19:AF20"/>
    <mergeCell ref="AK19:AK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U19:U20"/>
    <mergeCell ref="AC19:AC20"/>
    <mergeCell ref="AB19:AB20"/>
    <mergeCell ref="E11:F11"/>
    <mergeCell ref="B121:L121"/>
    <mergeCell ref="A119:W119"/>
    <mergeCell ref="BO15:CA17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A47:A48"/>
    <mergeCell ref="B47:B48"/>
    <mergeCell ref="C47:C48"/>
    <mergeCell ref="D47:D48"/>
    <mergeCell ref="E47:E48"/>
    <mergeCell ref="F47:F48"/>
    <mergeCell ref="H47:H48"/>
    <mergeCell ref="A15:A20"/>
    <mergeCell ref="A51:A52"/>
    <mergeCell ref="B51:B52"/>
    <mergeCell ref="C51:C52"/>
    <mergeCell ref="D51:D52"/>
    <mergeCell ref="E51:E52"/>
    <mergeCell ref="F51:F52"/>
    <mergeCell ref="H51:H52"/>
    <mergeCell ref="A49:A50"/>
    <mergeCell ref="B49:B50"/>
    <mergeCell ref="C49:C50"/>
    <mergeCell ref="D49:D50"/>
    <mergeCell ref="E49:E50"/>
    <mergeCell ref="F49:F50"/>
    <mergeCell ref="H49:H50"/>
    <mergeCell ref="F43:F46"/>
    <mergeCell ref="H43:H46"/>
    <mergeCell ref="B43:B46"/>
    <mergeCell ref="C43:C46"/>
    <mergeCell ref="D43:D46"/>
    <mergeCell ref="E43:E46"/>
    <mergeCell ref="B31:B32"/>
    <mergeCell ref="C31:C32"/>
    <mergeCell ref="D31:D32"/>
    <mergeCell ref="F69:F70"/>
    <mergeCell ref="H69:H70"/>
    <mergeCell ref="A71:A74"/>
    <mergeCell ref="B71:B74"/>
    <mergeCell ref="C71:C74"/>
    <mergeCell ref="D71:D74"/>
    <mergeCell ref="E71:E74"/>
    <mergeCell ref="F71:F74"/>
    <mergeCell ref="H71:H74"/>
    <mergeCell ref="A69:A70"/>
    <mergeCell ref="B69:B70"/>
    <mergeCell ref="A84:A91"/>
    <mergeCell ref="B84:B91"/>
    <mergeCell ref="C84:C91"/>
    <mergeCell ref="D84:D91"/>
    <mergeCell ref="E84:E91"/>
    <mergeCell ref="F84:F91"/>
    <mergeCell ref="H84:H91"/>
    <mergeCell ref="A67:A68"/>
    <mergeCell ref="B67:B68"/>
    <mergeCell ref="C67:C68"/>
    <mergeCell ref="D67:D68"/>
    <mergeCell ref="E67:E68"/>
    <mergeCell ref="F67:F68"/>
    <mergeCell ref="H67:H68"/>
    <mergeCell ref="A75:A77"/>
    <mergeCell ref="B75:B77"/>
    <mergeCell ref="C75:C77"/>
    <mergeCell ref="D75:D77"/>
    <mergeCell ref="E75:E77"/>
    <mergeCell ref="F75:F77"/>
    <mergeCell ref="H75:H77"/>
    <mergeCell ref="C69:C70"/>
    <mergeCell ref="D69:D70"/>
    <mergeCell ref="E69:E70"/>
    <mergeCell ref="T75:T77"/>
    <mergeCell ref="A97:A108"/>
    <mergeCell ref="B97:B108"/>
    <mergeCell ref="C97:C108"/>
    <mergeCell ref="D97:D108"/>
    <mergeCell ref="E97:E108"/>
    <mergeCell ref="F97:F108"/>
    <mergeCell ref="H97:H108"/>
    <mergeCell ref="B111:B112"/>
    <mergeCell ref="C111:C112"/>
    <mergeCell ref="D111:D112"/>
    <mergeCell ref="B109:B110"/>
    <mergeCell ref="C109:C110"/>
    <mergeCell ref="D109:D110"/>
    <mergeCell ref="E109:E110"/>
    <mergeCell ref="F109:F110"/>
    <mergeCell ref="H109:H110"/>
    <mergeCell ref="A78:A81"/>
    <mergeCell ref="B78:B81"/>
    <mergeCell ref="C78:C81"/>
    <mergeCell ref="D78:D81"/>
    <mergeCell ref="E78:E81"/>
    <mergeCell ref="F78:F81"/>
    <mergeCell ref="H78:H81"/>
    <mergeCell ref="AB49:AB50"/>
    <mergeCell ref="A113:A118"/>
    <mergeCell ref="B113:B118"/>
    <mergeCell ref="C113:C118"/>
    <mergeCell ref="D113:D118"/>
    <mergeCell ref="E113:E118"/>
    <mergeCell ref="F113:F118"/>
    <mergeCell ref="H113:H118"/>
    <mergeCell ref="A111:A112"/>
    <mergeCell ref="Y51:Y52"/>
    <mergeCell ref="Y67:Y68"/>
    <mergeCell ref="Y75:Y77"/>
    <mergeCell ref="Y84:Y91"/>
    <mergeCell ref="V69:V70"/>
    <mergeCell ref="Q67:Q68"/>
    <mergeCell ref="R67:R68"/>
    <mergeCell ref="Q78:Q81"/>
    <mergeCell ref="R78:R81"/>
    <mergeCell ref="S78:S81"/>
    <mergeCell ref="T78:T81"/>
    <mergeCell ref="U78:U81"/>
    <mergeCell ref="Q75:Q77"/>
    <mergeCell ref="R75:R77"/>
    <mergeCell ref="S75:S77"/>
    <mergeCell ref="AB67:AB68"/>
    <mergeCell ref="Y69:Y70"/>
    <mergeCell ref="Z69:Z70"/>
    <mergeCell ref="AA69:AA70"/>
    <mergeCell ref="AB69:AB70"/>
    <mergeCell ref="AA60:AA65"/>
    <mergeCell ref="AB60:AB65"/>
    <mergeCell ref="Z51:Z52"/>
    <mergeCell ref="AA51:AA52"/>
    <mergeCell ref="AB51:AB52"/>
    <mergeCell ref="Z53:Z59"/>
    <mergeCell ref="AA53:AA58"/>
    <mergeCell ref="AB53:AB58"/>
    <mergeCell ref="Y53:Y59"/>
    <mergeCell ref="Y60:Y66"/>
    <mergeCell ref="Z60:Z66"/>
    <mergeCell ref="AB75:AB77"/>
    <mergeCell ref="Y78:Y81"/>
    <mergeCell ref="Z78:Z81"/>
    <mergeCell ref="AA78:AA81"/>
    <mergeCell ref="AB78:AB81"/>
    <mergeCell ref="Y71:Y74"/>
    <mergeCell ref="Z71:Z74"/>
    <mergeCell ref="AA71:AA74"/>
    <mergeCell ref="AB71:AB74"/>
    <mergeCell ref="Y111:Y112"/>
    <mergeCell ref="Z111:Z112"/>
    <mergeCell ref="AA111:AA112"/>
    <mergeCell ref="AB111:AB112"/>
    <mergeCell ref="Y113:Y118"/>
    <mergeCell ref="Z113:Z118"/>
    <mergeCell ref="AA113:AA118"/>
    <mergeCell ref="AB113:AB118"/>
    <mergeCell ref="Y97:Y108"/>
    <mergeCell ref="Z97:Z108"/>
    <mergeCell ref="AA97:AA108"/>
    <mergeCell ref="AB97:AB108"/>
    <mergeCell ref="AK113:AK118"/>
    <mergeCell ref="AK78:AK81"/>
    <mergeCell ref="AK84:AK91"/>
    <mergeCell ref="AK67:AK68"/>
    <mergeCell ref="AK97:AK108"/>
    <mergeCell ref="AK111:AK112"/>
    <mergeCell ref="AK69:AK70"/>
    <mergeCell ref="AK71:AK74"/>
    <mergeCell ref="AK75:AK77"/>
    <mergeCell ref="AC43:AC46"/>
    <mergeCell ref="AD43:AD46"/>
    <mergeCell ref="AE43:AE46"/>
    <mergeCell ref="AF45:AF46"/>
    <mergeCell ref="AF43:AF44"/>
    <mergeCell ref="AC67:AC68"/>
    <mergeCell ref="AD67:AD68"/>
    <mergeCell ref="AE67:AE68"/>
    <mergeCell ref="AC53:AC58"/>
    <mergeCell ref="AD53:AD58"/>
    <mergeCell ref="AE53:AE58"/>
    <mergeCell ref="AF53:AF59"/>
    <mergeCell ref="AC60:AC65"/>
    <mergeCell ref="AD60:AD65"/>
    <mergeCell ref="AE60:AE65"/>
    <mergeCell ref="AF60:AF65"/>
    <mergeCell ref="AC113:AC118"/>
    <mergeCell ref="AD113:AD118"/>
    <mergeCell ref="AE113:AE118"/>
    <mergeCell ref="AF113:AF118"/>
    <mergeCell ref="AC75:AC77"/>
    <mergeCell ref="AD75:AD77"/>
    <mergeCell ref="AE75:AE77"/>
    <mergeCell ref="AF75:AF77"/>
    <mergeCell ref="AC69:AC70"/>
    <mergeCell ref="AD69:AD70"/>
    <mergeCell ref="AE69:AE70"/>
    <mergeCell ref="AF69:AF70"/>
    <mergeCell ref="AC71:AC74"/>
    <mergeCell ref="AD71:AD74"/>
    <mergeCell ref="AE71:AE74"/>
    <mergeCell ref="AF71:AF72"/>
    <mergeCell ref="AF73:AF74"/>
    <mergeCell ref="AE78:AE81"/>
    <mergeCell ref="AF78:AF81"/>
    <mergeCell ref="AG49:AG50"/>
    <mergeCell ref="BJ111:BJ112"/>
    <mergeCell ref="Q47:Q48"/>
    <mergeCell ref="R47:R48"/>
    <mergeCell ref="S47:S48"/>
    <mergeCell ref="T47:T48"/>
    <mergeCell ref="U47:U48"/>
    <mergeCell ref="V47:V48"/>
    <mergeCell ref="Q49:Q50"/>
    <mergeCell ref="R49:R50"/>
    <mergeCell ref="S49:S50"/>
    <mergeCell ref="T49:T50"/>
    <mergeCell ref="U49:U50"/>
    <mergeCell ref="V49:V50"/>
    <mergeCell ref="Q51:Q52"/>
    <mergeCell ref="AG84:AG91"/>
    <mergeCell ref="AG75:AG77"/>
    <mergeCell ref="AG78:AG81"/>
    <mergeCell ref="AC97:AC108"/>
    <mergeCell ref="AD97:AD108"/>
    <mergeCell ref="AE97:AE108"/>
    <mergeCell ref="AF97:AF108"/>
    <mergeCell ref="M92:M93"/>
    <mergeCell ref="N92:N93"/>
    <mergeCell ref="O92:O93"/>
    <mergeCell ref="P92:P93"/>
    <mergeCell ref="AG113:AG118"/>
    <mergeCell ref="M113:M118"/>
    <mergeCell ref="N113:N118"/>
    <mergeCell ref="O113:O118"/>
    <mergeCell ref="P84:P91"/>
    <mergeCell ref="P97:P108"/>
    <mergeCell ref="P111:P112"/>
    <mergeCell ref="P113:P118"/>
    <mergeCell ref="M97:M108"/>
    <mergeCell ref="N97:N108"/>
    <mergeCell ref="O97:O108"/>
    <mergeCell ref="M111:M112"/>
    <mergeCell ref="N111:N112"/>
    <mergeCell ref="O111:O112"/>
    <mergeCell ref="M84:M91"/>
    <mergeCell ref="N84:N91"/>
    <mergeCell ref="O84:O91"/>
    <mergeCell ref="AE84:AE91"/>
    <mergeCell ref="AF84:AF91"/>
    <mergeCell ref="AF111:AF112"/>
    <mergeCell ref="U75:U77"/>
    <mergeCell ref="V75:V77"/>
    <mergeCell ref="AC84:AC91"/>
    <mergeCell ref="AD84:AD91"/>
    <mergeCell ref="S67:S68"/>
    <mergeCell ref="T67:T68"/>
    <mergeCell ref="U67:U68"/>
    <mergeCell ref="V67:V68"/>
    <mergeCell ref="W67:W68"/>
    <mergeCell ref="X67:X68"/>
    <mergeCell ref="W69:W70"/>
    <mergeCell ref="X69:X70"/>
    <mergeCell ref="W75:W77"/>
    <mergeCell ref="X75:X77"/>
    <mergeCell ref="V78:V81"/>
    <mergeCell ref="W78:W81"/>
    <mergeCell ref="X78:X81"/>
    <mergeCell ref="AC78:AC81"/>
    <mergeCell ref="AD78:AD81"/>
    <mergeCell ref="Z84:Z91"/>
    <mergeCell ref="AA84:AA91"/>
    <mergeCell ref="AB84:AB91"/>
    <mergeCell ref="Z75:Z77"/>
    <mergeCell ref="AA75:AA77"/>
    <mergeCell ref="AG22:AG28"/>
    <mergeCell ref="AP111:AP112"/>
    <mergeCell ref="AQ111:AQ112"/>
    <mergeCell ref="AR111:AR112"/>
    <mergeCell ref="AG51:AG52"/>
    <mergeCell ref="AG53:AG59"/>
    <mergeCell ref="AG60:AG66"/>
    <mergeCell ref="AG69:AG70"/>
    <mergeCell ref="AG43:AG46"/>
    <mergeCell ref="AG71:AG74"/>
    <mergeCell ref="AG67:AG68"/>
    <mergeCell ref="AG47:AG48"/>
    <mergeCell ref="AK43:AK46"/>
    <mergeCell ref="AK47:AK48"/>
    <mergeCell ref="AK49:AK50"/>
    <mergeCell ref="AK51:AK52"/>
    <mergeCell ref="AK53:AK58"/>
    <mergeCell ref="AK60:AK65"/>
    <mergeCell ref="AG35:AG36"/>
    <mergeCell ref="AJ37:AJ38"/>
    <mergeCell ref="Y43:Y46"/>
    <mergeCell ref="Z43:Z46"/>
    <mergeCell ref="AA43:AA46"/>
    <mergeCell ref="Y47:Y48"/>
    <mergeCell ref="Z47:Z48"/>
    <mergeCell ref="AA47:AA48"/>
    <mergeCell ref="Q69:Q70"/>
    <mergeCell ref="R69:R70"/>
    <mergeCell ref="S69:S70"/>
    <mergeCell ref="T69:T70"/>
    <mergeCell ref="U69:U70"/>
    <mergeCell ref="R51:R52"/>
    <mergeCell ref="S51:S52"/>
    <mergeCell ref="T51:T52"/>
    <mergeCell ref="U51:U52"/>
    <mergeCell ref="V51:V52"/>
    <mergeCell ref="W51:W52"/>
    <mergeCell ref="Z67:Z68"/>
    <mergeCell ref="AA67:AA68"/>
    <mergeCell ref="Y49:Y50"/>
    <mergeCell ref="Z49:Z50"/>
    <mergeCell ref="AA49:AA50"/>
    <mergeCell ref="AN111:AN112"/>
    <mergeCell ref="AO111:AO112"/>
    <mergeCell ref="C92:C93"/>
    <mergeCell ref="B92:B93"/>
    <mergeCell ref="Y92:Y93"/>
    <mergeCell ref="Z92:Z93"/>
    <mergeCell ref="AA92:AA93"/>
    <mergeCell ref="AB92:AB93"/>
    <mergeCell ref="AC92:AC93"/>
    <mergeCell ref="AD92:AD93"/>
    <mergeCell ref="AE92:AE93"/>
    <mergeCell ref="AF92:AF93"/>
    <mergeCell ref="AG92:AG93"/>
    <mergeCell ref="AG97:AG108"/>
    <mergeCell ref="E111:E112"/>
    <mergeCell ref="F111:F112"/>
    <mergeCell ref="H111:H112"/>
    <mergeCell ref="AG111:AG112"/>
    <mergeCell ref="AK92:AK93"/>
    <mergeCell ref="AJ92:AJ93"/>
    <mergeCell ref="AI92:AI93"/>
    <mergeCell ref="H92:H93"/>
    <mergeCell ref="G92:G93"/>
    <mergeCell ref="F92:F93"/>
    <mergeCell ref="E92:E93"/>
    <mergeCell ref="D92:D93"/>
    <mergeCell ref="AC111:AC112"/>
    <mergeCell ref="AD111:AD112"/>
    <mergeCell ref="AE111:AE112"/>
    <mergeCell ref="A92:A93"/>
    <mergeCell ref="AE51:AE52"/>
    <mergeCell ref="AF51:AF52"/>
    <mergeCell ref="W47:W48"/>
    <mergeCell ref="X47:X48"/>
    <mergeCell ref="AC49:AC50"/>
    <mergeCell ref="AD49:AD50"/>
    <mergeCell ref="AE49:AE50"/>
    <mergeCell ref="AF49:AF50"/>
    <mergeCell ref="AC51:AC52"/>
    <mergeCell ref="AD51:AD52"/>
    <mergeCell ref="X51:X52"/>
    <mergeCell ref="W49:W50"/>
    <mergeCell ref="X49:X50"/>
    <mergeCell ref="AB47:AB48"/>
    <mergeCell ref="AF47:AF48"/>
    <mergeCell ref="AC47:AC48"/>
    <mergeCell ref="AD47:AD48"/>
    <mergeCell ref="AE47:AE48"/>
    <mergeCell ref="CB22:CB28"/>
    <mergeCell ref="CC22:CC28"/>
    <mergeCell ref="CD22:CD28"/>
    <mergeCell ref="CE22:CE28"/>
    <mergeCell ref="CF22:CF28"/>
    <mergeCell ref="CG22:CG28"/>
    <mergeCell ref="CB43:CB46"/>
    <mergeCell ref="CC43:CC46"/>
    <mergeCell ref="CD43:CD46"/>
    <mergeCell ref="CE43:CE46"/>
    <mergeCell ref="CF43:CF46"/>
    <mergeCell ref="CG43:CG46"/>
    <mergeCell ref="CB47:CB48"/>
    <mergeCell ref="CC47:CC48"/>
    <mergeCell ref="CD47:CD48"/>
    <mergeCell ref="CE47:CE48"/>
    <mergeCell ref="CF47:CF48"/>
    <mergeCell ref="CG47:CG48"/>
    <mergeCell ref="CB49:CB50"/>
    <mergeCell ref="CC49:CC50"/>
    <mergeCell ref="CD49:CD50"/>
    <mergeCell ref="CE49:CE50"/>
    <mergeCell ref="CF49:CF50"/>
    <mergeCell ref="CG49:CG50"/>
    <mergeCell ref="CB51:CB52"/>
    <mergeCell ref="CC51:CC52"/>
    <mergeCell ref="CD51:CD52"/>
    <mergeCell ref="CE51:CE52"/>
    <mergeCell ref="CF51:CF52"/>
    <mergeCell ref="CG51:CG52"/>
    <mergeCell ref="CB53:CB59"/>
    <mergeCell ref="CC53:CC59"/>
    <mergeCell ref="CD53:CD59"/>
    <mergeCell ref="CE53:CE59"/>
    <mergeCell ref="CF53:CF59"/>
    <mergeCell ref="CG53:CG59"/>
    <mergeCell ref="CB60:CB66"/>
    <mergeCell ref="CC60:CC66"/>
    <mergeCell ref="CD60:CD66"/>
    <mergeCell ref="CE60:CE66"/>
    <mergeCell ref="CF60:CF66"/>
    <mergeCell ref="CG60:CG66"/>
    <mergeCell ref="CB67:CB68"/>
    <mergeCell ref="CC67:CC68"/>
    <mergeCell ref="CD67:CD68"/>
    <mergeCell ref="CE67:CE68"/>
    <mergeCell ref="CF67:CF68"/>
    <mergeCell ref="CG67:CG68"/>
    <mergeCell ref="CB69:CB70"/>
    <mergeCell ref="CC69:CC70"/>
    <mergeCell ref="CD69:CD70"/>
    <mergeCell ref="CE69:CE70"/>
    <mergeCell ref="CF69:CF70"/>
    <mergeCell ref="CG69:CG70"/>
    <mergeCell ref="CB71:CB74"/>
    <mergeCell ref="CC71:CC74"/>
    <mergeCell ref="CD71:CD74"/>
    <mergeCell ref="CE71:CE74"/>
    <mergeCell ref="CF71:CF74"/>
    <mergeCell ref="CG71:CG74"/>
    <mergeCell ref="CB75:CB77"/>
    <mergeCell ref="CC75:CC77"/>
    <mergeCell ref="CD75:CD77"/>
    <mergeCell ref="CE75:CE77"/>
    <mergeCell ref="CF75:CF77"/>
    <mergeCell ref="CG75:CG77"/>
    <mergeCell ref="CB78:CB81"/>
    <mergeCell ref="CC78:CC81"/>
    <mergeCell ref="CD78:CD81"/>
    <mergeCell ref="CE78:CE81"/>
    <mergeCell ref="CF78:CF81"/>
    <mergeCell ref="CG78:CG81"/>
    <mergeCell ref="CB84:CB91"/>
    <mergeCell ref="CC84:CC91"/>
    <mergeCell ref="CD84:CD91"/>
    <mergeCell ref="CE84:CE91"/>
    <mergeCell ref="CF84:CF91"/>
    <mergeCell ref="CG84:CG91"/>
    <mergeCell ref="CB92:CB93"/>
    <mergeCell ref="CC92:CC93"/>
    <mergeCell ref="CD92:CD93"/>
    <mergeCell ref="CE92:CE93"/>
    <mergeCell ref="CF92:CF93"/>
    <mergeCell ref="CG92:CG93"/>
    <mergeCell ref="CB111:CB112"/>
    <mergeCell ref="CC111:CC112"/>
    <mergeCell ref="CD111:CD112"/>
    <mergeCell ref="CE111:CE112"/>
    <mergeCell ref="CF111:CF112"/>
    <mergeCell ref="CG111:CG112"/>
    <mergeCell ref="CB113:CB118"/>
    <mergeCell ref="CC113:CC118"/>
    <mergeCell ref="CD113:CD118"/>
    <mergeCell ref="CE113:CE118"/>
    <mergeCell ref="CF113:CF118"/>
    <mergeCell ref="CG113:CG118"/>
    <mergeCell ref="CB97:CB108"/>
    <mergeCell ref="CC97:CC108"/>
    <mergeCell ref="CD97:CD108"/>
    <mergeCell ref="CE97:CE108"/>
    <mergeCell ref="CF97:CF108"/>
    <mergeCell ref="CG97:CG108"/>
    <mergeCell ref="M109:M110"/>
    <mergeCell ref="N109:N110"/>
    <mergeCell ref="O109:O110"/>
    <mergeCell ref="P109:P110"/>
    <mergeCell ref="Y109:Y110"/>
    <mergeCell ref="Z109:Z110"/>
    <mergeCell ref="AA109:AA110"/>
    <mergeCell ref="AB109:AB110"/>
    <mergeCell ref="AC109:AC110"/>
    <mergeCell ref="AD109:AD110"/>
    <mergeCell ref="AE109:AE110"/>
    <mergeCell ref="AF109:AF110"/>
    <mergeCell ref="AG109:AG110"/>
    <mergeCell ref="AK109:AK110"/>
    <mergeCell ref="AJ41:AJ42"/>
    <mergeCell ref="AK41:AK42"/>
    <mergeCell ref="E31:E32"/>
    <mergeCell ref="F31:F32"/>
    <mergeCell ref="H31:H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F41:AF42"/>
    <mergeCell ref="Y35:Y36"/>
    <mergeCell ref="Z35:Z36"/>
    <mergeCell ref="AA35:AA36"/>
    <mergeCell ref="AB35:AB36"/>
    <mergeCell ref="AC35:AC36"/>
    <mergeCell ref="AD35:AD36"/>
    <mergeCell ref="AE35:AE36"/>
    <mergeCell ref="G35:G36"/>
    <mergeCell ref="Z39:Z40"/>
    <mergeCell ref="AA39:AA40"/>
    <mergeCell ref="Z33:Z34"/>
    <mergeCell ref="AA33:AA34"/>
    <mergeCell ref="AG31:AG32"/>
    <mergeCell ref="AH31:AH32"/>
    <mergeCell ref="AI31:AI32"/>
    <mergeCell ref="AJ31:AJ32"/>
    <mergeCell ref="AI29:AI30"/>
    <mergeCell ref="AK31:AK32"/>
    <mergeCell ref="B41:B42"/>
    <mergeCell ref="C41:C42"/>
    <mergeCell ref="D41:D42"/>
    <mergeCell ref="E41:E42"/>
    <mergeCell ref="F41:F42"/>
    <mergeCell ref="H41:H42"/>
    <mergeCell ref="Y41:Y42"/>
    <mergeCell ref="Z41:Z42"/>
    <mergeCell ref="AA41:AA42"/>
    <mergeCell ref="AB41:AB42"/>
    <mergeCell ref="AC41:AC42"/>
    <mergeCell ref="AD41:AD42"/>
    <mergeCell ref="AE41:AE42"/>
    <mergeCell ref="AG41:AG42"/>
    <mergeCell ref="AH41:AH42"/>
    <mergeCell ref="AI41:AI42"/>
    <mergeCell ref="AI33:AI34"/>
    <mergeCell ref="AJ33:AJ34"/>
    <mergeCell ref="AJ29:AJ30"/>
    <mergeCell ref="AK29:AK30"/>
    <mergeCell ref="B33:B34"/>
    <mergeCell ref="AK33:AK34"/>
    <mergeCell ref="B29:B30"/>
    <mergeCell ref="C29:C30"/>
    <mergeCell ref="D29:D30"/>
    <mergeCell ref="E29:E30"/>
    <mergeCell ref="F29:F30"/>
    <mergeCell ref="H29:H30"/>
    <mergeCell ref="Y29:Y30"/>
    <mergeCell ref="Z29:Z30"/>
    <mergeCell ref="AA29:AA30"/>
    <mergeCell ref="AB29:AB30"/>
    <mergeCell ref="AC29:AC30"/>
    <mergeCell ref="G29:G30"/>
    <mergeCell ref="C33:C34"/>
    <mergeCell ref="D33:D34"/>
    <mergeCell ref="E33:E34"/>
    <mergeCell ref="F33:F34"/>
    <mergeCell ref="H33:H34"/>
    <mergeCell ref="Y33:Y34"/>
    <mergeCell ref="AG29:AG30"/>
    <mergeCell ref="AH29:AH30"/>
    <mergeCell ref="AB33:AB34"/>
    <mergeCell ref="AC33:AC34"/>
    <mergeCell ref="AD33:AD34"/>
    <mergeCell ref="AE33:AE34"/>
    <mergeCell ref="AF33:AF34"/>
    <mergeCell ref="AG33:AG34"/>
    <mergeCell ref="AH33:AH34"/>
    <mergeCell ref="AD29:AD30"/>
    <mergeCell ref="AE29:AE30"/>
    <mergeCell ref="AF29:AF30"/>
  </mergeCells>
  <pageMargins left="0.51181102362204722" right="0.51181102362204722" top="0.78740157480314965" bottom="0.78740157480314965" header="0.31496062992125984" footer="0.31496062992125984"/>
  <pageSetup scale="57" orientation="landscape" r:id="rId1"/>
  <rowBreaks count="3" manualBreakCount="3">
    <brk id="68" max="83" man="1"/>
    <brk id="89" max="89" man="1"/>
    <brk id="93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 CONTRATAÇÕES MAR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2025-05-22T16:37:53Z</dcterms:modified>
</cp:coreProperties>
</file>