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819"/>
  </bookViews>
  <sheets>
    <sheet name="SASDH LICITAÇÕES OUT 2022" sheetId="1" r:id="rId1"/>
  </sheets>
  <definedNames>
    <definedName name="OLE_LINK1" localSheetId="0">'SASDH LICITAÇÕES OUT 2022'!#REF!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53" i="1" l="1"/>
  <c r="AD67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8" i="1"/>
  <c r="AB118" i="1"/>
  <c r="AC118" i="1"/>
  <c r="AE118" i="1"/>
  <c r="AF118" i="1"/>
  <c r="AG1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8" i="1"/>
  <c r="AD118" i="1" l="1"/>
  <c r="AF111" i="1"/>
  <c r="AF36" i="1"/>
  <c r="AF117" i="1"/>
  <c r="AF115" i="1"/>
  <c r="AF114" i="1"/>
  <c r="AF94" i="1"/>
  <c r="AF74" i="1"/>
  <c r="AF92" i="1"/>
  <c r="AF20" i="1"/>
  <c r="AF61" i="1"/>
  <c r="AF40" i="1"/>
  <c r="AF44" i="1"/>
  <c r="AF41" i="1"/>
  <c r="AF58" i="1"/>
  <c r="AF64" i="1"/>
  <c r="AF19" i="1"/>
  <c r="AF34" i="1"/>
  <c r="AF43" i="1"/>
  <c r="AF106" i="1"/>
  <c r="AF113" i="1"/>
  <c r="AF60" i="1"/>
  <c r="AF55" i="1"/>
  <c r="AF30" i="1"/>
  <c r="AF101" i="1"/>
  <c r="AF72" i="1"/>
  <c r="AF100" i="1"/>
  <c r="AF33" i="1"/>
  <c r="AF24" i="1"/>
  <c r="AF22" i="1"/>
  <c r="AF23" i="1"/>
  <c r="AF38" i="1"/>
  <c r="AF37" i="1"/>
  <c r="AF62" i="1"/>
  <c r="AF54" i="1"/>
  <c r="AF32" i="1"/>
  <c r="AF28" i="1"/>
  <c r="AF31" i="1"/>
  <c r="AF79" i="1"/>
  <c r="AF75" i="1"/>
  <c r="AF112" i="1"/>
  <c r="AF109" i="1"/>
  <c r="AF91" i="1"/>
  <c r="AF98" i="1"/>
  <c r="AF57" i="1"/>
  <c r="AF107" i="1"/>
  <c r="AF95" i="1"/>
  <c r="AF39" i="1"/>
  <c r="AF110" i="1"/>
  <c r="AF70" i="1"/>
  <c r="AF45" i="1" l="1"/>
  <c r="AF108" i="1"/>
  <c r="AF105" i="1"/>
  <c r="AF90" i="1"/>
  <c r="AF104" i="1"/>
  <c r="AF25" i="1" l="1"/>
  <c r="AF21" i="1"/>
  <c r="AF42" i="1"/>
  <c r="AF102" i="1"/>
  <c r="AF99" i="1"/>
  <c r="AF27" i="1"/>
  <c r="AF97" i="1"/>
  <c r="AF71" i="1"/>
  <c r="AF96" i="1"/>
  <c r="AF68" i="1"/>
  <c r="AF76" i="1"/>
  <c r="AF93" i="1"/>
  <c r="AF53" i="1"/>
  <c r="AF82" i="1"/>
  <c r="AF89" i="1"/>
  <c r="K118" i="1"/>
  <c r="AF85" i="1"/>
  <c r="AF84" i="1" l="1"/>
  <c r="AF73" i="1"/>
  <c r="AF80" i="1"/>
  <c r="AF63" i="1" l="1"/>
  <c r="AF77" i="1"/>
  <c r="AF29" i="1"/>
  <c r="AF26" i="1" l="1"/>
  <c r="AF69" i="1"/>
  <c r="AF56" i="1"/>
  <c r="AE117" i="1"/>
  <c r="AE64" i="1"/>
  <c r="AE62" i="1"/>
  <c r="AE60" i="1"/>
  <c r="AE58" i="1"/>
  <c r="AE57" i="1"/>
  <c r="AE56" i="1"/>
  <c r="AE55" i="1"/>
  <c r="AE54" i="1"/>
  <c r="AE53" i="1"/>
  <c r="AE52" i="1"/>
  <c r="AE50" i="1"/>
  <c r="AE48" i="1"/>
  <c r="AE47" i="1"/>
  <c r="AE45" i="1"/>
  <c r="AE44" i="1"/>
  <c r="AE43" i="1"/>
  <c r="AE42" i="1"/>
  <c r="AE41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</calcChain>
</file>

<file path=xl/sharedStrings.xml><?xml version="1.0" encoding="utf-8"?>
<sst xmlns="http://schemas.openxmlformats.org/spreadsheetml/2006/main" count="1864" uniqueCount="626">
  <si>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</si>
  <si>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</si>
  <si>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</si>
  <si>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</si>
  <si>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</si>
  <si>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</si>
  <si>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</si>
  <si>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</si>
  <si>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</si>
  <si>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</si>
  <si>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</si>
  <si>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</si>
  <si>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</si>
  <si>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</si>
  <si>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</si>
  <si>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</si>
  <si>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</si>
  <si>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</si>
  <si>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</si>
  <si>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</si>
  <si>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</si>
  <si>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</si>
  <si>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</si>
  <si>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</si>
  <si>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</si>
  <si>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</si>
  <si>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</si>
  <si>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</si>
  <si>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</si>
  <si>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</si>
  <si>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</si>
  <si>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</si>
  <si>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</si>
  <si>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</si>
  <si>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</si>
  <si>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</si>
  <si>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</si>
  <si>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</si>
  <si>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</si>
  <si>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</si>
  <si>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</si>
  <si>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</si>
  <si>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</si>
  <si>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</si>
  <si>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</si>
  <si>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</si>
  <si>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</si>
  <si>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</si>
  <si>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</si>
  <si>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</si>
  <si>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</si>
  <si>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</si>
  <si>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</si>
  <si>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</si>
  <si>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</si>
  <si>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</si>
  <si>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</si>
  <si>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</si>
  <si>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</si>
  <si>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>SRP</t>
  </si>
  <si>
    <t>M.P</t>
  </si>
  <si>
    <t>3.3.90.39.00</t>
  </si>
  <si>
    <t>PRAZO</t>
  </si>
  <si>
    <t>MP</t>
  </si>
  <si>
    <t>05.608.779/0001-46</t>
  </si>
  <si>
    <t>DISPENSA</t>
  </si>
  <si>
    <t>SEMCAS</t>
  </si>
  <si>
    <t>14.294.326/0001-83</t>
  </si>
  <si>
    <t>Locação de imóvel - CRAS NOVA ESTAÇÃO</t>
  </si>
  <si>
    <t>IMOBILIÁRIA FORTALEZA</t>
  </si>
  <si>
    <t>Locação de imóvel - estacionamento</t>
  </si>
  <si>
    <t>OLMIRO BRUNORO</t>
  </si>
  <si>
    <t>157.178.109-97</t>
  </si>
  <si>
    <t>111/2015</t>
  </si>
  <si>
    <t>Processo nº 015/2015</t>
  </si>
  <si>
    <t>PROCESSO Nº 006/2017</t>
  </si>
  <si>
    <t>DISPENSA DEC LICITAÇÃO</t>
  </si>
  <si>
    <t>LOCAÇÃO DE IMOVEL</t>
  </si>
  <si>
    <t>022/2017</t>
  </si>
  <si>
    <t>IMOBILIARIA FORTALEZA</t>
  </si>
  <si>
    <t>14.924.326/0001-83</t>
  </si>
  <si>
    <t>33.90.39.00</t>
  </si>
  <si>
    <t>33.90.36.00</t>
  </si>
  <si>
    <t>02.373.341/0001-38</t>
  </si>
  <si>
    <t>3.3.90.36.00</t>
  </si>
  <si>
    <t>LOCAÇÃO DE VEICULO</t>
  </si>
  <si>
    <t>TECSERV TERCERIZAÇÃO COMERCIO E SERVIÇOS LTDA</t>
  </si>
  <si>
    <t>TERCERIZADOS</t>
  </si>
  <si>
    <t>045/2018</t>
  </si>
  <si>
    <t>14.480.259/0001-55</t>
  </si>
  <si>
    <t>046/2018</t>
  </si>
  <si>
    <t>03.082.817/0001-44</t>
  </si>
  <si>
    <t>PREGÃO Nº061/2018</t>
  </si>
  <si>
    <t>KRONOS PROJETOS E SERVIÇOS</t>
  </si>
  <si>
    <t>PROCESSO Nº105/2018</t>
  </si>
  <si>
    <t>PREGÃO N061/2018</t>
  </si>
  <si>
    <t xml:space="preserve">M.C CAVALCANTE </t>
  </si>
  <si>
    <t>JF TURISMO</t>
  </si>
  <si>
    <t>096/2018</t>
  </si>
  <si>
    <t>17.483.432/0001-01</t>
  </si>
  <si>
    <t>17.337.136/0001-94</t>
  </si>
  <si>
    <t xml:space="preserve">SASDH </t>
  </si>
  <si>
    <t>3.3.90.33.00</t>
  </si>
  <si>
    <t xml:space="preserve">PREGÃO Nº  027/2018 </t>
  </si>
  <si>
    <t>PROCESSO Nº053/2018</t>
  </si>
  <si>
    <t>045/2018.</t>
  </si>
  <si>
    <t>-</t>
  </si>
  <si>
    <t>060/2019</t>
  </si>
  <si>
    <t>LINK CARD ADMINISTRADORA</t>
  </si>
  <si>
    <t xml:space="preserve">J M DA SILVA RODRIGUES - ME </t>
  </si>
  <si>
    <t xml:space="preserve">LAVAGEM DE VEICULOS </t>
  </si>
  <si>
    <t>077/2019</t>
  </si>
  <si>
    <t>TEC NEWS/SERVENTES SASDH</t>
  </si>
  <si>
    <t>082/2019</t>
  </si>
  <si>
    <t>050/2019</t>
  </si>
  <si>
    <t>61.600.839/0001-55</t>
  </si>
  <si>
    <t>12.039.966/0001-11</t>
  </si>
  <si>
    <t>PROCESSO Nº 311/2018</t>
  </si>
  <si>
    <t xml:space="preserve">COMBUSTIVEIS </t>
  </si>
  <si>
    <t>PROCESSO Nº 017/2019</t>
  </si>
  <si>
    <t xml:space="preserve">SERVIÇOS DE LIMPEZA E CONSERVAÇÃO   </t>
  </si>
  <si>
    <t>3.3.90.30.00</t>
  </si>
  <si>
    <t xml:space="preserve">SERVIÇOS DE RECRUTAMENTO E SELEÇÃO DE ESTUDANTES PARA ESTAGIOS REMUNERADOS </t>
  </si>
  <si>
    <t>PROCESSO Nº 0011176-7/2017/DETRAN/AC</t>
  </si>
  <si>
    <t>PREGÃO PRESENCIAL Nº 2792017/CPL02</t>
  </si>
  <si>
    <t>07.462185/0001-03</t>
  </si>
  <si>
    <t>038/2018</t>
  </si>
  <si>
    <t>PROCESSO Nº 87/2018</t>
  </si>
  <si>
    <t>PREGÃO Nº  041/2018</t>
  </si>
  <si>
    <t>TEC NEWS EIRELI - EPP</t>
  </si>
  <si>
    <t xml:space="preserve">MAIA E PIMENTEL </t>
  </si>
  <si>
    <t>083/2019</t>
  </si>
  <si>
    <t>11.661.499/0001-02</t>
  </si>
  <si>
    <t>PROCESSO Nº 034/2019</t>
  </si>
  <si>
    <t>PREGÃO N° 064/2018</t>
  </si>
  <si>
    <t>PREGÃO N°427/2018</t>
  </si>
  <si>
    <t>114/2019</t>
  </si>
  <si>
    <t>05.608.779/0001-47</t>
  </si>
  <si>
    <t>PROCESSO Nº 033/2019</t>
  </si>
  <si>
    <t>PREGÃO Nº 428/2018</t>
  </si>
  <si>
    <t>101  e 117</t>
  </si>
  <si>
    <t>C R M REPRESENTAÇOES E SERVIÇOS LTDA - EPP</t>
  </si>
  <si>
    <t>136/2019</t>
  </si>
  <si>
    <t>TERCERIZADOS/SERVENTES DE LIMPEZA</t>
  </si>
  <si>
    <t>DISPENSA DE LICITAÇÃO</t>
  </si>
  <si>
    <t>PROCESSO Nº 016/2019/SASDH</t>
  </si>
  <si>
    <t>PREGÃO Nº 094/2018</t>
  </si>
  <si>
    <t>84.324.748/0001-30</t>
  </si>
  <si>
    <t xml:space="preserve">   </t>
  </si>
  <si>
    <t>001/2017</t>
  </si>
  <si>
    <t>044/2020</t>
  </si>
  <si>
    <t xml:space="preserve">INSTITUTO EUVALDO LODI </t>
  </si>
  <si>
    <t>045/2020</t>
  </si>
  <si>
    <t>PROCESSO Nº 305/2019</t>
  </si>
  <si>
    <t>CHAMAMENTO PÚBLICO PARA CREDENCIAMENTO Nº 002/2020CEL/PMRB</t>
  </si>
  <si>
    <t>101 e 117</t>
  </si>
  <si>
    <t>SASDH</t>
  </si>
  <si>
    <t xml:space="preserve">  </t>
  </si>
  <si>
    <t>4.4.90.51.00</t>
  </si>
  <si>
    <t>113/2019</t>
  </si>
  <si>
    <t>CONSTRUCOES E OBRAS</t>
  </si>
  <si>
    <t xml:space="preserve">                                                                                                </t>
  </si>
  <si>
    <t>089/2020</t>
  </si>
  <si>
    <t xml:space="preserve">PASSAGENS TERRESTRES </t>
  </si>
  <si>
    <t>PROCESSO N°045/2020</t>
  </si>
  <si>
    <t>PREGÃO Nº 147/2020</t>
  </si>
  <si>
    <t>03.383.410/0001.57</t>
  </si>
  <si>
    <t>053/2020</t>
  </si>
  <si>
    <t>055/2020</t>
  </si>
  <si>
    <t xml:space="preserve">ISAO </t>
  </si>
  <si>
    <t>054/2020</t>
  </si>
  <si>
    <t>EFFORTE</t>
  </si>
  <si>
    <t xml:space="preserve">W. L OLIVEIRA </t>
  </si>
  <si>
    <t>091/2020</t>
  </si>
  <si>
    <t xml:space="preserve">PINTO &amp; CIA </t>
  </si>
  <si>
    <t xml:space="preserve">LOCAÇA DE VEICULOS </t>
  </si>
  <si>
    <t xml:space="preserve">RAIMUNDO NONATO SANTOS  </t>
  </si>
  <si>
    <t>359.535.432-04</t>
  </si>
  <si>
    <t>17.189.998/0001/17</t>
  </si>
  <si>
    <t>07.909.967/0001-30</t>
  </si>
  <si>
    <t>14.009.721/000177</t>
  </si>
  <si>
    <t>101, 117 e 126</t>
  </si>
  <si>
    <t>3.3.90..39.00</t>
  </si>
  <si>
    <t xml:space="preserve">PRAZO </t>
  </si>
  <si>
    <t>PROCESSO N° 358/2019</t>
  </si>
  <si>
    <t>PREGÃO N° 016/2020</t>
  </si>
  <si>
    <t>PREGÃO N°016/2020</t>
  </si>
  <si>
    <t>PREGÃO N° 005/2020</t>
  </si>
  <si>
    <t>PROCESSO N°  327/2019</t>
  </si>
  <si>
    <t xml:space="preserve">OUTRAS DESPESAS( CONTRATOS TEMPORARIOS, DEPASA, CONVENIOS, TAXAS, DIÁRIAS,IPTU, AUXILIO MORADIA. </t>
  </si>
  <si>
    <t>039/2018</t>
  </si>
  <si>
    <t>012/2021</t>
  </si>
  <si>
    <t>PROCESSO N°  358/2019</t>
  </si>
  <si>
    <t>DEMONSTRATIVO DE LICITAÇÕES, CONTRATOS  E OBRAS CONTRATADAS</t>
  </si>
  <si>
    <t xml:space="preserve">PRAZO/REAJUSTE </t>
  </si>
  <si>
    <t xml:space="preserve">Total Acumulado </t>
  </si>
  <si>
    <t>(am)</t>
  </si>
  <si>
    <t>(an)</t>
  </si>
  <si>
    <t>(ao) = (am) + (an)</t>
  </si>
  <si>
    <t xml:space="preserve">PREGÃO N° </t>
  </si>
  <si>
    <t>IEL</t>
  </si>
  <si>
    <t>OMEGACAR</t>
  </si>
  <si>
    <t>08.859.610/0001-57</t>
  </si>
  <si>
    <t>026/2021</t>
  </si>
  <si>
    <t>CIEE</t>
  </si>
  <si>
    <t>E. G. SILVA CONSTRUÇÕES E COMERCIO</t>
  </si>
  <si>
    <t>17.706.828/0001-62</t>
  </si>
  <si>
    <t>A. A. SOUZA  - EIRELI</t>
  </si>
  <si>
    <t>029/2021</t>
  </si>
  <si>
    <t>33.873.300/0001-34</t>
  </si>
  <si>
    <t>002/2021</t>
  </si>
  <si>
    <t>SANCAR</t>
  </si>
  <si>
    <t>08.805.247/0001-97</t>
  </si>
  <si>
    <t>PROCESSO N°  305/2019</t>
  </si>
  <si>
    <t>PROGRAMA DE ESTAGIARIOS</t>
  </si>
  <si>
    <t>PROCESSO N°  159/2020</t>
  </si>
  <si>
    <t>PREGÃO N° 042/2020</t>
  </si>
  <si>
    <t>PROCESSO N°  102/2019</t>
  </si>
  <si>
    <t>PROCESSO N°  002/2021/SASDH</t>
  </si>
  <si>
    <t>PREGÃO N° 028/2020/CPL/PMRB</t>
  </si>
  <si>
    <t>.2</t>
  </si>
  <si>
    <t>.3</t>
  </si>
  <si>
    <t>.5</t>
  </si>
  <si>
    <t>.8</t>
  </si>
  <si>
    <t>.9</t>
  </si>
  <si>
    <t>.10</t>
  </si>
  <si>
    <t>.11</t>
  </si>
  <si>
    <t>.14</t>
  </si>
  <si>
    <t>.15</t>
  </si>
  <si>
    <t>.16</t>
  </si>
  <si>
    <t>.17</t>
  </si>
  <si>
    <t>.19</t>
  </si>
  <si>
    <t>.20</t>
  </si>
  <si>
    <t>.21</t>
  </si>
  <si>
    <t>.22</t>
  </si>
  <si>
    <t>.25</t>
  </si>
  <si>
    <t>.26</t>
  </si>
  <si>
    <t>.36</t>
  </si>
  <si>
    <t>.41</t>
  </si>
  <si>
    <t>.42</t>
  </si>
  <si>
    <t>.44</t>
  </si>
  <si>
    <t>.45</t>
  </si>
  <si>
    <t>.48</t>
  </si>
  <si>
    <t>.49</t>
  </si>
  <si>
    <t>.50</t>
  </si>
  <si>
    <t>.51</t>
  </si>
  <si>
    <t>J. G. CHASSOT - EPP</t>
  </si>
  <si>
    <t>PROCESSO N°  265/2020</t>
  </si>
  <si>
    <t>PREGÃO N° 049/2020</t>
  </si>
  <si>
    <t>016/2021</t>
  </si>
  <si>
    <t>01.353.640/0001-48</t>
  </si>
  <si>
    <t>010/2021</t>
  </si>
  <si>
    <t>MS SERVIÇO, COMERCIO E REPRESENTAÇOES</t>
  </si>
  <si>
    <t>22.172.177/0001-08</t>
  </si>
  <si>
    <t>PROCESSO N°  155/2020</t>
  </si>
  <si>
    <t>PREGÃO N° 032/2020</t>
  </si>
  <si>
    <t>MATERIAL DE CONSUMO</t>
  </si>
  <si>
    <t>014/2021</t>
  </si>
  <si>
    <t>17.337.136/0001-95</t>
  </si>
  <si>
    <t>PROCESSO N° 327/2019</t>
  </si>
  <si>
    <t>092/2020</t>
  </si>
  <si>
    <t>IF LOCAÇÕES DE IMOVEIS - EIRELI</t>
  </si>
  <si>
    <t>34.625.024/0001-58</t>
  </si>
  <si>
    <t>PROCESSO N°  025/2017</t>
  </si>
  <si>
    <t>03.082.817/0001-45</t>
  </si>
  <si>
    <t>PREGÃO Nº 016/2020</t>
  </si>
  <si>
    <t>PROCESSO Nº 358/2019</t>
  </si>
  <si>
    <t>3.390.30.00</t>
  </si>
  <si>
    <t>05/07/218</t>
  </si>
  <si>
    <t>100/2021</t>
  </si>
  <si>
    <t>PREGÃO N° 151/2019</t>
  </si>
  <si>
    <t>PROCESSO N°  035/2020</t>
  </si>
  <si>
    <t>14.009.721/000178</t>
  </si>
  <si>
    <t>031/2021</t>
  </si>
  <si>
    <t>NORTE - CENTRO DE DISTRIBUIÇÃO DE MERCADORIAS EM GERAL LTDA</t>
  </si>
  <si>
    <t>21.813.150/0001-94</t>
  </si>
  <si>
    <t>PREGÃO N° 009/2020</t>
  </si>
  <si>
    <t>PROCESSO N°  027/2021</t>
  </si>
  <si>
    <t>19.354.136/0001-28</t>
  </si>
  <si>
    <t>003/2021</t>
  </si>
  <si>
    <t>PREGÃO N°042/2020</t>
  </si>
  <si>
    <t>AUGUSTO S. DE ARAUJO - EIRELI</t>
  </si>
  <si>
    <t>05.511.061/0001-37</t>
  </si>
  <si>
    <t>019/2021</t>
  </si>
  <si>
    <t>04.361.899/0001-29</t>
  </si>
  <si>
    <t xml:space="preserve">I9 SOLUCOES </t>
  </si>
  <si>
    <t>PROCESSO N°  135/2020</t>
  </si>
  <si>
    <t>PREGÃO N°026/2020</t>
  </si>
  <si>
    <t>040/2021</t>
  </si>
  <si>
    <t>Manual de Referência - Anexos IV, VI, VII e VIII69.123,67</t>
  </si>
  <si>
    <t>041/2021</t>
  </si>
  <si>
    <t xml:space="preserve">SIRLEIDA OLIVEIRA DA CUNHA </t>
  </si>
  <si>
    <t>PROCESSO N°  057/2021</t>
  </si>
  <si>
    <t>004/2021</t>
  </si>
  <si>
    <t>F. P. MENEGASSI</t>
  </si>
  <si>
    <t>20.384.086/0001-00</t>
  </si>
  <si>
    <t>PROCESSO N°  159/2021</t>
  </si>
  <si>
    <t>PREGÃO N° 042/2021</t>
  </si>
  <si>
    <t>058/2020</t>
  </si>
  <si>
    <t>W. O. PEREIRA</t>
  </si>
  <si>
    <t>18.765.432/0001-59</t>
  </si>
  <si>
    <t>217.401.782-20</t>
  </si>
  <si>
    <t>027/2021</t>
  </si>
  <si>
    <t>W. L. OLIVEIRA</t>
  </si>
  <si>
    <t>PROCESSO N°  081/2021</t>
  </si>
  <si>
    <t>TERCEIRIZADOS</t>
  </si>
  <si>
    <t>043/2021</t>
  </si>
  <si>
    <t>MASTER SERVIÇOS EIRELI - EPP</t>
  </si>
  <si>
    <t>20.276.206/0001-56</t>
  </si>
  <si>
    <t>SERIAMES</t>
  </si>
  <si>
    <t>BETANIA</t>
  </si>
  <si>
    <t>G. R. DA ROSA</t>
  </si>
  <si>
    <t>012/2015</t>
  </si>
  <si>
    <t>LOCAÇAO DE IMÓVEL</t>
  </si>
  <si>
    <t>LOCAÇÃO DE IMÓVEL</t>
  </si>
  <si>
    <t>FORNECEDOR</t>
  </si>
  <si>
    <t>047/2021</t>
  </si>
  <si>
    <t xml:space="preserve">307.819.732-87 </t>
  </si>
  <si>
    <t>164.432.762-72</t>
  </si>
  <si>
    <t>PARECER PROJURI/ 2015.02.0000331</t>
  </si>
  <si>
    <t>PRAZO / REAJUSTE</t>
  </si>
  <si>
    <t>REAJUSTE</t>
  </si>
  <si>
    <t>PROCESSO Nº 062/2021</t>
  </si>
  <si>
    <t>035/2021</t>
  </si>
  <si>
    <t xml:space="preserve">PREGÃO Nº 012/2021 </t>
  </si>
  <si>
    <t>PROCESSO Nº 040/2021</t>
  </si>
  <si>
    <t>09.179.593/0001-70</t>
  </si>
  <si>
    <t xml:space="preserve">NP TECNOLOGIA E GESTÃO DE DADOS LTDA </t>
  </si>
  <si>
    <t>048/2021</t>
  </si>
  <si>
    <t xml:space="preserve">PRESTADORA DE SERVIÇOS </t>
  </si>
  <si>
    <t>PROCESSO Nº 088/2020</t>
  </si>
  <si>
    <t>07.797.967/0001-95</t>
  </si>
  <si>
    <t xml:space="preserve">BETANIA - TERMO DE CONHECIMENTO DE DIVIDA </t>
  </si>
  <si>
    <t>046/2021</t>
  </si>
  <si>
    <t>PREGÃO Nº 029/2020</t>
  </si>
  <si>
    <t>PROCESSO Nº 076/2021</t>
  </si>
  <si>
    <t>ACRE FRIO  AR-CONDICIONADO LTDA</t>
  </si>
  <si>
    <t>10.889.815/0001-27</t>
  </si>
  <si>
    <t>101, 106 e 117</t>
  </si>
  <si>
    <t>3.3.90.39.00 3.3.90.30.00</t>
  </si>
  <si>
    <t xml:space="preserve"> Executado no Exercício 2022</t>
  </si>
  <si>
    <t>Executado até o exercício anterior 2021</t>
  </si>
  <si>
    <t>PRESTAÇÃO DE CONTAS MENSAL - EXERCÍCIO 2022</t>
  </si>
  <si>
    <t>005/2021</t>
  </si>
  <si>
    <t xml:space="preserve">O presente contrato tem como objetivo atender as demandas das Unidades Administrativas da Secretaria Municipal de Assistência Social e Direitos Humanos </t>
  </si>
  <si>
    <t>039/2021</t>
  </si>
  <si>
    <t>CNH INDUSTRIAL BRASIL</t>
  </si>
  <si>
    <t>PREGÃO Nº  036/2020</t>
  </si>
  <si>
    <t>PROCESSO N º 05/2021</t>
  </si>
  <si>
    <t>01.844.555/0005-06</t>
  </si>
  <si>
    <t>101 e 106</t>
  </si>
  <si>
    <t>4.4.90.52.00</t>
  </si>
  <si>
    <t>.1</t>
  </si>
  <si>
    <t>.4</t>
  </si>
  <si>
    <t>.6</t>
  </si>
  <si>
    <t>.7</t>
  </si>
  <si>
    <t>.12</t>
  </si>
  <si>
    <t>.13</t>
  </si>
  <si>
    <t>.18</t>
  </si>
  <si>
    <t>.23</t>
  </si>
  <si>
    <t>.24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</si>
  <si>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</si>
  <si>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</si>
  <si>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</si>
  <si>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</si>
  <si>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</si>
  <si>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</si>
  <si>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</si>
  <si>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</si>
  <si>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</si>
  <si>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.37</t>
  </si>
  <si>
    <t>.38</t>
  </si>
  <si>
    <t>.39</t>
  </si>
  <si>
    <t>.40</t>
  </si>
  <si>
    <t>.43</t>
  </si>
  <si>
    <t>.46</t>
  </si>
  <si>
    <t>.47</t>
  </si>
  <si>
    <t>.52</t>
  </si>
  <si>
    <t>.53</t>
  </si>
  <si>
    <t>015/2022</t>
  </si>
  <si>
    <t>MVP ELETRODOMESTICO E EQUIPAMENTOS EIRELI</t>
  </si>
  <si>
    <t>28.472.036/0001-97</t>
  </si>
  <si>
    <t>PREGÃO Nº  058/2021</t>
  </si>
  <si>
    <t>PROCESSO N º 173/2021</t>
  </si>
  <si>
    <t>.54</t>
  </si>
  <si>
    <t>021/2022</t>
  </si>
  <si>
    <t>PAPELARIA MUNDO IMPORTACÃO E EXPORTAÇÃO EIRELI</t>
  </si>
  <si>
    <t>14.869.791/0001-03</t>
  </si>
  <si>
    <t>PROCESSO N º 103/2021</t>
  </si>
  <si>
    <t>PREGÃO Nº  024/2021</t>
  </si>
  <si>
    <t>.55</t>
  </si>
  <si>
    <t>025/2022</t>
  </si>
  <si>
    <t>PROCESSO N º 114/2021</t>
  </si>
  <si>
    <t>PREGÃO Nº  033/2021</t>
  </si>
  <si>
    <t>.56</t>
  </si>
  <si>
    <t>026/2022</t>
  </si>
  <si>
    <t xml:space="preserve">I. PASTOR DE SOUZA </t>
  </si>
  <si>
    <t>34.710.145/0001-06</t>
  </si>
  <si>
    <t>PROCESSO N º 0238/2021</t>
  </si>
  <si>
    <t>PREGÃO Nº  085/2021</t>
  </si>
  <si>
    <t>.57</t>
  </si>
  <si>
    <t xml:space="preserve">PRIME CONSULTORIA </t>
  </si>
  <si>
    <t>05.340.639/0001-30</t>
  </si>
  <si>
    <t>PREGÃO Nº  001/2020</t>
  </si>
  <si>
    <t>PROCESSO N º 112/2021</t>
  </si>
  <si>
    <t>.58</t>
  </si>
  <si>
    <t>030/2022</t>
  </si>
  <si>
    <t>G S DA SILVEIRA</t>
  </si>
  <si>
    <t>84.313.923/0001-93</t>
  </si>
  <si>
    <t>PROCESSO N º 165/2021</t>
  </si>
  <si>
    <t>PREGÃO Nº  051/2021</t>
  </si>
  <si>
    <t>.59</t>
  </si>
  <si>
    <t>007/2022</t>
  </si>
  <si>
    <t>DISBRAS COMERCIO EIRELI</t>
  </si>
  <si>
    <t>01.297.761/0001-97</t>
  </si>
  <si>
    <t>PREGÃO Nº  065/2021</t>
  </si>
  <si>
    <t>PROCESSO N º 14/,2021</t>
  </si>
  <si>
    <t>100/2020</t>
  </si>
  <si>
    <t>.60</t>
  </si>
  <si>
    <t>027/2022</t>
  </si>
  <si>
    <t>17.489.291/0001-26</t>
  </si>
  <si>
    <t>PROCESSO N º 238/2021</t>
  </si>
  <si>
    <t xml:space="preserve">FLORESTA EMPREENDIMENTOS </t>
  </si>
  <si>
    <t xml:space="preserve">  -</t>
  </si>
  <si>
    <t>063/2021</t>
  </si>
  <si>
    <t>3.3.90.39.01</t>
  </si>
  <si>
    <t>AMAZONSERV LTDA</t>
  </si>
  <si>
    <t>.61</t>
  </si>
  <si>
    <t>088/2020</t>
  </si>
  <si>
    <t>SISTEL</t>
  </si>
  <si>
    <t>PROCESSO N º 042/2020</t>
  </si>
  <si>
    <t>PREGÃO Nº  199.2019</t>
  </si>
  <si>
    <t>01.221.116/0001-13</t>
  </si>
  <si>
    <t>3.3.90.30.00 3.3.90.39.00</t>
  </si>
  <si>
    <t>13/178</t>
  </si>
  <si>
    <t>.62</t>
  </si>
  <si>
    <t>049/2020</t>
  </si>
  <si>
    <t>.63</t>
  </si>
  <si>
    <t>023/2022</t>
  </si>
  <si>
    <t>RICHARD S MIRANDA</t>
  </si>
  <si>
    <t>07.650.136/0001-96</t>
  </si>
  <si>
    <t>.64</t>
  </si>
  <si>
    <t>PROCESSO N º 014/2021</t>
  </si>
  <si>
    <t>008/2022</t>
  </si>
  <si>
    <t>RB LIMP LTDA</t>
  </si>
  <si>
    <t>32.512.975/0001-95</t>
  </si>
  <si>
    <t>.65</t>
  </si>
  <si>
    <t>054/2022</t>
  </si>
  <si>
    <t>PREGÃO Nº  002/2022</t>
  </si>
  <si>
    <t>PROCESSO N º 254/2021</t>
  </si>
  <si>
    <t>20.384.086,0001-00</t>
  </si>
  <si>
    <t>.66</t>
  </si>
  <si>
    <t>037/2022</t>
  </si>
  <si>
    <t>S. L. DE CASTRO - EIRELI</t>
  </si>
  <si>
    <t>PROCESSO N º 168/2021</t>
  </si>
  <si>
    <t>PREGÃO Nº 042/2021</t>
  </si>
  <si>
    <t>08.629.283/0001-47</t>
  </si>
  <si>
    <t>.67</t>
  </si>
  <si>
    <t>019/2022</t>
  </si>
  <si>
    <t xml:space="preserve">A. A. C. ROCHA </t>
  </si>
  <si>
    <t>10.496.033/0001-28</t>
  </si>
  <si>
    <t>.68</t>
  </si>
  <si>
    <t>031/2022</t>
  </si>
  <si>
    <t>.69</t>
  </si>
  <si>
    <t>005/2022</t>
  </si>
  <si>
    <t>MEDBRANDS COMERCIO E DISTRIBUIDORA EIRELI</t>
  </si>
  <si>
    <t>27.256.185/0001-56</t>
  </si>
  <si>
    <t xml:space="preserve">PROCESSO N º141/2021 </t>
  </si>
  <si>
    <t>.70</t>
  </si>
  <si>
    <t>047/2020</t>
  </si>
  <si>
    <t xml:space="preserve">PARAISO AMBIENTES </t>
  </si>
  <si>
    <t>05.493.311/0001-53</t>
  </si>
  <si>
    <t>PROCESSO N º 292/2019</t>
  </si>
  <si>
    <t>PREGÃO Nº  108/2019</t>
  </si>
  <si>
    <t>.71</t>
  </si>
  <si>
    <t>PREGÃO Nº  034/2021</t>
  </si>
  <si>
    <t>PROCESSO N º 017/2022</t>
  </si>
  <si>
    <t>045/2022</t>
  </si>
  <si>
    <t>.72</t>
  </si>
  <si>
    <t>E. DE AGUIAR FROTA - EIRELI</t>
  </si>
  <si>
    <t>048/2020</t>
  </si>
  <si>
    <t>.73</t>
  </si>
  <si>
    <t>020/2022</t>
  </si>
  <si>
    <t>COMERCIAL ATITUDE - EIRELI</t>
  </si>
  <si>
    <t>.74</t>
  </si>
  <si>
    <t>075/2019</t>
  </si>
  <si>
    <t xml:space="preserve">GAMA CONSTRUÇOES </t>
  </si>
  <si>
    <t>PREGÃO Nº  003/2019</t>
  </si>
  <si>
    <t>PROCESSO N º 030/2019</t>
  </si>
  <si>
    <t>.75</t>
  </si>
  <si>
    <t>059/2022</t>
  </si>
  <si>
    <t xml:space="preserve">LIMA E ABRAHAO </t>
  </si>
  <si>
    <t>PROCESSO N º 018/2022</t>
  </si>
  <si>
    <t>PREGÃO Nº  020/2021</t>
  </si>
  <si>
    <t>.76</t>
  </si>
  <si>
    <t>033/2022</t>
  </si>
  <si>
    <t xml:space="preserve">KELLE DE MELO OLIVEIRA </t>
  </si>
  <si>
    <t>PROCESSO N º 256/2021</t>
  </si>
  <si>
    <t>PREGÃO Nº  001/2022</t>
  </si>
  <si>
    <t>.77</t>
  </si>
  <si>
    <t>051/2022</t>
  </si>
  <si>
    <t xml:space="preserve"> E C O MOURA</t>
  </si>
  <si>
    <t>PREGÃO Nº  018/2022</t>
  </si>
  <si>
    <t>PROCESSO N º 281/2021</t>
  </si>
  <si>
    <t>.78</t>
  </si>
  <si>
    <t>034/2022</t>
  </si>
  <si>
    <t>PREGÃO Nº  087/2021</t>
  </si>
  <si>
    <t>PROCESSO N º 258/2021</t>
  </si>
  <si>
    <t>.79</t>
  </si>
  <si>
    <t>065/2022</t>
  </si>
  <si>
    <t>PREGÃO Nº  404/2021</t>
  </si>
  <si>
    <t>PROCESSO N º 041/2022</t>
  </si>
  <si>
    <t>102 e 117</t>
  </si>
  <si>
    <t>04.758.482/0001-02</t>
  </si>
  <si>
    <t>19.705.786/0001-70</t>
  </si>
  <si>
    <t>09.374.006/0001-01</t>
  </si>
  <si>
    <t>84.308.337/0001-50</t>
  </si>
  <si>
    <t>29.422.974/0001-45</t>
  </si>
  <si>
    <t>28.572.074/0001-11</t>
  </si>
  <si>
    <t>3.3.90.30.00 3.3.90.39.00 4.4.90.52.00</t>
  </si>
  <si>
    <t>PREGÃO Nº 018/2022</t>
  </si>
  <si>
    <t>.80</t>
  </si>
  <si>
    <t>.81</t>
  </si>
  <si>
    <t>048/2022</t>
  </si>
  <si>
    <t>052/2022</t>
  </si>
  <si>
    <t>10.496.033/000128</t>
  </si>
  <si>
    <t>PREGÃO Nº 002/2022</t>
  </si>
  <si>
    <t>.82</t>
  </si>
  <si>
    <t>046/2022</t>
  </si>
  <si>
    <t>37.306.014/0001-48</t>
  </si>
  <si>
    <t>PROCESSO N º 0281/2021</t>
  </si>
  <si>
    <t>.83</t>
  </si>
  <si>
    <t>004/2022</t>
  </si>
  <si>
    <t>PREGÃO Nº 047/2021</t>
  </si>
  <si>
    <t>PROCESSO N º 101/2021</t>
  </si>
  <si>
    <t>D. L. RAMOS - ME</t>
  </si>
  <si>
    <t>05.146.814/0001-52</t>
  </si>
  <si>
    <t>.84</t>
  </si>
  <si>
    <t>001/2022</t>
  </si>
  <si>
    <t>PREGÃO Nº  307/2021</t>
  </si>
  <si>
    <t>067/2022</t>
  </si>
  <si>
    <t xml:space="preserve">E C O MOURA </t>
  </si>
  <si>
    <t>PREGÃO Nº  011/2022</t>
  </si>
  <si>
    <t>PROCESSO N º 046/2022</t>
  </si>
  <si>
    <t>.85</t>
  </si>
  <si>
    <t>.86</t>
  </si>
  <si>
    <t>PROCESSO N º 182/2021</t>
  </si>
  <si>
    <t>PREGÃO Nº  054/2021</t>
  </si>
  <si>
    <t>017/2022</t>
  </si>
  <si>
    <t>S V NOGUEIRA EIRELI</t>
  </si>
  <si>
    <t>02.799.522/0001-20</t>
  </si>
  <si>
    <t>.87</t>
  </si>
  <si>
    <t>032/2022</t>
  </si>
  <si>
    <t>J . G. CHASSOT - EPP</t>
  </si>
  <si>
    <t>.88</t>
  </si>
  <si>
    <t>036/2022</t>
  </si>
  <si>
    <t>PREGÃO Nº 087/2021</t>
  </si>
  <si>
    <t>.89</t>
  </si>
  <si>
    <t>PREGÃO Nº 024/2021</t>
  </si>
  <si>
    <t>024/2022</t>
  </si>
  <si>
    <t>M C INDUSTRIA E COMERCIO DE PAPEIS LTDA</t>
  </si>
  <si>
    <t>19.288.989/0001-09</t>
  </si>
  <si>
    <t>.90</t>
  </si>
  <si>
    <t>PREGÃO Nº 020/2021</t>
  </si>
  <si>
    <t>060/2022</t>
  </si>
  <si>
    <t>GABBY MALHARIA LTDA</t>
  </si>
  <si>
    <t>03.978.576/0001-16</t>
  </si>
  <si>
    <t>.91</t>
  </si>
  <si>
    <t>PROCESSO N º 015/2022</t>
  </si>
  <si>
    <t>PREGÃO Nº 016/2021</t>
  </si>
  <si>
    <t>057/2022</t>
  </si>
  <si>
    <t>RIO BRANCO SEGURANÇA ELETRONICA E SERVIÇOS LTDA</t>
  </si>
  <si>
    <t>16.803.988/0001-67</t>
  </si>
  <si>
    <t>.92</t>
  </si>
  <si>
    <t>050/2022</t>
  </si>
  <si>
    <t>J S COMERCIO IMPORTAÇÃO E EXPORTAÇÃO LTDA</t>
  </si>
  <si>
    <t>11.338.721/0001-22</t>
  </si>
  <si>
    <t>.93</t>
  </si>
  <si>
    <t>PREGÃO  Nº 018/2022</t>
  </si>
  <si>
    <t>PREGÃO  Nº  051/2021</t>
  </si>
  <si>
    <t>029/2022</t>
  </si>
  <si>
    <t>CIPRIANI E CIPRIANI LTDA</t>
  </si>
  <si>
    <t>01.805.545/0001-38</t>
  </si>
  <si>
    <t>.94</t>
  </si>
  <si>
    <t>PREGÃO  Nº  054/2021</t>
  </si>
  <si>
    <t>018/2022</t>
  </si>
  <si>
    <t>LEGALMART SERVIÇO EM EVENTOS EIRELI</t>
  </si>
  <si>
    <t>07.204.141/0001-75</t>
  </si>
  <si>
    <t>.95</t>
  </si>
  <si>
    <t>PROCESSO N º 327/2019</t>
  </si>
  <si>
    <t>PREGÃO  Nº  005/2020</t>
  </si>
  <si>
    <t>028/2021</t>
  </si>
  <si>
    <t>W. O. PEREIRA - EIRELI</t>
  </si>
  <si>
    <t>101 E 117</t>
  </si>
  <si>
    <t>101,106 e 117</t>
  </si>
  <si>
    <t>VALOR</t>
  </si>
  <si>
    <t>.96</t>
  </si>
  <si>
    <t xml:space="preserve">PREGÃO  Nº  </t>
  </si>
  <si>
    <t xml:space="preserve">PROCESSO N º </t>
  </si>
  <si>
    <t>066/2022</t>
  </si>
  <si>
    <t>34.710.145/0001.06</t>
  </si>
  <si>
    <t>PREGÃO  Nº  085/2021</t>
  </si>
  <si>
    <t>.97</t>
  </si>
  <si>
    <t>.98</t>
  </si>
  <si>
    <t>PROCESSO N º 083/2022</t>
  </si>
  <si>
    <t>PREGÃO  Nº  065/2022</t>
  </si>
  <si>
    <t>073/2022</t>
  </si>
  <si>
    <t>ACRETEC</t>
  </si>
  <si>
    <t>04.475.329/0001-60</t>
  </si>
  <si>
    <t>.99</t>
  </si>
  <si>
    <t>062/2019</t>
  </si>
  <si>
    <t>SENAC</t>
  </si>
  <si>
    <t>03.636.146/0001-16</t>
  </si>
  <si>
    <t>.100</t>
  </si>
  <si>
    <t>064/2019</t>
  </si>
  <si>
    <t>063/2019</t>
  </si>
  <si>
    <t>101, 106, 117 e 127</t>
  </si>
  <si>
    <t>4.4.90.39.00</t>
  </si>
  <si>
    <t>Data da emissão: 01/11/2022</t>
  </si>
  <si>
    <t>PODER EXECUTIVO MUNICIPAL</t>
  </si>
  <si>
    <r>
      <t xml:space="preserve">IDENTIFICAÇÃO DO ÓRGÃO/ENTIDADE: </t>
    </r>
    <r>
      <rPr>
        <b/>
        <sz val="11"/>
        <rFont val="Calibri"/>
        <family val="2"/>
        <scheme val="minor"/>
      </rPr>
      <t>SECRETARIA DE ASSISTENCIA SOCIAL E DIREITOS HUMANOS - SASDH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</si>
  <si>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OUTUBRO DE 2022</t>
    </r>
  </si>
  <si>
    <t>TOTAL</t>
  </si>
  <si>
    <t>Nome do responsável pela elaboração: Ailton José Blazute Braga</t>
  </si>
  <si>
    <t xml:space="preserve">Nome do responsável pelo Órgão: Marfisa de Lima Galvão 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</si>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</sst>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4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4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4" fontId="3" fillId="0" borderId="0" xfId="1" applyFont="1" applyFill="1" applyAlignment="1">
      <alignment horizontal="left" vertical="center"/>
    </xf>
    <xf numFmtId="44" fontId="5" fillId="0" borderId="10" xfId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/>
    </xf>
    <xf numFmtId="44" fontId="5" fillId="0" borderId="15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44" fontId="5" fillId="0" borderId="0" xfId="1" applyFont="1" applyFill="1" applyAlignment="1">
      <alignment horizontal="center" vertical="center"/>
    </xf>
    <xf numFmtId="44" fontId="6" fillId="0" borderId="0" xfId="1" applyFont="1" applyFill="1" applyAlignment="1">
      <alignment horizontal="left" vertical="center"/>
    </xf>
    <xf numFmtId="44" fontId="6" fillId="0" borderId="0" xfId="1" applyFont="1" applyFill="1" applyAlignment="1">
      <alignment vertical="center"/>
    </xf>
    <xf numFmtId="44" fontId="5" fillId="0" borderId="7" xfId="1" applyFont="1" applyFill="1" applyBorder="1" applyAlignment="1">
      <alignment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8" xfId="1" applyFont="1" applyFill="1" applyBorder="1" applyAlignment="1">
      <alignment vertical="center"/>
    </xf>
    <xf numFmtId="44" fontId="5" fillId="0" borderId="8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 wrapText="1"/>
    </xf>
    <xf numFmtId="44" fontId="5" fillId="0" borderId="16" xfId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5" fillId="0" borderId="0" xfId="1" applyFont="1" applyFill="1" applyAlignment="1">
      <alignment vertical="center"/>
    </xf>
    <xf numFmtId="44" fontId="6" fillId="0" borderId="0" xfId="1" applyFont="1" applyFill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0</xdr:row>
      <xdr:rowOff>76200</xdr:rowOff>
    </xdr:from>
    <xdr:to>
      <xdr:col>1</xdr:col>
      <xdr:colOff>590550</xdr:colOff>
      <xdr:row>2</xdr:row>
      <xdr:rowOff>149038</xdr:rowOff>
    </xdr:to>
    <xdr:pic>
      <xdr:nvPicPr>
        <xdr:cNvPr id="3" name="Imagem 2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76200"/>
          <a:ext cx="447675" cy="453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tabSelected="1" zoomScaleNormal="100" zoomScaleSheetLayoutView="20" workbookViewId="0">
      <selection activeCell="AD54" sqref="AD54"/>
    </sheetView>
  </sheetViews>
  <sheetFormatPr defaultRowHeight="12.75" x14ac:dyDescent="0.25"/>
  <cols>
    <col min="1" max="1" width="5.85546875" style="1" customWidth="1"/>
    <col min="2" max="2" width="30.42578125" style="1" bestFit="1" customWidth="1"/>
    <col min="3" max="3" width="34.42578125" style="1" bestFit="1" customWidth="1"/>
    <col min="4" max="4" width="10.140625" style="1" bestFit="1" customWidth="1"/>
    <col min="5" max="5" width="4.28515625" style="1" bestFit="1" customWidth="1"/>
    <col min="6" max="6" width="39" style="1" bestFit="1" customWidth="1"/>
    <col min="7" max="7" width="10.5703125" style="46" bestFit="1" customWidth="1"/>
    <col min="8" max="8" width="45.85546875" style="46" customWidth="1"/>
    <col min="9" max="9" width="25.140625" style="2" bestFit="1" customWidth="1"/>
    <col min="10" max="10" width="14" style="1" customWidth="1"/>
    <col min="11" max="11" width="15.7109375" style="82" bestFit="1" customWidth="1"/>
    <col min="12" max="12" width="13" style="1" customWidth="1"/>
    <col min="13" max="13" width="11.85546875" style="1" customWidth="1"/>
    <col min="14" max="14" width="10.42578125" style="1" bestFit="1" customWidth="1"/>
    <col min="15" max="15" width="13.5703125" style="1" customWidth="1"/>
    <col min="16" max="16" width="9.140625" style="1" bestFit="1" customWidth="1"/>
    <col min="17" max="17" width="11.5703125" style="1" customWidth="1"/>
    <col min="18" max="18" width="11.85546875" style="1" bestFit="1" customWidth="1"/>
    <col min="19" max="19" width="11.140625" style="1" bestFit="1" customWidth="1"/>
    <col min="20" max="20" width="6.5703125" style="1" bestFit="1" customWidth="1"/>
    <col min="21" max="21" width="10.42578125" style="1" bestFit="1" customWidth="1"/>
    <col min="22" max="22" width="13.42578125" style="1" bestFit="1" customWidth="1"/>
    <col min="23" max="23" width="16.5703125" style="1" bestFit="1" customWidth="1"/>
    <col min="24" max="24" width="14" style="1" bestFit="1" customWidth="1"/>
    <col min="25" max="25" width="10.42578125" style="1" bestFit="1" customWidth="1"/>
    <col min="26" max="26" width="12.85546875" style="1" customWidth="1"/>
    <col min="27" max="27" width="12.85546875" style="1" bestFit="1" customWidth="1"/>
    <col min="28" max="28" width="11.140625" style="83" bestFit="1" customWidth="1"/>
    <col min="29" max="29" width="8.7109375" style="83" bestFit="1" customWidth="1"/>
    <col min="30" max="30" width="17.28515625" style="83" bestFit="1" customWidth="1"/>
    <col min="31" max="31" width="21.5703125" style="83" bestFit="1" customWidth="1"/>
    <col min="32" max="32" width="19.7109375" style="83" bestFit="1" customWidth="1"/>
    <col min="33" max="33" width="16" style="83" bestFit="1" customWidth="1"/>
    <col min="34" max="16384" width="9.140625" style="1"/>
  </cols>
  <sheetData>
    <row r="1" spans="1:33" s="22" customFormat="1" ht="15" x14ac:dyDescent="0.25">
      <c r="F1" s="62"/>
      <c r="G1" s="23"/>
      <c r="H1" s="70"/>
      <c r="K1" s="76"/>
      <c r="AB1" s="76"/>
      <c r="AC1" s="76"/>
      <c r="AD1" s="76"/>
      <c r="AE1" s="76"/>
      <c r="AF1" s="76"/>
      <c r="AG1" s="76"/>
    </row>
    <row r="2" spans="1:33" s="22" customFormat="1" ht="15" x14ac:dyDescent="0.25">
      <c r="F2" s="62"/>
      <c r="G2" s="23"/>
      <c r="H2" s="70"/>
      <c r="K2" s="76"/>
      <c r="AB2" s="76"/>
      <c r="AC2" s="76"/>
      <c r="AD2" s="76"/>
      <c r="AE2" s="76"/>
      <c r="AF2" s="76"/>
      <c r="AG2" s="76"/>
    </row>
    <row r="3" spans="1:33" s="22" customFormat="1" ht="15" x14ac:dyDescent="0.25">
      <c r="F3" s="62"/>
      <c r="G3" s="23"/>
      <c r="H3" s="70"/>
      <c r="K3" s="76"/>
      <c r="AB3" s="76"/>
      <c r="AC3" s="76"/>
      <c r="AD3" s="76"/>
      <c r="AE3" s="76"/>
      <c r="AF3" s="76"/>
      <c r="AG3" s="76"/>
    </row>
    <row r="4" spans="1:33" s="22" customFormat="1" ht="15" x14ac:dyDescent="0.25">
      <c r="A4" s="23" t="s">
        <v>619</v>
      </c>
      <c r="F4" s="62"/>
      <c r="G4" s="23"/>
      <c r="H4" s="70"/>
      <c r="K4" s="76"/>
      <c r="AB4" s="76"/>
      <c r="AC4" s="76"/>
      <c r="AD4" s="76"/>
      <c r="AE4" s="76"/>
      <c r="AF4" s="76"/>
      <c r="AG4" s="76"/>
    </row>
    <row r="5" spans="1:33" s="22" customFormat="1" ht="15" x14ac:dyDescent="0.25">
      <c r="A5" s="23"/>
      <c r="F5" s="62"/>
      <c r="G5" s="23"/>
      <c r="H5" s="70"/>
      <c r="K5" s="76"/>
      <c r="AB5" s="76"/>
      <c r="AC5" s="76"/>
      <c r="AD5" s="76"/>
      <c r="AE5" s="76"/>
      <c r="AF5" s="76"/>
      <c r="AG5" s="76"/>
    </row>
    <row r="6" spans="1:33" s="22" customFormat="1" ht="15" x14ac:dyDescent="0.25">
      <c r="A6" s="23" t="s">
        <v>342</v>
      </c>
      <c r="F6" s="62"/>
      <c r="G6" s="23"/>
      <c r="H6" s="70"/>
      <c r="K6" s="76"/>
      <c r="AB6" s="76"/>
      <c r="AC6" s="76"/>
      <c r="AD6" s="76"/>
      <c r="AE6" s="76"/>
      <c r="AF6" s="76"/>
      <c r="AG6" s="76"/>
    </row>
    <row r="7" spans="1:33" s="22" customFormat="1" ht="15" x14ac:dyDescent="0.25">
      <c r="A7" s="22" t="s">
        <v>58</v>
      </c>
      <c r="F7" s="62"/>
      <c r="G7" s="23"/>
      <c r="H7" s="70"/>
      <c r="K7" s="76"/>
      <c r="AB7" s="76"/>
      <c r="AC7" s="76"/>
      <c r="AD7" s="76"/>
      <c r="AE7" s="76"/>
      <c r="AF7" s="76"/>
      <c r="AG7" s="76"/>
    </row>
    <row r="8" spans="1:33" s="22" customFormat="1" ht="15" x14ac:dyDescent="0.25">
      <c r="A8" s="22" t="s">
        <v>289</v>
      </c>
      <c r="F8" s="62"/>
      <c r="G8" s="23"/>
      <c r="H8" s="70"/>
      <c r="K8" s="76"/>
      <c r="AB8" s="76"/>
      <c r="AC8" s="76"/>
      <c r="AD8" s="76"/>
      <c r="AE8" s="76"/>
      <c r="AF8" s="76"/>
      <c r="AG8" s="76"/>
    </row>
    <row r="9" spans="1:33" s="22" customFormat="1" ht="15" x14ac:dyDescent="0.25">
      <c r="F9" s="62"/>
      <c r="G9" s="23"/>
      <c r="H9" s="70"/>
      <c r="K9" s="76"/>
      <c r="AB9" s="76"/>
      <c r="AC9" s="76"/>
      <c r="AD9" s="76"/>
      <c r="AE9" s="76"/>
      <c r="AF9" s="76"/>
      <c r="AG9" s="76"/>
    </row>
    <row r="10" spans="1:33" s="22" customFormat="1" ht="15" x14ac:dyDescent="0.25">
      <c r="A10" s="22" t="s">
        <v>620</v>
      </c>
      <c r="F10" s="62"/>
      <c r="G10" s="23"/>
      <c r="H10" s="70"/>
      <c r="K10" s="76"/>
      <c r="AB10" s="76"/>
      <c r="AC10" s="76"/>
      <c r="AD10" s="76"/>
      <c r="AE10" s="76"/>
      <c r="AF10" s="76"/>
      <c r="AG10" s="76"/>
    </row>
    <row r="11" spans="1:33" s="22" customFormat="1" ht="15" x14ac:dyDescent="0.25">
      <c r="A11" s="22" t="s">
        <v>621</v>
      </c>
      <c r="F11" s="62"/>
      <c r="G11" s="23"/>
      <c r="H11" s="70"/>
      <c r="K11" s="76"/>
      <c r="AB11" s="76"/>
      <c r="AC11" s="76"/>
      <c r="AD11" s="76"/>
      <c r="AE11" s="76"/>
      <c r="AF11" s="76"/>
      <c r="AG11" s="76"/>
    </row>
    <row r="12" spans="1:33" s="22" customFormat="1" ht="15" x14ac:dyDescent="0.25">
      <c r="F12" s="62"/>
      <c r="G12" s="23"/>
      <c r="H12" s="70"/>
      <c r="K12" s="76"/>
      <c r="AB12" s="76"/>
      <c r="AC12" s="76"/>
      <c r="AD12" s="76"/>
      <c r="AE12" s="76"/>
      <c r="AF12" s="76"/>
      <c r="AG12" s="76"/>
    </row>
    <row r="13" spans="1:33" s="22" customFormat="1" ht="15.75" thickBot="1" x14ac:dyDescent="0.3">
      <c r="A13" s="23" t="s">
        <v>193</v>
      </c>
      <c r="F13" s="62"/>
      <c r="G13" s="23"/>
      <c r="H13" s="70"/>
      <c r="K13" s="76"/>
      <c r="AB13" s="76"/>
      <c r="AC13" s="76"/>
      <c r="AD13" s="76"/>
      <c r="AE13" s="76"/>
      <c r="AF13" s="76"/>
      <c r="AG13" s="76"/>
    </row>
    <row r="14" spans="1:33" x14ac:dyDescent="0.25">
      <c r="A14" s="35" t="s">
        <v>51</v>
      </c>
      <c r="B14" s="36" t="s">
        <v>20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84"/>
    </row>
    <row r="15" spans="1:33" x14ac:dyDescent="0.25">
      <c r="A15" s="37"/>
      <c r="B15" s="28"/>
      <c r="C15" s="28"/>
      <c r="D15" s="28"/>
      <c r="E15" s="28"/>
      <c r="F15" s="28"/>
      <c r="G15" s="28" t="s">
        <v>48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 t="s">
        <v>49</v>
      </c>
      <c r="U15" s="28"/>
      <c r="V15" s="28"/>
      <c r="W15" s="28"/>
      <c r="X15" s="28"/>
      <c r="Y15" s="28"/>
      <c r="Z15" s="28"/>
      <c r="AA15" s="28"/>
      <c r="AB15" s="28"/>
      <c r="AC15" s="28"/>
      <c r="AD15" s="85" t="s">
        <v>50</v>
      </c>
      <c r="AE15" s="85"/>
      <c r="AF15" s="85"/>
      <c r="AG15" s="86"/>
    </row>
    <row r="16" spans="1:33" ht="38.25" x14ac:dyDescent="0.25">
      <c r="A16" s="37"/>
      <c r="B16" s="4" t="s">
        <v>6</v>
      </c>
      <c r="C16" s="4" t="s">
        <v>7</v>
      </c>
      <c r="D16" s="4" t="s">
        <v>0</v>
      </c>
      <c r="E16" s="4" t="s">
        <v>1</v>
      </c>
      <c r="F16" s="4" t="s">
        <v>2</v>
      </c>
      <c r="G16" s="24" t="s">
        <v>8</v>
      </c>
      <c r="H16" s="4" t="s">
        <v>3</v>
      </c>
      <c r="I16" s="4" t="s">
        <v>19</v>
      </c>
      <c r="J16" s="4" t="s">
        <v>9</v>
      </c>
      <c r="K16" s="25" t="s">
        <v>46</v>
      </c>
      <c r="L16" s="4" t="s">
        <v>14</v>
      </c>
      <c r="M16" s="4" t="s">
        <v>13</v>
      </c>
      <c r="N16" s="4" t="s">
        <v>12</v>
      </c>
      <c r="O16" s="4" t="s">
        <v>4</v>
      </c>
      <c r="P16" s="4" t="s">
        <v>625</v>
      </c>
      <c r="Q16" s="4" t="s">
        <v>52</v>
      </c>
      <c r="R16" s="4" t="s">
        <v>53</v>
      </c>
      <c r="S16" s="4" t="s">
        <v>5</v>
      </c>
      <c r="T16" s="4" t="s">
        <v>10</v>
      </c>
      <c r="U16" s="4" t="s">
        <v>9</v>
      </c>
      <c r="V16" s="4" t="s">
        <v>14</v>
      </c>
      <c r="W16" s="4" t="s">
        <v>11</v>
      </c>
      <c r="X16" s="4" t="s">
        <v>13</v>
      </c>
      <c r="Y16" s="4" t="s">
        <v>12</v>
      </c>
      <c r="Z16" s="4" t="s">
        <v>15</v>
      </c>
      <c r="AA16" s="4" t="s">
        <v>16</v>
      </c>
      <c r="AB16" s="25" t="s">
        <v>17</v>
      </c>
      <c r="AC16" s="25" t="s">
        <v>18</v>
      </c>
      <c r="AD16" s="25" t="s">
        <v>21</v>
      </c>
      <c r="AE16" s="25" t="s">
        <v>341</v>
      </c>
      <c r="AF16" s="25" t="s">
        <v>340</v>
      </c>
      <c r="AG16" s="87" t="s">
        <v>195</v>
      </c>
    </row>
    <row r="17" spans="1:33" ht="26.25" thickBot="1" x14ac:dyDescent="0.3">
      <c r="A17" s="38"/>
      <c r="B17" s="39" t="s">
        <v>22</v>
      </c>
      <c r="C17" s="39" t="s">
        <v>23</v>
      </c>
      <c r="D17" s="40" t="s">
        <v>45</v>
      </c>
      <c r="E17" s="39" t="s">
        <v>24</v>
      </c>
      <c r="F17" s="39" t="s">
        <v>25</v>
      </c>
      <c r="G17" s="40" t="s">
        <v>26</v>
      </c>
      <c r="H17" s="39" t="s">
        <v>27</v>
      </c>
      <c r="I17" s="39" t="s">
        <v>28</v>
      </c>
      <c r="J17" s="39" t="s">
        <v>29</v>
      </c>
      <c r="K17" s="77" t="s">
        <v>30</v>
      </c>
      <c r="L17" s="39" t="s">
        <v>31</v>
      </c>
      <c r="M17" s="39" t="s">
        <v>32</v>
      </c>
      <c r="N17" s="39" t="s">
        <v>33</v>
      </c>
      <c r="O17" s="39" t="s">
        <v>34</v>
      </c>
      <c r="P17" s="39" t="s">
        <v>35</v>
      </c>
      <c r="Q17" s="39" t="s">
        <v>36</v>
      </c>
      <c r="R17" s="39" t="s">
        <v>47</v>
      </c>
      <c r="S17" s="39" t="s">
        <v>37</v>
      </c>
      <c r="T17" s="39" t="s">
        <v>54</v>
      </c>
      <c r="U17" s="39" t="s">
        <v>38</v>
      </c>
      <c r="V17" s="39" t="s">
        <v>39</v>
      </c>
      <c r="W17" s="39" t="s">
        <v>40</v>
      </c>
      <c r="X17" s="39" t="s">
        <v>41</v>
      </c>
      <c r="Y17" s="39" t="s">
        <v>42</v>
      </c>
      <c r="Z17" s="39" t="s">
        <v>43</v>
      </c>
      <c r="AA17" s="39" t="s">
        <v>55</v>
      </c>
      <c r="AB17" s="77" t="s">
        <v>44</v>
      </c>
      <c r="AC17" s="77" t="s">
        <v>56</v>
      </c>
      <c r="AD17" s="77" t="s">
        <v>57</v>
      </c>
      <c r="AE17" s="77" t="s">
        <v>196</v>
      </c>
      <c r="AF17" s="77" t="s">
        <v>197</v>
      </c>
      <c r="AG17" s="88" t="s">
        <v>198</v>
      </c>
    </row>
    <row r="18" spans="1:33" x14ac:dyDescent="0.25">
      <c r="A18" s="29" t="s">
        <v>352</v>
      </c>
      <c r="B18" s="30" t="s">
        <v>74</v>
      </c>
      <c r="C18" s="30" t="s">
        <v>65</v>
      </c>
      <c r="D18" s="31" t="s">
        <v>59</v>
      </c>
      <c r="E18" s="31" t="s">
        <v>63</v>
      </c>
      <c r="F18" s="64" t="s">
        <v>68</v>
      </c>
      <c r="G18" s="68" t="s">
        <v>73</v>
      </c>
      <c r="H18" s="71" t="s">
        <v>69</v>
      </c>
      <c r="I18" s="30" t="s">
        <v>67</v>
      </c>
      <c r="J18" s="32">
        <v>42368</v>
      </c>
      <c r="K18" s="33">
        <v>36000</v>
      </c>
      <c r="L18" s="34"/>
      <c r="M18" s="32">
        <v>42368</v>
      </c>
      <c r="N18" s="32">
        <v>42733</v>
      </c>
      <c r="O18" s="31">
        <v>101</v>
      </c>
      <c r="P18" s="30" t="s">
        <v>73</v>
      </c>
      <c r="Q18" s="30" t="s">
        <v>66</v>
      </c>
      <c r="R18" s="30" t="s">
        <v>106</v>
      </c>
      <c r="S18" s="30" t="s">
        <v>81</v>
      </c>
      <c r="T18" s="30">
        <v>7</v>
      </c>
      <c r="U18" s="32">
        <v>44553</v>
      </c>
      <c r="V18" s="34">
        <v>13197</v>
      </c>
      <c r="W18" s="30" t="s">
        <v>62</v>
      </c>
      <c r="X18" s="32">
        <v>44559</v>
      </c>
      <c r="Y18" s="32">
        <v>44923</v>
      </c>
      <c r="Z18" s="30" t="s">
        <v>106</v>
      </c>
      <c r="AA18" s="30"/>
      <c r="AB18" s="33"/>
      <c r="AC18" s="33"/>
      <c r="AD18" s="33">
        <f>K18-AC18+AB18</f>
        <v>36000</v>
      </c>
      <c r="AE18" s="33">
        <v>0</v>
      </c>
      <c r="AF18" s="33">
        <v>0</v>
      </c>
      <c r="AG18" s="33">
        <f>AE18+AF18</f>
        <v>0</v>
      </c>
    </row>
    <row r="19" spans="1:33" x14ac:dyDescent="0.25">
      <c r="A19" s="14" t="s">
        <v>220</v>
      </c>
      <c r="B19" s="6" t="s">
        <v>74</v>
      </c>
      <c r="C19" s="6" t="s">
        <v>65</v>
      </c>
      <c r="D19" s="7" t="s">
        <v>59</v>
      </c>
      <c r="E19" s="7" t="s">
        <v>63</v>
      </c>
      <c r="F19" s="65" t="s">
        <v>70</v>
      </c>
      <c r="G19" s="24" t="s">
        <v>149</v>
      </c>
      <c r="H19" s="63" t="s">
        <v>71</v>
      </c>
      <c r="I19" s="6" t="s">
        <v>72</v>
      </c>
      <c r="J19" s="9">
        <v>42006</v>
      </c>
      <c r="K19" s="10">
        <v>9456</v>
      </c>
      <c r="L19" s="11">
        <v>11764</v>
      </c>
      <c r="M19" s="9">
        <v>44197</v>
      </c>
      <c r="N19" s="9">
        <v>44561</v>
      </c>
      <c r="O19" s="7">
        <v>101</v>
      </c>
      <c r="P19" s="6" t="s">
        <v>149</v>
      </c>
      <c r="Q19" s="6" t="s">
        <v>66</v>
      </c>
      <c r="R19" s="6" t="s">
        <v>106</v>
      </c>
      <c r="S19" s="6" t="s">
        <v>82</v>
      </c>
      <c r="T19" s="6">
        <v>5</v>
      </c>
      <c r="U19" s="9">
        <v>44560</v>
      </c>
      <c r="V19" s="11">
        <v>13198</v>
      </c>
      <c r="W19" s="6" t="s">
        <v>62</v>
      </c>
      <c r="X19" s="9">
        <v>44562</v>
      </c>
      <c r="Y19" s="9">
        <v>44926</v>
      </c>
      <c r="Z19" s="6" t="s">
        <v>106</v>
      </c>
      <c r="AA19" s="6"/>
      <c r="AB19" s="10">
        <v>1070.48</v>
      </c>
      <c r="AC19" s="10"/>
      <c r="AD19" s="33">
        <f t="shared" ref="AD19:AD82" si="0">K19-AC19+AB19</f>
        <v>10526.48</v>
      </c>
      <c r="AE19" s="10">
        <f>1224.62+1224.62+1224.62+1224.62+1224.62+1224.62+1224.62+1224.62+1224.62+1224.62+1224.62+1224.62</f>
        <v>14695.439999999995</v>
      </c>
      <c r="AF19" s="10">
        <f>1224.62+1224.62+1224.62+1224.62+1224.62+1224.62+1224.62+1224.62+1224.62+1224.62</f>
        <v>12246.199999999997</v>
      </c>
      <c r="AG19" s="33">
        <f t="shared" ref="AG19:AG82" si="1">AE19+AF19</f>
        <v>26941.639999999992</v>
      </c>
    </row>
    <row r="20" spans="1:33" x14ac:dyDescent="0.25">
      <c r="A20" s="14" t="s">
        <v>221</v>
      </c>
      <c r="B20" s="6" t="s">
        <v>75</v>
      </c>
      <c r="C20" s="6" t="s">
        <v>76</v>
      </c>
      <c r="D20" s="7" t="s">
        <v>59</v>
      </c>
      <c r="E20" s="7" t="s">
        <v>63</v>
      </c>
      <c r="F20" s="65" t="s">
        <v>77</v>
      </c>
      <c r="G20" s="24" t="s">
        <v>78</v>
      </c>
      <c r="H20" s="63" t="s">
        <v>79</v>
      </c>
      <c r="I20" s="6" t="s">
        <v>80</v>
      </c>
      <c r="J20" s="9">
        <v>42891</v>
      </c>
      <c r="K20" s="10">
        <v>42000</v>
      </c>
      <c r="L20" s="11">
        <v>12125</v>
      </c>
      <c r="M20" s="9">
        <v>42891</v>
      </c>
      <c r="N20" s="9">
        <v>43255</v>
      </c>
      <c r="O20" s="7">
        <v>101</v>
      </c>
      <c r="P20" s="6" t="s">
        <v>78</v>
      </c>
      <c r="Q20" s="7" t="s">
        <v>66</v>
      </c>
      <c r="R20" s="6" t="s">
        <v>106</v>
      </c>
      <c r="S20" s="6" t="s">
        <v>81</v>
      </c>
      <c r="T20" s="6">
        <v>5</v>
      </c>
      <c r="U20" s="9">
        <v>44309</v>
      </c>
      <c r="V20" s="11">
        <v>12832</v>
      </c>
      <c r="W20" s="6" t="s">
        <v>62</v>
      </c>
      <c r="X20" s="9">
        <v>44383</v>
      </c>
      <c r="Y20" s="9">
        <v>44747</v>
      </c>
      <c r="Z20" s="13">
        <v>6.5100000000000005E-2</v>
      </c>
      <c r="AA20" s="6"/>
      <c r="AB20" s="10"/>
      <c r="AC20" s="10"/>
      <c r="AD20" s="33">
        <f t="shared" si="0"/>
        <v>42000</v>
      </c>
      <c r="AE20" s="10">
        <f>4168.76+4168.76+4168.76+5488.02+5488.02+5488.02</f>
        <v>28970.340000000004</v>
      </c>
      <c r="AF20" s="10">
        <f>5488.02+5488.02+5488.02+5488.02+5488.02+5488.02+5488.02+5488.02</f>
        <v>43904.160000000003</v>
      </c>
      <c r="AG20" s="33">
        <f t="shared" si="1"/>
        <v>72874.5</v>
      </c>
    </row>
    <row r="21" spans="1:33" x14ac:dyDescent="0.25">
      <c r="A21" s="14" t="s">
        <v>353</v>
      </c>
      <c r="B21" s="6" t="s">
        <v>94</v>
      </c>
      <c r="C21" s="6" t="s">
        <v>95</v>
      </c>
      <c r="D21" s="7" t="s">
        <v>59</v>
      </c>
      <c r="E21" s="7" t="s">
        <v>60</v>
      </c>
      <c r="F21" s="65" t="s">
        <v>87</v>
      </c>
      <c r="G21" s="24" t="s">
        <v>88</v>
      </c>
      <c r="H21" s="72" t="s">
        <v>86</v>
      </c>
      <c r="I21" s="14" t="s">
        <v>89</v>
      </c>
      <c r="J21" s="9">
        <v>43305</v>
      </c>
      <c r="K21" s="10">
        <v>174322.08</v>
      </c>
      <c r="L21" s="11">
        <v>12375</v>
      </c>
      <c r="M21" s="9">
        <v>43305</v>
      </c>
      <c r="N21" s="9">
        <v>43670</v>
      </c>
      <c r="O21" s="7">
        <v>101</v>
      </c>
      <c r="P21" s="15" t="s">
        <v>105</v>
      </c>
      <c r="Q21" s="6" t="s">
        <v>66</v>
      </c>
      <c r="R21" s="6" t="s">
        <v>106</v>
      </c>
      <c r="S21" s="6" t="s">
        <v>61</v>
      </c>
      <c r="T21" s="6">
        <v>3</v>
      </c>
      <c r="U21" s="9">
        <v>44400</v>
      </c>
      <c r="V21" s="11">
        <v>13099</v>
      </c>
      <c r="W21" s="6" t="s">
        <v>62</v>
      </c>
      <c r="X21" s="9">
        <v>44402</v>
      </c>
      <c r="Y21" s="9">
        <v>44766</v>
      </c>
      <c r="Z21" s="6" t="s">
        <v>106</v>
      </c>
      <c r="AA21" s="6"/>
      <c r="AB21" s="10"/>
      <c r="AC21" s="10"/>
      <c r="AD21" s="33">
        <f t="shared" si="0"/>
        <v>174322.08</v>
      </c>
      <c r="AE21" s="10">
        <f>9684.56+8554.69+9684.56+2421.14+9684.56+8473.99+9684.56+12105.7</f>
        <v>70293.759999999995</v>
      </c>
      <c r="AF21" s="10">
        <f>12105.7+13477.68+14526.84+12105.7+12105.7+12105.7+9684.55</f>
        <v>86111.87</v>
      </c>
      <c r="AG21" s="33">
        <f t="shared" si="1"/>
        <v>156405.63</v>
      </c>
    </row>
    <row r="22" spans="1:33" x14ac:dyDescent="0.25">
      <c r="A22" s="14" t="s">
        <v>222</v>
      </c>
      <c r="B22" s="6" t="s">
        <v>94</v>
      </c>
      <c r="C22" s="6" t="s">
        <v>92</v>
      </c>
      <c r="D22" s="7" t="s">
        <v>59</v>
      </c>
      <c r="E22" s="7" t="s">
        <v>63</v>
      </c>
      <c r="F22" s="65" t="s">
        <v>87</v>
      </c>
      <c r="G22" s="24" t="s">
        <v>90</v>
      </c>
      <c r="H22" s="72" t="s">
        <v>93</v>
      </c>
      <c r="I22" s="14" t="s">
        <v>91</v>
      </c>
      <c r="J22" s="9">
        <v>43301</v>
      </c>
      <c r="K22" s="10">
        <v>235600.8</v>
      </c>
      <c r="L22" s="11">
        <v>12375</v>
      </c>
      <c r="M22" s="9">
        <v>43305</v>
      </c>
      <c r="N22" s="9">
        <v>43670</v>
      </c>
      <c r="O22" s="7">
        <v>101</v>
      </c>
      <c r="P22" s="8" t="s">
        <v>90</v>
      </c>
      <c r="Q22" s="6" t="s">
        <v>66</v>
      </c>
      <c r="R22" s="6" t="s">
        <v>106</v>
      </c>
      <c r="S22" s="6" t="s">
        <v>61</v>
      </c>
      <c r="T22" s="6">
        <v>5</v>
      </c>
      <c r="U22" s="9">
        <v>44764</v>
      </c>
      <c r="V22" s="11">
        <v>13343</v>
      </c>
      <c r="W22" s="6" t="s">
        <v>62</v>
      </c>
      <c r="X22" s="9">
        <v>44767</v>
      </c>
      <c r="Y22" s="9">
        <v>45131</v>
      </c>
      <c r="Z22" s="6" t="s">
        <v>106</v>
      </c>
      <c r="AA22" s="6"/>
      <c r="AB22" s="10"/>
      <c r="AC22" s="10"/>
      <c r="AD22" s="33">
        <f t="shared" si="0"/>
        <v>235600.8</v>
      </c>
      <c r="AE22" s="10">
        <f>3357.52+3357.52+17621.81+10434.93+10434.93+13973.63+13973.63+13973.63</f>
        <v>87127.6</v>
      </c>
      <c r="AF22" s="10">
        <f>16214.8+13973.63+17158.45+17158.45+17512.33+17512.33+17512.33+14799.32+14444.71+4482.2+14444.71</f>
        <v>165213.26</v>
      </c>
      <c r="AG22" s="33">
        <f t="shared" si="1"/>
        <v>252340.86000000002</v>
      </c>
    </row>
    <row r="23" spans="1:33" x14ac:dyDescent="0.25">
      <c r="A23" s="14" t="s">
        <v>354</v>
      </c>
      <c r="B23" s="6" t="s">
        <v>266</v>
      </c>
      <c r="C23" s="6" t="s">
        <v>265</v>
      </c>
      <c r="D23" s="7" t="s">
        <v>59</v>
      </c>
      <c r="E23" s="7" t="s">
        <v>63</v>
      </c>
      <c r="F23" s="65" t="s">
        <v>87</v>
      </c>
      <c r="G23" s="24" t="s">
        <v>191</v>
      </c>
      <c r="H23" s="72" t="s">
        <v>93</v>
      </c>
      <c r="I23" s="14" t="s">
        <v>91</v>
      </c>
      <c r="J23" s="9">
        <v>44237</v>
      </c>
      <c r="K23" s="10">
        <v>1995152.04</v>
      </c>
      <c r="L23" s="11"/>
      <c r="M23" s="9">
        <v>44237</v>
      </c>
      <c r="N23" s="9">
        <v>44602</v>
      </c>
      <c r="O23" s="7" t="s">
        <v>155</v>
      </c>
      <c r="P23" s="6" t="s">
        <v>106</v>
      </c>
      <c r="Q23" s="6" t="s">
        <v>66</v>
      </c>
      <c r="R23" s="6" t="s">
        <v>106</v>
      </c>
      <c r="S23" s="6" t="s">
        <v>121</v>
      </c>
      <c r="T23" s="6">
        <v>3</v>
      </c>
      <c r="U23" s="9">
        <v>44830</v>
      </c>
      <c r="V23" s="11">
        <v>13378</v>
      </c>
      <c r="W23" s="6" t="s">
        <v>595</v>
      </c>
      <c r="X23" s="9">
        <v>44603</v>
      </c>
      <c r="Y23" s="9">
        <v>44967</v>
      </c>
      <c r="Z23" s="16">
        <v>0.05</v>
      </c>
      <c r="AA23" s="6"/>
      <c r="AB23" s="10"/>
      <c r="AC23" s="10"/>
      <c r="AD23" s="33">
        <f t="shared" si="0"/>
        <v>1995152.04</v>
      </c>
      <c r="AE23" s="10">
        <f>85233.01+5346.91+51263.4+2716.63+2716.63+5534.79</f>
        <v>152811.37000000002</v>
      </c>
      <c r="AF23" s="10">
        <f>58515.1+5534.79+5534.79+59616.35+5534.79+59616.35+63535.76+5534.79+5534.79+8454.48+59877.64+62992.43+5534.79+11171.11+31737.71+5534.79+67324.52+123990.25+97742.62+111029.68</f>
        <v>854347.53</v>
      </c>
      <c r="AG23" s="33">
        <f t="shared" si="1"/>
        <v>1007158.9</v>
      </c>
    </row>
    <row r="24" spans="1:33" x14ac:dyDescent="0.25">
      <c r="A24" s="14" t="s">
        <v>355</v>
      </c>
      <c r="B24" s="6" t="s">
        <v>266</v>
      </c>
      <c r="C24" s="6" t="s">
        <v>265</v>
      </c>
      <c r="D24" s="7" t="s">
        <v>59</v>
      </c>
      <c r="E24" s="7" t="s">
        <v>63</v>
      </c>
      <c r="F24" s="65" t="s">
        <v>87</v>
      </c>
      <c r="G24" s="24" t="s">
        <v>167</v>
      </c>
      <c r="H24" s="72" t="s">
        <v>93</v>
      </c>
      <c r="I24" s="14" t="s">
        <v>264</v>
      </c>
      <c r="J24" s="9">
        <v>44053</v>
      </c>
      <c r="K24" s="10">
        <v>195597.36</v>
      </c>
      <c r="L24" s="11"/>
      <c r="M24" s="9">
        <v>44053</v>
      </c>
      <c r="N24" s="9">
        <v>44418</v>
      </c>
      <c r="O24" s="7" t="s">
        <v>155</v>
      </c>
      <c r="P24" s="6" t="s">
        <v>106</v>
      </c>
      <c r="Q24" s="6" t="s">
        <v>66</v>
      </c>
      <c r="R24" s="6" t="s">
        <v>106</v>
      </c>
      <c r="S24" s="6" t="s">
        <v>61</v>
      </c>
      <c r="T24" s="14">
        <v>2</v>
      </c>
      <c r="U24" s="17">
        <v>44546</v>
      </c>
      <c r="V24" s="18">
        <v>13189</v>
      </c>
      <c r="W24" s="14" t="s">
        <v>321</v>
      </c>
      <c r="X24" s="17">
        <v>44546</v>
      </c>
      <c r="Y24" s="17">
        <v>44910</v>
      </c>
      <c r="Z24" s="14">
        <v>25</v>
      </c>
      <c r="AA24" s="6"/>
      <c r="AB24" s="10"/>
      <c r="AC24" s="10"/>
      <c r="AD24" s="33">
        <f t="shared" si="0"/>
        <v>195597.36</v>
      </c>
      <c r="AE24" s="10">
        <f>69008.78+30768.16+3919.41+24132.12+31056.41</f>
        <v>158884.88</v>
      </c>
      <c r="AF24" s="10">
        <f>28051.53+28051.53+60536.6+37201.14+6737.57+6737.57+22415.21+18887.74+6737.57+105256.04+40419.55+3204.31</f>
        <v>364236.36</v>
      </c>
      <c r="AG24" s="33">
        <f t="shared" si="1"/>
        <v>523121.24</v>
      </c>
    </row>
    <row r="25" spans="1:33" x14ac:dyDescent="0.25">
      <c r="A25" s="14" t="s">
        <v>223</v>
      </c>
      <c r="B25" s="6" t="s">
        <v>104</v>
      </c>
      <c r="C25" s="6" t="s">
        <v>103</v>
      </c>
      <c r="D25" s="7" t="s">
        <v>59</v>
      </c>
      <c r="E25" s="7" t="s">
        <v>63</v>
      </c>
      <c r="F25" s="65" t="s">
        <v>85</v>
      </c>
      <c r="G25" s="24" t="s">
        <v>98</v>
      </c>
      <c r="H25" s="72" t="s">
        <v>96</v>
      </c>
      <c r="I25" s="14" t="s">
        <v>99</v>
      </c>
      <c r="J25" s="9">
        <v>43412</v>
      </c>
      <c r="K25" s="10">
        <v>18000</v>
      </c>
      <c r="L25" s="11">
        <v>12429</v>
      </c>
      <c r="M25" s="9">
        <v>43412</v>
      </c>
      <c r="N25" s="9">
        <v>43777</v>
      </c>
      <c r="O25" s="7">
        <v>101</v>
      </c>
      <c r="P25" s="8" t="s">
        <v>98</v>
      </c>
      <c r="Q25" s="6" t="s">
        <v>101</v>
      </c>
      <c r="R25" s="6" t="s">
        <v>106</v>
      </c>
      <c r="S25" s="6" t="s">
        <v>61</v>
      </c>
      <c r="T25" s="6">
        <v>3</v>
      </c>
      <c r="U25" s="9">
        <v>44505</v>
      </c>
      <c r="V25" s="11">
        <v>13163</v>
      </c>
      <c r="W25" s="6" t="s">
        <v>194</v>
      </c>
      <c r="X25" s="9">
        <v>44509</v>
      </c>
      <c r="Y25" s="9">
        <v>44873</v>
      </c>
      <c r="Z25" s="6" t="s">
        <v>106</v>
      </c>
      <c r="AA25" s="13"/>
      <c r="AB25" s="10"/>
      <c r="AC25" s="10"/>
      <c r="AD25" s="33">
        <f t="shared" si="0"/>
        <v>18000</v>
      </c>
      <c r="AE25" s="10">
        <f>1800.69+1800.69+1800.69</f>
        <v>5402.07</v>
      </c>
      <c r="AF25" s="10">
        <f>1800.69+1800.69+1800.69+1800.69+1800.69+1800.69+1800.69+1800.69</f>
        <v>14405.520000000002</v>
      </c>
      <c r="AG25" s="33">
        <f t="shared" si="1"/>
        <v>19807.590000000004</v>
      </c>
    </row>
    <row r="26" spans="1:33" x14ac:dyDescent="0.25">
      <c r="A26" s="14" t="s">
        <v>224</v>
      </c>
      <c r="B26" s="6" t="s">
        <v>127</v>
      </c>
      <c r="C26" s="6" t="s">
        <v>128</v>
      </c>
      <c r="D26" s="7" t="s">
        <v>59</v>
      </c>
      <c r="E26" s="7" t="s">
        <v>63</v>
      </c>
      <c r="F26" s="65" t="s">
        <v>175</v>
      </c>
      <c r="G26" s="24" t="s">
        <v>190</v>
      </c>
      <c r="H26" s="72" t="s">
        <v>176</v>
      </c>
      <c r="I26" s="14" t="s">
        <v>177</v>
      </c>
      <c r="J26" s="9">
        <v>43565</v>
      </c>
      <c r="K26" s="10">
        <v>9960</v>
      </c>
      <c r="L26" s="11">
        <v>12538</v>
      </c>
      <c r="M26" s="9">
        <v>43565</v>
      </c>
      <c r="N26" s="9">
        <v>43830</v>
      </c>
      <c r="O26" s="7">
        <v>101</v>
      </c>
      <c r="P26" s="8" t="s">
        <v>107</v>
      </c>
      <c r="Q26" s="6" t="s">
        <v>101</v>
      </c>
      <c r="R26" s="6" t="s">
        <v>106</v>
      </c>
      <c r="S26" s="6" t="s">
        <v>61</v>
      </c>
      <c r="T26" s="6">
        <v>4</v>
      </c>
      <c r="U26" s="9">
        <v>44719</v>
      </c>
      <c r="V26" s="11">
        <v>13314</v>
      </c>
      <c r="W26" s="6" t="s">
        <v>62</v>
      </c>
      <c r="X26" s="9">
        <v>44720</v>
      </c>
      <c r="Y26" s="9">
        <v>45084</v>
      </c>
      <c r="Z26" s="6" t="s">
        <v>106</v>
      </c>
      <c r="AA26" s="6"/>
      <c r="AB26" s="10"/>
      <c r="AC26" s="10"/>
      <c r="AD26" s="33">
        <f t="shared" si="0"/>
        <v>9960</v>
      </c>
      <c r="AE26" s="10">
        <f>3140.18+3140.18+3140.18</f>
        <v>9420.5399999999991</v>
      </c>
      <c r="AF26" s="10">
        <f>3140.18+3140.18</f>
        <v>6280.36</v>
      </c>
      <c r="AG26" s="33">
        <f t="shared" si="1"/>
        <v>15700.899999999998</v>
      </c>
    </row>
    <row r="27" spans="1:33" ht="25.5" x14ac:dyDescent="0.25">
      <c r="A27" s="14" t="s">
        <v>225</v>
      </c>
      <c r="B27" s="6" t="s">
        <v>123</v>
      </c>
      <c r="C27" s="6" t="s">
        <v>124</v>
      </c>
      <c r="D27" s="7" t="s">
        <v>59</v>
      </c>
      <c r="E27" s="7" t="s">
        <v>63</v>
      </c>
      <c r="F27" s="65" t="s">
        <v>110</v>
      </c>
      <c r="G27" s="24" t="s">
        <v>126</v>
      </c>
      <c r="H27" s="63" t="s">
        <v>109</v>
      </c>
      <c r="I27" s="6" t="s">
        <v>125</v>
      </c>
      <c r="J27" s="9">
        <v>43259</v>
      </c>
      <c r="K27" s="10">
        <v>16900</v>
      </c>
      <c r="L27" s="11">
        <v>12323</v>
      </c>
      <c r="M27" s="9">
        <v>43259</v>
      </c>
      <c r="N27" s="9">
        <v>43624</v>
      </c>
      <c r="O27" s="7">
        <v>101</v>
      </c>
      <c r="P27" s="8" t="s">
        <v>126</v>
      </c>
      <c r="Q27" s="6" t="s">
        <v>101</v>
      </c>
      <c r="R27" s="6" t="s">
        <v>106</v>
      </c>
      <c r="S27" s="6" t="s">
        <v>61</v>
      </c>
      <c r="T27" s="6">
        <v>3</v>
      </c>
      <c r="U27" s="9">
        <v>44386</v>
      </c>
      <c r="V27" s="11">
        <v>13060</v>
      </c>
      <c r="W27" s="6" t="s">
        <v>62</v>
      </c>
      <c r="X27" s="9">
        <v>44356</v>
      </c>
      <c r="Y27" s="9">
        <v>44720</v>
      </c>
      <c r="Z27" s="6" t="s">
        <v>106</v>
      </c>
      <c r="AA27" s="6"/>
      <c r="AB27" s="10"/>
      <c r="AC27" s="10"/>
      <c r="AD27" s="33">
        <f t="shared" si="0"/>
        <v>16900</v>
      </c>
      <c r="AE27" s="10">
        <f>1115+1100</f>
        <v>2215</v>
      </c>
      <c r="AF27" s="10">
        <f>535+515+420+305+145+345</f>
        <v>2265</v>
      </c>
      <c r="AG27" s="33">
        <f t="shared" si="1"/>
        <v>4480</v>
      </c>
    </row>
    <row r="28" spans="1:33" x14ac:dyDescent="0.25">
      <c r="A28" s="14" t="s">
        <v>226</v>
      </c>
      <c r="B28" s="6" t="s">
        <v>119</v>
      </c>
      <c r="C28" s="6" t="s">
        <v>106</v>
      </c>
      <c r="D28" s="7" t="s">
        <v>59</v>
      </c>
      <c r="E28" s="7" t="s">
        <v>63</v>
      </c>
      <c r="F28" s="65" t="s">
        <v>120</v>
      </c>
      <c r="G28" s="24" t="s">
        <v>111</v>
      </c>
      <c r="H28" s="63" t="s">
        <v>112</v>
      </c>
      <c r="I28" s="6" t="s">
        <v>64</v>
      </c>
      <c r="J28" s="9">
        <v>43616</v>
      </c>
      <c r="K28" s="10">
        <v>1098144.57</v>
      </c>
      <c r="L28" s="11">
        <v>12568</v>
      </c>
      <c r="M28" s="9">
        <v>43616</v>
      </c>
      <c r="N28" s="9">
        <v>43982</v>
      </c>
      <c r="O28" s="7">
        <v>101</v>
      </c>
      <c r="P28" s="8" t="s">
        <v>111</v>
      </c>
      <c r="Q28" s="6" t="s">
        <v>101</v>
      </c>
      <c r="R28" s="6" t="s">
        <v>106</v>
      </c>
      <c r="S28" s="6" t="s">
        <v>425</v>
      </c>
      <c r="T28" s="14">
        <v>5</v>
      </c>
      <c r="U28" s="17">
        <v>44712</v>
      </c>
      <c r="V28" s="18">
        <v>13303</v>
      </c>
      <c r="W28" s="14" t="s">
        <v>62</v>
      </c>
      <c r="X28" s="17">
        <v>44713</v>
      </c>
      <c r="Y28" s="17">
        <v>45077</v>
      </c>
      <c r="Z28" s="6" t="s">
        <v>106</v>
      </c>
      <c r="AA28" s="6"/>
      <c r="AB28" s="10"/>
      <c r="AC28" s="10"/>
      <c r="AD28" s="33">
        <f t="shared" si="0"/>
        <v>1098144.57</v>
      </c>
      <c r="AE28" s="10">
        <f>19087.04+15269.96+2726.72+29993.92+3635.62+114158.67+3725.8+29993.92+4453.64+19087.04+5453.44+2726.72+2726.72+5453.44+19087.04+5453.44+2726.72+19087.04+31354.1</f>
        <v>336200.98999999993</v>
      </c>
      <c r="AF28" s="10">
        <f>31354.1+28427.72+28218.69+75249.84+6270.82+21947.87+21947.87+6270.82+21947.87+6270.82+29935.08+40633.1+19956.72+3326.12+6652.24</f>
        <v>348409.67999999993</v>
      </c>
      <c r="AG28" s="33">
        <f t="shared" si="1"/>
        <v>684610.66999999993</v>
      </c>
    </row>
    <row r="29" spans="1:33" x14ac:dyDescent="0.25">
      <c r="A29" s="14" t="s">
        <v>356</v>
      </c>
      <c r="B29" s="6" t="s">
        <v>117</v>
      </c>
      <c r="C29" s="6" t="s">
        <v>106</v>
      </c>
      <c r="D29" s="7" t="s">
        <v>59</v>
      </c>
      <c r="E29" s="7" t="s">
        <v>63</v>
      </c>
      <c r="F29" s="65" t="s">
        <v>118</v>
      </c>
      <c r="G29" s="24" t="s">
        <v>114</v>
      </c>
      <c r="H29" s="63" t="s">
        <v>108</v>
      </c>
      <c r="I29" s="6" t="s">
        <v>116</v>
      </c>
      <c r="J29" s="9">
        <v>43562</v>
      </c>
      <c r="K29" s="10">
        <v>400025.4</v>
      </c>
      <c r="L29" s="11">
        <v>12784</v>
      </c>
      <c r="M29" s="9">
        <v>43928</v>
      </c>
      <c r="N29" s="9">
        <v>44292</v>
      </c>
      <c r="O29" s="7">
        <v>101</v>
      </c>
      <c r="P29" s="8" t="s">
        <v>114</v>
      </c>
      <c r="Q29" s="6" t="s">
        <v>101</v>
      </c>
      <c r="R29" s="6" t="s">
        <v>106</v>
      </c>
      <c r="S29" s="6" t="s">
        <v>61</v>
      </c>
      <c r="T29" s="6">
        <v>2</v>
      </c>
      <c r="U29" s="9">
        <v>44285</v>
      </c>
      <c r="V29" s="11">
        <v>13013</v>
      </c>
      <c r="W29" s="6" t="s">
        <v>62</v>
      </c>
      <c r="X29" s="17">
        <v>44293</v>
      </c>
      <c r="Y29" s="17">
        <v>44657</v>
      </c>
      <c r="Z29" s="9" t="s">
        <v>106</v>
      </c>
      <c r="AA29" s="9"/>
      <c r="AB29" s="10"/>
      <c r="AC29" s="10"/>
      <c r="AD29" s="33">
        <f t="shared" si="0"/>
        <v>400025.4</v>
      </c>
      <c r="AE29" s="10">
        <f>9085.75+914.25+6880.11+8119.89+17424.43+12317.43+12467.16+2790.98+12931+10381.79</f>
        <v>93312.790000000008</v>
      </c>
      <c r="AF29" s="10">
        <f>15000+16687.21+11226.94</f>
        <v>42914.15</v>
      </c>
      <c r="AG29" s="33">
        <f t="shared" si="1"/>
        <v>136226.94</v>
      </c>
    </row>
    <row r="30" spans="1:33" x14ac:dyDescent="0.25">
      <c r="A30" s="14" t="s">
        <v>357</v>
      </c>
      <c r="B30" s="6" t="s">
        <v>133</v>
      </c>
      <c r="C30" s="6" t="s">
        <v>134</v>
      </c>
      <c r="D30" s="7" t="s">
        <v>59</v>
      </c>
      <c r="E30" s="7" t="s">
        <v>63</v>
      </c>
      <c r="F30" s="65" t="s">
        <v>87</v>
      </c>
      <c r="G30" s="24" t="s">
        <v>131</v>
      </c>
      <c r="H30" s="63" t="s">
        <v>130</v>
      </c>
      <c r="I30" s="6" t="s">
        <v>132</v>
      </c>
      <c r="J30" s="9">
        <v>43662</v>
      </c>
      <c r="K30" s="10">
        <v>1073883.3600000001</v>
      </c>
      <c r="L30" s="11" t="s">
        <v>106</v>
      </c>
      <c r="M30" s="9">
        <v>43663</v>
      </c>
      <c r="N30" s="9">
        <v>44029</v>
      </c>
      <c r="O30" s="7" t="s">
        <v>140</v>
      </c>
      <c r="P30" s="8" t="s">
        <v>131</v>
      </c>
      <c r="Q30" s="6" t="s">
        <v>101</v>
      </c>
      <c r="R30" s="6" t="s">
        <v>106</v>
      </c>
      <c r="S30" s="6" t="s">
        <v>61</v>
      </c>
      <c r="T30" s="6">
        <v>4</v>
      </c>
      <c r="U30" s="9">
        <v>44841</v>
      </c>
      <c r="V30" s="11">
        <v>13388</v>
      </c>
      <c r="W30" s="9" t="s">
        <v>194</v>
      </c>
      <c r="X30" s="9">
        <v>44760</v>
      </c>
      <c r="Y30" s="9">
        <v>45124</v>
      </c>
      <c r="Z30" s="16">
        <v>0.05</v>
      </c>
      <c r="AA30" s="9"/>
      <c r="AB30" s="10"/>
      <c r="AC30" s="10"/>
      <c r="AD30" s="33">
        <f t="shared" si="0"/>
        <v>1073883.3600000001</v>
      </c>
      <c r="AE30" s="10">
        <f>33558.84+41389.24+117413+115651.81+63990.08+49509.15+46965.2+36593.73+23482.6</f>
        <v>528553.65</v>
      </c>
      <c r="AF30" s="10">
        <f>56358.24+64577.15+64577.15+99801.05+46965.2+46965.2+46965.2+46965.2+69422.32+12328</f>
        <v>554924.71000000008</v>
      </c>
      <c r="AG30" s="33">
        <f t="shared" si="1"/>
        <v>1083478.3600000001</v>
      </c>
    </row>
    <row r="31" spans="1:33" x14ac:dyDescent="0.25">
      <c r="A31" s="14" t="s">
        <v>227</v>
      </c>
      <c r="B31" s="6" t="s">
        <v>106</v>
      </c>
      <c r="C31" s="6" t="s">
        <v>135</v>
      </c>
      <c r="D31" s="7" t="s">
        <v>59</v>
      </c>
      <c r="E31" s="7" t="s">
        <v>63</v>
      </c>
      <c r="F31" s="65" t="s">
        <v>87</v>
      </c>
      <c r="G31" s="24" t="s">
        <v>113</v>
      </c>
      <c r="H31" s="63" t="s">
        <v>129</v>
      </c>
      <c r="I31" s="6" t="s">
        <v>64</v>
      </c>
      <c r="J31" s="9">
        <v>43661</v>
      </c>
      <c r="K31" s="10">
        <v>325884</v>
      </c>
      <c r="L31" s="11">
        <v>12602</v>
      </c>
      <c r="M31" s="9">
        <v>43661</v>
      </c>
      <c r="N31" s="9">
        <v>43997</v>
      </c>
      <c r="O31" s="7">
        <v>101</v>
      </c>
      <c r="P31" s="8" t="s">
        <v>113</v>
      </c>
      <c r="Q31" s="6" t="s">
        <v>101</v>
      </c>
      <c r="R31" s="6" t="s">
        <v>106</v>
      </c>
      <c r="S31" s="6" t="s">
        <v>61</v>
      </c>
      <c r="T31" s="14">
        <v>4</v>
      </c>
      <c r="U31" s="17">
        <v>44756</v>
      </c>
      <c r="V31" s="18">
        <v>13343</v>
      </c>
      <c r="W31" s="9" t="s">
        <v>62</v>
      </c>
      <c r="X31" s="17">
        <v>44758</v>
      </c>
      <c r="Y31" s="17">
        <v>45122</v>
      </c>
      <c r="Z31" s="6" t="s">
        <v>106</v>
      </c>
      <c r="AA31" s="6"/>
      <c r="AB31" s="10"/>
      <c r="AC31" s="10"/>
      <c r="AD31" s="33">
        <f t="shared" si="0"/>
        <v>325884</v>
      </c>
      <c r="AE31" s="10">
        <f>27306.4+12412+4964.8+4964.8+4964.8+4964.8</f>
        <v>59577.600000000013</v>
      </c>
      <c r="AF31" s="10">
        <f>4964.8+4964.8+6371.49+7447.2+7447.2+7447.2+7447.2+9929.6+9929.6+9929.6</f>
        <v>75878.69</v>
      </c>
      <c r="AG31" s="33">
        <f t="shared" si="1"/>
        <v>135456.29</v>
      </c>
    </row>
    <row r="32" spans="1:33" x14ac:dyDescent="0.25">
      <c r="A32" s="14" t="s">
        <v>228</v>
      </c>
      <c r="B32" s="6" t="s">
        <v>138</v>
      </c>
      <c r="C32" s="6" t="s">
        <v>139</v>
      </c>
      <c r="D32" s="7" t="s">
        <v>59</v>
      </c>
      <c r="E32" s="7" t="s">
        <v>63</v>
      </c>
      <c r="F32" s="65" t="s">
        <v>87</v>
      </c>
      <c r="G32" s="24" t="s">
        <v>136</v>
      </c>
      <c r="H32" s="63" t="s">
        <v>129</v>
      </c>
      <c r="I32" s="6" t="s">
        <v>137</v>
      </c>
      <c r="J32" s="9">
        <v>43707</v>
      </c>
      <c r="K32" s="10">
        <v>239468.98</v>
      </c>
      <c r="L32" s="11">
        <v>12632</v>
      </c>
      <c r="M32" s="9">
        <v>43707</v>
      </c>
      <c r="N32" s="9">
        <v>44073</v>
      </c>
      <c r="O32" s="7">
        <v>101</v>
      </c>
      <c r="P32" s="8" t="s">
        <v>136</v>
      </c>
      <c r="Q32" s="6" t="s">
        <v>101</v>
      </c>
      <c r="R32" s="6" t="s">
        <v>106</v>
      </c>
      <c r="S32" s="6" t="s">
        <v>61</v>
      </c>
      <c r="T32" s="14">
        <v>5</v>
      </c>
      <c r="U32" s="17">
        <v>44803</v>
      </c>
      <c r="V32" s="18">
        <v>13366</v>
      </c>
      <c r="W32" s="6" t="s">
        <v>62</v>
      </c>
      <c r="X32" s="17">
        <v>44804</v>
      </c>
      <c r="Y32" s="17">
        <v>45168</v>
      </c>
      <c r="Z32" s="6" t="s">
        <v>106</v>
      </c>
      <c r="AA32" s="6"/>
      <c r="AB32" s="10"/>
      <c r="AC32" s="10"/>
      <c r="AD32" s="33">
        <f t="shared" si="0"/>
        <v>239468.98</v>
      </c>
      <c r="AE32" s="10">
        <f>3788.04+2962.71+8888.13+8888.13+8888.13+8888.13+8888.13</f>
        <v>51191.399999999994</v>
      </c>
      <c r="AF32" s="10">
        <f>8888.13+8109.5+6665.34+16474.27+6665.34+6665.34+6665.34+6665.34+6665.34+6665.34+6665.34</f>
        <v>86794.619999999981</v>
      </c>
      <c r="AG32" s="33">
        <f t="shared" si="1"/>
        <v>137986.01999999996</v>
      </c>
    </row>
    <row r="33" spans="1:33" x14ac:dyDescent="0.25">
      <c r="A33" s="14" t="s">
        <v>229</v>
      </c>
      <c r="B33" s="6" t="s">
        <v>145</v>
      </c>
      <c r="C33" s="6" t="s">
        <v>146</v>
      </c>
      <c r="D33" s="7" t="s">
        <v>59</v>
      </c>
      <c r="E33" s="7" t="s">
        <v>63</v>
      </c>
      <c r="F33" s="65" t="s">
        <v>143</v>
      </c>
      <c r="G33" s="24" t="s">
        <v>142</v>
      </c>
      <c r="H33" s="63" t="s">
        <v>141</v>
      </c>
      <c r="I33" s="6" t="s">
        <v>147</v>
      </c>
      <c r="J33" s="9">
        <v>43747</v>
      </c>
      <c r="K33" s="10">
        <v>762648</v>
      </c>
      <c r="L33" s="11">
        <v>12654</v>
      </c>
      <c r="M33" s="9">
        <v>43747</v>
      </c>
      <c r="N33" s="9">
        <v>44113</v>
      </c>
      <c r="O33" s="7">
        <v>101</v>
      </c>
      <c r="P33" s="8" t="s">
        <v>142</v>
      </c>
      <c r="Q33" s="6" t="s">
        <v>101</v>
      </c>
      <c r="R33" s="6" t="s">
        <v>148</v>
      </c>
      <c r="S33" s="6" t="s">
        <v>61</v>
      </c>
      <c r="T33" s="14">
        <v>4</v>
      </c>
      <c r="U33" s="17">
        <v>44770</v>
      </c>
      <c r="V33" s="18">
        <v>13381</v>
      </c>
      <c r="W33" s="17" t="s">
        <v>183</v>
      </c>
      <c r="X33" s="17">
        <v>44843</v>
      </c>
      <c r="Y33" s="17">
        <v>45207</v>
      </c>
      <c r="Z33" s="6" t="s">
        <v>106</v>
      </c>
      <c r="AA33" s="6"/>
      <c r="AB33" s="10"/>
      <c r="AC33" s="10"/>
      <c r="AD33" s="33">
        <f t="shared" si="0"/>
        <v>762648</v>
      </c>
      <c r="AE33" s="10">
        <f>64348.2+14624.85+5849.94+6766.08+16915.21+7099.22+17748.05+24847.27+10648.83</f>
        <v>168847.64999999997</v>
      </c>
      <c r="AF33" s="10">
        <f>24847.27+10648.83+10648.83+24847.27+21297.66+10648.83+21297.66+10648.83+10648.83+10648.83+17748.05+3549.61+3549.61+17748.05+17748.05+3549.61+7099.22+17748.05+7099.22+17748.05</f>
        <v>269770.35999999987</v>
      </c>
      <c r="AG33" s="33">
        <f t="shared" si="1"/>
        <v>438618.00999999983</v>
      </c>
    </row>
    <row r="34" spans="1:33" ht="25.5" x14ac:dyDescent="0.25">
      <c r="A34" s="14" t="s">
        <v>230</v>
      </c>
      <c r="B34" s="6" t="s">
        <v>153</v>
      </c>
      <c r="C34" s="6" t="s">
        <v>154</v>
      </c>
      <c r="D34" s="7" t="s">
        <v>59</v>
      </c>
      <c r="E34" s="7" t="s">
        <v>60</v>
      </c>
      <c r="F34" s="65" t="s">
        <v>122</v>
      </c>
      <c r="G34" s="26" t="s">
        <v>150</v>
      </c>
      <c r="H34" s="63" t="s">
        <v>151</v>
      </c>
      <c r="I34" s="14" t="s">
        <v>83</v>
      </c>
      <c r="J34" s="17">
        <v>43909</v>
      </c>
      <c r="K34" s="10">
        <v>1445904</v>
      </c>
      <c r="L34" s="18">
        <v>12777</v>
      </c>
      <c r="M34" s="17">
        <v>43909</v>
      </c>
      <c r="N34" s="17">
        <v>44273</v>
      </c>
      <c r="O34" s="19" t="s">
        <v>155</v>
      </c>
      <c r="P34" s="14" t="s">
        <v>150</v>
      </c>
      <c r="Q34" s="14" t="s">
        <v>156</v>
      </c>
      <c r="R34" s="6" t="s">
        <v>106</v>
      </c>
      <c r="S34" s="6" t="s">
        <v>61</v>
      </c>
      <c r="T34" s="14">
        <v>1</v>
      </c>
      <c r="U34" s="17">
        <v>44638</v>
      </c>
      <c r="V34" s="18">
        <v>13251</v>
      </c>
      <c r="W34" s="14" t="s">
        <v>62</v>
      </c>
      <c r="X34" s="17">
        <v>44639</v>
      </c>
      <c r="Y34" s="17">
        <v>45003</v>
      </c>
      <c r="Z34" s="6" t="s">
        <v>106</v>
      </c>
      <c r="AA34" s="6"/>
      <c r="AB34" s="10"/>
      <c r="AC34" s="10"/>
      <c r="AD34" s="33">
        <f t="shared" si="0"/>
        <v>1445904</v>
      </c>
      <c r="AE34" s="10">
        <f>33524.8+28370.9+50216.8+70406.4+70915.72</f>
        <v>253434.62</v>
      </c>
      <c r="AF34" s="10">
        <f>59213.7+46390.2+50814+55061.91+53171.52</f>
        <v>264651.33</v>
      </c>
      <c r="AG34" s="33">
        <f t="shared" si="1"/>
        <v>518085.95</v>
      </c>
    </row>
    <row r="35" spans="1:33" x14ac:dyDescent="0.25">
      <c r="A35" s="14" t="s">
        <v>358</v>
      </c>
      <c r="B35" s="6" t="s">
        <v>164</v>
      </c>
      <c r="C35" s="14" t="s">
        <v>165</v>
      </c>
      <c r="D35" s="7" t="s">
        <v>59</v>
      </c>
      <c r="E35" s="7" t="s">
        <v>60</v>
      </c>
      <c r="F35" s="65" t="s">
        <v>163</v>
      </c>
      <c r="G35" s="26" t="s">
        <v>162</v>
      </c>
      <c r="H35" s="63" t="s">
        <v>97</v>
      </c>
      <c r="I35" s="14" t="s">
        <v>166</v>
      </c>
      <c r="J35" s="17">
        <v>44144</v>
      </c>
      <c r="K35" s="10">
        <v>343653.68</v>
      </c>
      <c r="L35" s="18">
        <v>12927</v>
      </c>
      <c r="M35" s="17">
        <v>44144</v>
      </c>
      <c r="N35" s="17">
        <v>44508</v>
      </c>
      <c r="O35" s="19">
        <v>101</v>
      </c>
      <c r="P35" s="14" t="s">
        <v>162</v>
      </c>
      <c r="Q35" s="14" t="s">
        <v>156</v>
      </c>
      <c r="R35" s="6" t="s">
        <v>106</v>
      </c>
      <c r="S35" s="6" t="s">
        <v>102</v>
      </c>
      <c r="T35" s="6">
        <v>1</v>
      </c>
      <c r="U35" s="9">
        <v>44505</v>
      </c>
      <c r="V35" s="11">
        <v>13163</v>
      </c>
      <c r="W35" s="6" t="s">
        <v>183</v>
      </c>
      <c r="X35" s="9">
        <v>44509</v>
      </c>
      <c r="Y35" s="9">
        <v>44873</v>
      </c>
      <c r="Z35" s="6" t="s">
        <v>106</v>
      </c>
      <c r="AA35" s="6"/>
      <c r="AB35" s="10"/>
      <c r="AC35" s="10"/>
      <c r="AD35" s="33">
        <f t="shared" si="0"/>
        <v>343653.68</v>
      </c>
      <c r="AE35" s="10">
        <f>2546.8+7728.27+4724.93</f>
        <v>15000</v>
      </c>
      <c r="AF35" s="10"/>
      <c r="AG35" s="33">
        <f t="shared" si="1"/>
        <v>15000</v>
      </c>
    </row>
    <row r="36" spans="1:33" x14ac:dyDescent="0.25">
      <c r="A36" s="14" t="s">
        <v>231</v>
      </c>
      <c r="B36" s="6" t="s">
        <v>184</v>
      </c>
      <c r="C36" s="14" t="s">
        <v>186</v>
      </c>
      <c r="D36" s="7" t="s">
        <v>59</v>
      </c>
      <c r="E36" s="7" t="s">
        <v>60</v>
      </c>
      <c r="F36" s="3" t="s">
        <v>87</v>
      </c>
      <c r="G36" s="26" t="s">
        <v>168</v>
      </c>
      <c r="H36" s="63" t="s">
        <v>169</v>
      </c>
      <c r="I36" s="6" t="s">
        <v>178</v>
      </c>
      <c r="J36" s="17">
        <v>44053</v>
      </c>
      <c r="K36" s="10">
        <v>285426</v>
      </c>
      <c r="L36" s="18">
        <v>12863</v>
      </c>
      <c r="M36" s="17">
        <v>44053</v>
      </c>
      <c r="N36" s="17">
        <v>44418</v>
      </c>
      <c r="O36" s="19">
        <v>126</v>
      </c>
      <c r="P36" s="14" t="s">
        <v>168</v>
      </c>
      <c r="Q36" s="14" t="s">
        <v>156</v>
      </c>
      <c r="R36" s="14" t="s">
        <v>106</v>
      </c>
      <c r="S36" s="14" t="s">
        <v>61</v>
      </c>
      <c r="T36" s="14" t="s">
        <v>106</v>
      </c>
      <c r="U36" s="17">
        <v>44414</v>
      </c>
      <c r="V36" s="14" t="s">
        <v>106</v>
      </c>
      <c r="W36" s="6" t="s">
        <v>183</v>
      </c>
      <c r="X36" s="17">
        <v>44418</v>
      </c>
      <c r="Y36" s="9">
        <v>44782</v>
      </c>
      <c r="Z36" s="6" t="s">
        <v>106</v>
      </c>
      <c r="AA36" s="6"/>
      <c r="AB36" s="10"/>
      <c r="AC36" s="10"/>
      <c r="AD36" s="33">
        <f t="shared" si="0"/>
        <v>285426</v>
      </c>
      <c r="AE36" s="10">
        <f>9378.87+9378.87+9901.08+10001.52+10001.52+6667.68+10001.52+16669.2</f>
        <v>82000.259999999995</v>
      </c>
      <c r="AF36" s="10">
        <f>16669.2+16669.2+13335.36+66676.8+6667.68+6667.68+6667.68+6667.68+6667.68+6667.68+6667.68+6667.68+14399.08+32396.72+7977.9+7199.54+7199.54</f>
        <v>235864.77999999994</v>
      </c>
      <c r="AG36" s="33">
        <f t="shared" si="1"/>
        <v>317865.03999999992</v>
      </c>
    </row>
    <row r="37" spans="1:33" x14ac:dyDescent="0.25">
      <c r="A37" s="14" t="s">
        <v>232</v>
      </c>
      <c r="B37" s="6" t="s">
        <v>184</v>
      </c>
      <c r="C37" s="14" t="s">
        <v>185</v>
      </c>
      <c r="D37" s="7" t="s">
        <v>59</v>
      </c>
      <c r="E37" s="7" t="s">
        <v>60</v>
      </c>
      <c r="F37" s="3" t="s">
        <v>87</v>
      </c>
      <c r="G37" s="26" t="s">
        <v>170</v>
      </c>
      <c r="H37" s="63" t="s">
        <v>171</v>
      </c>
      <c r="I37" s="6" t="s">
        <v>180</v>
      </c>
      <c r="J37" s="17">
        <v>44053</v>
      </c>
      <c r="K37" s="10">
        <v>285426</v>
      </c>
      <c r="L37" s="18">
        <v>12863</v>
      </c>
      <c r="M37" s="17">
        <v>44053</v>
      </c>
      <c r="N37" s="17">
        <v>44053</v>
      </c>
      <c r="O37" s="19" t="s">
        <v>181</v>
      </c>
      <c r="P37" s="14" t="s">
        <v>170</v>
      </c>
      <c r="Q37" s="14" t="s">
        <v>156</v>
      </c>
      <c r="R37" s="14" t="s">
        <v>106</v>
      </c>
      <c r="S37" s="14" t="s">
        <v>182</v>
      </c>
      <c r="T37" s="14">
        <v>3</v>
      </c>
      <c r="U37" s="17">
        <v>44782</v>
      </c>
      <c r="V37" s="18">
        <v>13366</v>
      </c>
      <c r="W37" s="6" t="s">
        <v>183</v>
      </c>
      <c r="X37" s="17">
        <v>44783</v>
      </c>
      <c r="Y37" s="9">
        <v>45147</v>
      </c>
      <c r="Z37" s="6" t="s">
        <v>106</v>
      </c>
      <c r="AA37" s="6"/>
      <c r="AB37" s="10"/>
      <c r="AC37" s="10"/>
      <c r="AD37" s="33">
        <f t="shared" si="0"/>
        <v>285426</v>
      </c>
      <c r="AE37" s="10">
        <f>10465.62+14271.3+23785.5+14271.3+14271.3+14271.3+14271.3+14271.3</f>
        <v>119878.92000000001</v>
      </c>
      <c r="AF37" s="10">
        <f>14271.3+9672.77+13002.74+18394.12+9514.2+9514.2+9514.2+9514.2+9514.2+9514.2</f>
        <v>112426.12999999998</v>
      </c>
      <c r="AG37" s="33">
        <f t="shared" si="1"/>
        <v>232305.05</v>
      </c>
    </row>
    <row r="38" spans="1:33" x14ac:dyDescent="0.25">
      <c r="A38" s="14" t="s">
        <v>233</v>
      </c>
      <c r="B38" s="6" t="s">
        <v>184</v>
      </c>
      <c r="C38" s="14" t="s">
        <v>185</v>
      </c>
      <c r="D38" s="7" t="s">
        <v>59</v>
      </c>
      <c r="E38" s="7" t="s">
        <v>60</v>
      </c>
      <c r="F38" s="3" t="s">
        <v>87</v>
      </c>
      <c r="G38" s="26" t="s">
        <v>343</v>
      </c>
      <c r="H38" s="63" t="s">
        <v>171</v>
      </c>
      <c r="I38" s="6" t="s">
        <v>272</v>
      </c>
      <c r="J38" s="17">
        <v>44237</v>
      </c>
      <c r="K38" s="10">
        <v>285426</v>
      </c>
      <c r="L38" s="18"/>
      <c r="M38" s="17">
        <v>44237</v>
      </c>
      <c r="N38" s="17">
        <v>44602</v>
      </c>
      <c r="O38" s="19" t="s">
        <v>155</v>
      </c>
      <c r="P38" s="14" t="s">
        <v>106</v>
      </c>
      <c r="Q38" s="14" t="s">
        <v>156</v>
      </c>
      <c r="R38" s="14" t="s">
        <v>106</v>
      </c>
      <c r="S38" s="14" t="s">
        <v>121</v>
      </c>
      <c r="T38" s="14">
        <v>2</v>
      </c>
      <c r="U38" s="17">
        <v>44839</v>
      </c>
      <c r="V38" s="18">
        <v>13387</v>
      </c>
      <c r="W38" s="6" t="s">
        <v>320</v>
      </c>
      <c r="X38" s="17">
        <v>44603</v>
      </c>
      <c r="Y38" s="9">
        <v>44967</v>
      </c>
      <c r="Z38" s="16">
        <v>0.05</v>
      </c>
      <c r="AA38" s="6"/>
      <c r="AB38" s="10"/>
      <c r="AC38" s="10"/>
      <c r="AD38" s="33">
        <f t="shared" si="0"/>
        <v>285426</v>
      </c>
      <c r="AE38" s="10">
        <f>22834.08+23785.5+9514.2+9514.2+9514.2+4757.1</f>
        <v>79919.28</v>
      </c>
      <c r="AF38" s="10">
        <f>6535.21</f>
        <v>6535.21</v>
      </c>
      <c r="AG38" s="33">
        <f t="shared" si="1"/>
        <v>86454.49</v>
      </c>
    </row>
    <row r="39" spans="1:33" x14ac:dyDescent="0.25">
      <c r="A39" s="14" t="s">
        <v>234</v>
      </c>
      <c r="B39" s="6" t="s">
        <v>259</v>
      </c>
      <c r="C39" s="14" t="s">
        <v>187</v>
      </c>
      <c r="D39" s="7" t="s">
        <v>59</v>
      </c>
      <c r="E39" s="7" t="s">
        <v>60</v>
      </c>
      <c r="F39" s="3" t="s">
        <v>85</v>
      </c>
      <c r="G39" s="26" t="s">
        <v>260</v>
      </c>
      <c r="H39" s="63" t="s">
        <v>172</v>
      </c>
      <c r="I39" s="14" t="s">
        <v>258</v>
      </c>
      <c r="J39" s="17">
        <v>44138</v>
      </c>
      <c r="K39" s="10">
        <v>149608</v>
      </c>
      <c r="L39" s="18">
        <v>12927</v>
      </c>
      <c r="M39" s="17">
        <v>44138</v>
      </c>
      <c r="N39" s="17">
        <v>44503</v>
      </c>
      <c r="O39" s="19" t="s">
        <v>181</v>
      </c>
      <c r="P39" s="14" t="s">
        <v>106</v>
      </c>
      <c r="Q39" s="14" t="s">
        <v>156</v>
      </c>
      <c r="R39" s="14" t="s">
        <v>106</v>
      </c>
      <c r="S39" s="14" t="s">
        <v>61</v>
      </c>
      <c r="T39" s="14">
        <v>2</v>
      </c>
      <c r="U39" s="17">
        <v>44503</v>
      </c>
      <c r="V39" s="18">
        <v>13164</v>
      </c>
      <c r="W39" s="6" t="s">
        <v>183</v>
      </c>
      <c r="X39" s="9">
        <v>44504</v>
      </c>
      <c r="Y39" s="9">
        <v>44868</v>
      </c>
      <c r="Z39" s="6" t="s">
        <v>106</v>
      </c>
      <c r="AA39" s="6"/>
      <c r="AB39" s="10"/>
      <c r="AC39" s="10"/>
      <c r="AD39" s="33">
        <f t="shared" si="0"/>
        <v>149608</v>
      </c>
      <c r="AE39" s="10">
        <v>2063</v>
      </c>
      <c r="AF39" s="10">
        <f>13527</f>
        <v>13527</v>
      </c>
      <c r="AG39" s="33">
        <f t="shared" si="1"/>
        <v>15590</v>
      </c>
    </row>
    <row r="40" spans="1:33" x14ac:dyDescent="0.25">
      <c r="A40" s="14" t="s">
        <v>359</v>
      </c>
      <c r="B40" s="6" t="s">
        <v>259</v>
      </c>
      <c r="C40" s="14" t="s">
        <v>187</v>
      </c>
      <c r="D40" s="7" t="s">
        <v>59</v>
      </c>
      <c r="E40" s="7" t="s">
        <v>60</v>
      </c>
      <c r="F40" s="3" t="s">
        <v>85</v>
      </c>
      <c r="G40" s="26" t="s">
        <v>436</v>
      </c>
      <c r="H40" s="63" t="s">
        <v>172</v>
      </c>
      <c r="I40" s="14" t="s">
        <v>258</v>
      </c>
      <c r="J40" s="17">
        <v>43965</v>
      </c>
      <c r="K40" s="10">
        <v>222912</v>
      </c>
      <c r="L40" s="18">
        <v>12798</v>
      </c>
      <c r="M40" s="17">
        <v>43965</v>
      </c>
      <c r="N40" s="17">
        <v>44196</v>
      </c>
      <c r="O40" s="19">
        <v>117</v>
      </c>
      <c r="P40" s="14" t="s">
        <v>106</v>
      </c>
      <c r="Q40" s="14" t="s">
        <v>156</v>
      </c>
      <c r="R40" s="14" t="s">
        <v>106</v>
      </c>
      <c r="S40" s="14" t="s">
        <v>121</v>
      </c>
      <c r="T40" s="14">
        <v>3</v>
      </c>
      <c r="U40" s="17">
        <v>44560</v>
      </c>
      <c r="V40" s="18">
        <v>13197</v>
      </c>
      <c r="W40" s="6" t="s">
        <v>183</v>
      </c>
      <c r="X40" s="17">
        <v>44562</v>
      </c>
      <c r="Y40" s="17">
        <v>44926</v>
      </c>
      <c r="Z40" s="14" t="s">
        <v>106</v>
      </c>
      <c r="AA40" s="14"/>
      <c r="AB40" s="89"/>
      <c r="AC40" s="89"/>
      <c r="AD40" s="33">
        <f t="shared" si="0"/>
        <v>222912</v>
      </c>
      <c r="AE40" s="10"/>
      <c r="AF40" s="10">
        <f>2192.033+2630.44+2630.44+2630.44+2630.44+2630.44+2630.44</f>
        <v>17974.673000000003</v>
      </c>
      <c r="AG40" s="33">
        <f t="shared" si="1"/>
        <v>17974.673000000003</v>
      </c>
    </row>
    <row r="41" spans="1:33" x14ac:dyDescent="0.25">
      <c r="A41" s="14" t="s">
        <v>360</v>
      </c>
      <c r="B41" s="6" t="s">
        <v>188</v>
      </c>
      <c r="C41" s="14" t="s">
        <v>187</v>
      </c>
      <c r="D41" s="7" t="s">
        <v>59</v>
      </c>
      <c r="E41" s="7" t="s">
        <v>60</v>
      </c>
      <c r="F41" s="3" t="s">
        <v>85</v>
      </c>
      <c r="G41" s="26" t="s">
        <v>173</v>
      </c>
      <c r="H41" s="63" t="s">
        <v>174</v>
      </c>
      <c r="I41" s="6" t="s">
        <v>179</v>
      </c>
      <c r="J41" s="17">
        <v>44174</v>
      </c>
      <c r="K41" s="10">
        <v>64788</v>
      </c>
      <c r="L41" s="18">
        <v>12927</v>
      </c>
      <c r="M41" s="17" t="s">
        <v>106</v>
      </c>
      <c r="N41" s="17" t="s">
        <v>106</v>
      </c>
      <c r="O41" s="19">
        <v>117</v>
      </c>
      <c r="P41" s="14" t="s">
        <v>173</v>
      </c>
      <c r="Q41" s="14" t="s">
        <v>156</v>
      </c>
      <c r="R41" s="14" t="s">
        <v>106</v>
      </c>
      <c r="S41" s="14" t="s">
        <v>61</v>
      </c>
      <c r="T41" s="6">
        <v>1</v>
      </c>
      <c r="U41" s="9">
        <v>44508</v>
      </c>
      <c r="V41" s="11">
        <v>13164</v>
      </c>
      <c r="W41" s="6" t="s">
        <v>183</v>
      </c>
      <c r="X41" s="9">
        <v>44510</v>
      </c>
      <c r="Y41" s="9">
        <v>44874</v>
      </c>
      <c r="Z41" s="6" t="s">
        <v>106</v>
      </c>
      <c r="AA41" s="6"/>
      <c r="AB41" s="10"/>
      <c r="AC41" s="10"/>
      <c r="AD41" s="33">
        <f t="shared" si="0"/>
        <v>64788</v>
      </c>
      <c r="AE41" s="10">
        <f>5399+5399+5399+5399+5399</f>
        <v>26995</v>
      </c>
      <c r="AF41" s="10">
        <f>5399+5399+5399+5399+5399+5399+5399+5399+5399+5399</f>
        <v>53990</v>
      </c>
      <c r="AG41" s="33">
        <f t="shared" si="1"/>
        <v>80985</v>
      </c>
    </row>
    <row r="42" spans="1:33" x14ac:dyDescent="0.25">
      <c r="A42" s="14" t="s">
        <v>235</v>
      </c>
      <c r="B42" s="6" t="s">
        <v>213</v>
      </c>
      <c r="C42" s="6" t="s">
        <v>106</v>
      </c>
      <c r="D42" s="7" t="s">
        <v>59</v>
      </c>
      <c r="E42" s="7" t="s">
        <v>60</v>
      </c>
      <c r="F42" s="3" t="s">
        <v>214</v>
      </c>
      <c r="G42" s="26" t="s">
        <v>150</v>
      </c>
      <c r="H42" s="63" t="s">
        <v>200</v>
      </c>
      <c r="I42" s="6" t="s">
        <v>83</v>
      </c>
      <c r="J42" s="17">
        <v>43909</v>
      </c>
      <c r="K42" s="10">
        <v>1445904</v>
      </c>
      <c r="L42" s="9" t="s">
        <v>106</v>
      </c>
      <c r="M42" s="17">
        <v>44274</v>
      </c>
      <c r="N42" s="17">
        <v>44638</v>
      </c>
      <c r="O42" s="19" t="s">
        <v>155</v>
      </c>
      <c r="P42" s="14" t="s">
        <v>150</v>
      </c>
      <c r="Q42" s="14" t="s">
        <v>156</v>
      </c>
      <c r="R42" s="6"/>
      <c r="S42" s="6" t="s">
        <v>61</v>
      </c>
      <c r="T42" s="9" t="s">
        <v>106</v>
      </c>
      <c r="U42" s="17">
        <v>44638</v>
      </c>
      <c r="V42" s="18">
        <v>13251</v>
      </c>
      <c r="W42" s="14" t="s">
        <v>62</v>
      </c>
      <c r="X42" s="17">
        <v>44639</v>
      </c>
      <c r="Y42" s="17">
        <v>45003</v>
      </c>
      <c r="Z42" s="6" t="s">
        <v>106</v>
      </c>
      <c r="AA42" s="6"/>
      <c r="AB42" s="10"/>
      <c r="AC42" s="10"/>
      <c r="AD42" s="33">
        <f t="shared" si="0"/>
        <v>1445904</v>
      </c>
      <c r="AE42" s="10">
        <f>26813.8+29651.7+27570.4+25709.05+25076.85+33534.67+70879.55</f>
        <v>239236.01999999996</v>
      </c>
      <c r="AF42" s="10">
        <f>55542.38+53881.8+48499.8+45062.4+53370.6</f>
        <v>256356.97999999998</v>
      </c>
      <c r="AG42" s="33">
        <f t="shared" si="1"/>
        <v>495592.99999999994</v>
      </c>
    </row>
    <row r="43" spans="1:33" x14ac:dyDescent="0.25">
      <c r="A43" s="14" t="s">
        <v>236</v>
      </c>
      <c r="B43" s="6" t="s">
        <v>213</v>
      </c>
      <c r="C43" s="6" t="s">
        <v>106</v>
      </c>
      <c r="D43" s="7" t="s">
        <v>59</v>
      </c>
      <c r="E43" s="7" t="s">
        <v>60</v>
      </c>
      <c r="F43" s="3" t="s">
        <v>214</v>
      </c>
      <c r="G43" s="26" t="s">
        <v>152</v>
      </c>
      <c r="H43" s="63" t="s">
        <v>204</v>
      </c>
      <c r="I43" s="6" t="s">
        <v>115</v>
      </c>
      <c r="J43" s="17">
        <v>43910</v>
      </c>
      <c r="K43" s="10">
        <v>1445904</v>
      </c>
      <c r="L43" s="9" t="s">
        <v>106</v>
      </c>
      <c r="M43" s="17">
        <v>44276</v>
      </c>
      <c r="N43" s="17">
        <v>44640</v>
      </c>
      <c r="O43" s="19" t="s">
        <v>155</v>
      </c>
      <c r="P43" s="14" t="s">
        <v>152</v>
      </c>
      <c r="Q43" s="14" t="s">
        <v>156</v>
      </c>
      <c r="R43" s="6"/>
      <c r="S43" s="6" t="s">
        <v>61</v>
      </c>
      <c r="T43" s="9" t="s">
        <v>106</v>
      </c>
      <c r="U43" s="9">
        <v>44638</v>
      </c>
      <c r="V43" s="9">
        <v>13251</v>
      </c>
      <c r="W43" s="6" t="s">
        <v>183</v>
      </c>
      <c r="X43" s="9">
        <v>44641</v>
      </c>
      <c r="Y43" s="9">
        <v>45005</v>
      </c>
      <c r="Z43" s="6" t="s">
        <v>106</v>
      </c>
      <c r="AA43" s="6"/>
      <c r="AB43" s="10"/>
      <c r="AC43" s="10"/>
      <c r="AD43" s="33">
        <f t="shared" si="0"/>
        <v>1445904</v>
      </c>
      <c r="AE43" s="10">
        <f>26815.7+30228+30873.6+23837.1+22169.15+25421.8+31599.84</f>
        <v>190945.18999999997</v>
      </c>
      <c r="AF43" s="10">
        <f>23795.2+40943.84+40288.53+26341.2+25153.87+24719.6+316.8+34382.66+25159.73+23024.8+22854.33</f>
        <v>286980.56</v>
      </c>
      <c r="AG43" s="33">
        <f t="shared" si="1"/>
        <v>477925.75</v>
      </c>
    </row>
    <row r="44" spans="1:33" x14ac:dyDescent="0.25">
      <c r="A44" s="14" t="s">
        <v>361</v>
      </c>
      <c r="B44" s="6" t="s">
        <v>188</v>
      </c>
      <c r="C44" s="14" t="s">
        <v>187</v>
      </c>
      <c r="D44" s="7" t="s">
        <v>59</v>
      </c>
      <c r="E44" s="7" t="s">
        <v>60</v>
      </c>
      <c r="F44" s="3" t="s">
        <v>87</v>
      </c>
      <c r="G44" s="26" t="s">
        <v>203</v>
      </c>
      <c r="H44" s="63" t="s">
        <v>201</v>
      </c>
      <c r="I44" s="6" t="s">
        <v>202</v>
      </c>
      <c r="J44" s="17">
        <v>44239</v>
      </c>
      <c r="K44" s="10">
        <v>31200</v>
      </c>
      <c r="L44" s="9" t="s">
        <v>106</v>
      </c>
      <c r="M44" s="17">
        <v>44239</v>
      </c>
      <c r="N44" s="17">
        <v>44604</v>
      </c>
      <c r="O44" s="19" t="s">
        <v>155</v>
      </c>
      <c r="P44" s="14" t="s">
        <v>203</v>
      </c>
      <c r="Q44" s="14" t="s">
        <v>156</v>
      </c>
      <c r="R44" s="6"/>
      <c r="S44" s="6" t="s">
        <v>61</v>
      </c>
      <c r="T44" s="6">
        <v>1</v>
      </c>
      <c r="U44" s="9">
        <v>44600</v>
      </c>
      <c r="V44" s="11">
        <v>13233</v>
      </c>
      <c r="W44" s="9" t="s">
        <v>62</v>
      </c>
      <c r="X44" s="9">
        <v>44604</v>
      </c>
      <c r="Y44" s="9">
        <v>44968</v>
      </c>
      <c r="Z44" s="6" t="s">
        <v>106</v>
      </c>
      <c r="AA44" s="6"/>
      <c r="AB44" s="10"/>
      <c r="AC44" s="10"/>
      <c r="AD44" s="33">
        <f t="shared" si="0"/>
        <v>31200</v>
      </c>
      <c r="AE44" s="10">
        <f>3076.66+1300+1300+2600+2600+2600+1300+1300+2600+2600+2600+2600</f>
        <v>26476.66</v>
      </c>
      <c r="AF44" s="10">
        <f>2600+2600+2600+2600+2600+2600+2600+2600+2600+2600</f>
        <v>26000</v>
      </c>
      <c r="AG44" s="33">
        <f t="shared" si="1"/>
        <v>52476.66</v>
      </c>
    </row>
    <row r="45" spans="1:33" x14ac:dyDescent="0.25">
      <c r="A45" s="14" t="s">
        <v>362</v>
      </c>
      <c r="B45" s="6" t="s">
        <v>192</v>
      </c>
      <c r="C45" s="14" t="s">
        <v>185</v>
      </c>
      <c r="D45" s="7" t="s">
        <v>59</v>
      </c>
      <c r="E45" s="7" t="s">
        <v>60</v>
      </c>
      <c r="F45" s="3" t="s">
        <v>87</v>
      </c>
      <c r="G45" s="26" t="s">
        <v>167</v>
      </c>
      <c r="H45" s="63" t="s">
        <v>93</v>
      </c>
      <c r="I45" s="6" t="s">
        <v>91</v>
      </c>
      <c r="J45" s="17">
        <v>44053</v>
      </c>
      <c r="K45" s="10">
        <v>195597.36</v>
      </c>
      <c r="L45" s="9" t="s">
        <v>106</v>
      </c>
      <c r="M45" s="17">
        <v>44053</v>
      </c>
      <c r="N45" s="17">
        <v>44418</v>
      </c>
      <c r="O45" s="19" t="s">
        <v>181</v>
      </c>
      <c r="P45" s="14" t="s">
        <v>167</v>
      </c>
      <c r="Q45" s="14" t="s">
        <v>156</v>
      </c>
      <c r="R45" s="6"/>
      <c r="S45" s="6" t="s">
        <v>61</v>
      </c>
      <c r="T45" s="6">
        <v>1</v>
      </c>
      <c r="U45" s="9">
        <v>44414</v>
      </c>
      <c r="V45" s="9">
        <v>13111</v>
      </c>
      <c r="W45" s="9" t="s">
        <v>62</v>
      </c>
      <c r="X45" s="9">
        <v>44418</v>
      </c>
      <c r="Y45" s="9">
        <v>44782</v>
      </c>
      <c r="Z45" s="6" t="s">
        <v>106</v>
      </c>
      <c r="AA45" s="6"/>
      <c r="AB45" s="10"/>
      <c r="AC45" s="10"/>
      <c r="AD45" s="33">
        <f t="shared" si="0"/>
        <v>195597.36</v>
      </c>
      <c r="AE45" s="10">
        <f>3919.41+59582.46+3919.41+3919.41+29409.84</f>
        <v>100750.53</v>
      </c>
      <c r="AF45" s="10">
        <f>31970.93+30832.93</f>
        <v>62803.86</v>
      </c>
      <c r="AG45" s="33">
        <f t="shared" si="1"/>
        <v>163554.39000000001</v>
      </c>
    </row>
    <row r="46" spans="1:33" x14ac:dyDescent="0.25">
      <c r="A46" s="14" t="s">
        <v>363</v>
      </c>
      <c r="B46" s="6" t="s">
        <v>217</v>
      </c>
      <c r="C46" s="14" t="s">
        <v>199</v>
      </c>
      <c r="D46" s="7" t="s">
        <v>59</v>
      </c>
      <c r="E46" s="7" t="s">
        <v>60</v>
      </c>
      <c r="F46" s="3" t="s">
        <v>160</v>
      </c>
      <c r="G46" s="26" t="s">
        <v>159</v>
      </c>
      <c r="H46" s="63" t="s">
        <v>205</v>
      </c>
      <c r="I46" s="6" t="s">
        <v>206</v>
      </c>
      <c r="J46" s="17">
        <v>43710</v>
      </c>
      <c r="K46" s="10">
        <v>174096.06</v>
      </c>
      <c r="L46" s="9" t="s">
        <v>106</v>
      </c>
      <c r="M46" s="17">
        <v>43710</v>
      </c>
      <c r="N46" s="17">
        <v>43829</v>
      </c>
      <c r="O46" s="19">
        <v>101</v>
      </c>
      <c r="P46" s="14" t="s">
        <v>159</v>
      </c>
      <c r="Q46" s="14" t="s">
        <v>156</v>
      </c>
      <c r="R46" s="6"/>
      <c r="S46" s="6" t="s">
        <v>158</v>
      </c>
      <c r="T46" s="6">
        <v>6</v>
      </c>
      <c r="U46" s="9">
        <v>44315</v>
      </c>
      <c r="V46" s="9" t="s">
        <v>106</v>
      </c>
      <c r="W46" s="9" t="s">
        <v>106</v>
      </c>
      <c r="X46" s="9">
        <v>44287</v>
      </c>
      <c r="Y46" s="9">
        <v>44347</v>
      </c>
      <c r="Z46" s="6" t="s">
        <v>106</v>
      </c>
      <c r="AA46" s="6"/>
      <c r="AB46" s="10"/>
      <c r="AC46" s="10"/>
      <c r="AD46" s="33">
        <f t="shared" si="0"/>
        <v>174096.06</v>
      </c>
      <c r="AE46" s="10">
        <v>20490.29</v>
      </c>
      <c r="AF46" s="10"/>
      <c r="AG46" s="33">
        <f t="shared" si="1"/>
        <v>20490.29</v>
      </c>
    </row>
    <row r="47" spans="1:33" x14ac:dyDescent="0.25">
      <c r="A47" s="14" t="s">
        <v>364</v>
      </c>
      <c r="B47" s="6" t="s">
        <v>218</v>
      </c>
      <c r="C47" s="14" t="s">
        <v>219</v>
      </c>
      <c r="D47" s="7" t="s">
        <v>59</v>
      </c>
      <c r="E47" s="7" t="s">
        <v>60</v>
      </c>
      <c r="F47" s="3" t="s">
        <v>87</v>
      </c>
      <c r="G47" s="26" t="s">
        <v>208</v>
      </c>
      <c r="H47" s="63" t="s">
        <v>207</v>
      </c>
      <c r="I47" s="6" t="s">
        <v>209</v>
      </c>
      <c r="J47" s="17">
        <v>44278</v>
      </c>
      <c r="K47" s="10">
        <v>49200</v>
      </c>
      <c r="L47" s="9" t="s">
        <v>106</v>
      </c>
      <c r="M47" s="17">
        <v>44278</v>
      </c>
      <c r="N47" s="17">
        <v>44561</v>
      </c>
      <c r="O47" s="19" t="s">
        <v>155</v>
      </c>
      <c r="P47" s="14" t="s">
        <v>208</v>
      </c>
      <c r="Q47" s="14" t="s">
        <v>156</v>
      </c>
      <c r="R47" s="6"/>
      <c r="S47" s="6" t="s">
        <v>121</v>
      </c>
      <c r="T47" s="9" t="s">
        <v>106</v>
      </c>
      <c r="U47" s="9" t="s">
        <v>106</v>
      </c>
      <c r="V47" s="9" t="s">
        <v>106</v>
      </c>
      <c r="W47" s="9" t="s">
        <v>106</v>
      </c>
      <c r="X47" s="9" t="s">
        <v>106</v>
      </c>
      <c r="Y47" s="9" t="s">
        <v>106</v>
      </c>
      <c r="Z47" s="9" t="s">
        <v>106</v>
      </c>
      <c r="AA47" s="9"/>
      <c r="AB47" s="10"/>
      <c r="AC47" s="10"/>
      <c r="AD47" s="33">
        <f t="shared" si="0"/>
        <v>49200</v>
      </c>
      <c r="AE47" s="10">
        <f>8200+9840+8200+8200</f>
        <v>34440</v>
      </c>
      <c r="AF47" s="10"/>
      <c r="AG47" s="33">
        <f t="shared" si="1"/>
        <v>34440</v>
      </c>
    </row>
    <row r="48" spans="1:33" x14ac:dyDescent="0.25">
      <c r="A48" s="14" t="s">
        <v>365</v>
      </c>
      <c r="B48" s="6" t="s">
        <v>215</v>
      </c>
      <c r="C48" s="14" t="s">
        <v>216</v>
      </c>
      <c r="D48" s="7" t="s">
        <v>59</v>
      </c>
      <c r="E48" s="7" t="s">
        <v>60</v>
      </c>
      <c r="F48" s="3" t="s">
        <v>87</v>
      </c>
      <c r="G48" s="26" t="s">
        <v>210</v>
      </c>
      <c r="H48" s="63" t="s">
        <v>211</v>
      </c>
      <c r="I48" s="6" t="s">
        <v>212</v>
      </c>
      <c r="J48" s="17">
        <v>44231</v>
      </c>
      <c r="K48" s="10">
        <v>21564</v>
      </c>
      <c r="L48" s="9" t="s">
        <v>106</v>
      </c>
      <c r="M48" s="17">
        <v>44231</v>
      </c>
      <c r="N48" s="17">
        <v>44561</v>
      </c>
      <c r="O48" s="19" t="s">
        <v>155</v>
      </c>
      <c r="P48" s="14" t="s">
        <v>210</v>
      </c>
      <c r="Q48" s="14" t="s">
        <v>156</v>
      </c>
      <c r="R48" s="9" t="s">
        <v>106</v>
      </c>
      <c r="S48" s="6" t="s">
        <v>121</v>
      </c>
      <c r="T48" s="9" t="s">
        <v>106</v>
      </c>
      <c r="U48" s="9" t="s">
        <v>106</v>
      </c>
      <c r="V48" s="9" t="s">
        <v>106</v>
      </c>
      <c r="W48" s="9" t="s">
        <v>106</v>
      </c>
      <c r="X48" s="9" t="s">
        <v>106</v>
      </c>
      <c r="Y48" s="9" t="s">
        <v>106</v>
      </c>
      <c r="Z48" s="9" t="s">
        <v>106</v>
      </c>
      <c r="AA48" s="9"/>
      <c r="AB48" s="10"/>
      <c r="AC48" s="10"/>
      <c r="AD48" s="33">
        <f t="shared" si="0"/>
        <v>21564</v>
      </c>
      <c r="AE48" s="10">
        <f>2036.6+958.4+3588.01</f>
        <v>6583.01</v>
      </c>
      <c r="AF48" s="10"/>
      <c r="AG48" s="33">
        <f t="shared" si="1"/>
        <v>6583.01</v>
      </c>
    </row>
    <row r="49" spans="1:33" x14ac:dyDescent="0.25">
      <c r="A49" s="14" t="s">
        <v>366</v>
      </c>
      <c r="B49" s="6" t="s">
        <v>247</v>
      </c>
      <c r="C49" s="14" t="s">
        <v>248</v>
      </c>
      <c r="D49" s="7" t="s">
        <v>59</v>
      </c>
      <c r="E49" s="7" t="s">
        <v>60</v>
      </c>
      <c r="F49" s="3" t="s">
        <v>87</v>
      </c>
      <c r="G49" s="26" t="s">
        <v>257</v>
      </c>
      <c r="H49" s="63" t="s">
        <v>211</v>
      </c>
      <c r="I49" s="6" t="s">
        <v>212</v>
      </c>
      <c r="J49" s="17">
        <v>44238</v>
      </c>
      <c r="K49" s="10">
        <v>24798.400000000001</v>
      </c>
      <c r="L49" s="9" t="s">
        <v>106</v>
      </c>
      <c r="M49" s="17">
        <v>44238</v>
      </c>
      <c r="N49" s="17">
        <v>44561</v>
      </c>
      <c r="O49" s="19" t="s">
        <v>155</v>
      </c>
      <c r="P49" s="14" t="s">
        <v>257</v>
      </c>
      <c r="Q49" s="14" t="s">
        <v>156</v>
      </c>
      <c r="R49" s="9" t="s">
        <v>106</v>
      </c>
      <c r="S49" s="6" t="s">
        <v>267</v>
      </c>
      <c r="T49" s="9" t="s">
        <v>106</v>
      </c>
      <c r="U49" s="9" t="s">
        <v>106</v>
      </c>
      <c r="V49" s="9" t="s">
        <v>106</v>
      </c>
      <c r="W49" s="9" t="s">
        <v>106</v>
      </c>
      <c r="X49" s="9" t="s">
        <v>106</v>
      </c>
      <c r="Y49" s="9" t="s">
        <v>106</v>
      </c>
      <c r="Z49" s="9" t="s">
        <v>106</v>
      </c>
      <c r="AA49" s="9"/>
      <c r="AB49" s="10"/>
      <c r="AC49" s="10"/>
      <c r="AD49" s="33">
        <f t="shared" si="0"/>
        <v>24798.400000000001</v>
      </c>
      <c r="AE49" s="10">
        <v>7688.43</v>
      </c>
      <c r="AF49" s="10"/>
      <c r="AG49" s="33">
        <f t="shared" si="1"/>
        <v>7688.43</v>
      </c>
    </row>
    <row r="50" spans="1:33" x14ac:dyDescent="0.25">
      <c r="A50" s="14" t="s">
        <v>367</v>
      </c>
      <c r="B50" s="6" t="s">
        <v>215</v>
      </c>
      <c r="C50" s="14" t="s">
        <v>216</v>
      </c>
      <c r="D50" s="7" t="s">
        <v>59</v>
      </c>
      <c r="E50" s="7" t="s">
        <v>60</v>
      </c>
      <c r="F50" s="3" t="s">
        <v>87</v>
      </c>
      <c r="G50" s="26" t="s">
        <v>288</v>
      </c>
      <c r="H50" s="63" t="s">
        <v>211</v>
      </c>
      <c r="I50" s="6" t="s">
        <v>212</v>
      </c>
      <c r="J50" s="17">
        <v>44412</v>
      </c>
      <c r="K50" s="10">
        <v>29950</v>
      </c>
      <c r="L50" s="9" t="s">
        <v>106</v>
      </c>
      <c r="M50" s="17">
        <v>44412</v>
      </c>
      <c r="N50" s="17">
        <v>44561</v>
      </c>
      <c r="O50" s="19" t="s">
        <v>155</v>
      </c>
      <c r="P50" s="14" t="s">
        <v>288</v>
      </c>
      <c r="Q50" s="14" t="s">
        <v>156</v>
      </c>
      <c r="R50" s="9" t="s">
        <v>106</v>
      </c>
      <c r="S50" s="6" t="s">
        <v>267</v>
      </c>
      <c r="T50" s="9" t="s">
        <v>106</v>
      </c>
      <c r="U50" s="9" t="s">
        <v>106</v>
      </c>
      <c r="V50" s="9" t="s">
        <v>106</v>
      </c>
      <c r="W50" s="9" t="s">
        <v>106</v>
      </c>
      <c r="X50" s="9" t="s">
        <v>106</v>
      </c>
      <c r="Y50" s="9" t="s">
        <v>106</v>
      </c>
      <c r="Z50" s="9" t="s">
        <v>106</v>
      </c>
      <c r="AA50" s="9"/>
      <c r="AB50" s="10"/>
      <c r="AC50" s="10"/>
      <c r="AD50" s="33">
        <f t="shared" si="0"/>
        <v>29950</v>
      </c>
      <c r="AE50" s="10">
        <f>5271.2+3803.65</f>
        <v>9074.85</v>
      </c>
      <c r="AF50" s="10"/>
      <c r="AG50" s="33">
        <f t="shared" si="1"/>
        <v>9074.85</v>
      </c>
    </row>
    <row r="51" spans="1:33" x14ac:dyDescent="0.25">
      <c r="A51" s="14" t="s">
        <v>368</v>
      </c>
      <c r="B51" s="6" t="s">
        <v>247</v>
      </c>
      <c r="C51" s="14" t="s">
        <v>248</v>
      </c>
      <c r="D51" s="7" t="s">
        <v>59</v>
      </c>
      <c r="E51" s="7" t="s">
        <v>60</v>
      </c>
      <c r="F51" s="3" t="s">
        <v>256</v>
      </c>
      <c r="G51" s="26" t="s">
        <v>249</v>
      </c>
      <c r="H51" s="63" t="s">
        <v>246</v>
      </c>
      <c r="I51" s="6" t="s">
        <v>250</v>
      </c>
      <c r="J51" s="17">
        <v>44238</v>
      </c>
      <c r="K51" s="10">
        <v>157840.78</v>
      </c>
      <c r="L51" s="9" t="s">
        <v>106</v>
      </c>
      <c r="M51" s="17">
        <v>44238</v>
      </c>
      <c r="N51" s="17">
        <v>44561</v>
      </c>
      <c r="O51" s="19" t="s">
        <v>155</v>
      </c>
      <c r="P51" s="14" t="s">
        <v>249</v>
      </c>
      <c r="Q51" s="14" t="s">
        <v>156</v>
      </c>
      <c r="R51" s="9" t="s">
        <v>106</v>
      </c>
      <c r="S51" s="6" t="s">
        <v>121</v>
      </c>
      <c r="T51" s="9" t="s">
        <v>106</v>
      </c>
      <c r="U51" s="9" t="s">
        <v>106</v>
      </c>
      <c r="V51" s="9" t="s">
        <v>106</v>
      </c>
      <c r="W51" s="9" t="s">
        <v>106</v>
      </c>
      <c r="X51" s="9" t="s">
        <v>106</v>
      </c>
      <c r="Y51" s="9" t="s">
        <v>106</v>
      </c>
      <c r="Z51" s="9" t="s">
        <v>106</v>
      </c>
      <c r="AA51" s="9"/>
      <c r="AB51" s="10"/>
      <c r="AC51" s="10"/>
      <c r="AD51" s="33">
        <f t="shared" si="0"/>
        <v>157840.78</v>
      </c>
      <c r="AE51" s="10">
        <v>30145.8</v>
      </c>
      <c r="AF51" s="10"/>
      <c r="AG51" s="33">
        <f t="shared" si="1"/>
        <v>30145.8</v>
      </c>
    </row>
    <row r="52" spans="1:33" x14ac:dyDescent="0.25">
      <c r="A52" s="14" t="s">
        <v>369</v>
      </c>
      <c r="B52" s="6" t="s">
        <v>254</v>
      </c>
      <c r="C52" s="14" t="s">
        <v>255</v>
      </c>
      <c r="D52" s="7" t="s">
        <v>59</v>
      </c>
      <c r="E52" s="7" t="s">
        <v>60</v>
      </c>
      <c r="F52" s="3" t="s">
        <v>87</v>
      </c>
      <c r="G52" s="26" t="s">
        <v>251</v>
      </c>
      <c r="H52" s="63" t="s">
        <v>252</v>
      </c>
      <c r="I52" s="6" t="s">
        <v>253</v>
      </c>
      <c r="J52" s="17">
        <v>44237</v>
      </c>
      <c r="K52" s="10">
        <v>25521.5</v>
      </c>
      <c r="L52" s="9" t="s">
        <v>106</v>
      </c>
      <c r="M52" s="17">
        <v>44237</v>
      </c>
      <c r="N52" s="17">
        <v>44561</v>
      </c>
      <c r="O52" s="19" t="s">
        <v>155</v>
      </c>
      <c r="P52" s="14" t="s">
        <v>251</v>
      </c>
      <c r="Q52" s="14" t="s">
        <v>156</v>
      </c>
      <c r="R52" s="9" t="s">
        <v>106</v>
      </c>
      <c r="S52" s="11" t="s">
        <v>121</v>
      </c>
      <c r="T52" s="9" t="s">
        <v>106</v>
      </c>
      <c r="U52" s="9" t="s">
        <v>106</v>
      </c>
      <c r="V52" s="9" t="s">
        <v>106</v>
      </c>
      <c r="W52" s="9" t="s">
        <v>106</v>
      </c>
      <c r="X52" s="9" t="s">
        <v>106</v>
      </c>
      <c r="Y52" s="9" t="s">
        <v>106</v>
      </c>
      <c r="Z52" s="9" t="s">
        <v>106</v>
      </c>
      <c r="AA52" s="9"/>
      <c r="AB52" s="10"/>
      <c r="AC52" s="10"/>
      <c r="AD52" s="33">
        <f t="shared" si="0"/>
        <v>25521.5</v>
      </c>
      <c r="AE52" s="10">
        <f>2381.95+4330+630+4156.5</f>
        <v>11498.45</v>
      </c>
      <c r="AF52" s="10">
        <v>2225.5500000000002</v>
      </c>
      <c r="AG52" s="33">
        <f t="shared" si="1"/>
        <v>13724</v>
      </c>
    </row>
    <row r="53" spans="1:33" x14ac:dyDescent="0.25">
      <c r="A53" s="14" t="s">
        <v>237</v>
      </c>
      <c r="B53" s="6" t="s">
        <v>263</v>
      </c>
      <c r="C53" s="6" t="s">
        <v>106</v>
      </c>
      <c r="D53" s="7" t="s">
        <v>59</v>
      </c>
      <c r="E53" s="7" t="s">
        <v>60</v>
      </c>
      <c r="F53" s="3" t="s">
        <v>77</v>
      </c>
      <c r="G53" s="26" t="s">
        <v>78</v>
      </c>
      <c r="H53" s="63" t="s">
        <v>261</v>
      </c>
      <c r="I53" s="6" t="s">
        <v>262</v>
      </c>
      <c r="J53" s="9" t="s">
        <v>106</v>
      </c>
      <c r="K53" s="10">
        <v>42000</v>
      </c>
      <c r="L53" s="9" t="s">
        <v>106</v>
      </c>
      <c r="M53" s="17">
        <v>42921</v>
      </c>
      <c r="N53" s="17" t="s">
        <v>268</v>
      </c>
      <c r="O53" s="19" t="s">
        <v>155</v>
      </c>
      <c r="P53" s="14" t="s">
        <v>78</v>
      </c>
      <c r="Q53" s="14" t="s">
        <v>156</v>
      </c>
      <c r="R53" s="9" t="s">
        <v>106</v>
      </c>
      <c r="S53" s="6" t="s">
        <v>61</v>
      </c>
      <c r="T53" s="6">
        <v>6</v>
      </c>
      <c r="U53" s="9">
        <v>44746</v>
      </c>
      <c r="V53" s="11">
        <v>13340</v>
      </c>
      <c r="W53" s="6" t="s">
        <v>62</v>
      </c>
      <c r="X53" s="9">
        <v>44748</v>
      </c>
      <c r="Y53" s="9">
        <v>45112</v>
      </c>
      <c r="Z53" s="9" t="s">
        <v>106</v>
      </c>
      <c r="AA53" s="9"/>
      <c r="AB53" s="10"/>
      <c r="AC53" s="10"/>
      <c r="AD53" s="33">
        <f>K53-AC53+AB53</f>
        <v>42000</v>
      </c>
      <c r="AE53" s="10">
        <f>4168.76+4168.76+4168.76+4168.76+1319.26+5488.02+5488.02</f>
        <v>28970.34</v>
      </c>
      <c r="AF53" s="10">
        <f>5488.02+5488.02</f>
        <v>10976.04</v>
      </c>
      <c r="AG53" s="33">
        <f t="shared" si="1"/>
        <v>39946.380000000005</v>
      </c>
    </row>
    <row r="54" spans="1:33" x14ac:dyDescent="0.25">
      <c r="A54" s="14" t="s">
        <v>370</v>
      </c>
      <c r="B54" s="6" t="s">
        <v>271</v>
      </c>
      <c r="C54" s="14" t="s">
        <v>270</v>
      </c>
      <c r="D54" s="7" t="s">
        <v>59</v>
      </c>
      <c r="E54" s="7" t="s">
        <v>60</v>
      </c>
      <c r="F54" s="3" t="s">
        <v>87</v>
      </c>
      <c r="G54" s="26" t="s">
        <v>417</v>
      </c>
      <c r="H54" s="63" t="s">
        <v>426</v>
      </c>
      <c r="I54" s="11" t="s">
        <v>278</v>
      </c>
      <c r="J54" s="17">
        <v>44531</v>
      </c>
      <c r="K54" s="10">
        <v>68119.789999999994</v>
      </c>
      <c r="L54" s="9" t="s">
        <v>106</v>
      </c>
      <c r="M54" s="17">
        <v>44531</v>
      </c>
      <c r="N54" s="17">
        <v>44531</v>
      </c>
      <c r="O54" s="19" t="s">
        <v>155</v>
      </c>
      <c r="P54" s="14" t="s">
        <v>269</v>
      </c>
      <c r="Q54" s="14" t="s">
        <v>156</v>
      </c>
      <c r="R54" s="9" t="s">
        <v>106</v>
      </c>
      <c r="S54" s="6" t="s">
        <v>61</v>
      </c>
      <c r="T54" s="6">
        <v>1</v>
      </c>
      <c r="U54" s="9">
        <v>44517</v>
      </c>
      <c r="V54" s="11">
        <v>13167</v>
      </c>
      <c r="W54" s="6" t="s">
        <v>62</v>
      </c>
      <c r="X54" s="9">
        <v>44531</v>
      </c>
      <c r="Y54" s="9">
        <v>44895</v>
      </c>
      <c r="Z54" s="9" t="s">
        <v>106</v>
      </c>
      <c r="AA54" s="9"/>
      <c r="AB54" s="10"/>
      <c r="AC54" s="10"/>
      <c r="AD54" s="33">
        <f t="shared" si="0"/>
        <v>68119.789999999994</v>
      </c>
      <c r="AE54" s="10">
        <f>2171.94+28333.87+5923.46+7799.14+8885.19+8885.19</f>
        <v>61998.79</v>
      </c>
      <c r="AF54" s="10">
        <f>8885.19+8885.19+8885.19+8885.19+6114.53+2961.73+2961.73+2961.73+2388.49+2961.73+2961.73+8025.33+2961.73+16486.96+14808.65</f>
        <v>101135.1</v>
      </c>
      <c r="AG54" s="33">
        <f t="shared" si="1"/>
        <v>163133.89000000001</v>
      </c>
    </row>
    <row r="55" spans="1:33" ht="25.5" x14ac:dyDescent="0.25">
      <c r="A55" s="14" t="s">
        <v>371</v>
      </c>
      <c r="B55" s="6" t="s">
        <v>277</v>
      </c>
      <c r="C55" s="14" t="s">
        <v>276</v>
      </c>
      <c r="D55" s="7" t="s">
        <v>59</v>
      </c>
      <c r="E55" s="7" t="s">
        <v>60</v>
      </c>
      <c r="F55" s="3" t="s">
        <v>87</v>
      </c>
      <c r="G55" s="26" t="s">
        <v>273</v>
      </c>
      <c r="H55" s="63" t="s">
        <v>274</v>
      </c>
      <c r="I55" s="11" t="s">
        <v>275</v>
      </c>
      <c r="J55" s="17">
        <v>44319</v>
      </c>
      <c r="K55" s="10">
        <v>2521757.4</v>
      </c>
      <c r="L55" s="9" t="s">
        <v>106</v>
      </c>
      <c r="M55" s="17">
        <v>44319</v>
      </c>
      <c r="N55" s="17">
        <v>44684</v>
      </c>
      <c r="O55" s="19" t="s">
        <v>155</v>
      </c>
      <c r="P55" s="14" t="s">
        <v>273</v>
      </c>
      <c r="Q55" s="14" t="s">
        <v>156</v>
      </c>
      <c r="R55" s="9" t="s">
        <v>106</v>
      </c>
      <c r="S55" s="6" t="s">
        <v>61</v>
      </c>
      <c r="T55" s="6">
        <v>1</v>
      </c>
      <c r="U55" s="9">
        <v>44683</v>
      </c>
      <c r="V55" s="11">
        <v>13286</v>
      </c>
      <c r="W55" s="9" t="s">
        <v>194</v>
      </c>
      <c r="X55" s="9">
        <v>44685</v>
      </c>
      <c r="Y55" s="9">
        <v>45049</v>
      </c>
      <c r="Z55" s="9" t="s">
        <v>106</v>
      </c>
      <c r="AA55" s="16">
        <v>0.05</v>
      </c>
      <c r="AB55" s="10"/>
      <c r="AC55" s="10"/>
      <c r="AD55" s="33">
        <f t="shared" si="0"/>
        <v>2521757.4</v>
      </c>
      <c r="AE55" s="10">
        <f>40964.94+118022.76+115898.21+118665.52+126011.05+125906.13</f>
        <v>645468.6100000001</v>
      </c>
      <c r="AF55" s="10">
        <f>122284.31+109512.11+129612.76+144297.76+137176.28+136060.04+145685.36+11915.72+134273.94+149878.43+150276.13+11915.72</f>
        <v>1382888.5599999998</v>
      </c>
      <c r="AG55" s="33">
        <f t="shared" si="1"/>
        <v>2028357.17</v>
      </c>
    </row>
    <row r="56" spans="1:33" x14ac:dyDescent="0.25">
      <c r="A56" s="14" t="s">
        <v>372</v>
      </c>
      <c r="B56" s="6" t="s">
        <v>215</v>
      </c>
      <c r="C56" s="14" t="s">
        <v>280</v>
      </c>
      <c r="D56" s="7" t="s">
        <v>59</v>
      </c>
      <c r="E56" s="7" t="s">
        <v>60</v>
      </c>
      <c r="F56" s="3" t="s">
        <v>87</v>
      </c>
      <c r="G56" s="26" t="s">
        <v>279</v>
      </c>
      <c r="H56" s="63" t="s">
        <v>281</v>
      </c>
      <c r="I56" s="11" t="s">
        <v>282</v>
      </c>
      <c r="J56" s="17">
        <v>44231</v>
      </c>
      <c r="K56" s="10">
        <v>45800</v>
      </c>
      <c r="L56" s="9" t="s">
        <v>106</v>
      </c>
      <c r="M56" s="17">
        <v>44231</v>
      </c>
      <c r="N56" s="17">
        <v>44596</v>
      </c>
      <c r="O56" s="19" t="s">
        <v>155</v>
      </c>
      <c r="P56" s="14" t="s">
        <v>279</v>
      </c>
      <c r="Q56" s="14" t="s">
        <v>156</v>
      </c>
      <c r="R56" s="9" t="s">
        <v>106</v>
      </c>
      <c r="S56" s="6" t="s">
        <v>121</v>
      </c>
      <c r="T56" s="6" t="s">
        <v>106</v>
      </c>
      <c r="U56" s="9" t="s">
        <v>106</v>
      </c>
      <c r="V56" s="6" t="s">
        <v>106</v>
      </c>
      <c r="W56" s="9" t="s">
        <v>106</v>
      </c>
      <c r="X56" s="9" t="s">
        <v>106</v>
      </c>
      <c r="Y56" s="9" t="s">
        <v>106</v>
      </c>
      <c r="Z56" s="9" t="s">
        <v>106</v>
      </c>
      <c r="AA56" s="9"/>
      <c r="AB56" s="10"/>
      <c r="AC56" s="10"/>
      <c r="AD56" s="33">
        <f t="shared" si="0"/>
        <v>45800</v>
      </c>
      <c r="AE56" s="10">
        <f>1540+360+2200</f>
        <v>4100</v>
      </c>
      <c r="AF56" s="10">
        <f>2200</f>
        <v>2200</v>
      </c>
      <c r="AG56" s="33">
        <f t="shared" si="1"/>
        <v>6300</v>
      </c>
    </row>
    <row r="57" spans="1:33" x14ac:dyDescent="0.25">
      <c r="A57" s="14" t="s">
        <v>373</v>
      </c>
      <c r="B57" s="6" t="s">
        <v>286</v>
      </c>
      <c r="C57" s="14" t="s">
        <v>287</v>
      </c>
      <c r="D57" s="7" t="s">
        <v>59</v>
      </c>
      <c r="E57" s="7" t="s">
        <v>60</v>
      </c>
      <c r="F57" s="3" t="s">
        <v>87</v>
      </c>
      <c r="G57" s="4" t="s">
        <v>283</v>
      </c>
      <c r="H57" s="63" t="s">
        <v>285</v>
      </c>
      <c r="I57" s="6" t="s">
        <v>284</v>
      </c>
      <c r="J57" s="9">
        <v>44239</v>
      </c>
      <c r="K57" s="10">
        <v>517333.92</v>
      </c>
      <c r="L57" s="11">
        <v>12994</v>
      </c>
      <c r="M57" s="9">
        <v>44239</v>
      </c>
      <c r="N57" s="9">
        <v>44604</v>
      </c>
      <c r="O57" s="6" t="s">
        <v>155</v>
      </c>
      <c r="P57" s="6" t="s">
        <v>283</v>
      </c>
      <c r="Q57" s="14" t="s">
        <v>156</v>
      </c>
      <c r="R57" s="9" t="s">
        <v>106</v>
      </c>
      <c r="S57" s="6" t="s">
        <v>61</v>
      </c>
      <c r="T57" s="6">
        <v>1</v>
      </c>
      <c r="U57" s="9" t="s">
        <v>106</v>
      </c>
      <c r="V57" s="11">
        <v>13233</v>
      </c>
      <c r="W57" s="6" t="s">
        <v>62</v>
      </c>
      <c r="X57" s="9">
        <v>44605</v>
      </c>
      <c r="Y57" s="9">
        <v>44969</v>
      </c>
      <c r="Z57" s="9" t="s">
        <v>106</v>
      </c>
      <c r="AA57" s="9"/>
      <c r="AB57" s="10"/>
      <c r="AC57" s="10"/>
      <c r="AD57" s="33">
        <f t="shared" si="0"/>
        <v>517333.92</v>
      </c>
      <c r="AE57" s="10">
        <f>10513.51+29808.64+729.91+729.91+28310.74+946.72+28093.93+23952.91+946.72+24682.82</f>
        <v>148715.81000000003</v>
      </c>
      <c r="AF57" s="10">
        <f>25158.4+25808.83+38000.49+28114.26+30119.07+30119.07+29002.47+29088.95+32635.24+32635.24</f>
        <v>300682.02</v>
      </c>
      <c r="AG57" s="33">
        <f t="shared" si="1"/>
        <v>449397.83000000007</v>
      </c>
    </row>
    <row r="58" spans="1:33" x14ac:dyDescent="0.25">
      <c r="A58" s="14" t="s">
        <v>238</v>
      </c>
      <c r="B58" s="6" t="s">
        <v>292</v>
      </c>
      <c r="C58" s="14" t="s">
        <v>199</v>
      </c>
      <c r="D58" s="7" t="s">
        <v>59</v>
      </c>
      <c r="E58" s="7" t="s">
        <v>60</v>
      </c>
      <c r="F58" s="3" t="s">
        <v>77</v>
      </c>
      <c r="G58" s="4" t="s">
        <v>290</v>
      </c>
      <c r="H58" s="63" t="s">
        <v>291</v>
      </c>
      <c r="I58" s="6" t="s">
        <v>301</v>
      </c>
      <c r="J58" s="9">
        <v>44414</v>
      </c>
      <c r="K58" s="10">
        <v>29670.12</v>
      </c>
      <c r="L58" s="11">
        <v>13110</v>
      </c>
      <c r="M58" s="9">
        <v>44414</v>
      </c>
      <c r="N58" s="9">
        <v>44778</v>
      </c>
      <c r="O58" s="6">
        <v>101</v>
      </c>
      <c r="P58" s="9" t="s">
        <v>106</v>
      </c>
      <c r="Q58" s="14" t="s">
        <v>156</v>
      </c>
      <c r="R58" s="9" t="s">
        <v>106</v>
      </c>
      <c r="S58" s="6" t="s">
        <v>84</v>
      </c>
      <c r="T58" s="6" t="s">
        <v>106</v>
      </c>
      <c r="U58" s="9" t="s">
        <v>106</v>
      </c>
      <c r="V58" s="9" t="s">
        <v>106</v>
      </c>
      <c r="W58" s="9" t="s">
        <v>106</v>
      </c>
      <c r="X58" s="9" t="s">
        <v>106</v>
      </c>
      <c r="Y58" s="9" t="s">
        <v>106</v>
      </c>
      <c r="Z58" s="9" t="s">
        <v>106</v>
      </c>
      <c r="AA58" s="9"/>
      <c r="AB58" s="10"/>
      <c r="AC58" s="10"/>
      <c r="AD58" s="33">
        <f t="shared" si="0"/>
        <v>29670.12</v>
      </c>
      <c r="AE58" s="10">
        <f>2472.51+2472.51+2472.51+2472.51+2472.51</f>
        <v>12362.550000000001</v>
      </c>
      <c r="AF58" s="10">
        <f>2472.51+2472.51+2472.51+2472.51+2472.51+2472.51+2472.51+2737.09+2737.09+2737.09</f>
        <v>25518.84</v>
      </c>
      <c r="AG58" s="33">
        <f t="shared" si="1"/>
        <v>37881.39</v>
      </c>
    </row>
    <row r="59" spans="1:33" x14ac:dyDescent="0.25">
      <c r="A59" s="14" t="s">
        <v>239</v>
      </c>
      <c r="B59" s="6" t="s">
        <v>215</v>
      </c>
      <c r="C59" s="14" t="s">
        <v>216</v>
      </c>
      <c r="D59" s="7" t="s">
        <v>59</v>
      </c>
      <c r="E59" s="7" t="s">
        <v>60</v>
      </c>
      <c r="F59" s="3" t="s">
        <v>256</v>
      </c>
      <c r="G59" s="4" t="s">
        <v>293</v>
      </c>
      <c r="H59" s="63" t="s">
        <v>294</v>
      </c>
      <c r="I59" s="6" t="s">
        <v>295</v>
      </c>
      <c r="J59" s="9">
        <v>44266</v>
      </c>
      <c r="K59" s="10">
        <v>1175</v>
      </c>
      <c r="L59" s="11">
        <v>13005</v>
      </c>
      <c r="M59" s="9">
        <v>44266</v>
      </c>
      <c r="N59" s="9">
        <v>44630</v>
      </c>
      <c r="O59" s="6" t="s">
        <v>155</v>
      </c>
      <c r="P59" s="9" t="s">
        <v>106</v>
      </c>
      <c r="Q59" s="14" t="s">
        <v>156</v>
      </c>
      <c r="R59" s="9" t="s">
        <v>106</v>
      </c>
      <c r="S59" s="6" t="s">
        <v>121</v>
      </c>
      <c r="T59" s="6" t="s">
        <v>106</v>
      </c>
      <c r="U59" s="9" t="s">
        <v>106</v>
      </c>
      <c r="V59" s="9" t="s">
        <v>106</v>
      </c>
      <c r="W59" s="9" t="s">
        <v>106</v>
      </c>
      <c r="X59" s="9" t="s">
        <v>106</v>
      </c>
      <c r="Y59" s="9" t="s">
        <v>106</v>
      </c>
      <c r="Z59" s="9" t="s">
        <v>106</v>
      </c>
      <c r="AA59" s="9"/>
      <c r="AB59" s="10"/>
      <c r="AC59" s="10"/>
      <c r="AD59" s="33">
        <f t="shared" si="0"/>
        <v>1175</v>
      </c>
      <c r="AE59" s="10">
        <v>988</v>
      </c>
      <c r="AF59" s="10"/>
      <c r="AG59" s="33">
        <f t="shared" si="1"/>
        <v>988</v>
      </c>
    </row>
    <row r="60" spans="1:33" x14ac:dyDescent="0.25">
      <c r="A60" s="14" t="s">
        <v>374</v>
      </c>
      <c r="B60" s="6" t="s">
        <v>296</v>
      </c>
      <c r="C60" s="14" t="s">
        <v>297</v>
      </c>
      <c r="D60" s="7" t="s">
        <v>59</v>
      </c>
      <c r="E60" s="7" t="s">
        <v>60</v>
      </c>
      <c r="F60" s="3" t="s">
        <v>85</v>
      </c>
      <c r="G60" s="4" t="s">
        <v>298</v>
      </c>
      <c r="H60" s="63" t="s">
        <v>299</v>
      </c>
      <c r="I60" s="6" t="s">
        <v>300</v>
      </c>
      <c r="J60" s="9">
        <v>44088</v>
      </c>
      <c r="K60" s="10">
        <v>86352</v>
      </c>
      <c r="L60" s="11">
        <v>12886</v>
      </c>
      <c r="M60" s="9">
        <v>44088</v>
      </c>
      <c r="N60" s="9">
        <v>44452</v>
      </c>
      <c r="O60" s="6" t="s">
        <v>155</v>
      </c>
      <c r="P60" s="9" t="s">
        <v>106</v>
      </c>
      <c r="Q60" s="14" t="s">
        <v>156</v>
      </c>
      <c r="R60" s="9" t="s">
        <v>106</v>
      </c>
      <c r="S60" s="6" t="s">
        <v>61</v>
      </c>
      <c r="T60" s="6">
        <v>2</v>
      </c>
      <c r="U60" s="9">
        <v>44799</v>
      </c>
      <c r="V60" s="11">
        <v>13367</v>
      </c>
      <c r="W60" s="6" t="s">
        <v>62</v>
      </c>
      <c r="X60" s="9">
        <v>44818</v>
      </c>
      <c r="Y60" s="9">
        <v>45182</v>
      </c>
      <c r="Z60" s="9" t="s">
        <v>106</v>
      </c>
      <c r="AA60" s="9"/>
      <c r="AB60" s="10"/>
      <c r="AC60" s="10"/>
      <c r="AD60" s="33">
        <f t="shared" si="0"/>
        <v>86352</v>
      </c>
      <c r="AE60" s="10">
        <f>3598+3598+3598+3598+3598</f>
        <v>17990</v>
      </c>
      <c r="AF60" s="10">
        <f>3598+3598+3598+3598+3598+3598+3598+3598+3598+3598</f>
        <v>35980</v>
      </c>
      <c r="AG60" s="33">
        <f t="shared" si="1"/>
        <v>53970</v>
      </c>
    </row>
    <row r="61" spans="1:33" x14ac:dyDescent="0.25">
      <c r="A61" s="14" t="s">
        <v>240</v>
      </c>
      <c r="B61" s="6" t="s">
        <v>188</v>
      </c>
      <c r="C61" s="14" t="s">
        <v>187</v>
      </c>
      <c r="D61" s="7" t="s">
        <v>59</v>
      </c>
      <c r="E61" s="7" t="s">
        <v>60</v>
      </c>
      <c r="F61" s="3" t="s">
        <v>85</v>
      </c>
      <c r="G61" s="4" t="s">
        <v>302</v>
      </c>
      <c r="H61" s="63" t="s">
        <v>303</v>
      </c>
      <c r="I61" s="6" t="s">
        <v>100</v>
      </c>
      <c r="J61" s="9">
        <v>44239</v>
      </c>
      <c r="K61" s="10">
        <v>90960</v>
      </c>
      <c r="L61" s="11">
        <v>12989</v>
      </c>
      <c r="M61" s="9">
        <v>44239</v>
      </c>
      <c r="N61" s="9">
        <v>44561</v>
      </c>
      <c r="O61" s="6" t="s">
        <v>155</v>
      </c>
      <c r="P61" s="9" t="s">
        <v>106</v>
      </c>
      <c r="Q61" s="14" t="s">
        <v>156</v>
      </c>
      <c r="R61" s="9" t="s">
        <v>106</v>
      </c>
      <c r="S61" s="6" t="s">
        <v>61</v>
      </c>
      <c r="T61" s="6">
        <v>3</v>
      </c>
      <c r="U61" s="9">
        <v>44743</v>
      </c>
      <c r="V61" s="11">
        <v>13332</v>
      </c>
      <c r="W61" s="6" t="s">
        <v>194</v>
      </c>
      <c r="X61" s="9">
        <v>44604</v>
      </c>
      <c r="Y61" s="9">
        <v>44968</v>
      </c>
      <c r="Z61" s="13">
        <v>0.14627899999999999</v>
      </c>
      <c r="AA61" s="9"/>
      <c r="AB61" s="10"/>
      <c r="AC61" s="10"/>
      <c r="AD61" s="33">
        <f t="shared" si="0"/>
        <v>90960</v>
      </c>
      <c r="AE61" s="10">
        <v>3789</v>
      </c>
      <c r="AF61" s="10">
        <f>7580+7580+7580+7580+7580+8688.8+8688.8+8688.8+8688.8</f>
        <v>72655.200000000012</v>
      </c>
      <c r="AG61" s="33">
        <f t="shared" si="1"/>
        <v>76444.200000000012</v>
      </c>
    </row>
    <row r="62" spans="1:33" x14ac:dyDescent="0.25">
      <c r="A62" s="14" t="s">
        <v>241</v>
      </c>
      <c r="B62" s="6" t="s">
        <v>304</v>
      </c>
      <c r="C62" s="14" t="s">
        <v>276</v>
      </c>
      <c r="D62" s="7" t="s">
        <v>59</v>
      </c>
      <c r="E62" s="7" t="s">
        <v>60</v>
      </c>
      <c r="F62" s="3" t="s">
        <v>305</v>
      </c>
      <c r="G62" s="4" t="s">
        <v>306</v>
      </c>
      <c r="H62" s="63" t="s">
        <v>307</v>
      </c>
      <c r="I62" s="6" t="s">
        <v>308</v>
      </c>
      <c r="J62" s="6">
        <v>44468</v>
      </c>
      <c r="K62" s="10">
        <v>2053695.6</v>
      </c>
      <c r="L62" s="6">
        <v>13140</v>
      </c>
      <c r="M62" s="9">
        <v>44468</v>
      </c>
      <c r="N62" s="9">
        <v>44832</v>
      </c>
      <c r="O62" s="6" t="s">
        <v>155</v>
      </c>
      <c r="P62" s="6" t="s">
        <v>106</v>
      </c>
      <c r="Q62" s="6" t="s">
        <v>156</v>
      </c>
      <c r="R62" s="6" t="s">
        <v>106</v>
      </c>
      <c r="S62" s="6" t="s">
        <v>61</v>
      </c>
      <c r="T62" s="6">
        <v>1</v>
      </c>
      <c r="U62" s="9">
        <v>44833</v>
      </c>
      <c r="V62" s="9">
        <v>13388</v>
      </c>
      <c r="W62" s="6" t="s">
        <v>62</v>
      </c>
      <c r="X62" s="9">
        <v>44834</v>
      </c>
      <c r="Y62" s="9">
        <v>45198</v>
      </c>
      <c r="Z62" s="9" t="s">
        <v>106</v>
      </c>
      <c r="AA62" s="9"/>
      <c r="AB62" s="10"/>
      <c r="AC62" s="10"/>
      <c r="AD62" s="33">
        <f t="shared" si="0"/>
        <v>2053695.6</v>
      </c>
      <c r="AE62" s="10">
        <f>12740.53+43926.28+52863.65</f>
        <v>109530.45999999999</v>
      </c>
      <c r="AF62" s="10">
        <f>69376.63+45637.68+44306.58+51344.39+73971.07+66174.64+62751.81+62751.81+68456.52</f>
        <v>544771.13</v>
      </c>
      <c r="AG62" s="33">
        <f t="shared" si="1"/>
        <v>654301.59</v>
      </c>
    </row>
    <row r="63" spans="1:33" x14ac:dyDescent="0.25">
      <c r="A63" s="14" t="s">
        <v>375</v>
      </c>
      <c r="B63" s="6" t="s">
        <v>319</v>
      </c>
      <c r="C63" s="14" t="s">
        <v>144</v>
      </c>
      <c r="D63" s="7" t="s">
        <v>59</v>
      </c>
      <c r="E63" s="7" t="s">
        <v>60</v>
      </c>
      <c r="F63" s="3" t="s">
        <v>313</v>
      </c>
      <c r="G63" s="4" t="s">
        <v>312</v>
      </c>
      <c r="H63" s="63" t="s">
        <v>309</v>
      </c>
      <c r="I63" s="6" t="s">
        <v>317</v>
      </c>
      <c r="J63" s="9">
        <v>44287</v>
      </c>
      <c r="K63" s="10">
        <v>15984</v>
      </c>
      <c r="L63" s="11">
        <v>11541</v>
      </c>
      <c r="M63" s="9">
        <v>44287</v>
      </c>
      <c r="N63" s="9">
        <v>44651</v>
      </c>
      <c r="O63" s="6">
        <v>117</v>
      </c>
      <c r="P63" s="6" t="s">
        <v>312</v>
      </c>
      <c r="Q63" s="6" t="s">
        <v>156</v>
      </c>
      <c r="R63" s="6" t="s">
        <v>106</v>
      </c>
      <c r="S63" s="6" t="s">
        <v>84</v>
      </c>
      <c r="T63" s="9" t="s">
        <v>106</v>
      </c>
      <c r="U63" s="9">
        <v>44286</v>
      </c>
      <c r="V63" s="11">
        <v>13014</v>
      </c>
      <c r="W63" s="9" t="s">
        <v>320</v>
      </c>
      <c r="X63" s="9">
        <v>44286</v>
      </c>
      <c r="Y63" s="9">
        <v>44652</v>
      </c>
      <c r="Z63" s="9" t="s">
        <v>106</v>
      </c>
      <c r="AA63" s="9"/>
      <c r="AB63" s="10"/>
      <c r="AC63" s="10"/>
      <c r="AD63" s="33">
        <f t="shared" si="0"/>
        <v>15984</v>
      </c>
      <c r="AE63" s="10">
        <v>1585.9</v>
      </c>
      <c r="AF63" s="10">
        <f>1586.9+1586.9+1586.9</f>
        <v>4760.7000000000007</v>
      </c>
      <c r="AG63" s="33">
        <f t="shared" si="1"/>
        <v>6346.6</v>
      </c>
    </row>
    <row r="64" spans="1:33" x14ac:dyDescent="0.25">
      <c r="A64" s="14" t="s">
        <v>376</v>
      </c>
      <c r="B64" s="6" t="s">
        <v>322</v>
      </c>
      <c r="C64" s="14" t="s">
        <v>144</v>
      </c>
      <c r="D64" s="7" t="s">
        <v>59</v>
      </c>
      <c r="E64" s="7" t="s">
        <v>60</v>
      </c>
      <c r="F64" s="3" t="s">
        <v>314</v>
      </c>
      <c r="G64" s="4" t="s">
        <v>316</v>
      </c>
      <c r="H64" s="63" t="s">
        <v>310</v>
      </c>
      <c r="I64" s="6" t="s">
        <v>318</v>
      </c>
      <c r="J64" s="9">
        <v>44509</v>
      </c>
      <c r="K64" s="10">
        <v>25200</v>
      </c>
      <c r="L64" s="11">
        <v>13166</v>
      </c>
      <c r="M64" s="9">
        <v>44509</v>
      </c>
      <c r="N64" s="9">
        <v>44874</v>
      </c>
      <c r="O64" s="6">
        <v>101</v>
      </c>
      <c r="P64" s="6" t="s">
        <v>316</v>
      </c>
      <c r="Q64" s="6" t="s">
        <v>156</v>
      </c>
      <c r="R64" s="6" t="s">
        <v>106</v>
      </c>
      <c r="S64" s="6" t="s">
        <v>84</v>
      </c>
      <c r="T64" s="9" t="s">
        <v>106</v>
      </c>
      <c r="U64" s="9" t="s">
        <v>106</v>
      </c>
      <c r="V64" s="9" t="s">
        <v>106</v>
      </c>
      <c r="W64" s="9" t="s">
        <v>106</v>
      </c>
      <c r="X64" s="9" t="s">
        <v>106</v>
      </c>
      <c r="Y64" s="9" t="s">
        <v>106</v>
      </c>
      <c r="Z64" s="9" t="s">
        <v>106</v>
      </c>
      <c r="AA64" s="9"/>
      <c r="AB64" s="10"/>
      <c r="AC64" s="10"/>
      <c r="AD64" s="33">
        <f t="shared" si="0"/>
        <v>25200</v>
      </c>
      <c r="AE64" s="10">
        <f>9000+1540+2100</f>
        <v>12640</v>
      </c>
      <c r="AF64" s="10">
        <f>2100+2100+2100+2100+2100+2100+2100+2100+2100+2100</f>
        <v>21000</v>
      </c>
      <c r="AG64" s="33">
        <f t="shared" si="1"/>
        <v>33640</v>
      </c>
    </row>
    <row r="65" spans="1:33" x14ac:dyDescent="0.25">
      <c r="A65" s="14" t="s">
        <v>242</v>
      </c>
      <c r="B65" s="6" t="s">
        <v>325</v>
      </c>
      <c r="C65" s="14" t="s">
        <v>324</v>
      </c>
      <c r="D65" s="7" t="s">
        <v>59</v>
      </c>
      <c r="E65" s="7" t="s">
        <v>60</v>
      </c>
      <c r="F65" s="3" t="s">
        <v>315</v>
      </c>
      <c r="G65" s="4" t="s">
        <v>323</v>
      </c>
      <c r="H65" s="63" t="s">
        <v>311</v>
      </c>
      <c r="I65" s="6" t="s">
        <v>326</v>
      </c>
      <c r="J65" s="9">
        <v>44405</v>
      </c>
      <c r="K65" s="10">
        <v>85000</v>
      </c>
      <c r="L65" s="11">
        <v>13076</v>
      </c>
      <c r="M65" s="9">
        <v>44405</v>
      </c>
      <c r="N65" s="9">
        <v>44561</v>
      </c>
      <c r="O65" s="6" t="s">
        <v>181</v>
      </c>
      <c r="P65" s="6" t="s">
        <v>323</v>
      </c>
      <c r="Q65" s="6" t="s">
        <v>156</v>
      </c>
      <c r="R65" s="6" t="s">
        <v>106</v>
      </c>
      <c r="S65" s="6" t="s">
        <v>121</v>
      </c>
      <c r="T65" s="9" t="s">
        <v>106</v>
      </c>
      <c r="U65" s="9" t="s">
        <v>106</v>
      </c>
      <c r="V65" s="9" t="s">
        <v>106</v>
      </c>
      <c r="W65" s="9" t="s">
        <v>106</v>
      </c>
      <c r="X65" s="9" t="s">
        <v>106</v>
      </c>
      <c r="Y65" s="9" t="s">
        <v>106</v>
      </c>
      <c r="Z65" s="9" t="s">
        <v>106</v>
      </c>
      <c r="AA65" s="9"/>
      <c r="AB65" s="10"/>
      <c r="AC65" s="10"/>
      <c r="AD65" s="33">
        <f t="shared" si="0"/>
        <v>85000</v>
      </c>
      <c r="AE65" s="10">
        <v>16787.150000000001</v>
      </c>
      <c r="AF65" s="10">
        <v>5500</v>
      </c>
      <c r="AG65" s="33">
        <f t="shared" si="1"/>
        <v>22287.15</v>
      </c>
    </row>
    <row r="66" spans="1:33" x14ac:dyDescent="0.25">
      <c r="A66" s="14" t="s">
        <v>243</v>
      </c>
      <c r="B66" s="6" t="s">
        <v>330</v>
      </c>
      <c r="C66" s="6" t="s">
        <v>106</v>
      </c>
      <c r="D66" s="7" t="s">
        <v>59</v>
      </c>
      <c r="E66" s="7" t="s">
        <v>60</v>
      </c>
      <c r="F66" s="3" t="s">
        <v>329</v>
      </c>
      <c r="G66" s="4" t="s">
        <v>328</v>
      </c>
      <c r="H66" s="63" t="s">
        <v>327</v>
      </c>
      <c r="I66" s="6" t="s">
        <v>331</v>
      </c>
      <c r="J66" s="9">
        <v>44512</v>
      </c>
      <c r="K66" s="10">
        <v>9875</v>
      </c>
      <c r="L66" s="11">
        <v>13171</v>
      </c>
      <c r="M66" s="9">
        <v>44512</v>
      </c>
      <c r="N66" s="9">
        <v>44876</v>
      </c>
      <c r="O66" s="6">
        <v>101</v>
      </c>
      <c r="P66" s="6" t="s">
        <v>106</v>
      </c>
      <c r="Q66" s="6" t="s">
        <v>156</v>
      </c>
      <c r="R66" s="6" t="s">
        <v>106</v>
      </c>
      <c r="S66" s="6" t="s">
        <v>61</v>
      </c>
      <c r="T66" s="9" t="s">
        <v>106</v>
      </c>
      <c r="U66" s="9" t="s">
        <v>106</v>
      </c>
      <c r="V66" s="9" t="s">
        <v>106</v>
      </c>
      <c r="W66" s="9" t="s">
        <v>106</v>
      </c>
      <c r="X66" s="9" t="s">
        <v>106</v>
      </c>
      <c r="Y66" s="9" t="s">
        <v>106</v>
      </c>
      <c r="Z66" s="9" t="s">
        <v>106</v>
      </c>
      <c r="AA66" s="9"/>
      <c r="AB66" s="10"/>
      <c r="AC66" s="10"/>
      <c r="AD66" s="33">
        <f t="shared" si="0"/>
        <v>9875</v>
      </c>
      <c r="AE66" s="10">
        <v>9875</v>
      </c>
      <c r="AF66" s="10"/>
      <c r="AG66" s="33">
        <f t="shared" si="1"/>
        <v>9875</v>
      </c>
    </row>
    <row r="67" spans="1:33" x14ac:dyDescent="0.25">
      <c r="A67" s="14" t="s">
        <v>244</v>
      </c>
      <c r="B67" s="6" t="s">
        <v>106</v>
      </c>
      <c r="C67" s="6" t="s">
        <v>106</v>
      </c>
      <c r="D67" s="6" t="s">
        <v>106</v>
      </c>
      <c r="E67" s="6" t="s">
        <v>106</v>
      </c>
      <c r="F67" s="3" t="s">
        <v>314</v>
      </c>
      <c r="G67" s="4" t="s">
        <v>316</v>
      </c>
      <c r="H67" s="63" t="s">
        <v>332</v>
      </c>
      <c r="I67" s="6" t="s">
        <v>318</v>
      </c>
      <c r="J67" s="6" t="s">
        <v>106</v>
      </c>
      <c r="K67" s="10">
        <v>0</v>
      </c>
      <c r="L67" s="6" t="s">
        <v>106</v>
      </c>
      <c r="M67" s="6" t="s">
        <v>106</v>
      </c>
      <c r="N67" s="6" t="s">
        <v>106</v>
      </c>
      <c r="O67" s="6" t="s">
        <v>106</v>
      </c>
      <c r="P67" s="6" t="s">
        <v>106</v>
      </c>
      <c r="Q67" s="6" t="s">
        <v>156</v>
      </c>
      <c r="R67" s="6" t="s">
        <v>106</v>
      </c>
      <c r="S67" s="6" t="s">
        <v>106</v>
      </c>
      <c r="T67" s="6" t="s">
        <v>106</v>
      </c>
      <c r="U67" s="6" t="s">
        <v>106</v>
      </c>
      <c r="V67" s="6" t="s">
        <v>106</v>
      </c>
      <c r="W67" s="6" t="s">
        <v>106</v>
      </c>
      <c r="X67" s="6" t="s">
        <v>106</v>
      </c>
      <c r="Y67" s="6" t="s">
        <v>106</v>
      </c>
      <c r="Z67" s="6" t="s">
        <v>106</v>
      </c>
      <c r="AA67" s="6"/>
      <c r="AB67" s="10"/>
      <c r="AC67" s="10"/>
      <c r="AD67" s="33">
        <f>K67-AC67+AB67</f>
        <v>0</v>
      </c>
      <c r="AE67" s="10">
        <v>9000</v>
      </c>
      <c r="AF67" s="10"/>
      <c r="AG67" s="33">
        <f t="shared" si="1"/>
        <v>9000</v>
      </c>
    </row>
    <row r="68" spans="1:33" ht="25.5" x14ac:dyDescent="0.25">
      <c r="A68" s="14" t="s">
        <v>245</v>
      </c>
      <c r="B68" s="6" t="s">
        <v>335</v>
      </c>
      <c r="C68" s="14" t="s">
        <v>334</v>
      </c>
      <c r="D68" s="7" t="s">
        <v>59</v>
      </c>
      <c r="E68" s="7" t="s">
        <v>60</v>
      </c>
      <c r="F68" s="3" t="s">
        <v>329</v>
      </c>
      <c r="G68" s="4" t="s">
        <v>333</v>
      </c>
      <c r="H68" s="63" t="s">
        <v>336</v>
      </c>
      <c r="I68" s="9" t="s">
        <v>337</v>
      </c>
      <c r="J68" s="9">
        <v>44508</v>
      </c>
      <c r="K68" s="10">
        <v>107562.5</v>
      </c>
      <c r="L68" s="9">
        <v>13162</v>
      </c>
      <c r="M68" s="9">
        <v>44508</v>
      </c>
      <c r="N68" s="9">
        <v>44873</v>
      </c>
      <c r="O68" s="9" t="s">
        <v>338</v>
      </c>
      <c r="P68" s="9" t="s">
        <v>106</v>
      </c>
      <c r="Q68" s="9" t="s">
        <v>156</v>
      </c>
      <c r="R68" s="9" t="s">
        <v>106</v>
      </c>
      <c r="S68" s="9" t="s">
        <v>339</v>
      </c>
      <c r="T68" s="6" t="s">
        <v>106</v>
      </c>
      <c r="U68" s="6" t="s">
        <v>106</v>
      </c>
      <c r="V68" s="6" t="s">
        <v>106</v>
      </c>
      <c r="W68" s="6" t="s">
        <v>106</v>
      </c>
      <c r="X68" s="6" t="s">
        <v>106</v>
      </c>
      <c r="Y68" s="6" t="s">
        <v>106</v>
      </c>
      <c r="Z68" s="6" t="s">
        <v>106</v>
      </c>
      <c r="AA68" s="6"/>
      <c r="AB68" s="10"/>
      <c r="AC68" s="10"/>
      <c r="AD68" s="33">
        <f t="shared" si="0"/>
        <v>107562.5</v>
      </c>
      <c r="AE68" s="10">
        <v>10786.9</v>
      </c>
      <c r="AF68" s="10">
        <f>5375+5490+2005+2043+1215+1479</f>
        <v>17607</v>
      </c>
      <c r="AG68" s="33">
        <f t="shared" si="1"/>
        <v>28393.9</v>
      </c>
    </row>
    <row r="69" spans="1:33" ht="51" x14ac:dyDescent="0.25">
      <c r="A69" s="14" t="s">
        <v>377</v>
      </c>
      <c r="B69" s="7" t="s">
        <v>348</v>
      </c>
      <c r="C69" s="7" t="s">
        <v>347</v>
      </c>
      <c r="D69" s="7" t="s">
        <v>59</v>
      </c>
      <c r="E69" s="7" t="s">
        <v>60</v>
      </c>
      <c r="F69" s="65" t="s">
        <v>344</v>
      </c>
      <c r="G69" s="4" t="s">
        <v>345</v>
      </c>
      <c r="H69" s="63" t="s">
        <v>346</v>
      </c>
      <c r="I69" s="6" t="s">
        <v>349</v>
      </c>
      <c r="J69" s="9">
        <v>44369</v>
      </c>
      <c r="K69" s="10">
        <v>180000</v>
      </c>
      <c r="L69" s="11">
        <v>13099</v>
      </c>
      <c r="M69" s="9">
        <v>44369</v>
      </c>
      <c r="N69" s="9">
        <v>44561</v>
      </c>
      <c r="O69" s="6" t="s">
        <v>350</v>
      </c>
      <c r="P69" s="6" t="s">
        <v>106</v>
      </c>
      <c r="Q69" s="6" t="s">
        <v>156</v>
      </c>
      <c r="R69" s="6" t="s">
        <v>106</v>
      </c>
      <c r="S69" s="6" t="s">
        <v>351</v>
      </c>
      <c r="T69" s="6" t="s">
        <v>106</v>
      </c>
      <c r="U69" s="6" t="s">
        <v>106</v>
      </c>
      <c r="V69" s="6" t="s">
        <v>106</v>
      </c>
      <c r="W69" s="6" t="s">
        <v>106</v>
      </c>
      <c r="X69" s="6" t="s">
        <v>106</v>
      </c>
      <c r="Y69" s="6" t="s">
        <v>106</v>
      </c>
      <c r="Z69" s="6" t="s">
        <v>106</v>
      </c>
      <c r="AA69" s="6"/>
      <c r="AB69" s="10"/>
      <c r="AC69" s="10"/>
      <c r="AD69" s="33">
        <f t="shared" si="0"/>
        <v>180000</v>
      </c>
      <c r="AE69" s="10"/>
      <c r="AF69" s="10">
        <f>179599.2+400.8</f>
        <v>180000</v>
      </c>
      <c r="AG69" s="33">
        <f t="shared" si="1"/>
        <v>180000</v>
      </c>
    </row>
    <row r="70" spans="1:33" ht="51" x14ac:dyDescent="0.25">
      <c r="A70" s="14" t="s">
        <v>378</v>
      </c>
      <c r="B70" s="7" t="s">
        <v>383</v>
      </c>
      <c r="C70" s="7" t="s">
        <v>382</v>
      </c>
      <c r="D70" s="7" t="s">
        <v>59</v>
      </c>
      <c r="E70" s="7" t="s">
        <v>60</v>
      </c>
      <c r="F70" s="65" t="s">
        <v>344</v>
      </c>
      <c r="G70" s="4" t="s">
        <v>379</v>
      </c>
      <c r="H70" s="63" t="s">
        <v>380</v>
      </c>
      <c r="I70" s="6" t="s">
        <v>381</v>
      </c>
      <c r="J70" s="9">
        <v>44603</v>
      </c>
      <c r="K70" s="10">
        <v>78099.899999999994</v>
      </c>
      <c r="L70" s="11" t="s">
        <v>423</v>
      </c>
      <c r="M70" s="9">
        <v>44603</v>
      </c>
      <c r="N70" s="9">
        <v>44926</v>
      </c>
      <c r="O70" s="6" t="s">
        <v>140</v>
      </c>
      <c r="P70" s="6" t="s">
        <v>106</v>
      </c>
      <c r="Q70" s="6" t="s">
        <v>156</v>
      </c>
      <c r="R70" s="6" t="s">
        <v>106</v>
      </c>
      <c r="S70" s="6" t="s">
        <v>351</v>
      </c>
      <c r="T70" s="6" t="s">
        <v>106</v>
      </c>
      <c r="U70" s="6" t="s">
        <v>106</v>
      </c>
      <c r="V70" s="6" t="s">
        <v>106</v>
      </c>
      <c r="W70" s="6" t="s">
        <v>106</v>
      </c>
      <c r="X70" s="6" t="s">
        <v>106</v>
      </c>
      <c r="Y70" s="6" t="s">
        <v>106</v>
      </c>
      <c r="Z70" s="6" t="s">
        <v>106</v>
      </c>
      <c r="AA70" s="6"/>
      <c r="AB70" s="10"/>
      <c r="AC70" s="10"/>
      <c r="AD70" s="33">
        <f t="shared" si="0"/>
        <v>78099.899999999994</v>
      </c>
      <c r="AE70" s="10"/>
      <c r="AF70" s="10">
        <f>13925+8355</f>
        <v>22280</v>
      </c>
      <c r="AG70" s="33">
        <f t="shared" si="1"/>
        <v>22280</v>
      </c>
    </row>
    <row r="71" spans="1:33" ht="51" x14ac:dyDescent="0.25">
      <c r="A71" s="14" t="s">
        <v>384</v>
      </c>
      <c r="B71" s="7" t="s">
        <v>388</v>
      </c>
      <c r="C71" s="7" t="s">
        <v>389</v>
      </c>
      <c r="D71" s="7" t="s">
        <v>59</v>
      </c>
      <c r="E71" s="7" t="s">
        <v>60</v>
      </c>
      <c r="F71" s="65" t="s">
        <v>344</v>
      </c>
      <c r="G71" s="4" t="s">
        <v>385</v>
      </c>
      <c r="H71" s="63" t="s">
        <v>386</v>
      </c>
      <c r="I71" s="6" t="s">
        <v>387</v>
      </c>
      <c r="J71" s="9">
        <v>44606</v>
      </c>
      <c r="K71" s="10">
        <v>72957.25</v>
      </c>
      <c r="L71" s="11">
        <v>13229</v>
      </c>
      <c r="M71" s="9">
        <v>44606</v>
      </c>
      <c r="N71" s="9">
        <v>44926</v>
      </c>
      <c r="O71" s="6" t="s">
        <v>338</v>
      </c>
      <c r="P71" s="6" t="s">
        <v>106</v>
      </c>
      <c r="Q71" s="6" t="s">
        <v>156</v>
      </c>
      <c r="R71" s="6" t="s">
        <v>106</v>
      </c>
      <c r="S71" s="6" t="s">
        <v>121</v>
      </c>
      <c r="T71" s="6" t="s">
        <v>106</v>
      </c>
      <c r="U71" s="6" t="s">
        <v>106</v>
      </c>
      <c r="V71" s="6" t="s">
        <v>106</v>
      </c>
      <c r="W71" s="6" t="s">
        <v>106</v>
      </c>
      <c r="X71" s="6" t="s">
        <v>106</v>
      </c>
      <c r="Y71" s="6" t="s">
        <v>106</v>
      </c>
      <c r="Z71" s="6" t="s">
        <v>106</v>
      </c>
      <c r="AA71" s="6"/>
      <c r="AB71" s="10"/>
      <c r="AC71" s="10"/>
      <c r="AD71" s="33">
        <f t="shared" si="0"/>
        <v>72957.25</v>
      </c>
      <c r="AE71" s="10"/>
      <c r="AF71" s="10">
        <f>3891.04+2499+532.4+485+2730.26+3721.5+293.4+562.35+2209.4+120+446.1+505.5+2150+1360+750+141.5+145+1231.65+877.6</f>
        <v>24651.7</v>
      </c>
      <c r="AG71" s="33">
        <f t="shared" si="1"/>
        <v>24651.7</v>
      </c>
    </row>
    <row r="72" spans="1:33" ht="51" x14ac:dyDescent="0.25">
      <c r="A72" s="14" t="s">
        <v>390</v>
      </c>
      <c r="B72" s="7" t="s">
        <v>392</v>
      </c>
      <c r="C72" s="7" t="s">
        <v>393</v>
      </c>
      <c r="D72" s="7" t="s">
        <v>59</v>
      </c>
      <c r="E72" s="7" t="s">
        <v>60</v>
      </c>
      <c r="F72" s="65" t="s">
        <v>344</v>
      </c>
      <c r="G72" s="4" t="s">
        <v>391</v>
      </c>
      <c r="H72" s="63" t="s">
        <v>311</v>
      </c>
      <c r="I72" s="6" t="s">
        <v>326</v>
      </c>
      <c r="J72" s="9">
        <v>44609</v>
      </c>
      <c r="K72" s="10">
        <v>136600</v>
      </c>
      <c r="L72" s="11">
        <v>13232</v>
      </c>
      <c r="M72" s="9">
        <v>44609</v>
      </c>
      <c r="N72" s="9">
        <v>44926</v>
      </c>
      <c r="O72" s="6" t="s">
        <v>338</v>
      </c>
      <c r="P72" s="6" t="s">
        <v>106</v>
      </c>
      <c r="Q72" s="6" t="s">
        <v>156</v>
      </c>
      <c r="R72" s="6" t="s">
        <v>106</v>
      </c>
      <c r="S72" s="6" t="s">
        <v>121</v>
      </c>
      <c r="T72" s="6" t="s">
        <v>106</v>
      </c>
      <c r="U72" s="6" t="s">
        <v>106</v>
      </c>
      <c r="V72" s="6" t="s">
        <v>106</v>
      </c>
      <c r="W72" s="6" t="s">
        <v>106</v>
      </c>
      <c r="X72" s="6" t="s">
        <v>106</v>
      </c>
      <c r="Y72" s="6" t="s">
        <v>106</v>
      </c>
      <c r="Z72" s="6" t="s">
        <v>106</v>
      </c>
      <c r="AA72" s="6"/>
      <c r="AB72" s="10"/>
      <c r="AC72" s="10"/>
      <c r="AD72" s="33">
        <f t="shared" si="0"/>
        <v>136600</v>
      </c>
      <c r="AE72" s="10"/>
      <c r="AF72" s="10">
        <f>13830.32+10000</f>
        <v>23830.32</v>
      </c>
      <c r="AG72" s="33">
        <f t="shared" si="1"/>
        <v>23830.32</v>
      </c>
    </row>
    <row r="73" spans="1:33" ht="51" x14ac:dyDescent="0.25">
      <c r="A73" s="14" t="s">
        <v>394</v>
      </c>
      <c r="B73" s="7" t="s">
        <v>398</v>
      </c>
      <c r="C73" s="7" t="s">
        <v>399</v>
      </c>
      <c r="D73" s="7" t="s">
        <v>59</v>
      </c>
      <c r="E73" s="7" t="s">
        <v>60</v>
      </c>
      <c r="F73" s="65" t="s">
        <v>344</v>
      </c>
      <c r="G73" s="4" t="s">
        <v>395</v>
      </c>
      <c r="H73" s="63" t="s">
        <v>396</v>
      </c>
      <c r="I73" s="6" t="s">
        <v>397</v>
      </c>
      <c r="J73" s="9">
        <v>44613</v>
      </c>
      <c r="K73" s="10">
        <v>506000</v>
      </c>
      <c r="L73" s="11">
        <v>13232</v>
      </c>
      <c r="M73" s="9">
        <v>44613</v>
      </c>
      <c r="N73" s="9">
        <v>44926</v>
      </c>
      <c r="O73" s="6" t="s">
        <v>338</v>
      </c>
      <c r="P73" s="6" t="s">
        <v>106</v>
      </c>
      <c r="Q73" s="6" t="s">
        <v>156</v>
      </c>
      <c r="R73" s="6" t="s">
        <v>106</v>
      </c>
      <c r="S73" s="6" t="s">
        <v>121</v>
      </c>
      <c r="T73" s="6" t="s">
        <v>106</v>
      </c>
      <c r="U73" s="6" t="s">
        <v>106</v>
      </c>
      <c r="V73" s="6" t="s">
        <v>106</v>
      </c>
      <c r="W73" s="6" t="s">
        <v>106</v>
      </c>
      <c r="X73" s="6" t="s">
        <v>106</v>
      </c>
      <c r="Y73" s="6" t="s">
        <v>106</v>
      </c>
      <c r="Z73" s="6" t="s">
        <v>106</v>
      </c>
      <c r="AA73" s="6"/>
      <c r="AB73" s="10"/>
      <c r="AC73" s="10"/>
      <c r="AD73" s="33">
        <f t="shared" si="0"/>
        <v>506000</v>
      </c>
      <c r="AE73" s="10"/>
      <c r="AF73" s="10">
        <f>4402.2+30423.25+1505.35+3795</f>
        <v>40125.799999999996</v>
      </c>
      <c r="AG73" s="33">
        <f t="shared" si="1"/>
        <v>40125.799999999996</v>
      </c>
    </row>
    <row r="74" spans="1:33" ht="51" x14ac:dyDescent="0.25">
      <c r="A74" s="14" t="s">
        <v>400</v>
      </c>
      <c r="B74" s="7" t="s">
        <v>404</v>
      </c>
      <c r="C74" s="7" t="s">
        <v>403</v>
      </c>
      <c r="D74" s="7" t="s">
        <v>59</v>
      </c>
      <c r="E74" s="7" t="s">
        <v>60</v>
      </c>
      <c r="F74" s="65" t="s">
        <v>344</v>
      </c>
      <c r="G74" s="4" t="s">
        <v>424</v>
      </c>
      <c r="H74" s="63" t="s">
        <v>401</v>
      </c>
      <c r="I74" s="6" t="s">
        <v>402</v>
      </c>
      <c r="J74" s="9">
        <v>44553</v>
      </c>
      <c r="K74" s="10">
        <v>869000</v>
      </c>
      <c r="L74" s="11">
        <v>13196</v>
      </c>
      <c r="M74" s="9">
        <v>44553</v>
      </c>
      <c r="N74" s="9">
        <v>44918</v>
      </c>
      <c r="O74" s="6" t="s">
        <v>155</v>
      </c>
      <c r="P74" s="6" t="s">
        <v>106</v>
      </c>
      <c r="Q74" s="6" t="s">
        <v>156</v>
      </c>
      <c r="R74" s="6" t="s">
        <v>106</v>
      </c>
      <c r="S74" s="6" t="s">
        <v>61</v>
      </c>
      <c r="T74" s="6" t="s">
        <v>106</v>
      </c>
      <c r="U74" s="6" t="s">
        <v>106</v>
      </c>
      <c r="V74" s="6" t="s">
        <v>106</v>
      </c>
      <c r="W74" s="6" t="s">
        <v>106</v>
      </c>
      <c r="X74" s="6" t="s">
        <v>106</v>
      </c>
      <c r="Y74" s="6" t="s">
        <v>106</v>
      </c>
      <c r="Z74" s="6" t="s">
        <v>106</v>
      </c>
      <c r="AA74" s="6"/>
      <c r="AB74" s="10"/>
      <c r="AC74" s="10"/>
      <c r="AD74" s="33">
        <f t="shared" si="0"/>
        <v>869000</v>
      </c>
      <c r="AE74" s="10"/>
      <c r="AF74" s="10">
        <f>3282.87+6790.86+15000+6167.47+4926.27+217.89+10000+3614.64+10000+6733.25+766.75+15409.17+266.52+8122.55+6201.76+6184.82+4147.05+3966.31+8618.2+9592.18+9802.51</f>
        <v>139811.07</v>
      </c>
      <c r="AG74" s="33">
        <f t="shared" si="1"/>
        <v>139811.07</v>
      </c>
    </row>
    <row r="75" spans="1:33" ht="51" x14ac:dyDescent="0.25">
      <c r="A75" s="14" t="s">
        <v>405</v>
      </c>
      <c r="B75" s="7" t="s">
        <v>476</v>
      </c>
      <c r="C75" s="7" t="s">
        <v>475</v>
      </c>
      <c r="D75" s="7" t="s">
        <v>59</v>
      </c>
      <c r="E75" s="7" t="s">
        <v>60</v>
      </c>
      <c r="F75" s="65" t="s">
        <v>344</v>
      </c>
      <c r="G75" s="4" t="s">
        <v>477</v>
      </c>
      <c r="H75" s="63" t="s">
        <v>401</v>
      </c>
      <c r="I75" s="6" t="s">
        <v>402</v>
      </c>
      <c r="J75" s="9">
        <v>44650</v>
      </c>
      <c r="K75" s="10">
        <v>319560</v>
      </c>
      <c r="L75" s="11">
        <v>13259</v>
      </c>
      <c r="M75" s="9">
        <v>44650</v>
      </c>
      <c r="N75" s="9">
        <v>45014</v>
      </c>
      <c r="O75" s="6" t="s">
        <v>155</v>
      </c>
      <c r="P75" s="6" t="s">
        <v>106</v>
      </c>
      <c r="Q75" s="6" t="s">
        <v>156</v>
      </c>
      <c r="R75" s="6" t="s">
        <v>106</v>
      </c>
      <c r="S75" s="6" t="s">
        <v>61</v>
      </c>
      <c r="T75" s="6" t="s">
        <v>106</v>
      </c>
      <c r="U75" s="6" t="s">
        <v>106</v>
      </c>
      <c r="V75" s="6" t="s">
        <v>106</v>
      </c>
      <c r="W75" s="6" t="s">
        <v>106</v>
      </c>
      <c r="X75" s="6" t="s">
        <v>106</v>
      </c>
      <c r="Y75" s="6" t="s">
        <v>106</v>
      </c>
      <c r="Z75" s="6" t="s">
        <v>106</v>
      </c>
      <c r="AA75" s="6"/>
      <c r="AB75" s="10"/>
      <c r="AC75" s="10"/>
      <c r="AD75" s="33">
        <f t="shared" si="0"/>
        <v>319560</v>
      </c>
      <c r="AE75" s="10"/>
      <c r="AF75" s="10">
        <f>6165.84+5831.97+1463.3+5029.08+2919.17</f>
        <v>21409.360000000001</v>
      </c>
      <c r="AG75" s="33">
        <f t="shared" si="1"/>
        <v>21409.360000000001</v>
      </c>
    </row>
    <row r="76" spans="1:33" ht="51" x14ac:dyDescent="0.25">
      <c r="A76" s="14" t="s">
        <v>411</v>
      </c>
      <c r="B76" s="7" t="s">
        <v>409</v>
      </c>
      <c r="C76" s="7" t="s">
        <v>410</v>
      </c>
      <c r="D76" s="7" t="s">
        <v>59</v>
      </c>
      <c r="E76" s="7" t="s">
        <v>60</v>
      </c>
      <c r="F76" s="65" t="s">
        <v>344</v>
      </c>
      <c r="G76" s="4" t="s">
        <v>406</v>
      </c>
      <c r="H76" s="63" t="s">
        <v>407</v>
      </c>
      <c r="I76" s="6" t="s">
        <v>408</v>
      </c>
      <c r="J76" s="9">
        <v>44627</v>
      </c>
      <c r="K76" s="10">
        <v>13080</v>
      </c>
      <c r="L76" s="11">
        <v>13244</v>
      </c>
      <c r="M76" s="9">
        <v>44627</v>
      </c>
      <c r="N76" s="9">
        <v>44926</v>
      </c>
      <c r="O76" s="6" t="s">
        <v>338</v>
      </c>
      <c r="P76" s="6" t="s">
        <v>106</v>
      </c>
      <c r="Q76" s="6" t="s">
        <v>156</v>
      </c>
      <c r="R76" s="6" t="s">
        <v>106</v>
      </c>
      <c r="S76" s="6" t="s">
        <v>121</v>
      </c>
      <c r="T76" s="6" t="s">
        <v>106</v>
      </c>
      <c r="U76" s="6" t="s">
        <v>106</v>
      </c>
      <c r="V76" s="6" t="s">
        <v>106</v>
      </c>
      <c r="W76" s="6" t="s">
        <v>106</v>
      </c>
      <c r="X76" s="6" t="s">
        <v>106</v>
      </c>
      <c r="Y76" s="6" t="s">
        <v>106</v>
      </c>
      <c r="Z76" s="6" t="s">
        <v>106</v>
      </c>
      <c r="AA76" s="6"/>
      <c r="AB76" s="10"/>
      <c r="AC76" s="10"/>
      <c r="AD76" s="33">
        <f t="shared" si="0"/>
        <v>13080</v>
      </c>
      <c r="AE76" s="10"/>
      <c r="AF76" s="10">
        <f>950+6660+4440</f>
        <v>12050</v>
      </c>
      <c r="AG76" s="33">
        <f t="shared" si="1"/>
        <v>12050</v>
      </c>
    </row>
    <row r="77" spans="1:33" ht="51" x14ac:dyDescent="0.25">
      <c r="A77" s="14" t="s">
        <v>418</v>
      </c>
      <c r="B77" s="7" t="s">
        <v>416</v>
      </c>
      <c r="C77" s="7" t="s">
        <v>415</v>
      </c>
      <c r="D77" s="7" t="s">
        <v>59</v>
      </c>
      <c r="E77" s="7" t="s">
        <v>60</v>
      </c>
      <c r="F77" s="65" t="s">
        <v>344</v>
      </c>
      <c r="G77" s="4" t="s">
        <v>412</v>
      </c>
      <c r="H77" s="63" t="s">
        <v>413</v>
      </c>
      <c r="I77" s="6" t="s">
        <v>414</v>
      </c>
      <c r="J77" s="9">
        <v>44603</v>
      </c>
      <c r="K77" s="10">
        <v>60877.7</v>
      </c>
      <c r="L77" s="11">
        <v>13229</v>
      </c>
      <c r="M77" s="9">
        <v>44603</v>
      </c>
      <c r="N77" s="9">
        <v>44926</v>
      </c>
      <c r="O77" s="6" t="s">
        <v>338</v>
      </c>
      <c r="P77" s="6" t="s">
        <v>106</v>
      </c>
      <c r="Q77" s="6" t="s">
        <v>156</v>
      </c>
      <c r="R77" s="6" t="s">
        <v>106</v>
      </c>
      <c r="S77" s="6" t="s">
        <v>121</v>
      </c>
      <c r="T77" s="6" t="s">
        <v>106</v>
      </c>
      <c r="U77" s="6" t="s">
        <v>106</v>
      </c>
      <c r="V77" s="6" t="s">
        <v>106</v>
      </c>
      <c r="W77" s="6" t="s">
        <v>106</v>
      </c>
      <c r="X77" s="6" t="s">
        <v>106</v>
      </c>
      <c r="Y77" s="6" t="s">
        <v>106</v>
      </c>
      <c r="Z77" s="6" t="s">
        <v>106</v>
      </c>
      <c r="AA77" s="6"/>
      <c r="AB77" s="10"/>
      <c r="AC77" s="10"/>
      <c r="AD77" s="33">
        <f t="shared" si="0"/>
        <v>60877.7</v>
      </c>
      <c r="AE77" s="10"/>
      <c r="AF77" s="10">
        <f>7901+140</f>
        <v>8041</v>
      </c>
      <c r="AG77" s="33">
        <f t="shared" si="1"/>
        <v>8041</v>
      </c>
    </row>
    <row r="78" spans="1:33" ht="51" x14ac:dyDescent="0.25">
      <c r="A78" s="14" t="s">
        <v>427</v>
      </c>
      <c r="B78" s="7" t="s">
        <v>421</v>
      </c>
      <c r="C78" s="7" t="s">
        <v>399</v>
      </c>
      <c r="D78" s="7" t="s">
        <v>59</v>
      </c>
      <c r="E78" s="7" t="s">
        <v>60</v>
      </c>
      <c r="F78" s="65" t="s">
        <v>344</v>
      </c>
      <c r="G78" s="4" t="s">
        <v>419</v>
      </c>
      <c r="H78" s="63" t="s">
        <v>422</v>
      </c>
      <c r="I78" s="6" t="s">
        <v>420</v>
      </c>
      <c r="J78" s="9">
        <v>44613</v>
      </c>
      <c r="K78" s="10">
        <v>195000</v>
      </c>
      <c r="L78" s="11">
        <v>13245</v>
      </c>
      <c r="M78" s="9">
        <v>44613</v>
      </c>
      <c r="N78" s="9">
        <v>44926</v>
      </c>
      <c r="O78" s="6" t="s">
        <v>338</v>
      </c>
      <c r="P78" s="6" t="s">
        <v>106</v>
      </c>
      <c r="Q78" s="6" t="s">
        <v>156</v>
      </c>
      <c r="R78" s="6" t="s">
        <v>106</v>
      </c>
      <c r="S78" s="6" t="s">
        <v>121</v>
      </c>
      <c r="T78" s="6" t="s">
        <v>106</v>
      </c>
      <c r="U78" s="6" t="s">
        <v>106</v>
      </c>
      <c r="V78" s="6" t="s">
        <v>106</v>
      </c>
      <c r="W78" s="6" t="s">
        <v>106</v>
      </c>
      <c r="X78" s="6" t="s">
        <v>106</v>
      </c>
      <c r="Y78" s="6" t="s">
        <v>106</v>
      </c>
      <c r="Z78" s="6" t="s">
        <v>106</v>
      </c>
      <c r="AA78" s="6"/>
      <c r="AB78" s="10"/>
      <c r="AC78" s="10"/>
      <c r="AD78" s="33">
        <f t="shared" si="0"/>
        <v>195000</v>
      </c>
      <c r="AE78" s="10"/>
      <c r="AF78" s="10">
        <v>4465.5</v>
      </c>
      <c r="AG78" s="33">
        <f t="shared" si="1"/>
        <v>4465.5</v>
      </c>
    </row>
    <row r="79" spans="1:33" ht="51" x14ac:dyDescent="0.25">
      <c r="A79" s="14" t="s">
        <v>435</v>
      </c>
      <c r="B79" s="7" t="s">
        <v>430</v>
      </c>
      <c r="C79" s="7" t="s">
        <v>431</v>
      </c>
      <c r="D79" s="7" t="s">
        <v>59</v>
      </c>
      <c r="E79" s="7" t="s">
        <v>60</v>
      </c>
      <c r="F79" s="65" t="s">
        <v>344</v>
      </c>
      <c r="G79" s="4" t="s">
        <v>428</v>
      </c>
      <c r="H79" s="63" t="s">
        <v>429</v>
      </c>
      <c r="I79" s="6" t="s">
        <v>432</v>
      </c>
      <c r="J79" s="9">
        <v>44167</v>
      </c>
      <c r="K79" s="10">
        <v>39200</v>
      </c>
      <c r="L79" s="11">
        <v>12944</v>
      </c>
      <c r="M79" s="9">
        <v>44167</v>
      </c>
      <c r="N79" s="9">
        <v>44531</v>
      </c>
      <c r="O79" s="6">
        <v>117</v>
      </c>
      <c r="P79" s="6" t="s">
        <v>106</v>
      </c>
      <c r="Q79" s="6" t="s">
        <v>156</v>
      </c>
      <c r="R79" s="6" t="s">
        <v>106</v>
      </c>
      <c r="S79" s="6" t="s">
        <v>433</v>
      </c>
      <c r="T79" s="6">
        <v>1</v>
      </c>
      <c r="U79" s="9">
        <v>44530</v>
      </c>
      <c r="V79" s="6" t="s">
        <v>434</v>
      </c>
      <c r="W79" s="6" t="s">
        <v>62</v>
      </c>
      <c r="X79" s="9">
        <v>44532</v>
      </c>
      <c r="Y79" s="9">
        <v>44896</v>
      </c>
      <c r="Z79" s="6" t="s">
        <v>106</v>
      </c>
      <c r="AA79" s="6"/>
      <c r="AB79" s="10"/>
      <c r="AC79" s="10"/>
      <c r="AD79" s="33">
        <f t="shared" si="0"/>
        <v>39200</v>
      </c>
      <c r="AE79" s="10"/>
      <c r="AF79" s="10">
        <f>80+205.87+240+320+240+9680+3557.95</f>
        <v>14323.82</v>
      </c>
      <c r="AG79" s="33">
        <f t="shared" si="1"/>
        <v>14323.82</v>
      </c>
    </row>
    <row r="80" spans="1:33" ht="51" x14ac:dyDescent="0.25">
      <c r="A80" s="14" t="s">
        <v>437</v>
      </c>
      <c r="B80" s="7" t="s">
        <v>388</v>
      </c>
      <c r="C80" s="7" t="s">
        <v>389</v>
      </c>
      <c r="D80" s="7" t="s">
        <v>59</v>
      </c>
      <c r="E80" s="7" t="s">
        <v>60</v>
      </c>
      <c r="F80" s="65" t="s">
        <v>344</v>
      </c>
      <c r="G80" s="4" t="s">
        <v>438</v>
      </c>
      <c r="H80" s="63" t="s">
        <v>439</v>
      </c>
      <c r="I80" s="6" t="s">
        <v>440</v>
      </c>
      <c r="J80" s="9">
        <v>44606</v>
      </c>
      <c r="K80" s="10">
        <v>16971</v>
      </c>
      <c r="L80" s="11">
        <v>13229</v>
      </c>
      <c r="M80" s="9">
        <v>44606</v>
      </c>
      <c r="N80" s="9">
        <v>44926</v>
      </c>
      <c r="O80" s="6" t="s">
        <v>338</v>
      </c>
      <c r="P80" s="6" t="s">
        <v>106</v>
      </c>
      <c r="Q80" s="6" t="s">
        <v>156</v>
      </c>
      <c r="R80" s="6" t="s">
        <v>106</v>
      </c>
      <c r="S80" s="6" t="s">
        <v>121</v>
      </c>
      <c r="T80" s="6" t="s">
        <v>106</v>
      </c>
      <c r="U80" s="6" t="s">
        <v>106</v>
      </c>
      <c r="V80" s="6" t="s">
        <v>106</v>
      </c>
      <c r="W80" s="6" t="s">
        <v>106</v>
      </c>
      <c r="X80" s="6" t="s">
        <v>106</v>
      </c>
      <c r="Y80" s="6" t="s">
        <v>106</v>
      </c>
      <c r="Z80" s="6" t="s">
        <v>106</v>
      </c>
      <c r="AA80" s="6"/>
      <c r="AB80" s="10"/>
      <c r="AC80" s="10"/>
      <c r="AD80" s="33">
        <f t="shared" si="0"/>
        <v>16971</v>
      </c>
      <c r="AE80" s="10"/>
      <c r="AF80" s="10">
        <f>2370+600+3594+425</f>
        <v>6989</v>
      </c>
      <c r="AG80" s="33">
        <f t="shared" si="1"/>
        <v>6989</v>
      </c>
    </row>
    <row r="81" spans="1:33" ht="51" x14ac:dyDescent="0.25">
      <c r="A81" s="14" t="s">
        <v>441</v>
      </c>
      <c r="B81" s="7" t="s">
        <v>442</v>
      </c>
      <c r="C81" s="7" t="s">
        <v>415</v>
      </c>
      <c r="D81" s="7" t="s">
        <v>59</v>
      </c>
      <c r="E81" s="7" t="s">
        <v>60</v>
      </c>
      <c r="F81" s="65" t="s">
        <v>344</v>
      </c>
      <c r="G81" s="4" t="s">
        <v>443</v>
      </c>
      <c r="H81" s="63" t="s">
        <v>444</v>
      </c>
      <c r="I81" s="6" t="s">
        <v>445</v>
      </c>
      <c r="J81" s="9">
        <v>44603</v>
      </c>
      <c r="K81" s="10">
        <v>56125.2</v>
      </c>
      <c r="L81" s="11">
        <v>13229</v>
      </c>
      <c r="M81" s="9">
        <v>44603</v>
      </c>
      <c r="N81" s="9">
        <v>44927</v>
      </c>
      <c r="O81" s="6" t="s">
        <v>338</v>
      </c>
      <c r="P81" s="6" t="s">
        <v>106</v>
      </c>
      <c r="Q81" s="6" t="s">
        <v>156</v>
      </c>
      <c r="R81" s="6" t="s">
        <v>106</v>
      </c>
      <c r="S81" s="6" t="s">
        <v>121</v>
      </c>
      <c r="T81" s="6" t="s">
        <v>106</v>
      </c>
      <c r="U81" s="6" t="s">
        <v>106</v>
      </c>
      <c r="V81" s="6" t="s">
        <v>106</v>
      </c>
      <c r="W81" s="6" t="s">
        <v>106</v>
      </c>
      <c r="X81" s="6" t="s">
        <v>106</v>
      </c>
      <c r="Y81" s="6" t="s">
        <v>106</v>
      </c>
      <c r="Z81" s="6" t="s">
        <v>106</v>
      </c>
      <c r="AA81" s="6"/>
      <c r="AB81" s="10"/>
      <c r="AC81" s="10"/>
      <c r="AD81" s="33">
        <f t="shared" si="0"/>
        <v>56125.2</v>
      </c>
      <c r="AE81" s="10"/>
      <c r="AF81" s="10">
        <v>6898.3</v>
      </c>
      <c r="AG81" s="33">
        <f t="shared" si="1"/>
        <v>6898.3</v>
      </c>
    </row>
    <row r="82" spans="1:33" ht="51" x14ac:dyDescent="0.25">
      <c r="A82" s="14" t="s">
        <v>446</v>
      </c>
      <c r="B82" s="7" t="s">
        <v>449</v>
      </c>
      <c r="C82" s="7" t="s">
        <v>448</v>
      </c>
      <c r="D82" s="7" t="s">
        <v>59</v>
      </c>
      <c r="E82" s="7" t="s">
        <v>60</v>
      </c>
      <c r="F82" s="65" t="s">
        <v>344</v>
      </c>
      <c r="G82" s="4" t="s">
        <v>447</v>
      </c>
      <c r="H82" s="63" t="s">
        <v>294</v>
      </c>
      <c r="I82" s="6" t="s">
        <v>450</v>
      </c>
      <c r="J82" s="9">
        <v>44656</v>
      </c>
      <c r="K82" s="10">
        <v>121100</v>
      </c>
      <c r="L82" s="11">
        <v>13272</v>
      </c>
      <c r="M82" s="9">
        <v>44656</v>
      </c>
      <c r="N82" s="9">
        <v>44925</v>
      </c>
      <c r="O82" s="6" t="s">
        <v>338</v>
      </c>
      <c r="P82" s="6" t="s">
        <v>106</v>
      </c>
      <c r="Q82" s="6" t="s">
        <v>156</v>
      </c>
      <c r="R82" s="6" t="s">
        <v>106</v>
      </c>
      <c r="S82" s="6" t="s">
        <v>121</v>
      </c>
      <c r="T82" s="6" t="s">
        <v>106</v>
      </c>
      <c r="U82" s="6" t="s">
        <v>106</v>
      </c>
      <c r="V82" s="6" t="s">
        <v>106</v>
      </c>
      <c r="W82" s="6" t="s">
        <v>106</v>
      </c>
      <c r="X82" s="6" t="s">
        <v>106</v>
      </c>
      <c r="Y82" s="6" t="s">
        <v>106</v>
      </c>
      <c r="Z82" s="6" t="s">
        <v>106</v>
      </c>
      <c r="AA82" s="6"/>
      <c r="AB82" s="10"/>
      <c r="AC82" s="10"/>
      <c r="AD82" s="33">
        <f t="shared" si="0"/>
        <v>121100</v>
      </c>
      <c r="AE82" s="10"/>
      <c r="AF82" s="10">
        <f>1720+5325+4582.5+4395</f>
        <v>16022.5</v>
      </c>
      <c r="AG82" s="33">
        <f t="shared" si="1"/>
        <v>16022.5</v>
      </c>
    </row>
    <row r="83" spans="1:33" ht="51" x14ac:dyDescent="0.25">
      <c r="A83" s="14" t="s">
        <v>451</v>
      </c>
      <c r="B83" s="7" t="s">
        <v>454</v>
      </c>
      <c r="C83" s="7" t="s">
        <v>455</v>
      </c>
      <c r="D83" s="7" t="s">
        <v>59</v>
      </c>
      <c r="E83" s="7" t="s">
        <v>60</v>
      </c>
      <c r="F83" s="65" t="s">
        <v>344</v>
      </c>
      <c r="G83" s="4" t="s">
        <v>452</v>
      </c>
      <c r="H83" s="63" t="s">
        <v>453</v>
      </c>
      <c r="I83" s="6" t="s">
        <v>456</v>
      </c>
      <c r="J83" s="9">
        <v>44628</v>
      </c>
      <c r="K83" s="10">
        <v>84172.5</v>
      </c>
      <c r="L83" s="11">
        <v>13250</v>
      </c>
      <c r="M83" s="9">
        <v>44628</v>
      </c>
      <c r="N83" s="9">
        <v>44925</v>
      </c>
      <c r="O83" s="6" t="s">
        <v>338</v>
      </c>
      <c r="P83" s="6" t="s">
        <v>106</v>
      </c>
      <c r="Q83" s="6" t="s">
        <v>156</v>
      </c>
      <c r="R83" s="6" t="s">
        <v>106</v>
      </c>
      <c r="S83" s="6" t="s">
        <v>121</v>
      </c>
      <c r="T83" s="6" t="s">
        <v>106</v>
      </c>
      <c r="U83" s="6" t="s">
        <v>106</v>
      </c>
      <c r="V83" s="6" t="s">
        <v>106</v>
      </c>
      <c r="W83" s="6" t="s">
        <v>106</v>
      </c>
      <c r="X83" s="6" t="s">
        <v>106</v>
      </c>
      <c r="Y83" s="6" t="s">
        <v>106</v>
      </c>
      <c r="Z83" s="6" t="s">
        <v>106</v>
      </c>
      <c r="AA83" s="6"/>
      <c r="AB83" s="10"/>
      <c r="AC83" s="10"/>
      <c r="AD83" s="33">
        <f t="shared" ref="AD83:AD117" si="2">K83-AC83+AB83</f>
        <v>84172.5</v>
      </c>
      <c r="AE83" s="10"/>
      <c r="AF83" s="10">
        <v>2055.09</v>
      </c>
      <c r="AG83" s="33">
        <f t="shared" ref="AG83:AG117" si="3">AE83+AF83</f>
        <v>2055.09</v>
      </c>
    </row>
    <row r="84" spans="1:33" ht="51" x14ac:dyDescent="0.25">
      <c r="A84" s="14" t="s">
        <v>457</v>
      </c>
      <c r="B84" s="7" t="s">
        <v>388</v>
      </c>
      <c r="C84" s="7" t="s">
        <v>389</v>
      </c>
      <c r="D84" s="7" t="s">
        <v>59</v>
      </c>
      <c r="E84" s="7" t="s">
        <v>60</v>
      </c>
      <c r="F84" s="65" t="s">
        <v>344</v>
      </c>
      <c r="G84" s="4" t="s">
        <v>458</v>
      </c>
      <c r="H84" s="63" t="s">
        <v>459</v>
      </c>
      <c r="I84" s="6" t="s">
        <v>460</v>
      </c>
      <c r="J84" s="9">
        <v>44606</v>
      </c>
      <c r="K84" s="10">
        <v>31648.1</v>
      </c>
      <c r="L84" s="11">
        <v>13229</v>
      </c>
      <c r="M84" s="9">
        <v>44606</v>
      </c>
      <c r="N84" s="9">
        <v>44925</v>
      </c>
      <c r="O84" s="6" t="s">
        <v>338</v>
      </c>
      <c r="P84" s="6" t="s">
        <v>106</v>
      </c>
      <c r="Q84" s="6" t="s">
        <v>156</v>
      </c>
      <c r="R84" s="6" t="s">
        <v>106</v>
      </c>
      <c r="S84" s="6" t="s">
        <v>121</v>
      </c>
      <c r="T84" s="6" t="s">
        <v>106</v>
      </c>
      <c r="U84" s="6" t="s">
        <v>106</v>
      </c>
      <c r="V84" s="6" t="s">
        <v>106</v>
      </c>
      <c r="W84" s="6" t="s">
        <v>106</v>
      </c>
      <c r="X84" s="6" t="s">
        <v>106</v>
      </c>
      <c r="Y84" s="6" t="s">
        <v>106</v>
      </c>
      <c r="Z84" s="6" t="s">
        <v>106</v>
      </c>
      <c r="AA84" s="6"/>
      <c r="AB84" s="10"/>
      <c r="AC84" s="10"/>
      <c r="AD84" s="33">
        <f t="shared" si="2"/>
        <v>31648.1</v>
      </c>
      <c r="AE84" s="10"/>
      <c r="AF84" s="10">
        <f>214.8+13530.2+1554</f>
        <v>15299</v>
      </c>
      <c r="AG84" s="33">
        <f t="shared" si="3"/>
        <v>15299</v>
      </c>
    </row>
    <row r="85" spans="1:33" ht="51" x14ac:dyDescent="0.25">
      <c r="A85" s="14" t="s">
        <v>461</v>
      </c>
      <c r="B85" s="7" t="s">
        <v>409</v>
      </c>
      <c r="C85" s="7" t="s">
        <v>410</v>
      </c>
      <c r="D85" s="7" t="s">
        <v>59</v>
      </c>
      <c r="E85" s="7" t="s">
        <v>60</v>
      </c>
      <c r="F85" s="65" t="s">
        <v>344</v>
      </c>
      <c r="G85" s="4" t="s">
        <v>462</v>
      </c>
      <c r="H85" s="63" t="s">
        <v>453</v>
      </c>
      <c r="I85" s="6" t="s">
        <v>456</v>
      </c>
      <c r="J85" s="9">
        <v>44627</v>
      </c>
      <c r="K85" s="10">
        <v>33309</v>
      </c>
      <c r="L85" s="11">
        <v>13247</v>
      </c>
      <c r="M85" s="9">
        <v>44627</v>
      </c>
      <c r="N85" s="9">
        <v>44925</v>
      </c>
      <c r="O85" s="6" t="s">
        <v>338</v>
      </c>
      <c r="P85" s="6" t="s">
        <v>106</v>
      </c>
      <c r="Q85" s="6" t="s">
        <v>156</v>
      </c>
      <c r="R85" s="6" t="s">
        <v>106</v>
      </c>
      <c r="S85" s="6" t="s">
        <v>121</v>
      </c>
      <c r="T85" s="6" t="s">
        <v>106</v>
      </c>
      <c r="U85" s="6" t="s">
        <v>106</v>
      </c>
      <c r="V85" s="6" t="s">
        <v>106</v>
      </c>
      <c r="W85" s="6" t="s">
        <v>106</v>
      </c>
      <c r="X85" s="6" t="s">
        <v>106</v>
      </c>
      <c r="Y85" s="6" t="s">
        <v>106</v>
      </c>
      <c r="Z85" s="6" t="s">
        <v>106</v>
      </c>
      <c r="AA85" s="6"/>
      <c r="AB85" s="10"/>
      <c r="AC85" s="10"/>
      <c r="AD85" s="33">
        <f t="shared" si="2"/>
        <v>33309</v>
      </c>
      <c r="AE85" s="10"/>
      <c r="AF85" s="10">
        <f>112+210</f>
        <v>322</v>
      </c>
      <c r="AG85" s="33">
        <f t="shared" si="3"/>
        <v>322</v>
      </c>
    </row>
    <row r="86" spans="1:33" ht="51" x14ac:dyDescent="0.25">
      <c r="A86" s="14" t="s">
        <v>463</v>
      </c>
      <c r="B86" s="7" t="s">
        <v>467</v>
      </c>
      <c r="C86" s="7" t="s">
        <v>415</v>
      </c>
      <c r="D86" s="7" t="s">
        <v>59</v>
      </c>
      <c r="E86" s="7" t="s">
        <v>60</v>
      </c>
      <c r="F86" s="65" t="s">
        <v>344</v>
      </c>
      <c r="G86" s="4" t="s">
        <v>464</v>
      </c>
      <c r="H86" s="63" t="s">
        <v>465</v>
      </c>
      <c r="I86" s="6" t="s">
        <v>466</v>
      </c>
      <c r="J86" s="9">
        <v>44603</v>
      </c>
      <c r="K86" s="10">
        <v>12000</v>
      </c>
      <c r="L86" s="11">
        <v>13229</v>
      </c>
      <c r="M86" s="9">
        <v>44603</v>
      </c>
      <c r="N86" s="9">
        <v>44925</v>
      </c>
      <c r="O86" s="6" t="s">
        <v>338</v>
      </c>
      <c r="P86" s="6" t="s">
        <v>106</v>
      </c>
      <c r="Q86" s="6" t="s">
        <v>156</v>
      </c>
      <c r="R86" s="6" t="s">
        <v>106</v>
      </c>
      <c r="S86" s="6" t="s">
        <v>121</v>
      </c>
      <c r="T86" s="6" t="s">
        <v>106</v>
      </c>
      <c r="U86" s="6" t="s">
        <v>106</v>
      </c>
      <c r="V86" s="6" t="s">
        <v>106</v>
      </c>
      <c r="W86" s="6" t="s">
        <v>106</v>
      </c>
      <c r="X86" s="6" t="s">
        <v>106</v>
      </c>
      <c r="Y86" s="6" t="s">
        <v>106</v>
      </c>
      <c r="Z86" s="6" t="s">
        <v>106</v>
      </c>
      <c r="AA86" s="6"/>
      <c r="AB86" s="10"/>
      <c r="AC86" s="10"/>
      <c r="AD86" s="33">
        <f t="shared" si="2"/>
        <v>12000</v>
      </c>
      <c r="AE86" s="10"/>
      <c r="AF86" s="10">
        <v>6000</v>
      </c>
      <c r="AG86" s="33">
        <f t="shared" si="3"/>
        <v>6000</v>
      </c>
    </row>
    <row r="87" spans="1:33" ht="51" x14ac:dyDescent="0.25">
      <c r="A87" s="14" t="s">
        <v>468</v>
      </c>
      <c r="B87" s="7" t="s">
        <v>472</v>
      </c>
      <c r="C87" s="7" t="s">
        <v>473</v>
      </c>
      <c r="D87" s="7" t="s">
        <v>59</v>
      </c>
      <c r="E87" s="7" t="s">
        <v>60</v>
      </c>
      <c r="F87" s="65" t="s">
        <v>344</v>
      </c>
      <c r="G87" s="4" t="s">
        <v>469</v>
      </c>
      <c r="H87" s="63" t="s">
        <v>470</v>
      </c>
      <c r="I87" s="6" t="s">
        <v>471</v>
      </c>
      <c r="J87" s="9">
        <v>43950</v>
      </c>
      <c r="K87" s="10">
        <v>39000</v>
      </c>
      <c r="L87" s="11">
        <v>12797</v>
      </c>
      <c r="M87" s="9">
        <v>43950</v>
      </c>
      <c r="N87" s="9">
        <v>44195</v>
      </c>
      <c r="O87" s="6" t="s">
        <v>155</v>
      </c>
      <c r="P87" s="6" t="s">
        <v>106</v>
      </c>
      <c r="Q87" s="6" t="s">
        <v>156</v>
      </c>
      <c r="R87" s="6" t="s">
        <v>106</v>
      </c>
      <c r="S87" s="6" t="s">
        <v>61</v>
      </c>
      <c r="T87" s="6">
        <v>2</v>
      </c>
      <c r="U87" s="9">
        <v>44560</v>
      </c>
      <c r="V87" s="11">
        <v>13197</v>
      </c>
      <c r="W87" s="6" t="s">
        <v>62</v>
      </c>
      <c r="X87" s="9">
        <v>44562</v>
      </c>
      <c r="Y87" s="9">
        <v>44926</v>
      </c>
      <c r="Z87" s="6" t="s">
        <v>106</v>
      </c>
      <c r="AA87" s="6"/>
      <c r="AB87" s="10"/>
      <c r="AC87" s="10"/>
      <c r="AD87" s="33">
        <f t="shared" si="2"/>
        <v>39000</v>
      </c>
      <c r="AE87" s="10"/>
      <c r="AF87" s="10">
        <v>3880.5</v>
      </c>
      <c r="AG87" s="33">
        <f t="shared" si="3"/>
        <v>3880.5</v>
      </c>
    </row>
    <row r="88" spans="1:33" ht="51" x14ac:dyDescent="0.25">
      <c r="A88" s="14" t="s">
        <v>474</v>
      </c>
      <c r="B88" s="7" t="s">
        <v>472</v>
      </c>
      <c r="C88" s="7" t="s">
        <v>473</v>
      </c>
      <c r="D88" s="7" t="s">
        <v>59</v>
      </c>
      <c r="E88" s="7" t="s">
        <v>60</v>
      </c>
      <c r="F88" s="65" t="s">
        <v>344</v>
      </c>
      <c r="G88" s="4" t="s">
        <v>480</v>
      </c>
      <c r="H88" s="63" t="s">
        <v>479</v>
      </c>
      <c r="I88" s="6" t="s">
        <v>513</v>
      </c>
      <c r="J88" s="9">
        <v>43940</v>
      </c>
      <c r="K88" s="10">
        <v>59010</v>
      </c>
      <c r="L88" s="11">
        <v>12797</v>
      </c>
      <c r="M88" s="9">
        <v>43940</v>
      </c>
      <c r="N88" s="9">
        <v>44196</v>
      </c>
      <c r="O88" s="6" t="s">
        <v>512</v>
      </c>
      <c r="P88" s="6" t="s">
        <v>106</v>
      </c>
      <c r="Q88" s="6" t="s">
        <v>156</v>
      </c>
      <c r="R88" s="6" t="s">
        <v>106</v>
      </c>
      <c r="S88" s="6" t="s">
        <v>61</v>
      </c>
      <c r="T88" s="6">
        <v>2</v>
      </c>
      <c r="U88" s="9">
        <v>44560</v>
      </c>
      <c r="V88" s="11">
        <v>13198</v>
      </c>
      <c r="W88" s="6" t="s">
        <v>62</v>
      </c>
      <c r="X88" s="9">
        <v>44562</v>
      </c>
      <c r="Y88" s="9">
        <v>44926</v>
      </c>
      <c r="Z88" s="6" t="s">
        <v>106</v>
      </c>
      <c r="AA88" s="6"/>
      <c r="AB88" s="10"/>
      <c r="AC88" s="10"/>
      <c r="AD88" s="33">
        <f t="shared" si="2"/>
        <v>59010</v>
      </c>
      <c r="AE88" s="10"/>
      <c r="AF88" s="10">
        <v>1916</v>
      </c>
      <c r="AG88" s="33">
        <f t="shared" si="3"/>
        <v>1916</v>
      </c>
    </row>
    <row r="89" spans="1:33" ht="51" x14ac:dyDescent="0.25">
      <c r="A89" s="14" t="s">
        <v>478</v>
      </c>
      <c r="B89" s="7" t="s">
        <v>388</v>
      </c>
      <c r="C89" s="7" t="s">
        <v>389</v>
      </c>
      <c r="D89" s="7" t="s">
        <v>59</v>
      </c>
      <c r="E89" s="7" t="s">
        <v>60</v>
      </c>
      <c r="F89" s="65" t="s">
        <v>344</v>
      </c>
      <c r="G89" s="4" t="s">
        <v>482</v>
      </c>
      <c r="H89" s="63" t="s">
        <v>483</v>
      </c>
      <c r="I89" s="6" t="s">
        <v>514</v>
      </c>
      <c r="J89" s="9">
        <v>44606</v>
      </c>
      <c r="K89" s="10">
        <v>122209.54</v>
      </c>
      <c r="L89" s="11">
        <v>13230</v>
      </c>
      <c r="M89" s="9">
        <v>44606</v>
      </c>
      <c r="N89" s="9">
        <v>44926</v>
      </c>
      <c r="O89" s="6" t="s">
        <v>338</v>
      </c>
      <c r="P89" s="6" t="s">
        <v>106</v>
      </c>
      <c r="Q89" s="6" t="s">
        <v>156</v>
      </c>
      <c r="R89" s="6" t="s">
        <v>106</v>
      </c>
      <c r="S89" s="6" t="s">
        <v>121</v>
      </c>
      <c r="T89" s="6" t="s">
        <v>106</v>
      </c>
      <c r="U89" s="6" t="s">
        <v>106</v>
      </c>
      <c r="V89" s="6" t="s">
        <v>106</v>
      </c>
      <c r="W89" s="6" t="s">
        <v>106</v>
      </c>
      <c r="X89" s="6" t="s">
        <v>106</v>
      </c>
      <c r="Y89" s="6" t="s">
        <v>106</v>
      </c>
      <c r="Z89" s="6" t="s">
        <v>106</v>
      </c>
      <c r="AA89" s="6"/>
      <c r="AB89" s="10"/>
      <c r="AC89" s="10"/>
      <c r="AD89" s="33">
        <f t="shared" si="2"/>
        <v>122209.54</v>
      </c>
      <c r="AE89" s="10"/>
      <c r="AF89" s="10">
        <f>1650+209.98+216+28617.4</f>
        <v>30693.38</v>
      </c>
      <c r="AG89" s="33">
        <f t="shared" si="3"/>
        <v>30693.38</v>
      </c>
    </row>
    <row r="90" spans="1:33" ht="51" x14ac:dyDescent="0.25">
      <c r="A90" s="14" t="s">
        <v>481</v>
      </c>
      <c r="B90" s="7" t="s">
        <v>488</v>
      </c>
      <c r="C90" s="7" t="s">
        <v>487</v>
      </c>
      <c r="D90" s="7" t="s">
        <v>59</v>
      </c>
      <c r="E90" s="7" t="s">
        <v>60</v>
      </c>
      <c r="F90" s="65" t="s">
        <v>344</v>
      </c>
      <c r="G90" s="4" t="s">
        <v>485</v>
      </c>
      <c r="H90" s="63" t="s">
        <v>486</v>
      </c>
      <c r="I90" s="6" t="s">
        <v>515</v>
      </c>
      <c r="J90" s="9">
        <v>43644</v>
      </c>
      <c r="K90" s="10">
        <v>250000</v>
      </c>
      <c r="L90" s="11">
        <v>12587</v>
      </c>
      <c r="M90" s="9">
        <v>43644</v>
      </c>
      <c r="N90" s="9">
        <v>44010</v>
      </c>
      <c r="O90" s="6" t="s">
        <v>155</v>
      </c>
      <c r="P90" s="6" t="s">
        <v>106</v>
      </c>
      <c r="Q90" s="6" t="s">
        <v>156</v>
      </c>
      <c r="R90" s="6" t="s">
        <v>106</v>
      </c>
      <c r="S90" s="6" t="s">
        <v>433</v>
      </c>
      <c r="T90" s="6">
        <v>3</v>
      </c>
      <c r="U90" s="9">
        <v>44739</v>
      </c>
      <c r="V90" s="11">
        <v>13322</v>
      </c>
      <c r="W90" s="6" t="s">
        <v>62</v>
      </c>
      <c r="X90" s="9">
        <v>44741</v>
      </c>
      <c r="Y90" s="9">
        <v>44801</v>
      </c>
      <c r="Z90" s="6" t="s">
        <v>106</v>
      </c>
      <c r="AA90" s="6"/>
      <c r="AB90" s="10"/>
      <c r="AC90" s="10"/>
      <c r="AD90" s="33">
        <f t="shared" si="2"/>
        <v>250000</v>
      </c>
      <c r="AE90" s="10"/>
      <c r="AF90" s="10">
        <f>121435.32+48031.87+27930.8</f>
        <v>197397.99</v>
      </c>
      <c r="AG90" s="33">
        <f t="shared" si="3"/>
        <v>197397.99</v>
      </c>
    </row>
    <row r="91" spans="1:33" ht="51" x14ac:dyDescent="0.25">
      <c r="A91" s="14" t="s">
        <v>484</v>
      </c>
      <c r="B91" s="7" t="s">
        <v>492</v>
      </c>
      <c r="C91" s="7" t="s">
        <v>493</v>
      </c>
      <c r="D91" s="7" t="s">
        <v>59</v>
      </c>
      <c r="E91" s="7" t="s">
        <v>60</v>
      </c>
      <c r="F91" s="65" t="s">
        <v>344</v>
      </c>
      <c r="G91" s="4" t="s">
        <v>490</v>
      </c>
      <c r="H91" s="63" t="s">
        <v>491</v>
      </c>
      <c r="I91" s="6" t="s">
        <v>516</v>
      </c>
      <c r="J91" s="9">
        <v>44676</v>
      </c>
      <c r="K91" s="10">
        <v>69057</v>
      </c>
      <c r="L91" s="11">
        <v>13274</v>
      </c>
      <c r="M91" s="9">
        <v>44676</v>
      </c>
      <c r="N91" s="9">
        <v>44926</v>
      </c>
      <c r="O91" s="6" t="s">
        <v>338</v>
      </c>
      <c r="P91" s="6" t="s">
        <v>106</v>
      </c>
      <c r="Q91" s="6" t="s">
        <v>156</v>
      </c>
      <c r="R91" s="6" t="s">
        <v>106</v>
      </c>
      <c r="S91" s="6" t="s">
        <v>121</v>
      </c>
      <c r="T91" s="6" t="s">
        <v>106</v>
      </c>
      <c r="U91" s="6" t="s">
        <v>106</v>
      </c>
      <c r="V91" s="6" t="s">
        <v>106</v>
      </c>
      <c r="W91" s="6" t="s">
        <v>106</v>
      </c>
      <c r="X91" s="6" t="s">
        <v>106</v>
      </c>
      <c r="Y91" s="6" t="s">
        <v>106</v>
      </c>
      <c r="Z91" s="6" t="s">
        <v>106</v>
      </c>
      <c r="AA91" s="6"/>
      <c r="AB91" s="10"/>
      <c r="AC91" s="10"/>
      <c r="AD91" s="33">
        <f t="shared" si="2"/>
        <v>69057</v>
      </c>
      <c r="AE91" s="10"/>
      <c r="AF91" s="10">
        <f>660+346+660+1793</f>
        <v>3459</v>
      </c>
      <c r="AG91" s="33">
        <f t="shared" si="3"/>
        <v>3459</v>
      </c>
    </row>
    <row r="92" spans="1:33" ht="51" x14ac:dyDescent="0.25">
      <c r="A92" s="14" t="s">
        <v>489</v>
      </c>
      <c r="B92" s="7" t="s">
        <v>497</v>
      </c>
      <c r="C92" s="7" t="s">
        <v>498</v>
      </c>
      <c r="D92" s="7" t="s">
        <v>59</v>
      </c>
      <c r="E92" s="7" t="s">
        <v>60</v>
      </c>
      <c r="F92" s="65" t="s">
        <v>344</v>
      </c>
      <c r="G92" s="4" t="s">
        <v>495</v>
      </c>
      <c r="H92" s="63" t="s">
        <v>496</v>
      </c>
      <c r="I92" s="6" t="s">
        <v>517</v>
      </c>
      <c r="J92" s="9">
        <v>44627</v>
      </c>
      <c r="K92" s="10">
        <v>1412720</v>
      </c>
      <c r="L92" s="11">
        <v>13244</v>
      </c>
      <c r="M92" s="9">
        <v>44627</v>
      </c>
      <c r="N92" s="9">
        <v>44926</v>
      </c>
      <c r="O92" s="6" t="s">
        <v>338</v>
      </c>
      <c r="P92" s="6" t="s">
        <v>106</v>
      </c>
      <c r="Q92" s="6" t="s">
        <v>156</v>
      </c>
      <c r="R92" s="6" t="s">
        <v>106</v>
      </c>
      <c r="S92" s="6" t="s">
        <v>121</v>
      </c>
      <c r="T92" s="6" t="s">
        <v>106</v>
      </c>
      <c r="U92" s="6" t="s">
        <v>106</v>
      </c>
      <c r="V92" s="6" t="s">
        <v>106</v>
      </c>
      <c r="W92" s="6" t="s">
        <v>106</v>
      </c>
      <c r="X92" s="6" t="s">
        <v>106</v>
      </c>
      <c r="Y92" s="6" t="s">
        <v>106</v>
      </c>
      <c r="Z92" s="6" t="s">
        <v>106</v>
      </c>
      <c r="AA92" s="6"/>
      <c r="AB92" s="10"/>
      <c r="AC92" s="10"/>
      <c r="AD92" s="33">
        <f t="shared" si="2"/>
        <v>1412720</v>
      </c>
      <c r="AE92" s="10"/>
      <c r="AF92" s="10">
        <f>34459.68+32068+32895+16425+10422+14210+14914.53</f>
        <v>155394.21</v>
      </c>
      <c r="AG92" s="33">
        <f t="shared" si="3"/>
        <v>155394.21</v>
      </c>
    </row>
    <row r="93" spans="1:33" ht="51" x14ac:dyDescent="0.25">
      <c r="A93" s="14" t="s">
        <v>494</v>
      </c>
      <c r="B93" s="7" t="s">
        <v>503</v>
      </c>
      <c r="C93" s="7" t="s">
        <v>502</v>
      </c>
      <c r="D93" s="7" t="s">
        <v>59</v>
      </c>
      <c r="E93" s="7" t="s">
        <v>60</v>
      </c>
      <c r="F93" s="65" t="s">
        <v>344</v>
      </c>
      <c r="G93" s="4" t="s">
        <v>500</v>
      </c>
      <c r="H93" s="63" t="s">
        <v>501</v>
      </c>
      <c r="I93" s="6" t="s">
        <v>518</v>
      </c>
      <c r="J93" s="9">
        <v>44655</v>
      </c>
      <c r="K93" s="10">
        <v>265028</v>
      </c>
      <c r="L93" s="11">
        <v>12262</v>
      </c>
      <c r="M93" s="9">
        <v>44655</v>
      </c>
      <c r="N93" s="9">
        <v>44926</v>
      </c>
      <c r="O93" s="6" t="s">
        <v>338</v>
      </c>
      <c r="P93" s="6" t="s">
        <v>106</v>
      </c>
      <c r="Q93" s="6" t="s">
        <v>156</v>
      </c>
      <c r="R93" s="6" t="s">
        <v>106</v>
      </c>
      <c r="S93" s="6" t="s">
        <v>121</v>
      </c>
      <c r="T93" s="6" t="s">
        <v>106</v>
      </c>
      <c r="U93" s="6" t="s">
        <v>106</v>
      </c>
      <c r="V93" s="6" t="s">
        <v>106</v>
      </c>
      <c r="W93" s="6" t="s">
        <v>106</v>
      </c>
      <c r="X93" s="6" t="s">
        <v>106</v>
      </c>
      <c r="Y93" s="6" t="s">
        <v>106</v>
      </c>
      <c r="Z93" s="6" t="s">
        <v>106</v>
      </c>
      <c r="AA93" s="6"/>
      <c r="AB93" s="10"/>
      <c r="AC93" s="10"/>
      <c r="AD93" s="33">
        <f t="shared" si="2"/>
        <v>265028</v>
      </c>
      <c r="AE93" s="10"/>
      <c r="AF93" s="10">
        <f>636</f>
        <v>636</v>
      </c>
      <c r="AG93" s="33">
        <f t="shared" si="3"/>
        <v>636</v>
      </c>
    </row>
    <row r="94" spans="1:33" ht="51" x14ac:dyDescent="0.25">
      <c r="A94" s="14" t="s">
        <v>499</v>
      </c>
      <c r="B94" s="7" t="s">
        <v>507</v>
      </c>
      <c r="C94" s="7" t="s">
        <v>506</v>
      </c>
      <c r="D94" s="7" t="s">
        <v>59</v>
      </c>
      <c r="E94" s="7" t="s">
        <v>60</v>
      </c>
      <c r="F94" s="65" t="s">
        <v>344</v>
      </c>
      <c r="G94" s="4" t="s">
        <v>505</v>
      </c>
      <c r="H94" s="63" t="s">
        <v>501</v>
      </c>
      <c r="I94" s="6" t="s">
        <v>518</v>
      </c>
      <c r="J94" s="9">
        <v>44659</v>
      </c>
      <c r="K94" s="10">
        <v>352445</v>
      </c>
      <c r="L94" s="11">
        <v>13244</v>
      </c>
      <c r="M94" s="9">
        <v>44659</v>
      </c>
      <c r="N94" s="9">
        <v>44926</v>
      </c>
      <c r="O94" s="6" t="s">
        <v>338</v>
      </c>
      <c r="P94" s="6" t="s">
        <v>106</v>
      </c>
      <c r="Q94" s="6" t="s">
        <v>156</v>
      </c>
      <c r="R94" s="6" t="s">
        <v>106</v>
      </c>
      <c r="S94" s="6" t="s">
        <v>121</v>
      </c>
      <c r="T94" s="6" t="s">
        <v>106</v>
      </c>
      <c r="U94" s="6" t="s">
        <v>106</v>
      </c>
      <c r="V94" s="6" t="s">
        <v>106</v>
      </c>
      <c r="W94" s="6" t="s">
        <v>106</v>
      </c>
      <c r="X94" s="6" t="s">
        <v>106</v>
      </c>
      <c r="Y94" s="6" t="s">
        <v>106</v>
      </c>
      <c r="Z94" s="6" t="s">
        <v>106</v>
      </c>
      <c r="AA94" s="6"/>
      <c r="AB94" s="10"/>
      <c r="AC94" s="10"/>
      <c r="AD94" s="33">
        <f t="shared" si="2"/>
        <v>352445</v>
      </c>
      <c r="AE94" s="10"/>
      <c r="AF94" s="10">
        <f>6390.3+1003.95+923.25+2285.3+892+1675.8+1675.8+220.88+1675.8+2694.75+2248.75+1790.1+336.05+804.7+2285.3+2502.5</f>
        <v>29405.229999999996</v>
      </c>
      <c r="AG94" s="33">
        <f t="shared" si="3"/>
        <v>29405.229999999996</v>
      </c>
    </row>
    <row r="95" spans="1:33" ht="51" x14ac:dyDescent="0.25">
      <c r="A95" s="14" t="s">
        <v>504</v>
      </c>
      <c r="B95" s="7" t="s">
        <v>511</v>
      </c>
      <c r="C95" s="7" t="s">
        <v>510</v>
      </c>
      <c r="D95" s="7" t="s">
        <v>59</v>
      </c>
      <c r="E95" s="7" t="s">
        <v>60</v>
      </c>
      <c r="F95" s="65" t="s">
        <v>344</v>
      </c>
      <c r="G95" s="4" t="s">
        <v>509</v>
      </c>
      <c r="H95" s="63" t="s">
        <v>380</v>
      </c>
      <c r="I95" s="6" t="s">
        <v>381</v>
      </c>
      <c r="J95" s="9">
        <v>44740</v>
      </c>
      <c r="K95" s="10">
        <v>82666.009999999995</v>
      </c>
      <c r="L95" s="11">
        <v>13318</v>
      </c>
      <c r="M95" s="9">
        <v>44740</v>
      </c>
      <c r="N95" s="9">
        <v>44926</v>
      </c>
      <c r="O95" s="6" t="s">
        <v>338</v>
      </c>
      <c r="P95" s="6" t="s">
        <v>106</v>
      </c>
      <c r="Q95" s="6" t="s">
        <v>156</v>
      </c>
      <c r="R95" s="6" t="s">
        <v>106</v>
      </c>
      <c r="S95" s="6" t="s">
        <v>519</v>
      </c>
      <c r="T95" s="6" t="s">
        <v>106</v>
      </c>
      <c r="U95" s="6" t="s">
        <v>106</v>
      </c>
      <c r="V95" s="6" t="s">
        <v>106</v>
      </c>
      <c r="W95" s="6" t="s">
        <v>106</v>
      </c>
      <c r="X95" s="6" t="s">
        <v>106</v>
      </c>
      <c r="Y95" s="6" t="s">
        <v>106</v>
      </c>
      <c r="Z95" s="6" t="s">
        <v>106</v>
      </c>
      <c r="AA95" s="6"/>
      <c r="AB95" s="10"/>
      <c r="AC95" s="10"/>
      <c r="AD95" s="33">
        <f t="shared" si="2"/>
        <v>82666.009999999995</v>
      </c>
      <c r="AE95" s="10"/>
      <c r="AF95" s="10">
        <f>21980+12000+16990</f>
        <v>50970</v>
      </c>
      <c r="AG95" s="33">
        <f t="shared" si="3"/>
        <v>50970</v>
      </c>
    </row>
    <row r="96" spans="1:33" ht="51" x14ac:dyDescent="0.25">
      <c r="A96" s="14" t="s">
        <v>508</v>
      </c>
      <c r="B96" s="7" t="s">
        <v>503</v>
      </c>
      <c r="C96" s="7" t="s">
        <v>520</v>
      </c>
      <c r="D96" s="7" t="s">
        <v>59</v>
      </c>
      <c r="E96" s="7" t="s">
        <v>60</v>
      </c>
      <c r="F96" s="65" t="s">
        <v>344</v>
      </c>
      <c r="G96" s="4" t="s">
        <v>523</v>
      </c>
      <c r="H96" s="63" t="s">
        <v>496</v>
      </c>
      <c r="I96" s="6" t="s">
        <v>517</v>
      </c>
      <c r="J96" s="9">
        <v>44655</v>
      </c>
      <c r="K96" s="10">
        <v>138500</v>
      </c>
      <c r="L96" s="11">
        <v>13260</v>
      </c>
      <c r="M96" s="9">
        <v>44655</v>
      </c>
      <c r="N96" s="9">
        <v>44926</v>
      </c>
      <c r="O96" s="6" t="s">
        <v>338</v>
      </c>
      <c r="P96" s="6" t="s">
        <v>106</v>
      </c>
      <c r="Q96" s="6" t="s">
        <v>156</v>
      </c>
      <c r="R96" s="6" t="s">
        <v>106</v>
      </c>
      <c r="S96" s="6" t="s">
        <v>121</v>
      </c>
      <c r="T96" s="6" t="s">
        <v>106</v>
      </c>
      <c r="U96" s="6" t="s">
        <v>106</v>
      </c>
      <c r="V96" s="6" t="s">
        <v>106</v>
      </c>
      <c r="W96" s="6" t="s">
        <v>106</v>
      </c>
      <c r="X96" s="6" t="s">
        <v>106</v>
      </c>
      <c r="Y96" s="6" t="s">
        <v>106</v>
      </c>
      <c r="Z96" s="6" t="s">
        <v>106</v>
      </c>
      <c r="AA96" s="6"/>
      <c r="AB96" s="10"/>
      <c r="AC96" s="10"/>
      <c r="AD96" s="33">
        <f t="shared" si="2"/>
        <v>138500</v>
      </c>
      <c r="AE96" s="10"/>
      <c r="AF96" s="10">
        <f>1782</f>
        <v>1782</v>
      </c>
      <c r="AG96" s="33">
        <f t="shared" si="3"/>
        <v>1782</v>
      </c>
    </row>
    <row r="97" spans="1:33" ht="51" x14ac:dyDescent="0.25">
      <c r="A97" s="14" t="s">
        <v>521</v>
      </c>
      <c r="B97" s="7" t="s">
        <v>449</v>
      </c>
      <c r="C97" s="7" t="s">
        <v>526</v>
      </c>
      <c r="D97" s="7" t="s">
        <v>59</v>
      </c>
      <c r="E97" s="7" t="s">
        <v>60</v>
      </c>
      <c r="F97" s="65" t="s">
        <v>344</v>
      </c>
      <c r="G97" s="4" t="s">
        <v>524</v>
      </c>
      <c r="H97" s="63" t="s">
        <v>459</v>
      </c>
      <c r="I97" s="6" t="s">
        <v>525</v>
      </c>
      <c r="J97" s="9">
        <v>44656</v>
      </c>
      <c r="K97" s="10">
        <v>124990</v>
      </c>
      <c r="L97" s="11">
        <v>13274</v>
      </c>
      <c r="M97" s="9">
        <v>44656</v>
      </c>
      <c r="N97" s="9">
        <v>44926</v>
      </c>
      <c r="O97" s="6" t="s">
        <v>338</v>
      </c>
      <c r="P97" s="6" t="s">
        <v>106</v>
      </c>
      <c r="Q97" s="6" t="s">
        <v>156</v>
      </c>
      <c r="R97" s="6" t="s">
        <v>106</v>
      </c>
      <c r="S97" s="6" t="s">
        <v>121</v>
      </c>
      <c r="T97" s="6" t="s">
        <v>106</v>
      </c>
      <c r="U97" s="6" t="s">
        <v>106</v>
      </c>
      <c r="V97" s="6" t="s">
        <v>106</v>
      </c>
      <c r="W97" s="6" t="s">
        <v>106</v>
      </c>
      <c r="X97" s="6" t="s">
        <v>106</v>
      </c>
      <c r="Y97" s="6" t="s">
        <v>106</v>
      </c>
      <c r="Z97" s="6" t="s">
        <v>106</v>
      </c>
      <c r="AA97" s="6"/>
      <c r="AB97" s="10"/>
      <c r="AC97" s="10"/>
      <c r="AD97" s="33">
        <f t="shared" si="2"/>
        <v>124990</v>
      </c>
      <c r="AE97" s="10"/>
      <c r="AF97" s="10">
        <f>5999.52</f>
        <v>5999.52</v>
      </c>
      <c r="AG97" s="33">
        <f t="shared" si="3"/>
        <v>5999.52</v>
      </c>
    </row>
    <row r="98" spans="1:33" ht="51" x14ac:dyDescent="0.25">
      <c r="A98" s="14" t="s">
        <v>522</v>
      </c>
      <c r="B98" s="7" t="s">
        <v>530</v>
      </c>
      <c r="C98" s="7" t="s">
        <v>520</v>
      </c>
      <c r="D98" s="7" t="s">
        <v>59</v>
      </c>
      <c r="E98" s="7" t="s">
        <v>60</v>
      </c>
      <c r="F98" s="65" t="s">
        <v>344</v>
      </c>
      <c r="G98" s="4" t="s">
        <v>528</v>
      </c>
      <c r="H98" s="63" t="s">
        <v>274</v>
      </c>
      <c r="I98" s="6" t="s">
        <v>529</v>
      </c>
      <c r="J98" s="9">
        <v>44650</v>
      </c>
      <c r="K98" s="10">
        <v>539064.9</v>
      </c>
      <c r="L98" s="11">
        <v>13260</v>
      </c>
      <c r="M98" s="9">
        <v>44650</v>
      </c>
      <c r="N98" s="9">
        <v>44926</v>
      </c>
      <c r="O98" s="6" t="s">
        <v>338</v>
      </c>
      <c r="P98" s="6" t="s">
        <v>106</v>
      </c>
      <c r="Q98" s="6" t="s">
        <v>156</v>
      </c>
      <c r="R98" s="6" t="s">
        <v>106</v>
      </c>
      <c r="S98" s="6" t="s">
        <v>121</v>
      </c>
      <c r="T98" s="6" t="s">
        <v>106</v>
      </c>
      <c r="U98" s="6" t="s">
        <v>106</v>
      </c>
      <c r="V98" s="6" t="s">
        <v>106</v>
      </c>
      <c r="W98" s="6" t="s">
        <v>106</v>
      </c>
      <c r="X98" s="6" t="s">
        <v>106</v>
      </c>
      <c r="Y98" s="6" t="s">
        <v>106</v>
      </c>
      <c r="Z98" s="6" t="s">
        <v>106</v>
      </c>
      <c r="AA98" s="6"/>
      <c r="AB98" s="10"/>
      <c r="AC98" s="10"/>
      <c r="AD98" s="33">
        <f t="shared" si="2"/>
        <v>539064.9</v>
      </c>
      <c r="AE98" s="10"/>
      <c r="AF98" s="10">
        <f>1568+17474.6+16228.8+1888</f>
        <v>37159.399999999994</v>
      </c>
      <c r="AG98" s="33">
        <f t="shared" si="3"/>
        <v>37159.399999999994</v>
      </c>
    </row>
    <row r="99" spans="1:33" ht="51" x14ac:dyDescent="0.25">
      <c r="A99" s="14" t="s">
        <v>527</v>
      </c>
      <c r="B99" s="7" t="s">
        <v>534</v>
      </c>
      <c r="C99" s="7" t="s">
        <v>533</v>
      </c>
      <c r="D99" s="7" t="s">
        <v>59</v>
      </c>
      <c r="E99" s="7" t="s">
        <v>60</v>
      </c>
      <c r="F99" s="65" t="s">
        <v>344</v>
      </c>
      <c r="G99" s="4" t="s">
        <v>532</v>
      </c>
      <c r="H99" s="63" t="s">
        <v>535</v>
      </c>
      <c r="I99" s="6" t="s">
        <v>536</v>
      </c>
      <c r="J99" s="9">
        <v>44593</v>
      </c>
      <c r="K99" s="10">
        <v>30918.44</v>
      </c>
      <c r="L99" s="11">
        <v>13233</v>
      </c>
      <c r="M99" s="9">
        <v>44593</v>
      </c>
      <c r="N99" s="9">
        <v>44926</v>
      </c>
      <c r="O99" s="6" t="s">
        <v>338</v>
      </c>
      <c r="P99" s="6" t="s">
        <v>106</v>
      </c>
      <c r="Q99" s="6" t="s">
        <v>156</v>
      </c>
      <c r="R99" s="6" t="s">
        <v>106</v>
      </c>
      <c r="S99" s="6" t="s">
        <v>121</v>
      </c>
      <c r="T99" s="6" t="s">
        <v>106</v>
      </c>
      <c r="U99" s="6" t="s">
        <v>106</v>
      </c>
      <c r="V99" s="6" t="s">
        <v>106</v>
      </c>
      <c r="W99" s="6" t="s">
        <v>106</v>
      </c>
      <c r="X99" s="6" t="s">
        <v>106</v>
      </c>
      <c r="Y99" s="6" t="s">
        <v>106</v>
      </c>
      <c r="Z99" s="6" t="s">
        <v>106</v>
      </c>
      <c r="AA99" s="6"/>
      <c r="AB99" s="10"/>
      <c r="AC99" s="10"/>
      <c r="AD99" s="33">
        <f t="shared" si="2"/>
        <v>30918.44</v>
      </c>
      <c r="AE99" s="10"/>
      <c r="AF99" s="10">
        <f>9210.6</f>
        <v>9210.6</v>
      </c>
      <c r="AG99" s="33">
        <f t="shared" si="3"/>
        <v>9210.6</v>
      </c>
    </row>
    <row r="100" spans="1:33" ht="51" x14ac:dyDescent="0.25">
      <c r="A100" s="14" t="s">
        <v>531</v>
      </c>
      <c r="B100" s="7" t="s">
        <v>534</v>
      </c>
      <c r="C100" s="7" t="s">
        <v>539</v>
      </c>
      <c r="D100" s="7" t="s">
        <v>59</v>
      </c>
      <c r="E100" s="7" t="s">
        <v>60</v>
      </c>
      <c r="F100" s="65" t="s">
        <v>344</v>
      </c>
      <c r="G100" s="4" t="s">
        <v>538</v>
      </c>
      <c r="H100" s="63" t="s">
        <v>281</v>
      </c>
      <c r="I100" s="6" t="s">
        <v>282</v>
      </c>
      <c r="J100" s="9">
        <v>44592</v>
      </c>
      <c r="K100" s="10">
        <v>217674</v>
      </c>
      <c r="L100" s="11">
        <v>13222</v>
      </c>
      <c r="M100" s="9">
        <v>44592</v>
      </c>
      <c r="N100" s="9">
        <v>44926</v>
      </c>
      <c r="O100" s="6" t="s">
        <v>338</v>
      </c>
      <c r="P100" s="6" t="s">
        <v>106</v>
      </c>
      <c r="Q100" s="6" t="s">
        <v>156</v>
      </c>
      <c r="R100" s="6" t="s">
        <v>106</v>
      </c>
      <c r="S100" s="6" t="s">
        <v>121</v>
      </c>
      <c r="T100" s="6"/>
      <c r="U100" s="6" t="s">
        <v>106</v>
      </c>
      <c r="V100" s="6" t="s">
        <v>106</v>
      </c>
      <c r="W100" s="6" t="s">
        <v>106</v>
      </c>
      <c r="X100" s="6" t="s">
        <v>106</v>
      </c>
      <c r="Y100" s="6" t="s">
        <v>106</v>
      </c>
      <c r="Z100" s="6" t="s">
        <v>106</v>
      </c>
      <c r="AA100" s="6"/>
      <c r="AB100" s="10"/>
      <c r="AC100" s="10"/>
      <c r="AD100" s="33">
        <f t="shared" si="2"/>
        <v>217674</v>
      </c>
      <c r="AE100" s="10"/>
      <c r="AF100" s="10">
        <f>10440+10440</f>
        <v>20880</v>
      </c>
      <c r="AG100" s="33">
        <f t="shared" si="3"/>
        <v>20880</v>
      </c>
    </row>
    <row r="101" spans="1:33" ht="51" x14ac:dyDescent="0.25">
      <c r="A101" s="14" t="s">
        <v>537</v>
      </c>
      <c r="B101" s="7" t="s">
        <v>543</v>
      </c>
      <c r="C101" s="7" t="s">
        <v>542</v>
      </c>
      <c r="D101" s="7" t="s">
        <v>59</v>
      </c>
      <c r="E101" s="7" t="s">
        <v>60</v>
      </c>
      <c r="F101" s="65" t="s">
        <v>344</v>
      </c>
      <c r="G101" s="4" t="s">
        <v>540</v>
      </c>
      <c r="H101" s="63" t="s">
        <v>541</v>
      </c>
      <c r="I101" s="6" t="s">
        <v>518</v>
      </c>
      <c r="J101" s="9">
        <v>44771</v>
      </c>
      <c r="K101" s="10">
        <v>12498.75</v>
      </c>
      <c r="L101" s="11">
        <v>13341</v>
      </c>
      <c r="M101" s="9">
        <v>44771</v>
      </c>
      <c r="N101" s="9">
        <v>44926</v>
      </c>
      <c r="O101" s="6" t="s">
        <v>338</v>
      </c>
      <c r="P101" s="6" t="s">
        <v>106</v>
      </c>
      <c r="Q101" s="6" t="s">
        <v>156</v>
      </c>
      <c r="R101" s="6" t="s">
        <v>106</v>
      </c>
      <c r="S101" s="6" t="s">
        <v>121</v>
      </c>
      <c r="T101" s="6" t="s">
        <v>106</v>
      </c>
      <c r="U101" s="6" t="s">
        <v>106</v>
      </c>
      <c r="V101" s="6" t="s">
        <v>106</v>
      </c>
      <c r="W101" s="6" t="s">
        <v>106</v>
      </c>
      <c r="X101" s="6" t="s">
        <v>106</v>
      </c>
      <c r="Y101" s="6" t="s">
        <v>106</v>
      </c>
      <c r="Z101" s="6" t="s">
        <v>106</v>
      </c>
      <c r="AA101" s="6"/>
      <c r="AB101" s="10"/>
      <c r="AC101" s="10"/>
      <c r="AD101" s="33">
        <f t="shared" si="2"/>
        <v>12498.75</v>
      </c>
      <c r="AE101" s="10"/>
      <c r="AF101" s="10">
        <f>5499.45+5332.8</f>
        <v>10832.25</v>
      </c>
      <c r="AG101" s="33">
        <f t="shared" si="3"/>
        <v>10832.25</v>
      </c>
    </row>
    <row r="102" spans="1:33" ht="51" x14ac:dyDescent="0.25">
      <c r="A102" s="14" t="s">
        <v>544</v>
      </c>
      <c r="B102" s="7" t="s">
        <v>546</v>
      </c>
      <c r="C102" s="7" t="s">
        <v>547</v>
      </c>
      <c r="D102" s="7" t="s">
        <v>59</v>
      </c>
      <c r="E102" s="7" t="s">
        <v>60</v>
      </c>
      <c r="F102" s="65" t="s">
        <v>344</v>
      </c>
      <c r="G102" s="4" t="s">
        <v>548</v>
      </c>
      <c r="H102" s="63" t="s">
        <v>549</v>
      </c>
      <c r="I102" s="6" t="s">
        <v>550</v>
      </c>
      <c r="J102" s="9">
        <v>44606</v>
      </c>
      <c r="K102" s="10">
        <v>77330.649999999994</v>
      </c>
      <c r="L102" s="11">
        <v>13247</v>
      </c>
      <c r="M102" s="9">
        <v>44606</v>
      </c>
      <c r="N102" s="9">
        <v>44926</v>
      </c>
      <c r="O102" s="6" t="s">
        <v>338</v>
      </c>
      <c r="P102" s="6" t="s">
        <v>106</v>
      </c>
      <c r="Q102" s="6" t="s">
        <v>156</v>
      </c>
      <c r="R102" s="6" t="s">
        <v>106</v>
      </c>
      <c r="S102" s="6" t="s">
        <v>351</v>
      </c>
      <c r="T102" s="6" t="s">
        <v>106</v>
      </c>
      <c r="U102" s="6" t="s">
        <v>106</v>
      </c>
      <c r="V102" s="6" t="s">
        <v>106</v>
      </c>
      <c r="W102" s="6" t="s">
        <v>106</v>
      </c>
      <c r="X102" s="6" t="s">
        <v>106</v>
      </c>
      <c r="Y102" s="6" t="s">
        <v>106</v>
      </c>
      <c r="Z102" s="6" t="s">
        <v>106</v>
      </c>
      <c r="AA102" s="6"/>
      <c r="AB102" s="10"/>
      <c r="AC102" s="10"/>
      <c r="AD102" s="33">
        <f t="shared" si="2"/>
        <v>77330.649999999994</v>
      </c>
      <c r="AE102" s="10"/>
      <c r="AF102" s="10">
        <f>2791.98+1069.99</f>
        <v>3861.9700000000003</v>
      </c>
      <c r="AG102" s="33">
        <f t="shared" si="3"/>
        <v>3861.9700000000003</v>
      </c>
    </row>
    <row r="103" spans="1:33" ht="51" x14ac:dyDescent="0.25">
      <c r="A103" s="14" t="s">
        <v>545</v>
      </c>
      <c r="B103" s="7" t="s">
        <v>497</v>
      </c>
      <c r="C103" s="7" t="s">
        <v>498</v>
      </c>
      <c r="D103" s="7" t="s">
        <v>59</v>
      </c>
      <c r="E103" s="7" t="s">
        <v>60</v>
      </c>
      <c r="F103" s="65" t="s">
        <v>344</v>
      </c>
      <c r="G103" s="4" t="s">
        <v>552</v>
      </c>
      <c r="H103" s="63" t="s">
        <v>553</v>
      </c>
      <c r="I103" s="6" t="s">
        <v>250</v>
      </c>
      <c r="J103" s="9">
        <v>44627</v>
      </c>
      <c r="K103" s="10">
        <v>689400</v>
      </c>
      <c r="L103" s="11">
        <v>13244</v>
      </c>
      <c r="M103" s="9">
        <v>44627</v>
      </c>
      <c r="N103" s="9">
        <v>44926</v>
      </c>
      <c r="O103" s="6" t="s">
        <v>338</v>
      </c>
      <c r="P103" s="6" t="s">
        <v>106</v>
      </c>
      <c r="Q103" s="6" t="s">
        <v>156</v>
      </c>
      <c r="R103" s="6" t="s">
        <v>106</v>
      </c>
      <c r="S103" s="6" t="s">
        <v>121</v>
      </c>
      <c r="T103" s="6" t="s">
        <v>106</v>
      </c>
      <c r="U103" s="6" t="s">
        <v>106</v>
      </c>
      <c r="V103" s="6" t="s">
        <v>106</v>
      </c>
      <c r="W103" s="6" t="s">
        <v>106</v>
      </c>
      <c r="X103" s="6" t="s">
        <v>106</v>
      </c>
      <c r="Y103" s="6" t="s">
        <v>106</v>
      </c>
      <c r="Z103" s="6" t="s">
        <v>106</v>
      </c>
      <c r="AA103" s="6"/>
      <c r="AB103" s="10"/>
      <c r="AC103" s="10"/>
      <c r="AD103" s="33">
        <f t="shared" si="2"/>
        <v>689400</v>
      </c>
      <c r="AE103" s="10"/>
      <c r="AF103" s="10">
        <v>22563.599999999999</v>
      </c>
      <c r="AG103" s="33">
        <f t="shared" si="3"/>
        <v>22563.599999999999</v>
      </c>
    </row>
    <row r="104" spans="1:33" ht="51" x14ac:dyDescent="0.25">
      <c r="A104" s="14" t="s">
        <v>551</v>
      </c>
      <c r="B104" s="7" t="s">
        <v>507</v>
      </c>
      <c r="C104" s="7" t="s">
        <v>556</v>
      </c>
      <c r="D104" s="7" t="s">
        <v>59</v>
      </c>
      <c r="E104" s="7" t="s">
        <v>60</v>
      </c>
      <c r="F104" s="65" t="s">
        <v>344</v>
      </c>
      <c r="G104" s="4" t="s">
        <v>555</v>
      </c>
      <c r="H104" s="63" t="s">
        <v>553</v>
      </c>
      <c r="I104" s="6" t="s">
        <v>250</v>
      </c>
      <c r="J104" s="9">
        <v>44628</v>
      </c>
      <c r="K104" s="10">
        <v>76180</v>
      </c>
      <c r="L104" s="11">
        <v>13244</v>
      </c>
      <c r="M104" s="9">
        <v>44628</v>
      </c>
      <c r="N104" s="9">
        <v>44926</v>
      </c>
      <c r="O104" s="6" t="s">
        <v>594</v>
      </c>
      <c r="P104" s="6" t="s">
        <v>106</v>
      </c>
      <c r="Q104" s="6" t="s">
        <v>156</v>
      </c>
      <c r="R104" s="6" t="s">
        <v>106</v>
      </c>
      <c r="S104" s="6" t="s">
        <v>121</v>
      </c>
      <c r="T104" s="6"/>
      <c r="U104" s="6"/>
      <c r="V104" s="6"/>
      <c r="W104" s="6"/>
      <c r="X104" s="6"/>
      <c r="Y104" s="6"/>
      <c r="Z104" s="6"/>
      <c r="AA104" s="6"/>
      <c r="AB104" s="10"/>
      <c r="AC104" s="10"/>
      <c r="AD104" s="33">
        <f t="shared" si="2"/>
        <v>76180</v>
      </c>
      <c r="AE104" s="10"/>
      <c r="AF104" s="10">
        <f>3309.6</f>
        <v>3309.6</v>
      </c>
      <c r="AG104" s="33">
        <f t="shared" si="3"/>
        <v>3309.6</v>
      </c>
    </row>
    <row r="105" spans="1:33" ht="51" x14ac:dyDescent="0.25">
      <c r="A105" s="14" t="s">
        <v>554</v>
      </c>
      <c r="B105" s="7" t="s">
        <v>388</v>
      </c>
      <c r="C105" s="7" t="s">
        <v>558</v>
      </c>
      <c r="D105" s="7" t="s">
        <v>59</v>
      </c>
      <c r="E105" s="7" t="s">
        <v>60</v>
      </c>
      <c r="F105" s="65" t="s">
        <v>344</v>
      </c>
      <c r="G105" s="4" t="s">
        <v>559</v>
      </c>
      <c r="H105" s="63" t="s">
        <v>560</v>
      </c>
      <c r="I105" s="6" t="s">
        <v>561</v>
      </c>
      <c r="J105" s="9">
        <v>44606</v>
      </c>
      <c r="K105" s="10">
        <v>90780</v>
      </c>
      <c r="L105" s="11">
        <v>13232</v>
      </c>
      <c r="M105" s="9">
        <v>44606</v>
      </c>
      <c r="N105" s="9">
        <v>44970</v>
      </c>
      <c r="O105" s="6" t="s">
        <v>338</v>
      </c>
      <c r="P105" s="6" t="s">
        <v>106</v>
      </c>
      <c r="Q105" s="6" t="s">
        <v>156</v>
      </c>
      <c r="R105" s="6" t="s">
        <v>106</v>
      </c>
      <c r="S105" s="6" t="s">
        <v>121</v>
      </c>
      <c r="T105" s="6"/>
      <c r="U105" s="6"/>
      <c r="V105" s="6"/>
      <c r="W105" s="6"/>
      <c r="X105" s="6"/>
      <c r="Y105" s="6"/>
      <c r="Z105" s="6"/>
      <c r="AA105" s="6"/>
      <c r="AB105" s="10"/>
      <c r="AC105" s="10"/>
      <c r="AD105" s="33">
        <f t="shared" si="2"/>
        <v>90780</v>
      </c>
      <c r="AE105" s="10"/>
      <c r="AF105" s="10">
        <f>15130</f>
        <v>15130</v>
      </c>
      <c r="AG105" s="33">
        <f t="shared" si="3"/>
        <v>15130</v>
      </c>
    </row>
    <row r="106" spans="1:33" ht="51" x14ac:dyDescent="0.25">
      <c r="A106" s="14" t="s">
        <v>557</v>
      </c>
      <c r="B106" s="7" t="s">
        <v>492</v>
      </c>
      <c r="C106" s="7" t="s">
        <v>563</v>
      </c>
      <c r="D106" s="7" t="s">
        <v>59</v>
      </c>
      <c r="E106" s="7" t="s">
        <v>60</v>
      </c>
      <c r="F106" s="65" t="s">
        <v>344</v>
      </c>
      <c r="G106" s="4" t="s">
        <v>564</v>
      </c>
      <c r="H106" s="63" t="s">
        <v>565</v>
      </c>
      <c r="I106" s="6" t="s">
        <v>566</v>
      </c>
      <c r="J106" s="9">
        <v>44671</v>
      </c>
      <c r="K106" s="10">
        <v>83590</v>
      </c>
      <c r="L106" s="11">
        <v>13274</v>
      </c>
      <c r="M106" s="9">
        <v>44671</v>
      </c>
      <c r="N106" s="9">
        <v>44926</v>
      </c>
      <c r="O106" s="6" t="s">
        <v>338</v>
      </c>
      <c r="P106" s="6" t="s">
        <v>106</v>
      </c>
      <c r="Q106" s="6" t="s">
        <v>156</v>
      </c>
      <c r="R106" s="6" t="s">
        <v>106</v>
      </c>
      <c r="S106" s="6" t="s">
        <v>121</v>
      </c>
      <c r="T106" s="6"/>
      <c r="U106" s="6"/>
      <c r="V106" s="6"/>
      <c r="W106" s="6"/>
      <c r="X106" s="6"/>
      <c r="Y106" s="6"/>
      <c r="Z106" s="6"/>
      <c r="AA106" s="6"/>
      <c r="AB106" s="10"/>
      <c r="AC106" s="10"/>
      <c r="AD106" s="33">
        <f t="shared" si="2"/>
        <v>83590</v>
      </c>
      <c r="AE106" s="10"/>
      <c r="AF106" s="10">
        <f>4537+79.2</f>
        <v>4616.2</v>
      </c>
      <c r="AG106" s="33">
        <f t="shared" si="3"/>
        <v>4616.2</v>
      </c>
    </row>
    <row r="107" spans="1:33" ht="51" x14ac:dyDescent="0.25">
      <c r="A107" s="14" t="s">
        <v>562</v>
      </c>
      <c r="B107" s="7" t="s">
        <v>568</v>
      </c>
      <c r="C107" s="7" t="s">
        <v>569</v>
      </c>
      <c r="D107" s="7" t="s">
        <v>59</v>
      </c>
      <c r="E107" s="7" t="s">
        <v>60</v>
      </c>
      <c r="F107" s="65" t="s">
        <v>344</v>
      </c>
      <c r="G107" s="4" t="s">
        <v>570</v>
      </c>
      <c r="H107" s="63" t="s">
        <v>571</v>
      </c>
      <c r="I107" s="6" t="s">
        <v>572</v>
      </c>
      <c r="J107" s="9">
        <v>44664</v>
      </c>
      <c r="K107" s="10">
        <v>180000</v>
      </c>
      <c r="L107" s="11">
        <v>13271</v>
      </c>
      <c r="M107" s="9">
        <v>44664</v>
      </c>
      <c r="N107" s="9">
        <v>44663</v>
      </c>
      <c r="O107" s="6" t="s">
        <v>155</v>
      </c>
      <c r="P107" s="6" t="s">
        <v>106</v>
      </c>
      <c r="Q107" s="6" t="s">
        <v>156</v>
      </c>
      <c r="R107" s="6" t="s">
        <v>106</v>
      </c>
      <c r="S107" s="6" t="s">
        <v>61</v>
      </c>
      <c r="T107" s="6"/>
      <c r="U107" s="6"/>
      <c r="V107" s="6"/>
      <c r="W107" s="6"/>
      <c r="X107" s="6"/>
      <c r="Y107" s="6"/>
      <c r="Z107" s="6"/>
      <c r="AA107" s="6"/>
      <c r="AB107" s="10"/>
      <c r="AC107" s="10"/>
      <c r="AD107" s="33">
        <f t="shared" si="2"/>
        <v>180000</v>
      </c>
      <c r="AE107" s="10"/>
      <c r="AF107" s="10">
        <f>1000+1000+3000+3000</f>
        <v>8000</v>
      </c>
      <c r="AG107" s="33">
        <f t="shared" si="3"/>
        <v>8000</v>
      </c>
    </row>
    <row r="108" spans="1:33" ht="51" x14ac:dyDescent="0.25">
      <c r="A108" s="14" t="s">
        <v>567</v>
      </c>
      <c r="B108" s="7" t="s">
        <v>503</v>
      </c>
      <c r="C108" s="7" t="s">
        <v>578</v>
      </c>
      <c r="D108" s="7" t="s">
        <v>59</v>
      </c>
      <c r="E108" s="7" t="s">
        <v>60</v>
      </c>
      <c r="F108" s="65" t="s">
        <v>344</v>
      </c>
      <c r="G108" s="4" t="s">
        <v>574</v>
      </c>
      <c r="H108" s="63" t="s">
        <v>575</v>
      </c>
      <c r="I108" s="6" t="s">
        <v>576</v>
      </c>
      <c r="J108" s="9">
        <v>44655</v>
      </c>
      <c r="K108" s="10">
        <v>261965</v>
      </c>
      <c r="L108" s="11">
        <v>13260</v>
      </c>
      <c r="M108" s="9">
        <v>44655</v>
      </c>
      <c r="N108" s="9">
        <v>44926</v>
      </c>
      <c r="O108" s="6" t="s">
        <v>594</v>
      </c>
      <c r="P108" s="6" t="s">
        <v>106</v>
      </c>
      <c r="Q108" s="6" t="s">
        <v>156</v>
      </c>
      <c r="R108" s="6" t="s">
        <v>106</v>
      </c>
      <c r="S108" s="6" t="s">
        <v>121</v>
      </c>
      <c r="T108" s="6"/>
      <c r="U108" s="6"/>
      <c r="V108" s="6"/>
      <c r="W108" s="6"/>
      <c r="X108" s="6"/>
      <c r="Y108" s="6"/>
      <c r="Z108" s="6"/>
      <c r="AA108" s="6"/>
      <c r="AB108" s="10"/>
      <c r="AC108" s="10"/>
      <c r="AD108" s="33">
        <f t="shared" si="2"/>
        <v>261965</v>
      </c>
      <c r="AE108" s="10"/>
      <c r="AF108" s="10">
        <f>5823</f>
        <v>5823</v>
      </c>
      <c r="AG108" s="33">
        <f t="shared" si="3"/>
        <v>5823</v>
      </c>
    </row>
    <row r="109" spans="1:33" ht="51" x14ac:dyDescent="0.25">
      <c r="A109" s="14" t="s">
        <v>573</v>
      </c>
      <c r="B109" s="7" t="s">
        <v>409</v>
      </c>
      <c r="C109" s="7" t="s">
        <v>579</v>
      </c>
      <c r="D109" s="7" t="s">
        <v>59</v>
      </c>
      <c r="E109" s="7" t="s">
        <v>60</v>
      </c>
      <c r="F109" s="65" t="s">
        <v>344</v>
      </c>
      <c r="G109" s="4" t="s">
        <v>580</v>
      </c>
      <c r="H109" s="63" t="s">
        <v>581</v>
      </c>
      <c r="I109" s="6" t="s">
        <v>582</v>
      </c>
      <c r="J109" s="9">
        <v>44627</v>
      </c>
      <c r="K109" s="10">
        <v>11600</v>
      </c>
      <c r="L109" s="11">
        <v>13245</v>
      </c>
      <c r="M109" s="9">
        <v>44627</v>
      </c>
      <c r="N109" s="9">
        <v>44926</v>
      </c>
      <c r="O109" s="6" t="s">
        <v>594</v>
      </c>
      <c r="P109" s="6" t="s">
        <v>106</v>
      </c>
      <c r="Q109" s="6" t="s">
        <v>156</v>
      </c>
      <c r="R109" s="6" t="s">
        <v>106</v>
      </c>
      <c r="S109" s="6" t="s">
        <v>121</v>
      </c>
      <c r="T109" s="6"/>
      <c r="U109" s="6"/>
      <c r="V109" s="6"/>
      <c r="W109" s="6"/>
      <c r="X109" s="6"/>
      <c r="Y109" s="6"/>
      <c r="Z109" s="6"/>
      <c r="AA109" s="6"/>
      <c r="AB109" s="10"/>
      <c r="AC109" s="10"/>
      <c r="AD109" s="33">
        <f t="shared" si="2"/>
        <v>11600</v>
      </c>
      <c r="AE109" s="10"/>
      <c r="AF109" s="10">
        <f>288+134.85+680.34+96+641.65+200</f>
        <v>2040.8400000000001</v>
      </c>
      <c r="AG109" s="33">
        <f t="shared" si="3"/>
        <v>2040.8400000000001</v>
      </c>
    </row>
    <row r="110" spans="1:33" ht="51" x14ac:dyDescent="0.25">
      <c r="A110" s="14" t="s">
        <v>577</v>
      </c>
      <c r="B110" s="7" t="s">
        <v>546</v>
      </c>
      <c r="C110" s="7" t="s">
        <v>584</v>
      </c>
      <c r="D110" s="7" t="s">
        <v>59</v>
      </c>
      <c r="E110" s="7" t="s">
        <v>60</v>
      </c>
      <c r="F110" s="65" t="s">
        <v>344</v>
      </c>
      <c r="G110" s="4" t="s">
        <v>585</v>
      </c>
      <c r="H110" s="63" t="s">
        <v>586</v>
      </c>
      <c r="I110" s="6" t="s">
        <v>587</v>
      </c>
      <c r="J110" s="9">
        <v>44606</v>
      </c>
      <c r="K110" s="10">
        <v>73045.600000000006</v>
      </c>
      <c r="L110" s="11">
        <v>13245</v>
      </c>
      <c r="M110" s="9">
        <v>44606</v>
      </c>
      <c r="N110" s="9">
        <v>44926</v>
      </c>
      <c r="O110" s="6" t="s">
        <v>338</v>
      </c>
      <c r="P110" s="6" t="s">
        <v>106</v>
      </c>
      <c r="Q110" s="6" t="s">
        <v>156</v>
      </c>
      <c r="R110" s="6" t="s">
        <v>106</v>
      </c>
      <c r="S110" s="6" t="s">
        <v>351</v>
      </c>
      <c r="T110" s="6"/>
      <c r="U110" s="6"/>
      <c r="V110" s="6"/>
      <c r="W110" s="6"/>
      <c r="X110" s="6"/>
      <c r="Y110" s="6"/>
      <c r="Z110" s="6"/>
      <c r="AA110" s="6"/>
      <c r="AB110" s="10"/>
      <c r="AC110" s="10"/>
      <c r="AD110" s="33">
        <f t="shared" si="2"/>
        <v>73045.600000000006</v>
      </c>
      <c r="AE110" s="10"/>
      <c r="AF110" s="10">
        <f>1431+1945.02</f>
        <v>3376.02</v>
      </c>
      <c r="AG110" s="33">
        <f t="shared" si="3"/>
        <v>3376.02</v>
      </c>
    </row>
    <row r="111" spans="1:33" ht="51" x14ac:dyDescent="0.25">
      <c r="A111" s="14" t="s">
        <v>583</v>
      </c>
      <c r="B111" s="7" t="s">
        <v>589</v>
      </c>
      <c r="C111" s="7" t="s">
        <v>590</v>
      </c>
      <c r="D111" s="7" t="s">
        <v>59</v>
      </c>
      <c r="E111" s="7" t="s">
        <v>60</v>
      </c>
      <c r="F111" s="65" t="s">
        <v>344</v>
      </c>
      <c r="G111" s="4" t="s">
        <v>591</v>
      </c>
      <c r="H111" s="63" t="s">
        <v>592</v>
      </c>
      <c r="I111" s="6" t="s">
        <v>300</v>
      </c>
      <c r="J111" s="9">
        <v>44239</v>
      </c>
      <c r="K111" s="10">
        <v>129528</v>
      </c>
      <c r="L111" s="11">
        <v>12991</v>
      </c>
      <c r="M111" s="9">
        <v>44239</v>
      </c>
      <c r="N111" s="9">
        <v>44603</v>
      </c>
      <c r="O111" s="6" t="s">
        <v>593</v>
      </c>
      <c r="P111" s="6" t="s">
        <v>106</v>
      </c>
      <c r="Q111" s="6" t="s">
        <v>156</v>
      </c>
      <c r="R111" s="6" t="s">
        <v>106</v>
      </c>
      <c r="S111" s="6" t="s">
        <v>61</v>
      </c>
      <c r="T111" s="6">
        <v>1</v>
      </c>
      <c r="U111" s="9">
        <v>44600</v>
      </c>
      <c r="V111" s="11">
        <v>13233</v>
      </c>
      <c r="W111" s="6" t="s">
        <v>62</v>
      </c>
      <c r="X111" s="9">
        <v>44605</v>
      </c>
      <c r="Y111" s="9">
        <v>44969</v>
      </c>
      <c r="Z111" s="6"/>
      <c r="AA111" s="6"/>
      <c r="AB111" s="10"/>
      <c r="AC111" s="10"/>
      <c r="AD111" s="33">
        <f t="shared" si="2"/>
        <v>129528</v>
      </c>
      <c r="AE111" s="10"/>
      <c r="AF111" s="10">
        <f>2278.74+3598</f>
        <v>5876.74</v>
      </c>
      <c r="AG111" s="33">
        <f t="shared" si="3"/>
        <v>5876.74</v>
      </c>
    </row>
    <row r="112" spans="1:33" ht="51" x14ac:dyDescent="0.25">
      <c r="A112" s="14" t="s">
        <v>588</v>
      </c>
      <c r="B112" s="7" t="s">
        <v>398</v>
      </c>
      <c r="C112" s="7" t="s">
        <v>601</v>
      </c>
      <c r="D112" s="7" t="s">
        <v>59</v>
      </c>
      <c r="E112" s="7" t="s">
        <v>60</v>
      </c>
      <c r="F112" s="65" t="s">
        <v>344</v>
      </c>
      <c r="G112" s="4" t="s">
        <v>599</v>
      </c>
      <c r="H112" s="63" t="s">
        <v>396</v>
      </c>
      <c r="I112" s="6" t="s">
        <v>600</v>
      </c>
      <c r="J112" s="9">
        <v>44757</v>
      </c>
      <c r="K112" s="10">
        <v>506000</v>
      </c>
      <c r="L112" s="11">
        <v>13331</v>
      </c>
      <c r="M112" s="9">
        <v>44757</v>
      </c>
      <c r="N112" s="9">
        <v>44926</v>
      </c>
      <c r="O112" s="6" t="s">
        <v>616</v>
      </c>
      <c r="P112" s="6" t="s">
        <v>106</v>
      </c>
      <c r="Q112" s="6" t="s">
        <v>156</v>
      </c>
      <c r="R112" s="6" t="s">
        <v>106</v>
      </c>
      <c r="S112" s="6" t="s">
        <v>121</v>
      </c>
      <c r="T112" s="6"/>
      <c r="U112" s="6"/>
      <c r="V112" s="6"/>
      <c r="W112" s="6"/>
      <c r="X112" s="6"/>
      <c r="Y112" s="6"/>
      <c r="Z112" s="6"/>
      <c r="AA112" s="6"/>
      <c r="AB112" s="10"/>
      <c r="AC112" s="10"/>
      <c r="AD112" s="33">
        <f t="shared" si="2"/>
        <v>506000</v>
      </c>
      <c r="AE112" s="10"/>
      <c r="AF112" s="10">
        <f>632.5</f>
        <v>632.5</v>
      </c>
      <c r="AG112" s="33">
        <f t="shared" si="3"/>
        <v>632.5</v>
      </c>
    </row>
    <row r="113" spans="1:33" ht="51" x14ac:dyDescent="0.25">
      <c r="A113" s="14" t="s">
        <v>596</v>
      </c>
      <c r="B113" s="7" t="s">
        <v>604</v>
      </c>
      <c r="C113" s="7" t="s">
        <v>605</v>
      </c>
      <c r="D113" s="7" t="s">
        <v>59</v>
      </c>
      <c r="E113" s="7" t="s">
        <v>60</v>
      </c>
      <c r="F113" s="65" t="s">
        <v>344</v>
      </c>
      <c r="G113" s="4" t="s">
        <v>606</v>
      </c>
      <c r="H113" s="63" t="s">
        <v>607</v>
      </c>
      <c r="I113" s="12" t="s">
        <v>608</v>
      </c>
      <c r="J113" s="9">
        <v>44784</v>
      </c>
      <c r="K113" s="10">
        <v>133500</v>
      </c>
      <c r="L113" s="11">
        <v>13350</v>
      </c>
      <c r="M113" s="9">
        <v>44784</v>
      </c>
      <c r="N113" s="9">
        <v>44926</v>
      </c>
      <c r="O113" s="6" t="s">
        <v>155</v>
      </c>
      <c r="P113" s="6" t="s">
        <v>106</v>
      </c>
      <c r="Q113" s="6" t="s">
        <v>156</v>
      </c>
      <c r="R113" s="6" t="s">
        <v>106</v>
      </c>
      <c r="S113" s="6" t="s">
        <v>61</v>
      </c>
      <c r="T113" s="6"/>
      <c r="U113" s="6"/>
      <c r="V113" s="6"/>
      <c r="W113" s="6"/>
      <c r="X113" s="6"/>
      <c r="Y113" s="6"/>
      <c r="Z113" s="6"/>
      <c r="AA113" s="6"/>
      <c r="AB113" s="10"/>
      <c r="AC113" s="10"/>
      <c r="AD113" s="33">
        <f t="shared" si="2"/>
        <v>133500</v>
      </c>
      <c r="AE113" s="10"/>
      <c r="AF113" s="10">
        <f>489.5</f>
        <v>489.5</v>
      </c>
      <c r="AG113" s="33">
        <f t="shared" si="3"/>
        <v>489.5</v>
      </c>
    </row>
    <row r="114" spans="1:33" ht="51" x14ac:dyDescent="0.25">
      <c r="A114" s="14" t="s">
        <v>602</v>
      </c>
      <c r="B114" s="7" t="s">
        <v>598</v>
      </c>
      <c r="C114" s="7" t="s">
        <v>597</v>
      </c>
      <c r="D114" s="7" t="s">
        <v>59</v>
      </c>
      <c r="E114" s="7" t="s">
        <v>60</v>
      </c>
      <c r="F114" s="65" t="s">
        <v>344</v>
      </c>
      <c r="G114" s="4" t="s">
        <v>610</v>
      </c>
      <c r="H114" s="63" t="s">
        <v>611</v>
      </c>
      <c r="I114" s="12" t="s">
        <v>612</v>
      </c>
      <c r="J114" s="9">
        <v>43663</v>
      </c>
      <c r="K114" s="10">
        <v>199200</v>
      </c>
      <c r="L114" s="11">
        <v>12600</v>
      </c>
      <c r="M114" s="9">
        <v>43663</v>
      </c>
      <c r="N114" s="9">
        <v>43830</v>
      </c>
      <c r="O114" s="6">
        <v>106</v>
      </c>
      <c r="P114" s="6" t="s">
        <v>106</v>
      </c>
      <c r="Q114" s="6" t="s">
        <v>156</v>
      </c>
      <c r="R114" s="6" t="s">
        <v>106</v>
      </c>
      <c r="S114" s="6" t="s">
        <v>617</v>
      </c>
      <c r="T114" s="6">
        <v>7</v>
      </c>
      <c r="U114" s="9">
        <v>44764</v>
      </c>
      <c r="V114" s="11">
        <v>13341</v>
      </c>
      <c r="W114" s="6" t="s">
        <v>62</v>
      </c>
      <c r="X114" s="9">
        <v>44767</v>
      </c>
      <c r="Y114" s="9">
        <v>44950</v>
      </c>
      <c r="Z114" s="6"/>
      <c r="AA114" s="6"/>
      <c r="AB114" s="10"/>
      <c r="AC114" s="10"/>
      <c r="AD114" s="33">
        <f t="shared" si="2"/>
        <v>199200</v>
      </c>
      <c r="AE114" s="10"/>
      <c r="AF114" s="10">
        <f>64000</f>
        <v>64000</v>
      </c>
      <c r="AG114" s="33">
        <f t="shared" si="3"/>
        <v>64000</v>
      </c>
    </row>
    <row r="115" spans="1:33" ht="51" x14ac:dyDescent="0.25">
      <c r="A115" s="14" t="s">
        <v>603</v>
      </c>
      <c r="B115" s="7" t="s">
        <v>598</v>
      </c>
      <c r="C115" s="7" t="s">
        <v>597</v>
      </c>
      <c r="D115" s="7" t="s">
        <v>59</v>
      </c>
      <c r="E115" s="7" t="s">
        <v>60</v>
      </c>
      <c r="F115" s="65" t="s">
        <v>344</v>
      </c>
      <c r="G115" s="4" t="s">
        <v>614</v>
      </c>
      <c r="H115" s="63" t="s">
        <v>611</v>
      </c>
      <c r="I115" s="12" t="s">
        <v>612</v>
      </c>
      <c r="J115" s="9">
        <v>43663</v>
      </c>
      <c r="K115" s="10">
        <v>119200</v>
      </c>
      <c r="L115" s="11">
        <v>12600</v>
      </c>
      <c r="M115" s="9">
        <v>43663</v>
      </c>
      <c r="N115" s="9">
        <v>43830</v>
      </c>
      <c r="O115" s="6">
        <v>106</v>
      </c>
      <c r="P115" s="6" t="s">
        <v>106</v>
      </c>
      <c r="Q115" s="6" t="s">
        <v>156</v>
      </c>
      <c r="R115" s="6" t="s">
        <v>106</v>
      </c>
      <c r="S115" s="6" t="s">
        <v>617</v>
      </c>
      <c r="T115" s="6">
        <v>6</v>
      </c>
      <c r="U115" s="9">
        <v>44770</v>
      </c>
      <c r="V115" s="11">
        <v>13341</v>
      </c>
      <c r="W115" s="6" t="s">
        <v>62</v>
      </c>
      <c r="X115" s="9">
        <v>44774</v>
      </c>
      <c r="Y115" s="9">
        <v>44958</v>
      </c>
      <c r="Z115" s="6"/>
      <c r="AA115" s="6"/>
      <c r="AB115" s="10"/>
      <c r="AC115" s="10"/>
      <c r="AD115" s="33">
        <f t="shared" si="2"/>
        <v>119200</v>
      </c>
      <c r="AE115" s="10"/>
      <c r="AF115" s="10">
        <f>29800</f>
        <v>29800</v>
      </c>
      <c r="AG115" s="33">
        <f t="shared" si="3"/>
        <v>29800</v>
      </c>
    </row>
    <row r="116" spans="1:33" ht="51" x14ac:dyDescent="0.25">
      <c r="A116" s="14" t="s">
        <v>609</v>
      </c>
      <c r="B116" s="7" t="s">
        <v>598</v>
      </c>
      <c r="C116" s="7" t="s">
        <v>597</v>
      </c>
      <c r="D116" s="7" t="s">
        <v>59</v>
      </c>
      <c r="E116" s="7" t="s">
        <v>60</v>
      </c>
      <c r="F116" s="65" t="s">
        <v>344</v>
      </c>
      <c r="G116" s="4" t="s">
        <v>615</v>
      </c>
      <c r="H116" s="63" t="s">
        <v>611</v>
      </c>
      <c r="I116" s="12" t="s">
        <v>612</v>
      </c>
      <c r="J116" s="9">
        <v>43663</v>
      </c>
      <c r="K116" s="10">
        <v>76600</v>
      </c>
      <c r="L116" s="11">
        <v>12600</v>
      </c>
      <c r="M116" s="9">
        <v>43663</v>
      </c>
      <c r="N116" s="9">
        <v>43830</v>
      </c>
      <c r="O116" s="6">
        <v>106</v>
      </c>
      <c r="P116" s="6" t="s">
        <v>106</v>
      </c>
      <c r="Q116" s="6" t="s">
        <v>156</v>
      </c>
      <c r="R116" s="6"/>
      <c r="S116" s="6" t="s">
        <v>617</v>
      </c>
      <c r="T116" s="6">
        <v>7</v>
      </c>
      <c r="U116" s="9">
        <v>44767</v>
      </c>
      <c r="V116" s="11">
        <v>13341</v>
      </c>
      <c r="W116" s="6" t="s">
        <v>62</v>
      </c>
      <c r="X116" s="9">
        <v>44774</v>
      </c>
      <c r="Y116" s="9">
        <v>44958</v>
      </c>
      <c r="Z116" s="6"/>
      <c r="AA116" s="6"/>
      <c r="AB116" s="10"/>
      <c r="AC116" s="10"/>
      <c r="AD116" s="33">
        <f t="shared" si="2"/>
        <v>76600</v>
      </c>
      <c r="AE116" s="10"/>
      <c r="AF116" s="10">
        <v>12600</v>
      </c>
      <c r="AG116" s="33">
        <f t="shared" si="3"/>
        <v>12600</v>
      </c>
    </row>
    <row r="117" spans="1:33" ht="39" thickBot="1" x14ac:dyDescent="0.3">
      <c r="A117" s="20" t="s">
        <v>613</v>
      </c>
      <c r="B117" s="5"/>
      <c r="C117" s="20"/>
      <c r="D117" s="48"/>
      <c r="E117" s="48"/>
      <c r="F117" s="66"/>
      <c r="G117" s="27"/>
      <c r="H117" s="73" t="s">
        <v>189</v>
      </c>
      <c r="I117" s="20"/>
      <c r="J117" s="49"/>
      <c r="K117" s="78"/>
      <c r="L117" s="50"/>
      <c r="M117" s="49"/>
      <c r="N117" s="49"/>
      <c r="O117" s="51"/>
      <c r="P117" s="20"/>
      <c r="Q117" s="20"/>
      <c r="R117" s="5"/>
      <c r="S117" s="5"/>
      <c r="T117" s="5"/>
      <c r="U117" s="52"/>
      <c r="V117" s="53"/>
      <c r="W117" s="5"/>
      <c r="X117" s="52"/>
      <c r="Y117" s="52"/>
      <c r="Z117" s="5"/>
      <c r="AA117" s="5"/>
      <c r="AB117" s="90"/>
      <c r="AC117" s="90"/>
      <c r="AD117" s="33">
        <f t="shared" si="2"/>
        <v>0</v>
      </c>
      <c r="AE117" s="90">
        <f>211693.29+16283.21+33557.92+251.21+49.88+2146.85-337.59+45269.13+5421.37+65.21+125.6+36550.86+65.21+49998.76+16386.31+32.26+65.21+37832.69+32.26+172.89+309.24+238.11+228.65+91.87+65.21+14697.98+23000+1563+129.33+129.33+24790.24+125.6+125.6+13705.98+65.21+378.6+270.86+58.18+378.6+134.34+23818.03+26428.87+12779.66+13574.04+23664.72+125.6+9559.29+13871.79+3126.76+1121.36+125.6+65.21</f>
        <v>664409.39</v>
      </c>
      <c r="AF117" s="90">
        <f>13766.89+1021.39+32.26+338.07+32.26+65.21+1570.16+199.43+9774.42+23666.97+348.47+21849.66+1200.94+251.21+65.21+2761.5+217.37+6500+8033.56+65.21+24219.7+1753.97+115.45+20610.66+49.88+50000+125.6+10150.64+16091.61+65.21+125.6+1447.81+203.82+2662.64+200.3+736.15+2056.13+1500+6786.11+10077.37+125.6+3950+6205.7+65.21+12512+2100+46231.2+1290.32+2100+155+158+66.67+1481.04+55299.68+10000+413.66+413.66+1311.96+251.21+413.66+413.66+227.48+2100+1865.16+28055.62+413.66+52589.76+65.23+544.73+4225.72+217.37+125.6+555.1+65.23+1865.16+2100+51924.63+327.99+133.89+335.34+1274.29+4556.14+8609.73+4500+4500+2100+1865.16+19098.17+826.56+881.78</f>
        <v>581646.56999999983</v>
      </c>
      <c r="AG117" s="33">
        <f t="shared" si="3"/>
        <v>1246055.96</v>
      </c>
    </row>
    <row r="118" spans="1:33" ht="13.5" thickBot="1" x14ac:dyDescent="0.3">
      <c r="A118" s="54" t="s">
        <v>622</v>
      </c>
      <c r="B118" s="55"/>
      <c r="C118" s="55"/>
      <c r="D118" s="55"/>
      <c r="E118" s="55"/>
      <c r="F118" s="56"/>
      <c r="G118" s="57"/>
      <c r="H118" s="74"/>
      <c r="I118" s="58"/>
      <c r="J118" s="59"/>
      <c r="K118" s="79">
        <f>SUM(K18:K117)</f>
        <v>28267649.239999998</v>
      </c>
      <c r="L118" s="60"/>
      <c r="M118" s="59"/>
      <c r="N118" s="59"/>
      <c r="O118" s="61"/>
      <c r="P118" s="58"/>
      <c r="Q118" s="61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91">
        <f>SUM(AB18:AB117)</f>
        <v>1070.48</v>
      </c>
      <c r="AC118" s="91">
        <f>SUM(AC18:AC117)</f>
        <v>0</v>
      </c>
      <c r="AD118" s="91">
        <f>SUM(AD18:AD117)</f>
        <v>28268719.719999999</v>
      </c>
      <c r="AE118" s="91">
        <f>SUM(AE18:AE117)</f>
        <v>4783123.2899999991</v>
      </c>
      <c r="AF118" s="91">
        <f>SUM(AF18:AF117)</f>
        <v>8660670.2129999977</v>
      </c>
      <c r="AG118" s="91">
        <f>SUM(AG18:AG117)</f>
        <v>13443793.502999999</v>
      </c>
    </row>
    <row r="119" spans="1:33" x14ac:dyDescent="0.25">
      <c r="A119" s="41"/>
      <c r="B119" s="41"/>
      <c r="C119" s="41"/>
      <c r="D119" s="41"/>
      <c r="E119" s="41"/>
      <c r="F119" s="67"/>
      <c r="G119" s="69"/>
      <c r="H119" s="75"/>
      <c r="I119" s="42"/>
      <c r="J119" s="43"/>
      <c r="K119" s="80"/>
      <c r="L119" s="44"/>
      <c r="M119" s="43"/>
      <c r="N119" s="43"/>
      <c r="O119" s="45"/>
      <c r="P119" s="42"/>
      <c r="Q119" s="45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80"/>
      <c r="AC119" s="80"/>
      <c r="AD119" s="80"/>
      <c r="AE119" s="80"/>
      <c r="AF119" s="80"/>
      <c r="AG119" s="92"/>
    </row>
    <row r="120" spans="1:33" s="46" customFormat="1" x14ac:dyDescent="0.25">
      <c r="A120" s="46" t="s">
        <v>618</v>
      </c>
      <c r="C120" s="47"/>
      <c r="D120" s="47"/>
      <c r="E120" s="47"/>
      <c r="G120" s="47"/>
      <c r="I120" s="47"/>
      <c r="J120" s="47"/>
      <c r="K120" s="81"/>
      <c r="L120" s="47"/>
      <c r="M120" s="47"/>
      <c r="N120" s="47"/>
      <c r="O120" s="47"/>
      <c r="P120" s="47"/>
      <c r="Q120" s="47"/>
      <c r="R120" s="47"/>
      <c r="S120" s="47"/>
      <c r="T120" s="47"/>
      <c r="U120" s="47" t="s">
        <v>157</v>
      </c>
      <c r="V120" s="47"/>
      <c r="W120" s="47"/>
      <c r="X120" s="47"/>
      <c r="Y120" s="47"/>
      <c r="Z120" s="47"/>
      <c r="AA120" s="47"/>
      <c r="AB120" s="81"/>
      <c r="AC120" s="81"/>
      <c r="AD120" s="81"/>
      <c r="AE120" s="81"/>
      <c r="AF120" s="81"/>
      <c r="AG120" s="93"/>
    </row>
    <row r="121" spans="1:33" s="46" customFormat="1" x14ac:dyDescent="0.25">
      <c r="A121" s="46" t="s">
        <v>623</v>
      </c>
      <c r="C121" s="47"/>
      <c r="D121" s="47"/>
      <c r="E121" s="47"/>
      <c r="G121" s="47"/>
      <c r="I121" s="47"/>
      <c r="J121" s="47"/>
      <c r="K121" s="81"/>
      <c r="L121" s="47"/>
      <c r="M121" s="47"/>
      <c r="N121" s="47"/>
      <c r="O121" s="47"/>
      <c r="P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81"/>
      <c r="AC121" s="81"/>
      <c r="AD121" s="81"/>
      <c r="AE121" s="81"/>
      <c r="AF121" s="81"/>
      <c r="AG121" s="93"/>
    </row>
    <row r="122" spans="1:33" s="46" customFormat="1" x14ac:dyDescent="0.25">
      <c r="A122" s="46" t="s">
        <v>624</v>
      </c>
      <c r="C122" s="47"/>
      <c r="D122" s="47"/>
      <c r="E122" s="47"/>
      <c r="G122" s="47"/>
      <c r="I122" s="47"/>
      <c r="J122" s="47"/>
      <c r="K122" s="81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81"/>
      <c r="AC122" s="81"/>
      <c r="AD122" s="81"/>
      <c r="AE122" s="81"/>
      <c r="AF122" s="81"/>
      <c r="AG122" s="93"/>
    </row>
    <row r="123" spans="1:33" x14ac:dyDescent="0.25">
      <c r="R123" s="21"/>
      <c r="AA123" s="21"/>
      <c r="AB123" s="94"/>
      <c r="AE123" s="94"/>
      <c r="AF123" s="94"/>
    </row>
    <row r="124" spans="1:33" x14ac:dyDescent="0.25">
      <c r="R124" s="21"/>
      <c r="AB124" s="94"/>
      <c r="AE124" s="94"/>
      <c r="AF124" s="94"/>
    </row>
    <row r="125" spans="1:33" x14ac:dyDescent="0.25">
      <c r="R125" s="21"/>
      <c r="AB125" s="94"/>
    </row>
    <row r="126" spans="1:33" x14ac:dyDescent="0.25">
      <c r="R126" s="21"/>
      <c r="AB126" s="94"/>
    </row>
    <row r="127" spans="1:33" x14ac:dyDescent="0.25">
      <c r="Q127" s="1" t="s">
        <v>161</v>
      </c>
      <c r="R127" s="21"/>
      <c r="AB127" s="94"/>
    </row>
    <row r="128" spans="1:33" x14ac:dyDescent="0.25">
      <c r="R128" s="21"/>
      <c r="AB128" s="94"/>
    </row>
    <row r="129" spans="18:28" x14ac:dyDescent="0.25">
      <c r="R129" s="21"/>
      <c r="AB129" s="94"/>
    </row>
    <row r="130" spans="18:28" x14ac:dyDescent="0.25">
      <c r="R130" s="21"/>
      <c r="AB130" s="94"/>
    </row>
    <row r="131" spans="18:28" x14ac:dyDescent="0.25">
      <c r="R131" s="21"/>
      <c r="AB131" s="94"/>
    </row>
    <row r="132" spans="18:28" x14ac:dyDescent="0.25">
      <c r="R132" s="21"/>
      <c r="AB132" s="94"/>
    </row>
    <row r="133" spans="18:28" x14ac:dyDescent="0.25">
      <c r="R133" s="21"/>
      <c r="AB133" s="94"/>
    </row>
    <row r="134" spans="18:28" x14ac:dyDescent="0.25">
      <c r="R134" s="21"/>
      <c r="AB134" s="94"/>
    </row>
    <row r="135" spans="18:28" x14ac:dyDescent="0.25">
      <c r="R135" s="21"/>
      <c r="AB135" s="94"/>
    </row>
    <row r="136" spans="18:28" x14ac:dyDescent="0.25">
      <c r="R136" s="21"/>
      <c r="AB136" s="94"/>
    </row>
    <row r="137" spans="18:28" x14ac:dyDescent="0.25">
      <c r="R137" s="21"/>
      <c r="AB137" s="94"/>
    </row>
    <row r="138" spans="18:28" x14ac:dyDescent="0.25">
      <c r="R138" s="21"/>
      <c r="AB138" s="94"/>
    </row>
    <row r="139" spans="18:28" x14ac:dyDescent="0.25">
      <c r="R139" s="21"/>
      <c r="AB139" s="94"/>
    </row>
    <row r="140" spans="18:28" x14ac:dyDescent="0.25">
      <c r="R140" s="21"/>
      <c r="AB140" s="94"/>
    </row>
    <row r="141" spans="18:28" x14ac:dyDescent="0.25">
      <c r="R141" s="21"/>
      <c r="AB141" s="94"/>
    </row>
    <row r="142" spans="18:28" x14ac:dyDescent="0.25">
      <c r="R142" s="21"/>
      <c r="AB142" s="94"/>
    </row>
    <row r="143" spans="18:28" x14ac:dyDescent="0.25">
      <c r="R143" s="21"/>
      <c r="AB143" s="94"/>
    </row>
    <row r="144" spans="18:28" x14ac:dyDescent="0.25">
      <c r="R144" s="21"/>
      <c r="AB144" s="94"/>
    </row>
    <row r="145" spans="9:28" x14ac:dyDescent="0.25">
      <c r="R145" s="21"/>
      <c r="AB145" s="94"/>
    </row>
    <row r="146" spans="9:28" x14ac:dyDescent="0.25">
      <c r="R146" s="21"/>
      <c r="AB146" s="94"/>
    </row>
    <row r="147" spans="9:28" x14ac:dyDescent="0.25">
      <c r="R147" s="21"/>
      <c r="AB147" s="94"/>
    </row>
    <row r="148" spans="9:28" x14ac:dyDescent="0.25">
      <c r="R148" s="21"/>
      <c r="AB148" s="94"/>
    </row>
    <row r="149" spans="9:28" x14ac:dyDescent="0.25">
      <c r="R149" s="21"/>
      <c r="AB149" s="94"/>
    </row>
    <row r="150" spans="9:28" x14ac:dyDescent="0.25">
      <c r="R150" s="21"/>
      <c r="AB150" s="94"/>
    </row>
    <row r="151" spans="9:28" x14ac:dyDescent="0.25">
      <c r="R151" s="21"/>
      <c r="AB151" s="94"/>
    </row>
    <row r="152" spans="9:28" x14ac:dyDescent="0.25">
      <c r="AB152" s="94"/>
    </row>
    <row r="153" spans="9:28" x14ac:dyDescent="0.25">
      <c r="AB153" s="94"/>
    </row>
    <row r="154" spans="9:28" x14ac:dyDescent="0.25">
      <c r="AB154" s="94"/>
    </row>
    <row r="155" spans="9:28" x14ac:dyDescent="0.25">
      <c r="AB155" s="94"/>
    </row>
    <row r="156" spans="9:28" x14ac:dyDescent="0.25">
      <c r="I156" s="1"/>
      <c r="K156" s="83"/>
      <c r="AB156" s="94"/>
    </row>
    <row r="157" spans="9:28" x14ac:dyDescent="0.25">
      <c r="I157" s="1"/>
      <c r="K157" s="83"/>
      <c r="AB157" s="94"/>
    </row>
    <row r="158" spans="9:28" x14ac:dyDescent="0.25">
      <c r="I158" s="1"/>
      <c r="K158" s="83"/>
      <c r="AB158" s="94"/>
    </row>
    <row r="159" spans="9:28" x14ac:dyDescent="0.25">
      <c r="I159" s="1"/>
      <c r="K159" s="83"/>
      <c r="AB159" s="94"/>
    </row>
    <row r="160" spans="9:28" x14ac:dyDescent="0.25">
      <c r="I160" s="1"/>
      <c r="K160" s="83"/>
      <c r="AB160" s="94"/>
    </row>
    <row r="161" spans="9:28" x14ac:dyDescent="0.25">
      <c r="I161" s="1"/>
      <c r="K161" s="83"/>
      <c r="AB161" s="94"/>
    </row>
    <row r="162" spans="9:28" x14ac:dyDescent="0.25">
      <c r="I162" s="1"/>
      <c r="K162" s="83"/>
      <c r="AB162" s="94"/>
    </row>
    <row r="163" spans="9:28" x14ac:dyDescent="0.25">
      <c r="I163" s="1"/>
      <c r="K163" s="83"/>
      <c r="AB163" s="94"/>
    </row>
    <row r="164" spans="9:28" x14ac:dyDescent="0.25">
      <c r="I164" s="1"/>
      <c r="K164" s="83"/>
      <c r="AB164" s="94"/>
    </row>
    <row r="165" spans="9:28" x14ac:dyDescent="0.25">
      <c r="I165" s="1"/>
      <c r="K165" s="83"/>
      <c r="AB165" s="94"/>
    </row>
    <row r="166" spans="9:28" x14ac:dyDescent="0.25">
      <c r="I166" s="1"/>
      <c r="K166" s="83"/>
      <c r="AB166" s="94"/>
    </row>
    <row r="167" spans="9:28" x14ac:dyDescent="0.25">
      <c r="I167" s="1"/>
      <c r="K167" s="83"/>
      <c r="AB167" s="94"/>
    </row>
    <row r="168" spans="9:28" x14ac:dyDescent="0.25">
      <c r="I168" s="1"/>
      <c r="K168" s="83"/>
      <c r="AB168" s="94"/>
    </row>
    <row r="169" spans="9:28" x14ac:dyDescent="0.25">
      <c r="I169" s="1"/>
      <c r="K169" s="83"/>
      <c r="AB169" s="94"/>
    </row>
    <row r="170" spans="9:28" x14ac:dyDescent="0.25">
      <c r="I170" s="1"/>
      <c r="K170" s="83"/>
      <c r="AB170" s="94"/>
    </row>
    <row r="171" spans="9:28" x14ac:dyDescent="0.25">
      <c r="I171" s="1"/>
      <c r="K171" s="83"/>
      <c r="AB171" s="94"/>
    </row>
  </sheetData>
  <mergeCells count="7">
    <mergeCell ref="A14:A17"/>
    <mergeCell ref="B14:F15"/>
    <mergeCell ref="G14:AF14"/>
    <mergeCell ref="G15:S15"/>
    <mergeCell ref="T15:AC15"/>
    <mergeCell ref="AD15:AF15"/>
    <mergeCell ref="A118:F118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LICITAÇÕES OUT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2022-08-04T19:02:49Z</cp:lastPrinted>
  <dcterms:created xsi:type="dcterms:W3CDTF">2013-10-11T22:10:57Z</dcterms:created>
  <dcterms:modified xsi:type="dcterms:W3CDTF">2023-03-01T16:41:39Z</dcterms:modified>
</cp:coreProperties>
</file>