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02"/>
  </bookViews>
  <sheets>
    <sheet name="SASDH LICITAÇÕES MAI 2024" sheetId="1" r:id="rId1"/>
  </sheets>
  <definedNames>
    <definedName name="_xlnm._FilterDatabase" localSheetId="0" hidden="1">'SASDH LICITAÇÕES MAI 2024'!$A$14:$AG$22</definedName>
    <definedName name="OLE_LINK1" localSheetId="0">'SASDH LICITAÇÕES MAI 2024'!#REF!</definedName>
  </definedNames>
  <calcPr calcId="162913"/>
</workbook>
</file>

<file path=xl/calcChain.xml><?xml version="1.0" encoding="utf-8"?>
<calcChain xmlns="http://schemas.openxmlformats.org/spreadsheetml/2006/main">
  <c r="AD19" i="1" l="1"/>
  <c r="AG169" i="1"/>
  <c r="AF169" i="1"/>
  <c r="AE169" i="1"/>
  <c r="AD169" i="1"/>
  <c r="AC169" i="1"/>
  <c r="AB169" i="1"/>
  <c r="R169" i="1"/>
  <c r="Q169" i="1"/>
  <c r="K169" i="1"/>
  <c r="AD20" i="1" l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F122" i="1"/>
  <c r="AF168" i="1"/>
  <c r="AF117" i="1"/>
  <c r="AF165" i="1"/>
  <c r="AF32" i="1"/>
  <c r="AF156" i="1"/>
  <c r="AG156" i="1" l="1"/>
  <c r="AF57" i="1"/>
  <c r="AF68" i="1"/>
  <c r="AF166" i="1"/>
  <c r="AG166" i="1"/>
  <c r="AG84" i="1"/>
  <c r="AG153" i="1"/>
  <c r="AG154" i="1"/>
  <c r="AG160" i="1"/>
  <c r="AG161" i="1"/>
  <c r="AG163" i="1"/>
  <c r="AG167" i="1"/>
  <c r="AF20" i="1"/>
  <c r="AF55" i="1"/>
  <c r="AF52" i="1"/>
  <c r="AF31" i="1"/>
  <c r="AF110" i="1"/>
  <c r="AF140" i="1"/>
  <c r="AF141" i="1"/>
  <c r="AF118" i="1"/>
  <c r="AF108" i="1"/>
  <c r="AF155" i="1"/>
  <c r="AG155" i="1" s="1"/>
  <c r="AF136" i="1"/>
  <c r="AF148" i="1"/>
  <c r="AF120" i="1"/>
  <c r="AF42" i="1"/>
  <c r="AF138" i="1"/>
  <c r="AF114" i="1"/>
  <c r="AF85" i="1"/>
  <c r="AF119" i="1"/>
  <c r="AF94" i="1"/>
  <c r="AF152" i="1"/>
  <c r="AF131" i="1"/>
  <c r="AF35" i="1"/>
  <c r="AF28" i="1"/>
  <c r="AF43" i="1"/>
  <c r="AF39" i="1"/>
  <c r="AF95" i="1"/>
  <c r="AF61" i="1"/>
  <c r="AF96" i="1"/>
  <c r="AF98" i="1"/>
  <c r="AF111" i="1"/>
  <c r="AF103" i="1"/>
  <c r="AF134" i="1"/>
  <c r="AF142" i="1"/>
  <c r="AF132" i="1"/>
  <c r="AF115" i="1"/>
  <c r="AG115" i="1" s="1"/>
  <c r="AF109" i="1"/>
  <c r="AF26" i="1"/>
  <c r="AF27" i="1"/>
  <c r="AF53" i="1"/>
  <c r="AF37" i="1"/>
  <c r="AF45" i="1"/>
  <c r="AF145" i="1"/>
  <c r="AF50" i="1"/>
  <c r="AF23" i="1"/>
  <c r="AF46" i="1"/>
  <c r="AF36" i="1"/>
  <c r="AF38" i="1"/>
  <c r="AF105" i="1"/>
  <c r="AF133" i="1"/>
  <c r="AF33" i="1"/>
  <c r="AF137" i="1"/>
  <c r="AF161" i="1"/>
  <c r="AF97" i="1"/>
  <c r="AG97" i="1" s="1"/>
  <c r="AF74" i="1"/>
  <c r="AF93" i="1"/>
  <c r="AF158" i="1"/>
  <c r="AG158" i="1" s="1"/>
  <c r="AF47" i="1"/>
  <c r="AF164" i="1"/>
  <c r="AG164" i="1" s="1"/>
  <c r="AF162" i="1"/>
  <c r="AG162" i="1" s="1"/>
  <c r="AF90" i="1"/>
  <c r="AG165" i="1"/>
  <c r="AF113" i="1"/>
  <c r="AF150" i="1"/>
  <c r="AG150" i="1" s="1"/>
  <c r="AF106" i="1"/>
  <c r="AF107" i="1"/>
  <c r="AF130" i="1"/>
  <c r="AF41" i="1"/>
  <c r="AG41" i="1" s="1"/>
  <c r="AF139" i="1"/>
  <c r="AE36" i="1"/>
  <c r="AF159" i="1"/>
  <c r="AG159" i="1" s="1"/>
  <c r="AF143" i="1"/>
  <c r="AG143" i="1" s="1"/>
  <c r="AF78" i="1"/>
  <c r="AG78" i="1" s="1"/>
  <c r="AF19" i="1"/>
  <c r="AF149" i="1"/>
  <c r="AG149" i="1" s="1"/>
  <c r="AG24" i="1"/>
  <c r="AG25" i="1"/>
  <c r="AG34" i="1"/>
  <c r="AG51" i="1"/>
  <c r="AG127" i="1"/>
  <c r="AE20" i="1"/>
  <c r="AE31" i="1"/>
  <c r="AE168" i="1"/>
  <c r="AE157" i="1"/>
  <c r="AG157" i="1" s="1"/>
  <c r="AE154" i="1"/>
  <c r="AE152" i="1"/>
  <c r="AE151" i="1"/>
  <c r="AG151" i="1" s="1"/>
  <c r="AE148" i="1"/>
  <c r="AE147" i="1"/>
  <c r="AG147" i="1" s="1"/>
  <c r="AE146" i="1"/>
  <c r="AG146" i="1" s="1"/>
  <c r="AE145" i="1"/>
  <c r="AE144" i="1"/>
  <c r="AG144" i="1" s="1"/>
  <c r="AE142" i="1"/>
  <c r="AE141" i="1"/>
  <c r="AE140" i="1"/>
  <c r="AE139" i="1"/>
  <c r="AE138" i="1"/>
  <c r="AE137" i="1"/>
  <c r="AE136" i="1"/>
  <c r="AE135" i="1"/>
  <c r="AG135" i="1" s="1"/>
  <c r="AE134" i="1"/>
  <c r="AE133" i="1"/>
  <c r="AE132" i="1"/>
  <c r="AE131" i="1"/>
  <c r="AE130" i="1"/>
  <c r="AE129" i="1"/>
  <c r="AG129" i="1" s="1"/>
  <c r="AE128" i="1"/>
  <c r="AG128" i="1" s="1"/>
  <c r="AE126" i="1"/>
  <c r="AG126" i="1" s="1"/>
  <c r="AE125" i="1"/>
  <c r="AG125" i="1" s="1"/>
  <c r="AE124" i="1"/>
  <c r="AG124" i="1" s="1"/>
  <c r="AE123" i="1"/>
  <c r="AG123" i="1" s="1"/>
  <c r="AE122" i="1"/>
  <c r="AE121" i="1"/>
  <c r="AG121" i="1" s="1"/>
  <c r="AE120" i="1"/>
  <c r="AE119" i="1"/>
  <c r="AE118" i="1"/>
  <c r="AE117" i="1"/>
  <c r="AE116" i="1"/>
  <c r="AG116" i="1" s="1"/>
  <c r="AE114" i="1"/>
  <c r="AE113" i="1"/>
  <c r="AE112" i="1"/>
  <c r="AG112" i="1" s="1"/>
  <c r="AE111" i="1"/>
  <c r="AE110" i="1"/>
  <c r="AE109" i="1"/>
  <c r="AE108" i="1"/>
  <c r="AE107" i="1"/>
  <c r="AE106" i="1"/>
  <c r="AE105" i="1"/>
  <c r="AE104" i="1"/>
  <c r="AG104" i="1" s="1"/>
  <c r="AE103" i="1"/>
  <c r="AE102" i="1"/>
  <c r="AG102" i="1" s="1"/>
  <c r="AE101" i="1"/>
  <c r="AG101" i="1" s="1"/>
  <c r="AE100" i="1"/>
  <c r="AG100" i="1" s="1"/>
  <c r="AE99" i="1"/>
  <c r="AG99" i="1" s="1"/>
  <c r="AE98" i="1"/>
  <c r="AE96" i="1"/>
  <c r="AE95" i="1"/>
  <c r="AE94" i="1"/>
  <c r="AE93" i="1"/>
  <c r="AE92" i="1"/>
  <c r="AG92" i="1" s="1"/>
  <c r="AE91" i="1"/>
  <c r="AG91" i="1" s="1"/>
  <c r="AE90" i="1"/>
  <c r="AE89" i="1"/>
  <c r="AG89" i="1" s="1"/>
  <c r="AE88" i="1"/>
  <c r="AG88" i="1" s="1"/>
  <c r="AE87" i="1"/>
  <c r="AG87" i="1" s="1"/>
  <c r="AE86" i="1"/>
  <c r="AG86" i="1" s="1"/>
  <c r="AE85" i="1"/>
  <c r="AE83" i="1"/>
  <c r="AG83" i="1" s="1"/>
  <c r="AE82" i="1"/>
  <c r="AG82" i="1" s="1"/>
  <c r="AE81" i="1"/>
  <c r="AG81" i="1" s="1"/>
  <c r="AE80" i="1"/>
  <c r="AG80" i="1" s="1"/>
  <c r="AE79" i="1"/>
  <c r="AG79" i="1" s="1"/>
  <c r="AE77" i="1"/>
  <c r="AG77" i="1" s="1"/>
  <c r="AE76" i="1"/>
  <c r="AG76" i="1" s="1"/>
  <c r="AE75" i="1"/>
  <c r="AG75" i="1" s="1"/>
  <c r="AE74" i="1"/>
  <c r="AE73" i="1"/>
  <c r="AG73" i="1" s="1"/>
  <c r="AE72" i="1"/>
  <c r="AG72" i="1" s="1"/>
  <c r="AE71" i="1"/>
  <c r="AG71" i="1" s="1"/>
  <c r="AE70" i="1"/>
  <c r="AG70" i="1" s="1"/>
  <c r="AE69" i="1"/>
  <c r="AG69" i="1" s="1"/>
  <c r="AE68" i="1"/>
  <c r="AE67" i="1"/>
  <c r="AG67" i="1" s="1"/>
  <c r="AE66" i="1"/>
  <c r="AG66" i="1" s="1"/>
  <c r="AE65" i="1"/>
  <c r="AG65" i="1" s="1"/>
  <c r="AE64" i="1"/>
  <c r="AG64" i="1" s="1"/>
  <c r="AE63" i="1"/>
  <c r="AG63" i="1" s="1"/>
  <c r="AE62" i="1"/>
  <c r="AG62" i="1" s="1"/>
  <c r="AE61" i="1"/>
  <c r="AE60" i="1"/>
  <c r="AG60" i="1" s="1"/>
  <c r="AE59" i="1"/>
  <c r="AG59" i="1" s="1"/>
  <c r="AE58" i="1"/>
  <c r="AG58" i="1" s="1"/>
  <c r="AE57" i="1"/>
  <c r="AE56" i="1"/>
  <c r="AG56" i="1" s="1"/>
  <c r="AE55" i="1"/>
  <c r="AE54" i="1"/>
  <c r="AG54" i="1" s="1"/>
  <c r="AE53" i="1"/>
  <c r="AE52" i="1"/>
  <c r="AE50" i="1"/>
  <c r="AE49" i="1"/>
  <c r="AG49" i="1" s="1"/>
  <c r="AE48" i="1"/>
  <c r="AG48" i="1" s="1"/>
  <c r="AE47" i="1"/>
  <c r="AE46" i="1"/>
  <c r="AE45" i="1"/>
  <c r="AE44" i="1"/>
  <c r="AG44" i="1" s="1"/>
  <c r="AE43" i="1"/>
  <c r="AE42" i="1"/>
  <c r="AE40" i="1"/>
  <c r="AG40" i="1" s="1"/>
  <c r="AE39" i="1"/>
  <c r="AE38" i="1"/>
  <c r="AE37" i="1"/>
  <c r="AE35" i="1"/>
  <c r="AE33" i="1"/>
  <c r="AE32" i="1"/>
  <c r="AE30" i="1"/>
  <c r="AG30" i="1" s="1"/>
  <c r="AE29" i="1"/>
  <c r="AG29" i="1" s="1"/>
  <c r="AE28" i="1"/>
  <c r="AE27" i="1"/>
  <c r="AE26" i="1"/>
  <c r="AE23" i="1"/>
  <c r="AE22" i="1"/>
  <c r="AG22" i="1" s="1"/>
  <c r="AE21" i="1"/>
  <c r="AG21" i="1" s="1"/>
  <c r="AG131" i="1" l="1"/>
  <c r="AG148" i="1"/>
  <c r="AG140" i="1"/>
  <c r="AG168" i="1"/>
  <c r="AG136" i="1"/>
  <c r="AG110" i="1"/>
  <c r="AG134" i="1"/>
  <c r="AG142" i="1"/>
  <c r="AG105" i="1"/>
  <c r="AG137" i="1"/>
  <c r="AG133" i="1"/>
  <c r="AG111" i="1"/>
  <c r="AG33" i="1"/>
  <c r="AG145" i="1"/>
  <c r="AG93" i="1"/>
  <c r="AG96" i="1"/>
  <c r="AG90" i="1"/>
  <c r="AG108" i="1"/>
  <c r="AG74" i="1"/>
  <c r="AG98" i="1"/>
  <c r="AG113" i="1"/>
  <c r="AG103" i="1"/>
  <c r="AG85" i="1"/>
  <c r="AG106" i="1"/>
  <c r="AG43" i="1"/>
  <c r="AG39" i="1"/>
  <c r="AG107" i="1"/>
  <c r="AG119" i="1"/>
  <c r="AG130" i="1"/>
  <c r="AG68" i="1"/>
  <c r="AG152" i="1"/>
  <c r="AG118" i="1"/>
  <c r="AG120" i="1"/>
  <c r="AG94" i="1"/>
  <c r="AG47" i="1"/>
  <c r="AG35" i="1"/>
  <c r="AG139" i="1"/>
  <c r="AG132" i="1"/>
  <c r="AG57" i="1"/>
  <c r="AG37" i="1"/>
  <c r="AG95" i="1"/>
  <c r="AG28" i="1"/>
  <c r="AG109" i="1"/>
  <c r="AG31" i="1"/>
  <c r="AG61" i="1"/>
  <c r="AG42" i="1"/>
  <c r="AG50" i="1"/>
  <c r="AG36" i="1"/>
  <c r="AG26" i="1"/>
  <c r="AG32" i="1"/>
  <c r="AG122" i="1"/>
  <c r="AG114" i="1"/>
  <c r="AG53" i="1"/>
  <c r="AG27" i="1"/>
  <c r="AG138" i="1"/>
  <c r="AG52" i="1"/>
  <c r="AG55" i="1"/>
  <c r="AG46" i="1"/>
  <c r="AG45" i="1"/>
  <c r="AG23" i="1"/>
  <c r="AG117" i="1"/>
  <c r="AG38" i="1"/>
  <c r="AG141" i="1"/>
  <c r="AG19" i="1" l="1"/>
  <c r="AG20" i="1" l="1"/>
</calcChain>
</file>

<file path=xl/sharedStrings.xml><?xml version="1.0" encoding="utf-8"?>
<sst xmlns="http://schemas.openxmlformats.org/spreadsheetml/2006/main" count="2775" uniqueCount="840">
  <si>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</si>
  <si>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</si>
  <si>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</si>
  <si>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</si>
  <si>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</si>
  <si>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</si>
  <si>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</si>
  <si>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</si>
  <si>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</si>
  <si>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</si>
  <si>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</si>
  <si>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</si>
  <si>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</si>
  <si>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</si>
  <si>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</si>
  <si>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</si>
  <si>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</si>
  <si>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</si>
  <si>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</si>
  <si>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</si>
  <si>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</si>
  <si>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</si>
  <si>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</si>
  <si>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</si>
  <si>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</si>
  <si>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</si>
  <si>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</si>
  <si>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</si>
  <si>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</si>
  <si>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</si>
  <si>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</si>
  <si>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</si>
  <si>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</si>
  <si>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</si>
  <si>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</si>
  <si>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</si>
  <si>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</si>
  <si>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</si>
  <si>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</si>
  <si>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</si>
  <si>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</si>
  <si>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</si>
  <si>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</si>
  <si>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</si>
  <si>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</si>
  <si>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</si>
  <si>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</si>
  <si>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</si>
  <si>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</si>
  <si>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>Especificações de Termo Aditivo</t>
  </si>
  <si>
    <t xml:space="preserve">Execução Financeira </t>
  </si>
  <si>
    <t>Seq</t>
  </si>
  <si>
    <t>Parte Concedente</t>
  </si>
  <si>
    <t>Contrapartida</t>
  </si>
  <si>
    <t>(t )</t>
  </si>
  <si>
    <t>(ab)</t>
  </si>
  <si>
    <t xml:space="preserve">(ad) </t>
  </si>
  <si>
    <t>(ae) = (k) - (ad) + (ac)</t>
  </si>
  <si>
    <t>RESOLUÇÃO Nº 87, DE 28 DE NOVEMBRO DE 2013 - TRIBUNAL DE CONTAS DO ESTADO DO ACRE</t>
  </si>
  <si>
    <t>SRP</t>
  </si>
  <si>
    <t>M.P</t>
  </si>
  <si>
    <t>3.3.90.39.00</t>
  </si>
  <si>
    <t>PRAZO</t>
  </si>
  <si>
    <t>MP</t>
  </si>
  <si>
    <t>05.608.779/0001-46</t>
  </si>
  <si>
    <t>DISPENSA</t>
  </si>
  <si>
    <t>14.294.326/0001-83</t>
  </si>
  <si>
    <t>Locação de imóvel - CRAS NOVA ESTAÇÃO</t>
  </si>
  <si>
    <t>IMOBILIÁRIA FORTALEZA</t>
  </si>
  <si>
    <t>Locação de imóvel - estacionamento</t>
  </si>
  <si>
    <t>OLMIRO BRUNORO</t>
  </si>
  <si>
    <t>157.178.109-97</t>
  </si>
  <si>
    <t>111/2015</t>
  </si>
  <si>
    <t>Processo nº 015/2015</t>
  </si>
  <si>
    <t>PROCESSO Nº 006/2017</t>
  </si>
  <si>
    <t>DISPENSA DEC LICITAÇÃO</t>
  </si>
  <si>
    <t>LOCAÇÃO DE IMOVEL</t>
  </si>
  <si>
    <t>022/2017</t>
  </si>
  <si>
    <t>IMOBILIARIA FORTALEZA</t>
  </si>
  <si>
    <t>14.924.326/0001-83</t>
  </si>
  <si>
    <t>33.90.39.00</t>
  </si>
  <si>
    <t>33.90.36.00</t>
  </si>
  <si>
    <t>02.373.341/0001-38</t>
  </si>
  <si>
    <t>3.3.90.36.00</t>
  </si>
  <si>
    <t>LOCAÇÃO DE VEICULO</t>
  </si>
  <si>
    <t>TERCERIZADOS</t>
  </si>
  <si>
    <t>046/2018</t>
  </si>
  <si>
    <t>03.082.817/0001-44</t>
  </si>
  <si>
    <t>PREGÃO Nº061/2018</t>
  </si>
  <si>
    <t>KRONOS PROJETOS E SERVIÇOS</t>
  </si>
  <si>
    <t>PROCESSO Nº105/2018</t>
  </si>
  <si>
    <t>17.337.136/0001-94</t>
  </si>
  <si>
    <t>3.3.90.33.00</t>
  </si>
  <si>
    <t>-</t>
  </si>
  <si>
    <t>077/2019</t>
  </si>
  <si>
    <t>TEC NEWS/SERVENTES SASDH</t>
  </si>
  <si>
    <t>082/2019</t>
  </si>
  <si>
    <t>61.600.839/0001-55</t>
  </si>
  <si>
    <t>PROCESSO Nº 017/2019</t>
  </si>
  <si>
    <t xml:space="preserve">SERVIÇOS DE LIMPEZA E CONSERVAÇÃO   </t>
  </si>
  <si>
    <t>3.3.90.30.00</t>
  </si>
  <si>
    <t xml:space="preserve">SERVIÇOS DE RECRUTAMENTO E SELEÇÃO DE ESTUDANTES PARA ESTAGIOS REMUNERADOS </t>
  </si>
  <si>
    <t>TEC NEWS EIRELI - EPP</t>
  </si>
  <si>
    <t xml:space="preserve">MAIA E PIMENTEL </t>
  </si>
  <si>
    <t>083/2019</t>
  </si>
  <si>
    <t>11.661.499/0001-02</t>
  </si>
  <si>
    <t>PROCESSO Nº 034/2019</t>
  </si>
  <si>
    <t>PREGÃO N° 064/2018</t>
  </si>
  <si>
    <t>PREGÃO N°427/2018</t>
  </si>
  <si>
    <t>114/2019</t>
  </si>
  <si>
    <t>05.608.779/0001-47</t>
  </si>
  <si>
    <t>PROCESSO Nº 033/2019</t>
  </si>
  <si>
    <t>PREGÃO Nº 428/2018</t>
  </si>
  <si>
    <t>101  e 117</t>
  </si>
  <si>
    <t>C R M REPRESENTAÇOES E SERVIÇOS LTDA - EPP</t>
  </si>
  <si>
    <t>136/2019</t>
  </si>
  <si>
    <t>TERCERIZADOS/SERVENTES DE LIMPEZA</t>
  </si>
  <si>
    <t>DISPENSA DE LICITAÇÃO</t>
  </si>
  <si>
    <t>PROCESSO Nº 016/2019/SASDH</t>
  </si>
  <si>
    <t>PREGÃO Nº 094/2018</t>
  </si>
  <si>
    <t>84.324.748/0001-30</t>
  </si>
  <si>
    <t>001/2017</t>
  </si>
  <si>
    <t>044/2020</t>
  </si>
  <si>
    <t>045/2020</t>
  </si>
  <si>
    <t>PROCESSO Nº 305/2019</t>
  </si>
  <si>
    <t>CHAMAMENTO PÚBLICO PARA CREDENCIAMENTO Nº 002/2020CEL/PMRB</t>
  </si>
  <si>
    <t>101 e 117</t>
  </si>
  <si>
    <t xml:space="preserve">                                                                                                </t>
  </si>
  <si>
    <t>053/2020</t>
  </si>
  <si>
    <t>055/2020</t>
  </si>
  <si>
    <t xml:space="preserve">ISAO </t>
  </si>
  <si>
    <t>054/2020</t>
  </si>
  <si>
    <t>EFFORTE</t>
  </si>
  <si>
    <t xml:space="preserve">W. L OLIVEIRA </t>
  </si>
  <si>
    <t>091/2020</t>
  </si>
  <si>
    <t xml:space="preserve">PINTO &amp; CIA </t>
  </si>
  <si>
    <t>17.189.998/0001/17</t>
  </si>
  <si>
    <t>07.909.967/0001-30</t>
  </si>
  <si>
    <t>14.009.721/000177</t>
  </si>
  <si>
    <t>101, 117 e 126</t>
  </si>
  <si>
    <t>3.3.90..39.00</t>
  </si>
  <si>
    <t xml:space="preserve">PRAZO </t>
  </si>
  <si>
    <t>PROCESSO N° 358/2019</t>
  </si>
  <si>
    <t>PREGÃO N° 016/2020</t>
  </si>
  <si>
    <t>PREGÃO N°016/2020</t>
  </si>
  <si>
    <t>PREGÃO N° 005/2020</t>
  </si>
  <si>
    <t>PROCESSO N°  327/2019</t>
  </si>
  <si>
    <t xml:space="preserve">OUTRAS DESPESAS( CONTRATOS TEMPORARIOS, DEPASA, CONVENIOS, TAXAS, DIÁRIAS,IPTU, AUXILIO MORADIA. </t>
  </si>
  <si>
    <t>012/2021</t>
  </si>
  <si>
    <t>PROCESSO N°  358/2019</t>
  </si>
  <si>
    <t>DEMONSTRATIVO DE LICITAÇÕES, CONTRATOS  E OBRAS CONTRATADAS</t>
  </si>
  <si>
    <t xml:space="preserve">PRAZO/REAJUSTE </t>
  </si>
  <si>
    <t xml:space="preserve">Total Acumulado </t>
  </si>
  <si>
    <t>(am)</t>
  </si>
  <si>
    <t>(an)</t>
  </si>
  <si>
    <t>(ao) = (am) + (an)</t>
  </si>
  <si>
    <t xml:space="preserve">PREGÃO N° </t>
  </si>
  <si>
    <t>IEL</t>
  </si>
  <si>
    <t>OMEGACAR</t>
  </si>
  <si>
    <t>08.859.610/0001-57</t>
  </si>
  <si>
    <t>026/2021</t>
  </si>
  <si>
    <t>CIEE</t>
  </si>
  <si>
    <t>PROCESSO N°  305/2019</t>
  </si>
  <si>
    <t>PROGRAMA DE ESTAGIARIOS</t>
  </si>
  <si>
    <t>.2</t>
  </si>
  <si>
    <t>.3</t>
  </si>
  <si>
    <t>.5</t>
  </si>
  <si>
    <t>.8</t>
  </si>
  <si>
    <t>.9</t>
  </si>
  <si>
    <t>.10</t>
  </si>
  <si>
    <t>.11</t>
  </si>
  <si>
    <t>.14</t>
  </si>
  <si>
    <t>.15</t>
  </si>
  <si>
    <t>.16</t>
  </si>
  <si>
    <t>.17</t>
  </si>
  <si>
    <t>.19</t>
  </si>
  <si>
    <t>.20</t>
  </si>
  <si>
    <t>.21</t>
  </si>
  <si>
    <t>.22</t>
  </si>
  <si>
    <t>.25</t>
  </si>
  <si>
    <t>.26</t>
  </si>
  <si>
    <t>.36</t>
  </si>
  <si>
    <t>.41</t>
  </si>
  <si>
    <t>.44</t>
  </si>
  <si>
    <t>.45</t>
  </si>
  <si>
    <t>.48</t>
  </si>
  <si>
    <t>.51</t>
  </si>
  <si>
    <t>01.353.640/0001-48</t>
  </si>
  <si>
    <t>17.337.136/0001-95</t>
  </si>
  <si>
    <t>PROCESSO N° 327/2019</t>
  </si>
  <si>
    <t>092/2020</t>
  </si>
  <si>
    <t>IF LOCAÇÕES DE IMOVEIS - EIRELI</t>
  </si>
  <si>
    <t>34.625.024/0001-58</t>
  </si>
  <si>
    <t>PROCESSO N°  025/2017</t>
  </si>
  <si>
    <t>PREGÃO Nº 016/2020</t>
  </si>
  <si>
    <t>PROCESSO Nº 358/2019</t>
  </si>
  <si>
    <t>05/07/218</t>
  </si>
  <si>
    <t>100/2021</t>
  </si>
  <si>
    <t>PREGÃO N° 151/2019</t>
  </si>
  <si>
    <t>PROCESSO N°  035/2020</t>
  </si>
  <si>
    <t>14.009.721/000178</t>
  </si>
  <si>
    <t>031/2021</t>
  </si>
  <si>
    <t>NORTE - CENTRO DE DISTRIBUIÇÃO DE MERCADORIAS EM GERAL LTDA</t>
  </si>
  <si>
    <t>21.813.150/0001-94</t>
  </si>
  <si>
    <t>PREGÃO N° 009/2020</t>
  </si>
  <si>
    <t>PROCESSO N°  027/2021</t>
  </si>
  <si>
    <t>19.354.136/0001-28</t>
  </si>
  <si>
    <t>AUGUSTO S. DE ARAUJO - EIRELI</t>
  </si>
  <si>
    <t>05.511.061/0001-37</t>
  </si>
  <si>
    <t>019/2021</t>
  </si>
  <si>
    <t>04.361.899/0001-29</t>
  </si>
  <si>
    <t xml:space="preserve">I9 SOLUCOES </t>
  </si>
  <si>
    <t>PROCESSO N°  135/2020</t>
  </si>
  <si>
    <t>PREGÃO N°026/2020</t>
  </si>
  <si>
    <t>041/2021</t>
  </si>
  <si>
    <t xml:space="preserve">SIRLEIDA OLIVEIRA DA CUNHA </t>
  </si>
  <si>
    <t>PROCESSO N°  057/2021</t>
  </si>
  <si>
    <t>F. P. MENEGASSI</t>
  </si>
  <si>
    <t>PROCESSO N°  159/2021</t>
  </si>
  <si>
    <t>PREGÃO N° 042/2021</t>
  </si>
  <si>
    <t>058/2020</t>
  </si>
  <si>
    <t>W. O. PEREIRA</t>
  </si>
  <si>
    <t>18.765.432/0001-59</t>
  </si>
  <si>
    <t>217.401.782-20</t>
  </si>
  <si>
    <t>027/2021</t>
  </si>
  <si>
    <t>W. L. OLIVEIRA</t>
  </si>
  <si>
    <t>PROCESSO N°  081/2021</t>
  </si>
  <si>
    <t>TERCEIRIZADOS</t>
  </si>
  <si>
    <t>043/2021</t>
  </si>
  <si>
    <t>MASTER SERVIÇOS EIRELI - EPP</t>
  </si>
  <si>
    <t>20.276.206/0001-56</t>
  </si>
  <si>
    <t>BETANIA</t>
  </si>
  <si>
    <t>G. R. DA ROSA</t>
  </si>
  <si>
    <t>LOCAÇÃO DE IMÓVEL</t>
  </si>
  <si>
    <t>FORNECEDOR</t>
  </si>
  <si>
    <t>047/2021</t>
  </si>
  <si>
    <t>164.432.762-72</t>
  </si>
  <si>
    <t>PRAZO / REAJUSTE</t>
  </si>
  <si>
    <t>REAJUSTE</t>
  </si>
  <si>
    <t>PROCESSO Nº 062/2021</t>
  </si>
  <si>
    <t>035/2021</t>
  </si>
  <si>
    <t xml:space="preserve">PREGÃO Nº 012/2021 </t>
  </si>
  <si>
    <t>PROCESSO Nº 040/2021</t>
  </si>
  <si>
    <t>09.179.593/0001-70</t>
  </si>
  <si>
    <t xml:space="preserve">PRESTADORA DE SERVIÇOS </t>
  </si>
  <si>
    <t>046/2021</t>
  </si>
  <si>
    <t>PREGÃO Nº 029/2020</t>
  </si>
  <si>
    <t>PROCESSO Nº 076/2021</t>
  </si>
  <si>
    <t>ACRE FRIO  AR-CONDICIONADO LTDA</t>
  </si>
  <si>
    <t>10.889.815/0001-27</t>
  </si>
  <si>
    <t>101, 106 e 117</t>
  </si>
  <si>
    <t>3.3.90.39.00 3.3.90.30.00</t>
  </si>
  <si>
    <t>005/2021</t>
  </si>
  <si>
    <t xml:space="preserve">O presente contrato tem como objetivo atender as demandas das Unidades Administrativas da Secretaria Municipal de Assistência Social e Direitos Humanos </t>
  </si>
  <si>
    <t>101 e 106</t>
  </si>
  <si>
    <t>4.4.90.52.00</t>
  </si>
  <si>
    <t>.1</t>
  </si>
  <si>
    <t>.4</t>
  </si>
  <si>
    <t>.7</t>
  </si>
  <si>
    <t>.12</t>
  </si>
  <si>
    <t>.13</t>
  </si>
  <si>
    <t>.18</t>
  </si>
  <si>
    <t>.23</t>
  </si>
  <si>
    <t>.24</t>
  </si>
  <si>
    <t>.27</t>
  </si>
  <si>
    <t>.28</t>
  </si>
  <si>
    <t>.37</t>
  </si>
  <si>
    <t>.38</t>
  </si>
  <si>
    <t>.39</t>
  </si>
  <si>
    <t>.40</t>
  </si>
  <si>
    <t>.43</t>
  </si>
  <si>
    <t>.46</t>
  </si>
  <si>
    <t>.47</t>
  </si>
  <si>
    <t>.52</t>
  </si>
  <si>
    <t>.53</t>
  </si>
  <si>
    <t>MVP ELETRODOMESTICO E EQUIPAMENTOS EIRELI</t>
  </si>
  <si>
    <t>28.472.036/0001-97</t>
  </si>
  <si>
    <t>.54</t>
  </si>
  <si>
    <t>PROCESSO N º 103/2021</t>
  </si>
  <si>
    <t>.56</t>
  </si>
  <si>
    <t xml:space="preserve">I. PASTOR DE SOUZA </t>
  </si>
  <si>
    <t>34.710.145/0001-06</t>
  </si>
  <si>
    <t>PROCESSO N º 0238/2021</t>
  </si>
  <si>
    <t>.57</t>
  </si>
  <si>
    <t xml:space="preserve">PRIME CONSULTORIA </t>
  </si>
  <si>
    <t>05.340.639/0001-30</t>
  </si>
  <si>
    <t>PREGÃO Nº  001/2020</t>
  </si>
  <si>
    <t>PROCESSO N º 112/2021</t>
  </si>
  <si>
    <t>.58</t>
  </si>
  <si>
    <t>PROCESSO N º 165/2021</t>
  </si>
  <si>
    <t>.59</t>
  </si>
  <si>
    <t>DISBRAS COMERCIO EIRELI</t>
  </si>
  <si>
    <t>100/2020</t>
  </si>
  <si>
    <t>.60</t>
  </si>
  <si>
    <t>063/2021</t>
  </si>
  <si>
    <t>3.3.90.39.01</t>
  </si>
  <si>
    <t>AMAZONSERV LTDA</t>
  </si>
  <si>
    <t>.61</t>
  </si>
  <si>
    <t>088/2020</t>
  </si>
  <si>
    <t>SISTEL</t>
  </si>
  <si>
    <t>PROCESSO N º 042/2020</t>
  </si>
  <si>
    <t>PREGÃO Nº  199.2019</t>
  </si>
  <si>
    <t>01.221.116/0001-13</t>
  </si>
  <si>
    <t>3.3.90.30.00 3.3.90.39.00</t>
  </si>
  <si>
    <t>.62</t>
  </si>
  <si>
    <t>049/2020</t>
  </si>
  <si>
    <t>.63</t>
  </si>
  <si>
    <t>.64</t>
  </si>
  <si>
    <t>.65</t>
  </si>
  <si>
    <t>054/2022</t>
  </si>
  <si>
    <t>PREGÃO Nº  002/2022</t>
  </si>
  <si>
    <t>PROCESSO N º 254/2021</t>
  </si>
  <si>
    <t>20.384.086,0001-00</t>
  </si>
  <si>
    <t>.66</t>
  </si>
  <si>
    <t>037/2022</t>
  </si>
  <si>
    <t>S. L. DE CASTRO - EIRELI</t>
  </si>
  <si>
    <t>PROCESSO N º 168/2021</t>
  </si>
  <si>
    <t>PREGÃO Nº 042/2021</t>
  </si>
  <si>
    <t>08.629.283/0001-47</t>
  </si>
  <si>
    <t>.67</t>
  </si>
  <si>
    <t xml:space="preserve">A. A. C. ROCHA </t>
  </si>
  <si>
    <t>.68</t>
  </si>
  <si>
    <t>.69</t>
  </si>
  <si>
    <t>.70</t>
  </si>
  <si>
    <t>047/2020</t>
  </si>
  <si>
    <t xml:space="preserve">PARAISO AMBIENTES </t>
  </si>
  <si>
    <t>05.493.311/0001-53</t>
  </si>
  <si>
    <t>PROCESSO N º 292/2019</t>
  </si>
  <si>
    <t>PREGÃO Nº  108/2019</t>
  </si>
  <si>
    <t>.71</t>
  </si>
  <si>
    <t>PREGÃO Nº  034/2021</t>
  </si>
  <si>
    <t>PROCESSO N º 017/2022</t>
  </si>
  <si>
    <t>045/2022</t>
  </si>
  <si>
    <t>.72</t>
  </si>
  <si>
    <t>E. DE AGUIAR FROTA - EIRELI</t>
  </si>
  <si>
    <t>048/2020</t>
  </si>
  <si>
    <t>.73</t>
  </si>
  <si>
    <t>.74</t>
  </si>
  <si>
    <t>.75</t>
  </si>
  <si>
    <t xml:space="preserve">LIMA E ABRAHAO </t>
  </si>
  <si>
    <t>PROCESSO N º 018/2022</t>
  </si>
  <si>
    <t>.76</t>
  </si>
  <si>
    <t>033/2022</t>
  </si>
  <si>
    <t xml:space="preserve">KELLE DE MELO OLIVEIRA </t>
  </si>
  <si>
    <t>PROCESSO N º 256/2021</t>
  </si>
  <si>
    <t>PREGÃO Nº  001/2022</t>
  </si>
  <si>
    <t>.77</t>
  </si>
  <si>
    <t xml:space="preserve"> E C O MOURA</t>
  </si>
  <si>
    <t>.78</t>
  </si>
  <si>
    <t>034/2022</t>
  </si>
  <si>
    <t>PREGÃO Nº  087/2021</t>
  </si>
  <si>
    <t>PROCESSO N º 258/2021</t>
  </si>
  <si>
    <t>.79</t>
  </si>
  <si>
    <t>065/2022</t>
  </si>
  <si>
    <t>PREGÃO Nº  404/2021</t>
  </si>
  <si>
    <t>PROCESSO N º 041/2022</t>
  </si>
  <si>
    <t>102 e 117</t>
  </si>
  <si>
    <t>04.758.482/0001-02</t>
  </si>
  <si>
    <t>84.308.337/0001-50</t>
  </si>
  <si>
    <t>29.422.974/0001-45</t>
  </si>
  <si>
    <t>28.572.074/0001-11</t>
  </si>
  <si>
    <t>3.3.90.30.00 3.3.90.39.00 4.4.90.52.00</t>
  </si>
  <si>
    <t>PREGÃO Nº 018/2022</t>
  </si>
  <si>
    <t>.80</t>
  </si>
  <si>
    <t>.81</t>
  </si>
  <si>
    <t>052/2022</t>
  </si>
  <si>
    <t>10.496.033/000128</t>
  </si>
  <si>
    <t>PREGÃO Nº 002/2022</t>
  </si>
  <si>
    <t>.82</t>
  </si>
  <si>
    <t>046/2022</t>
  </si>
  <si>
    <t>37.306.014/0001-48</t>
  </si>
  <si>
    <t>PROCESSO N º 0281/2021</t>
  </si>
  <si>
    <t>.83</t>
  </si>
  <si>
    <t>PROCESSO N º 101/2021</t>
  </si>
  <si>
    <t>D. L. RAMOS - ME</t>
  </si>
  <si>
    <t>05.146.814/0001-52</t>
  </si>
  <si>
    <t>.84</t>
  </si>
  <si>
    <t>001/2022</t>
  </si>
  <si>
    <t>PREGÃO Nº  307/2021</t>
  </si>
  <si>
    <t xml:space="preserve">E C O MOURA </t>
  </si>
  <si>
    <t>.85</t>
  </si>
  <si>
    <t>.86</t>
  </si>
  <si>
    <t>.87</t>
  </si>
  <si>
    <t>032/2022</t>
  </si>
  <si>
    <t>J . G. CHASSOT - EPP</t>
  </si>
  <si>
    <t>.88</t>
  </si>
  <si>
    <t>036/2022</t>
  </si>
  <si>
    <t>PREGÃO Nº 087/2021</t>
  </si>
  <si>
    <t>.89</t>
  </si>
  <si>
    <t>PREGÃO Nº 024/2021</t>
  </si>
  <si>
    <t>024/2022</t>
  </si>
  <si>
    <t>M C INDUSTRIA E COMERCIO DE PAPEIS LTDA</t>
  </si>
  <si>
    <t>19.288.989/0001-09</t>
  </si>
  <si>
    <t>.90</t>
  </si>
  <si>
    <t>PREGÃO Nº 020/2021</t>
  </si>
  <si>
    <t>060/2022</t>
  </si>
  <si>
    <t>GABBY MALHARIA LTDA</t>
  </si>
  <si>
    <t>03.978.576/0001-16</t>
  </si>
  <si>
    <t>.91</t>
  </si>
  <si>
    <t>PROCESSO N º 015/2022</t>
  </si>
  <si>
    <t>PREGÃO Nº 016/2021</t>
  </si>
  <si>
    <t>057/2022</t>
  </si>
  <si>
    <t>RIO BRANCO SEGURANÇA ELETRONICA E SERVIÇOS LTDA</t>
  </si>
  <si>
    <t>16.803.988/0001-67</t>
  </si>
  <si>
    <t>.92</t>
  </si>
  <si>
    <t>J S COMERCIO IMPORTAÇÃO E EXPORTAÇÃO LTDA</t>
  </si>
  <si>
    <t>11.338.721/0001-22</t>
  </si>
  <si>
    <t>.93</t>
  </si>
  <si>
    <t>PREGÃO  Nº 018/2022</t>
  </si>
  <si>
    <t>PREGÃO  Nº  051/2021</t>
  </si>
  <si>
    <t>029/2022</t>
  </si>
  <si>
    <t>CIPRIANI E CIPRIANI LTDA</t>
  </si>
  <si>
    <t>01.805.545/0001-38</t>
  </si>
  <si>
    <t>.94</t>
  </si>
  <si>
    <t>.95</t>
  </si>
  <si>
    <t>PROCESSO N º 327/2019</t>
  </si>
  <si>
    <t>PREGÃO  Nº  005/2020</t>
  </si>
  <si>
    <t>028/2021</t>
  </si>
  <si>
    <t>W. O. PEREIRA - EIRELI</t>
  </si>
  <si>
    <t>101 E 117</t>
  </si>
  <si>
    <t>101,106 e 117</t>
  </si>
  <si>
    <t>.96</t>
  </si>
  <si>
    <t xml:space="preserve">PREGÃO  Nº  </t>
  </si>
  <si>
    <t xml:space="preserve">PROCESSO N º </t>
  </si>
  <si>
    <t>066/2022</t>
  </si>
  <si>
    <t>34.710.145/0001.06</t>
  </si>
  <si>
    <t>PREGÃO  Nº  085/2021</t>
  </si>
  <si>
    <t>.97</t>
  </si>
  <si>
    <t>.98</t>
  </si>
  <si>
    <t>PROCESSO N º 083/2022</t>
  </si>
  <si>
    <t>PREGÃO  Nº  065/2022</t>
  </si>
  <si>
    <t>ACRETEC</t>
  </si>
  <si>
    <t>04.475.329/0001-60</t>
  </si>
  <si>
    <t>.99</t>
  </si>
  <si>
    <t>SENAC</t>
  </si>
  <si>
    <t>03.636.146/0001-16</t>
  </si>
  <si>
    <t>.100</t>
  </si>
  <si>
    <t>064/2019</t>
  </si>
  <si>
    <t>063/2019</t>
  </si>
  <si>
    <t>101, 106, 117 e 127</t>
  </si>
  <si>
    <t>4.4.90.39.00</t>
  </si>
  <si>
    <t>.101</t>
  </si>
  <si>
    <t>.102</t>
  </si>
  <si>
    <t>.103</t>
  </si>
  <si>
    <t>PROCESSO N º 088/2022</t>
  </si>
  <si>
    <t>PREGÃO  Nº  052/2021</t>
  </si>
  <si>
    <t>083/2022</t>
  </si>
  <si>
    <t>TUR AGENCIAS DE VIAGENS LTDA</t>
  </si>
  <si>
    <t>21.295.978/0001-06</t>
  </si>
  <si>
    <t>.104</t>
  </si>
  <si>
    <t>101, 117 e 127</t>
  </si>
  <si>
    <t>.105</t>
  </si>
  <si>
    <t>085/2022</t>
  </si>
  <si>
    <t>INNOVE ARQUITETURA E ENGENHARIA EIRELI</t>
  </si>
  <si>
    <t>23.820.555/0001-85</t>
  </si>
  <si>
    <t>089/2022</t>
  </si>
  <si>
    <t>PROCESSO N º 072/2022</t>
  </si>
  <si>
    <t>PREGÃO  Nº  018/2022</t>
  </si>
  <si>
    <t>PROCESSO N º 114/2022</t>
  </si>
  <si>
    <t>PREGÃO  Nº  320/2021</t>
  </si>
  <si>
    <t>101, 106, 110 e 117</t>
  </si>
  <si>
    <t>090/2022</t>
  </si>
  <si>
    <t>ENDRIK BUSSONS MOURA</t>
  </si>
  <si>
    <t>048.439.712-51</t>
  </si>
  <si>
    <t>PREGÃO  Nº  043/2022</t>
  </si>
  <si>
    <t>PROCESSO N º 063/2022</t>
  </si>
  <si>
    <t>091/2022</t>
  </si>
  <si>
    <t>PEDRO ANDRÉ DE AQUINO CARVALHO</t>
  </si>
  <si>
    <t>886.483.542-34</t>
  </si>
  <si>
    <t>PROCESSO N º 092/2022</t>
  </si>
  <si>
    <t>001/2023</t>
  </si>
  <si>
    <t>NP TECNOLOGIA E GESTÃO DE DADOS</t>
  </si>
  <si>
    <t>PREGÃO  Nº  002/2022</t>
  </si>
  <si>
    <t>07.797.967/0001-95</t>
  </si>
  <si>
    <t>101, 110 e 117</t>
  </si>
  <si>
    <t>101,110 e 117</t>
  </si>
  <si>
    <t>PREGÃO  Nº  069/2021</t>
  </si>
  <si>
    <t>PROCESSO N º 159/2021</t>
  </si>
  <si>
    <t>084/2022</t>
  </si>
  <si>
    <t>RITA MARIA</t>
  </si>
  <si>
    <t>08.974.702/0001-88</t>
  </si>
  <si>
    <t>PREGÃO  Nº  023/2022</t>
  </si>
  <si>
    <t>PROCESSO N º 107/2022</t>
  </si>
  <si>
    <t>012/2023</t>
  </si>
  <si>
    <t>022/2022</t>
  </si>
  <si>
    <t>PREGÃO  Nº  024/2021</t>
  </si>
  <si>
    <t>01.279.761/0001-97</t>
  </si>
  <si>
    <t>098/2022</t>
  </si>
  <si>
    <t>PREGÃO  Nº  050/2021</t>
  </si>
  <si>
    <t>PROCESSO N º 189/2022</t>
  </si>
  <si>
    <t>REPREMIG REPRESENTAÇÃO</t>
  </si>
  <si>
    <t>65.149.197/0002-51</t>
  </si>
  <si>
    <t>101, 106 e 127</t>
  </si>
  <si>
    <t>3.3.90.30.00  3.3.90.32.00</t>
  </si>
  <si>
    <t>101,110,117 e 127</t>
  </si>
  <si>
    <t>PODER EXECUTIVO MUNCIPAL</t>
  </si>
  <si>
    <t>Nome do responsável pela elaboração: Ailton José Blazute Braga - Gerente Financeiro - SASDH</t>
  </si>
  <si>
    <t>TOTAL</t>
  </si>
  <si>
    <t>Nº do Convênio/ Contrato</t>
  </si>
  <si>
    <t>.29</t>
  </si>
  <si>
    <t>.30</t>
  </si>
  <si>
    <t>.31</t>
  </si>
  <si>
    <t>.32</t>
  </si>
  <si>
    <t>.33</t>
  </si>
  <si>
    <t>.34</t>
  </si>
  <si>
    <t>.35</t>
  </si>
  <si>
    <t>.42</t>
  </si>
  <si>
    <t>.49</t>
  </si>
  <si>
    <t>.50</t>
  </si>
  <si>
    <t>Nome do responsável pelo Órgão: Suellen Araújo da Silva  - Secretaria Munícipal de Assistencia Social e Direitos Humanos</t>
  </si>
  <si>
    <t>.106</t>
  </si>
  <si>
    <t>PREGÃO  Nº  030/2021</t>
  </si>
  <si>
    <t>PROCESSO N º 140/2021</t>
  </si>
  <si>
    <t>MS SERVIÇOS, COMERCIO E REPRESENTAÇÕES LTDA</t>
  </si>
  <si>
    <t>22.172.177/0001-08</t>
  </si>
  <si>
    <t>080/2022</t>
  </si>
  <si>
    <t>.107</t>
  </si>
  <si>
    <t>PROCESSO N º 071/2022</t>
  </si>
  <si>
    <t>PREGÃO  Nº  054/2022</t>
  </si>
  <si>
    <t>010/2023</t>
  </si>
  <si>
    <t>S. L. DE CASTRO - LTDA</t>
  </si>
  <si>
    <t>.108</t>
  </si>
  <si>
    <t>097/2022</t>
  </si>
  <si>
    <t>101, 106, 117, 110 e 127</t>
  </si>
  <si>
    <t>.109</t>
  </si>
  <si>
    <t>PROCESSO N º 288/2022</t>
  </si>
  <si>
    <t>PREGÃO  Nº  010/2022</t>
  </si>
  <si>
    <t>032/2023</t>
  </si>
  <si>
    <t>.110</t>
  </si>
  <si>
    <t>008/2023</t>
  </si>
  <si>
    <t>.111</t>
  </si>
  <si>
    <t>PREGÃO  Nº  118/2022</t>
  </si>
  <si>
    <t>PROCESSO N º 257/2022</t>
  </si>
  <si>
    <t>013/2023</t>
  </si>
  <si>
    <t>.112</t>
  </si>
  <si>
    <t>PREGÃO  Nº  047/2022</t>
  </si>
  <si>
    <t>PROCESSO N º 031/2023</t>
  </si>
  <si>
    <t>047/2023</t>
  </si>
  <si>
    <t>PREGÃO  Nº  023/2023</t>
  </si>
  <si>
    <t>PROCESSO N º 364/2022</t>
  </si>
  <si>
    <t>058/2023</t>
  </si>
  <si>
    <t>11.338721/0001-22</t>
  </si>
  <si>
    <t>.113</t>
  </si>
  <si>
    <t>.114</t>
  </si>
  <si>
    <t>PROCESSO N º 133/2022</t>
  </si>
  <si>
    <t>002/2023</t>
  </si>
  <si>
    <t>.115</t>
  </si>
  <si>
    <t>PROCESSO N º 189/2021</t>
  </si>
  <si>
    <t>016/2023</t>
  </si>
  <si>
    <t>.116</t>
  </si>
  <si>
    <t>022/2023</t>
  </si>
  <si>
    <t>PREGÃO  Nº  079/2022</t>
  </si>
  <si>
    <t>PROCESSO N º 267/2022</t>
  </si>
  <si>
    <t>033/2023</t>
  </si>
  <si>
    <t>PROCESSO N º 284/2022</t>
  </si>
  <si>
    <t>021/2023</t>
  </si>
  <si>
    <t>028/2023</t>
  </si>
  <si>
    <t>44.474.199/0001-65</t>
  </si>
  <si>
    <t>.117</t>
  </si>
  <si>
    <t>31/12/202</t>
  </si>
  <si>
    <t>101, 106, 117 e 124</t>
  </si>
  <si>
    <t>101, 106, 117, 110 e 124</t>
  </si>
  <si>
    <t>074/2023</t>
  </si>
  <si>
    <t>PROCESSO N º 054/2023</t>
  </si>
  <si>
    <t>DISPENSA DE LICITAÇÃO N º 02/2023</t>
  </si>
  <si>
    <t>027/2023</t>
  </si>
  <si>
    <t>059/2023</t>
  </si>
  <si>
    <t xml:space="preserve">J. L. F. DA SILVA </t>
  </si>
  <si>
    <t>07.278.888/0001-78</t>
  </si>
  <si>
    <t>049/2023</t>
  </si>
  <si>
    <t>PROCESSO N º 001/2023</t>
  </si>
  <si>
    <t>055/2022</t>
  </si>
  <si>
    <t>PREGÃO  Nº 002/2022</t>
  </si>
  <si>
    <t>064/2023</t>
  </si>
  <si>
    <t>CLAER SERVIÇOS GERAIS EIRELI</t>
  </si>
  <si>
    <t>04.983.028/0001-47</t>
  </si>
  <si>
    <t>PREGÃO  Nº 083/2021</t>
  </si>
  <si>
    <t>PROCESSO N º 035/2013</t>
  </si>
  <si>
    <t>056/2023</t>
  </si>
  <si>
    <t xml:space="preserve">INSTITUTO BAHIA </t>
  </si>
  <si>
    <t>16.254.419/0001-00</t>
  </si>
  <si>
    <t>PREGÃO  Nº 057/2022</t>
  </si>
  <si>
    <t>PROCESSO N º 019/2023</t>
  </si>
  <si>
    <t>025/2023</t>
  </si>
  <si>
    <t>PREGÃO  Nº 031/2023</t>
  </si>
  <si>
    <t>PROCESSO N º 021/2023</t>
  </si>
  <si>
    <t>049/2022</t>
  </si>
  <si>
    <t>22.172.177/0001-68</t>
  </si>
  <si>
    <t>PROCESSO N º 035/2020</t>
  </si>
  <si>
    <t>PREGÃO  Nº 151/2019</t>
  </si>
  <si>
    <t>096/2022</t>
  </si>
  <si>
    <t>PREGÃO  Nº 023/2022</t>
  </si>
  <si>
    <t>011/2023</t>
  </si>
  <si>
    <t xml:space="preserve">JM LOCADORA DE VEICULOS </t>
  </si>
  <si>
    <t>63.597.736/0001-09</t>
  </si>
  <si>
    <t xml:space="preserve"> </t>
  </si>
  <si>
    <t>101, 106, 117, 124 e 127</t>
  </si>
  <si>
    <t>3.3.90.30.00 3.3.90.32.00</t>
  </si>
  <si>
    <t>101, 117, 110 e 127</t>
  </si>
  <si>
    <t>04/042023</t>
  </si>
  <si>
    <t>077/2023</t>
  </si>
  <si>
    <t>PREGÃO  Nº 002/2023</t>
  </si>
  <si>
    <t>PROCESSO N º 361/2022</t>
  </si>
  <si>
    <t>040/2023</t>
  </si>
  <si>
    <t>PREGÃO  Nº 047/2022</t>
  </si>
  <si>
    <t>PREGÃO  Nº 004/2023</t>
  </si>
  <si>
    <t>PROCESSO N º 350/2022</t>
  </si>
  <si>
    <t>055/2023</t>
  </si>
  <si>
    <t>MR COMERCIO E SERVIÇOS LTDA</t>
  </si>
  <si>
    <t>17.031.812/0001-05</t>
  </si>
  <si>
    <t>043/2023</t>
  </si>
  <si>
    <t>A. A. RODRIGUES LTDA</t>
  </si>
  <si>
    <t>PREGÃO  Nº 018/2023</t>
  </si>
  <si>
    <t>PROCESSO N º 009/2023</t>
  </si>
  <si>
    <t>074/2022</t>
  </si>
  <si>
    <t>PREGÃO  Nº 050/2021</t>
  </si>
  <si>
    <t>PROCESSO N º 021/2022</t>
  </si>
  <si>
    <t>A. OLIVEIRA</t>
  </si>
  <si>
    <t>40.815.163/0001-47</t>
  </si>
  <si>
    <t>068/2023</t>
  </si>
  <si>
    <t>PLP SOLUÇOES E COMERCIO LTDA</t>
  </si>
  <si>
    <t>071/2023</t>
  </si>
  <si>
    <t>36.073.412/0001-07</t>
  </si>
  <si>
    <t>PREGÃO  Nº  050/2023</t>
  </si>
  <si>
    <t>PROCESSO N º 363/2022</t>
  </si>
  <si>
    <t>PREGÃO  Nº  019/2023</t>
  </si>
  <si>
    <t>PROCESSO N º 012/2023</t>
  </si>
  <si>
    <t>069/2023</t>
  </si>
  <si>
    <t>051/2023</t>
  </si>
  <si>
    <t xml:space="preserve">POTENCIAL </t>
  </si>
  <si>
    <t>19.131.137/0001-03</t>
  </si>
  <si>
    <t>075/2023</t>
  </si>
  <si>
    <t>COMERCIAL DE CARNES KANA - LTDA</t>
  </si>
  <si>
    <t>17.332.592/0001-41</t>
  </si>
  <si>
    <t>PROCESSO N º  361/2022</t>
  </si>
  <si>
    <t>3.3.90.32.00  3.3.90.30.00</t>
  </si>
  <si>
    <t xml:space="preserve">101, 106 e 117 </t>
  </si>
  <si>
    <t>3.3.90.39.00  3.3.90.30.00</t>
  </si>
  <si>
    <t xml:space="preserve">         -</t>
  </si>
  <si>
    <t>101, 110, 117 e 127</t>
  </si>
  <si>
    <t>087/2023</t>
  </si>
  <si>
    <t>JOAO ALVES MOREIRA</t>
  </si>
  <si>
    <t>021.778.972-20</t>
  </si>
  <si>
    <t>PROCESSO N º  108/2023</t>
  </si>
  <si>
    <t>DISPENSA DE LICITAÇÃO N º 003/2023</t>
  </si>
  <si>
    <t>1209/2023</t>
  </si>
  <si>
    <t xml:space="preserve">REAJUSTE </t>
  </si>
  <si>
    <t>020/2023</t>
  </si>
  <si>
    <t xml:space="preserve">T. C. OLIVEIRA </t>
  </si>
  <si>
    <t>33.297.274/0001-43</t>
  </si>
  <si>
    <t>PREGÃO  Nº 079/2022</t>
  </si>
  <si>
    <t>PROCESSO N º  267/2022</t>
  </si>
  <si>
    <t>072/2023</t>
  </si>
  <si>
    <t>PREGÃO  Nº 019/2023</t>
  </si>
  <si>
    <t>PROCESSO N º  012/2023</t>
  </si>
  <si>
    <t>076/2023</t>
  </si>
  <si>
    <t>PROCESSO N º 068/2023</t>
  </si>
  <si>
    <t>PREGÃO  Nº 093/2023</t>
  </si>
  <si>
    <t>082/2023</t>
  </si>
  <si>
    <t>J. B. V. ALBUQUERQUE LTDA</t>
  </si>
  <si>
    <t>00.432.870/0001-30</t>
  </si>
  <si>
    <t>073/2023</t>
  </si>
  <si>
    <t>K. C. R. S. COMERCIO</t>
  </si>
  <si>
    <t>21.971.041/0001-03</t>
  </si>
  <si>
    <t>PREGÃO  Nº 118/2022</t>
  </si>
  <si>
    <t>015/2023</t>
  </si>
  <si>
    <t>SANCAR COMERCIO E SERVIÇO LTDA</t>
  </si>
  <si>
    <t>08.805.247/0001-97</t>
  </si>
  <si>
    <t>084/2023</t>
  </si>
  <si>
    <t>TRIPHASE CONST. SERVICOS E COMERCIO LTDA</t>
  </si>
  <si>
    <t>49.486.856/0001-08</t>
  </si>
  <si>
    <t>PREGÃO  Nº 092/2023</t>
  </si>
  <si>
    <t>041/2023</t>
  </si>
  <si>
    <t>PREGÃO  Nº 003/2022</t>
  </si>
  <si>
    <t>PROCESSO N º 274/2022</t>
  </si>
  <si>
    <t>C. D. AGOSTINI LTDA</t>
  </si>
  <si>
    <t>07.931.399/0001-73</t>
  </si>
  <si>
    <t xml:space="preserve">PREGÃO  Nº </t>
  </si>
  <si>
    <t>097/2023</t>
  </si>
  <si>
    <t>PREGÃO  Nº 105/2023</t>
  </si>
  <si>
    <t>PROCESSO N º 081/2023</t>
  </si>
  <si>
    <t>039/2023</t>
  </si>
  <si>
    <t>J G CHASSOT</t>
  </si>
  <si>
    <t>062/2021</t>
  </si>
  <si>
    <t>JOAO ALMEIDA LIRA</t>
  </si>
  <si>
    <t>078.730.502-20</t>
  </si>
  <si>
    <t>PROCESSO N º 093/2021</t>
  </si>
  <si>
    <t>063/2023</t>
  </si>
  <si>
    <t>PROCESSO N º 086/2022</t>
  </si>
  <si>
    <t>101, 110, 106, 117 e 127</t>
  </si>
  <si>
    <t>085/2023</t>
  </si>
  <si>
    <t>.118</t>
  </si>
  <si>
    <t>PROCESSO N º 074/2023</t>
  </si>
  <si>
    <t>PREGÃO  Nº 005/2022</t>
  </si>
  <si>
    <t>066/2023</t>
  </si>
  <si>
    <t>J. V. NOGUEIRA</t>
  </si>
  <si>
    <t>27.896.988/0001-75</t>
  </si>
  <si>
    <t>PROCESSO N º 036/2022</t>
  </si>
  <si>
    <t>PREGÃO  Nº 050/2023</t>
  </si>
  <si>
    <t>057/2023</t>
  </si>
  <si>
    <t>PREGÃO  Nº 023/2023</t>
  </si>
  <si>
    <t>083/2023</t>
  </si>
  <si>
    <t>S. V. NOGUEIRA</t>
  </si>
  <si>
    <t>02.799.522/0001-20</t>
  </si>
  <si>
    <t>118/2023</t>
  </si>
  <si>
    <t>PREGÃO  Nº 091/2022</t>
  </si>
  <si>
    <t>PROCESSO N º 070/2023</t>
  </si>
  <si>
    <t>.6</t>
  </si>
  <si>
    <t>.55</t>
  </si>
  <si>
    <t>.119</t>
  </si>
  <si>
    <t>.120</t>
  </si>
  <si>
    <t>24/04/20233</t>
  </si>
  <si>
    <t>.121</t>
  </si>
  <si>
    <t>126/2023</t>
  </si>
  <si>
    <t>34.710.45/0001-06</t>
  </si>
  <si>
    <t>.122</t>
  </si>
  <si>
    <t>S. L. DE CASTRO</t>
  </si>
  <si>
    <t>PREGÃO  Nº 098/2023</t>
  </si>
  <si>
    <t>PROCESSO N º 094/2023</t>
  </si>
  <si>
    <t>.123</t>
  </si>
  <si>
    <t>PREGÃO  Nº 091/2023</t>
  </si>
  <si>
    <t>120/2023</t>
  </si>
  <si>
    <t xml:space="preserve">CALURINO FERRAZ MIRANDA </t>
  </si>
  <si>
    <t>14.413.439/0001-50</t>
  </si>
  <si>
    <t>.124</t>
  </si>
  <si>
    <t>139/2023</t>
  </si>
  <si>
    <t>PREGÃO  Nº 010/2022</t>
  </si>
  <si>
    <t>.125</t>
  </si>
  <si>
    <t>134/2023</t>
  </si>
  <si>
    <t>.126</t>
  </si>
  <si>
    <t>123/2023</t>
  </si>
  <si>
    <t>18.255.885/0001-00</t>
  </si>
  <si>
    <t>.127</t>
  </si>
  <si>
    <t>095/2023</t>
  </si>
  <si>
    <t>84.313.923/0001-93</t>
  </si>
  <si>
    <t>.128</t>
  </si>
  <si>
    <t>080/2023</t>
  </si>
  <si>
    <t>.129</t>
  </si>
  <si>
    <t>143/2023</t>
  </si>
  <si>
    <t>G. S. CABRAL</t>
  </si>
  <si>
    <t>PROCESSO N º 069/2023</t>
  </si>
  <si>
    <t>DISPENSA DE LICITAÇÃO.</t>
  </si>
  <si>
    <t>05.028.285/0001-92</t>
  </si>
  <si>
    <t>.130</t>
  </si>
  <si>
    <t>138/2023</t>
  </si>
  <si>
    <t>PROCESSO N º 275/2022</t>
  </si>
  <si>
    <t>.131</t>
  </si>
  <si>
    <t>147/2023</t>
  </si>
  <si>
    <t>CIDADE AGENCIA DE PUBLI. E PROPAG. LTDA</t>
  </si>
  <si>
    <t>00.997.672/0001-13</t>
  </si>
  <si>
    <t>PROCESSO N º 229/2023</t>
  </si>
  <si>
    <t>090/2023</t>
  </si>
  <si>
    <t>PROCESSO N º 019/2022</t>
  </si>
  <si>
    <t>PREGÃO  Nº 053/2023</t>
  </si>
  <si>
    <t>L J COMERCIO VAREJISTA</t>
  </si>
  <si>
    <t>44.874.520/0001-07</t>
  </si>
  <si>
    <t>PREGÃO  Nº 071/2022</t>
  </si>
  <si>
    <t>PROCESSO N º 055/2023</t>
  </si>
  <si>
    <t>093/2023</t>
  </si>
  <si>
    <t>Executado até o exercício anterior 2023</t>
  </si>
  <si>
    <t xml:space="preserve"> Executado no Exercício 2024</t>
  </si>
  <si>
    <t>135/2023</t>
  </si>
  <si>
    <t>.132</t>
  </si>
  <si>
    <t>PROCESSO N º 075/2023</t>
  </si>
  <si>
    <t>PREGÃO  Nº 224/2022</t>
  </si>
  <si>
    <t>053/2023</t>
  </si>
  <si>
    <t>COMFORT MOVEIS EIRELI</t>
  </si>
  <si>
    <t>31.974.770/0001-69</t>
  </si>
  <si>
    <t>.133</t>
  </si>
  <si>
    <t>PROCESSO N º 258/2022</t>
  </si>
  <si>
    <t>PREGÃO  Nº 122/2022</t>
  </si>
  <si>
    <t>072/2022</t>
  </si>
  <si>
    <t>.134</t>
  </si>
  <si>
    <t>PROCESSO N º 042/2022</t>
  </si>
  <si>
    <t>016/2024</t>
  </si>
  <si>
    <t>.135</t>
  </si>
  <si>
    <t>PROCESSO N º 050/2023</t>
  </si>
  <si>
    <t>101/2023</t>
  </si>
  <si>
    <t>.136</t>
  </si>
  <si>
    <t>153/2023</t>
  </si>
  <si>
    <t>PROCESSO N º 267/2023</t>
  </si>
  <si>
    <t>PREGÃO  Nº 079/2023</t>
  </si>
  <si>
    <t>101, 106, 110, 117 E 127</t>
  </si>
  <si>
    <t>3.3.90.39.0</t>
  </si>
  <si>
    <t>101, 110, 106, 117, 124 e 127</t>
  </si>
  <si>
    <t>089/2020</t>
  </si>
  <si>
    <t xml:space="preserve">JF COMERCIO E SERVIÇOS </t>
  </si>
  <si>
    <t>.137</t>
  </si>
  <si>
    <t>PROCESSO N º 045/2020</t>
  </si>
  <si>
    <t>PREGÃO Nº  147/2020</t>
  </si>
  <si>
    <t>03.383.410/0001-57</t>
  </si>
  <si>
    <t>136/2023</t>
  </si>
  <si>
    <t>HAPPY COMERCIO</t>
  </si>
  <si>
    <t>08.229.383/0001-86</t>
  </si>
  <si>
    <t>008/2024</t>
  </si>
  <si>
    <t>156/2023</t>
  </si>
  <si>
    <t>PROCESSO N º 091/2023</t>
  </si>
  <si>
    <t>PREGÃO  Nº 100/2023</t>
  </si>
  <si>
    <t>31.947.770/0001-69</t>
  </si>
  <si>
    <t>014/2024</t>
  </si>
  <si>
    <t>PREGÃO  Nº 007/2023</t>
  </si>
  <si>
    <t>PROCESSO N º 158/2023</t>
  </si>
  <si>
    <t>152/2023</t>
  </si>
  <si>
    <t>014/2023</t>
  </si>
  <si>
    <t>009/2024</t>
  </si>
  <si>
    <t>011/2024</t>
  </si>
  <si>
    <t>142/2023</t>
  </si>
  <si>
    <t>PREGÃO  Nº 092/CPL02</t>
  </si>
  <si>
    <t>044/2024</t>
  </si>
  <si>
    <t>141/2023</t>
  </si>
  <si>
    <t>G. S. SILVEIRA</t>
  </si>
  <si>
    <t>.138</t>
  </si>
  <si>
    <t>.139</t>
  </si>
  <si>
    <t>.140</t>
  </si>
  <si>
    <t>.141</t>
  </si>
  <si>
    <t>.142</t>
  </si>
  <si>
    <t>.143</t>
  </si>
  <si>
    <t>.144</t>
  </si>
  <si>
    <t>.145</t>
  </si>
  <si>
    <t>.146</t>
  </si>
  <si>
    <t>.147</t>
  </si>
  <si>
    <t>.148</t>
  </si>
  <si>
    <t>101 e 124</t>
  </si>
  <si>
    <t>101, 124 e 127</t>
  </si>
  <si>
    <t>1500, 1660, 1665, 1669, 1700 e 1759</t>
  </si>
  <si>
    <t>2901/2024</t>
  </si>
  <si>
    <t>28/02/202</t>
  </si>
  <si>
    <t>021/2024</t>
  </si>
  <si>
    <t>144/2023</t>
  </si>
  <si>
    <t>CERRADO VIAGENS</t>
  </si>
  <si>
    <t>26.722.189/0001-10</t>
  </si>
  <si>
    <t>PREGÃO  Nº 167/2023</t>
  </si>
  <si>
    <t>.149</t>
  </si>
  <si>
    <t>.150</t>
  </si>
  <si>
    <t>1021, 117 e 127</t>
  </si>
  <si>
    <t>Data da emissão:  27/06/2024</t>
  </si>
  <si>
    <t>IDENTIFICAÇÃO DO ÓRGÃO/ENTIDADE: SECRETARIA DE ASSISTENCIA SOCIAL E DIREITOS HUMANOS - SASDH</t>
  </si>
  <si>
    <t>REALIZADO ATÉ O MÊS/ANO (ACUMULADO): JANEIRO A MAIO/2024</t>
  </si>
  <si>
    <t>PRESTAÇÃO DE CONTAS MENSAL - EXERCÍCIO 2024</t>
  </si>
  <si>
    <t>MANUAL DE REFERÊNCIA - 10ª EDIÇÃO - Anexos IV, VI, VII e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</si>
</sst>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44" fontId="3" fillId="0" borderId="6" xfId="1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vertical="center"/>
    </xf>
    <xf numFmtId="44" fontId="3" fillId="0" borderId="8" xfId="1" applyFont="1" applyFill="1" applyBorder="1" applyAlignment="1">
      <alignment vertical="center"/>
    </xf>
    <xf numFmtId="44" fontId="3" fillId="0" borderId="8" xfId="1" applyFont="1" applyFill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 wrapText="1"/>
    </xf>
    <xf numFmtId="44" fontId="4" fillId="0" borderId="0" xfId="1" applyFont="1" applyFill="1" applyAlignment="1">
      <alignment horizontal="left" vertical="center"/>
    </xf>
    <xf numFmtId="44" fontId="4" fillId="0" borderId="0" xfId="1" applyFont="1" applyFill="1" applyAlignment="1">
      <alignment vertical="center"/>
    </xf>
    <xf numFmtId="44" fontId="4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85725</xdr:rowOff>
    </xdr:from>
    <xdr:to>
      <xdr:col>7</xdr:col>
      <xdr:colOff>981075</xdr:colOff>
      <xdr:row>3</xdr:row>
      <xdr:rowOff>47625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390524</xdr:colOff>
      <xdr:row>0</xdr:row>
      <xdr:rowOff>50800</xdr:rowOff>
    </xdr:from>
    <xdr:to>
      <xdr:col>1</xdr:col>
      <xdr:colOff>928687</xdr:colOff>
      <xdr:row>3</xdr:row>
      <xdr:rowOff>119062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430" y="50800"/>
          <a:ext cx="53816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8"/>
  <sheetViews>
    <sheetView tabSelected="1" zoomScale="80" zoomScaleNormal="80" zoomScaleSheetLayoutView="20" workbookViewId="0">
      <selection activeCell="AG19" sqref="AG19"/>
    </sheetView>
  </sheetViews>
  <sheetFormatPr defaultRowHeight="12.75" x14ac:dyDescent="0.25"/>
  <cols>
    <col min="1" max="1" width="5.85546875" style="22" customWidth="1"/>
    <col min="2" max="2" width="30.140625" style="22" bestFit="1" customWidth="1"/>
    <col min="3" max="3" width="38.85546875" style="22" bestFit="1" customWidth="1"/>
    <col min="4" max="4" width="12.42578125" style="22" bestFit="1" customWidth="1"/>
    <col min="5" max="5" width="5.5703125" style="22" bestFit="1" customWidth="1"/>
    <col min="6" max="6" width="45.7109375" style="21" customWidth="1"/>
    <col min="7" max="7" width="12.28515625" style="24" customWidth="1"/>
    <col min="8" max="8" width="66.42578125" style="23" bestFit="1" customWidth="1"/>
    <col min="9" max="9" width="19.42578125" style="21" bestFit="1" customWidth="1"/>
    <col min="10" max="10" width="12" style="22" bestFit="1" customWidth="1"/>
    <col min="11" max="11" width="18.140625" style="14" bestFit="1" customWidth="1"/>
    <col min="12" max="12" width="15.140625" style="22" customWidth="1"/>
    <col min="13" max="13" width="10.85546875" style="22" bestFit="1" customWidth="1"/>
    <col min="14" max="14" width="12.42578125" style="22" bestFit="1" customWidth="1"/>
    <col min="15" max="15" width="20.140625" style="22" bestFit="1" customWidth="1"/>
    <col min="16" max="16" width="12.7109375" style="22" customWidth="1"/>
    <col min="17" max="17" width="16.42578125" style="15" customWidth="1"/>
    <col min="18" max="18" width="18" style="15" customWidth="1"/>
    <col min="19" max="19" width="14.5703125" style="22" customWidth="1"/>
    <col min="20" max="20" width="10.28515625" style="22" customWidth="1"/>
    <col min="21" max="21" width="14.140625" style="22" customWidth="1"/>
    <col min="22" max="22" width="15.28515625" style="22" customWidth="1"/>
    <col min="23" max="23" width="16.5703125" style="22" bestFit="1" customWidth="1"/>
    <col min="24" max="24" width="14" style="22" bestFit="1" customWidth="1"/>
    <col min="25" max="25" width="15.5703125" style="22" customWidth="1"/>
    <col min="26" max="26" width="12.85546875" style="22" customWidth="1"/>
    <col min="27" max="27" width="12" style="22" bestFit="1" customWidth="1"/>
    <col min="28" max="28" width="21.28515625" style="15" bestFit="1" customWidth="1"/>
    <col min="29" max="29" width="12" style="15" bestFit="1" customWidth="1"/>
    <col min="30" max="30" width="25" style="15" bestFit="1" customWidth="1"/>
    <col min="31" max="31" width="27.140625" style="15" bestFit="1" customWidth="1"/>
    <col min="32" max="32" width="25.140625" style="15" bestFit="1" customWidth="1"/>
    <col min="33" max="33" width="18.42578125" style="15" bestFit="1" customWidth="1"/>
    <col min="34" max="16384" width="9.140625" style="22"/>
  </cols>
  <sheetData>
    <row r="1" spans="1:33" s="21" customFormat="1" x14ac:dyDescent="0.25">
      <c r="G1" s="23"/>
      <c r="H1" s="23"/>
      <c r="K1" s="14"/>
      <c r="Q1" s="14"/>
      <c r="R1" s="14"/>
      <c r="AB1" s="14"/>
      <c r="AC1" s="14"/>
      <c r="AD1" s="14"/>
      <c r="AE1" s="14"/>
      <c r="AF1" s="14"/>
      <c r="AG1" s="14"/>
    </row>
    <row r="2" spans="1:33" s="21" customFormat="1" x14ac:dyDescent="0.25">
      <c r="G2" s="23"/>
      <c r="H2" s="23"/>
      <c r="K2" s="14"/>
      <c r="Q2" s="14"/>
      <c r="R2" s="14"/>
      <c r="AB2" s="14"/>
      <c r="AC2" s="14"/>
      <c r="AD2" s="14"/>
      <c r="AE2" s="14"/>
      <c r="AF2" s="14"/>
      <c r="AG2" s="14"/>
    </row>
    <row r="3" spans="1:33" s="21" customFormat="1" x14ac:dyDescent="0.25">
      <c r="G3" s="23"/>
      <c r="H3" s="23"/>
      <c r="K3" s="14"/>
      <c r="Q3" s="14"/>
      <c r="R3" s="14"/>
      <c r="AB3" s="14"/>
      <c r="AC3" s="14"/>
      <c r="AD3" s="14"/>
      <c r="AE3" s="14"/>
      <c r="AF3" s="14"/>
      <c r="AG3" s="14"/>
    </row>
    <row r="4" spans="1:33" s="21" customFormat="1" x14ac:dyDescent="0.25">
      <c r="G4" s="23"/>
      <c r="H4" s="23"/>
      <c r="K4" s="14"/>
      <c r="Q4" s="14"/>
      <c r="R4" s="14"/>
      <c r="AB4" s="14"/>
      <c r="AC4" s="14"/>
      <c r="AD4" s="14"/>
      <c r="AE4" s="14"/>
      <c r="AF4" s="14"/>
      <c r="AG4" s="14"/>
    </row>
    <row r="5" spans="1:33" s="21" customFormat="1" x14ac:dyDescent="0.25">
      <c r="A5" s="23" t="s">
        <v>495</v>
      </c>
      <c r="G5" s="23"/>
      <c r="H5" s="23"/>
      <c r="K5" s="14"/>
      <c r="Q5" s="14"/>
      <c r="R5" s="14"/>
      <c r="AB5" s="14"/>
      <c r="AC5" s="14"/>
      <c r="AD5" s="14"/>
      <c r="AE5" s="14"/>
      <c r="AF5" s="14"/>
      <c r="AG5" s="14"/>
    </row>
    <row r="6" spans="1:33" s="21" customFormat="1" x14ac:dyDescent="0.25">
      <c r="G6" s="23"/>
      <c r="H6" s="23"/>
      <c r="K6" s="14"/>
      <c r="Q6" s="14"/>
      <c r="R6" s="14"/>
      <c r="AB6" s="14"/>
      <c r="AC6" s="14"/>
      <c r="AD6" s="14"/>
      <c r="AE6" s="14"/>
      <c r="AF6" s="14"/>
      <c r="AG6" s="14"/>
    </row>
    <row r="7" spans="1:33" s="21" customFormat="1" x14ac:dyDescent="0.25">
      <c r="A7" s="23" t="s">
        <v>838</v>
      </c>
      <c r="G7" s="23"/>
      <c r="H7" s="23"/>
      <c r="K7" s="14"/>
      <c r="Q7" s="14"/>
      <c r="R7" s="14"/>
      <c r="AB7" s="14"/>
      <c r="AC7" s="14"/>
      <c r="AD7" s="14"/>
      <c r="AE7" s="14"/>
      <c r="AF7" s="14"/>
      <c r="AG7" s="14"/>
    </row>
    <row r="8" spans="1:33" s="23" customFormat="1" x14ac:dyDescent="0.25">
      <c r="A8" s="23" t="s">
        <v>58</v>
      </c>
      <c r="K8" s="17"/>
      <c r="Q8" s="17"/>
      <c r="R8" s="17"/>
      <c r="AB8" s="17"/>
      <c r="AC8" s="17"/>
      <c r="AD8" s="17"/>
      <c r="AE8" s="17"/>
      <c r="AF8" s="17"/>
      <c r="AG8" s="17"/>
    </row>
    <row r="9" spans="1:33" s="23" customFormat="1" x14ac:dyDescent="0.25">
      <c r="A9" s="23" t="s">
        <v>839</v>
      </c>
      <c r="K9" s="17"/>
      <c r="Q9" s="17"/>
      <c r="R9" s="17"/>
      <c r="AB9" s="17"/>
      <c r="AC9" s="17"/>
      <c r="AD9" s="17"/>
      <c r="AE9" s="17"/>
      <c r="AF9" s="17"/>
      <c r="AG9" s="17"/>
    </row>
    <row r="10" spans="1:33" s="23" customFormat="1" x14ac:dyDescent="0.25">
      <c r="K10" s="17"/>
      <c r="Q10" s="17"/>
      <c r="R10" s="17"/>
      <c r="AB10" s="17"/>
      <c r="AC10" s="17"/>
      <c r="AD10" s="17"/>
      <c r="AE10" s="17"/>
      <c r="AF10" s="17"/>
      <c r="AG10" s="17"/>
    </row>
    <row r="11" spans="1:33" s="23" customFormat="1" x14ac:dyDescent="0.25">
      <c r="A11" s="25" t="s">
        <v>836</v>
      </c>
      <c r="B11" s="25"/>
      <c r="C11" s="25"/>
      <c r="D11" s="25"/>
      <c r="E11" s="25"/>
      <c r="F11" s="25"/>
      <c r="K11" s="17"/>
      <c r="Q11" s="17"/>
      <c r="R11" s="17"/>
      <c r="AB11" s="17"/>
      <c r="AC11" s="17"/>
      <c r="AD11" s="17"/>
      <c r="AE11" s="17"/>
      <c r="AF11" s="17"/>
      <c r="AG11" s="17"/>
    </row>
    <row r="12" spans="1:33" s="23" customFormat="1" x14ac:dyDescent="0.25">
      <c r="A12" s="25" t="s">
        <v>837</v>
      </c>
      <c r="B12" s="25"/>
      <c r="C12" s="25"/>
      <c r="D12" s="25"/>
      <c r="G12" s="17"/>
      <c r="K12" s="17"/>
      <c r="Q12" s="17"/>
      <c r="R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21" customFormat="1" x14ac:dyDescent="0.25">
      <c r="G13" s="23"/>
      <c r="H13" s="23"/>
      <c r="K13" s="14"/>
      <c r="Q13" s="14"/>
      <c r="R13" s="14"/>
      <c r="AB13" s="14"/>
      <c r="AC13" s="14"/>
      <c r="AD13" s="14"/>
      <c r="AE13" s="14"/>
      <c r="AF13" s="14"/>
      <c r="AG13" s="14"/>
    </row>
    <row r="14" spans="1:33" s="21" customFormat="1" ht="13.5" thickBot="1" x14ac:dyDescent="0.3">
      <c r="A14" s="23" t="s">
        <v>150</v>
      </c>
      <c r="G14" s="23"/>
      <c r="H14" s="23"/>
      <c r="K14" s="18"/>
      <c r="Q14" s="18"/>
      <c r="R14" s="18"/>
      <c r="AB14" s="18"/>
      <c r="AC14" s="18"/>
      <c r="AD14" s="18"/>
      <c r="AE14" s="18"/>
      <c r="AF14" s="14"/>
      <c r="AG14" s="14"/>
    </row>
    <row r="15" spans="1:33" x14ac:dyDescent="0.25">
      <c r="A15" s="26" t="s">
        <v>51</v>
      </c>
      <c r="B15" s="27" t="s">
        <v>20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1"/>
      <c r="AG15" s="2"/>
    </row>
    <row r="16" spans="1:33" x14ac:dyDescent="0.25">
      <c r="A16" s="28"/>
      <c r="B16" s="29"/>
      <c r="C16" s="29"/>
      <c r="D16" s="29"/>
      <c r="E16" s="29"/>
      <c r="F16" s="29"/>
      <c r="G16" s="29" t="s">
        <v>48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 t="s">
        <v>49</v>
      </c>
      <c r="U16" s="29"/>
      <c r="V16" s="29"/>
      <c r="W16" s="29"/>
      <c r="X16" s="29"/>
      <c r="Y16" s="29"/>
      <c r="Z16" s="29"/>
      <c r="AA16" s="29"/>
      <c r="AB16" s="29"/>
      <c r="AC16" s="29"/>
      <c r="AD16" s="20" t="s">
        <v>50</v>
      </c>
      <c r="AE16" s="20"/>
      <c r="AF16" s="19"/>
      <c r="AG16" s="3"/>
    </row>
    <row r="17" spans="1:33" ht="38.25" x14ac:dyDescent="0.25">
      <c r="A17" s="28"/>
      <c r="B17" s="30" t="s">
        <v>6</v>
      </c>
      <c r="C17" s="30" t="s">
        <v>7</v>
      </c>
      <c r="D17" s="30" t="s">
        <v>0</v>
      </c>
      <c r="E17" s="30" t="s">
        <v>1</v>
      </c>
      <c r="F17" s="30" t="s">
        <v>2</v>
      </c>
      <c r="G17" s="31" t="s">
        <v>8</v>
      </c>
      <c r="H17" s="30" t="s">
        <v>3</v>
      </c>
      <c r="I17" s="30" t="s">
        <v>19</v>
      </c>
      <c r="J17" s="30" t="s">
        <v>9</v>
      </c>
      <c r="K17" s="19" t="s">
        <v>46</v>
      </c>
      <c r="L17" s="30" t="s">
        <v>14</v>
      </c>
      <c r="M17" s="30" t="s">
        <v>13</v>
      </c>
      <c r="N17" s="30" t="s">
        <v>12</v>
      </c>
      <c r="O17" s="30" t="s">
        <v>4</v>
      </c>
      <c r="P17" s="30" t="s">
        <v>498</v>
      </c>
      <c r="Q17" s="19" t="s">
        <v>52</v>
      </c>
      <c r="R17" s="19" t="s">
        <v>53</v>
      </c>
      <c r="S17" s="30" t="s">
        <v>5</v>
      </c>
      <c r="T17" s="30" t="s">
        <v>10</v>
      </c>
      <c r="U17" s="30" t="s">
        <v>9</v>
      </c>
      <c r="V17" s="30" t="s">
        <v>14</v>
      </c>
      <c r="W17" s="30" t="s">
        <v>11</v>
      </c>
      <c r="X17" s="30" t="s">
        <v>13</v>
      </c>
      <c r="Y17" s="30" t="s">
        <v>12</v>
      </c>
      <c r="Z17" s="30" t="s">
        <v>15</v>
      </c>
      <c r="AA17" s="30" t="s">
        <v>16</v>
      </c>
      <c r="AB17" s="19" t="s">
        <v>17</v>
      </c>
      <c r="AC17" s="19" t="s">
        <v>18</v>
      </c>
      <c r="AD17" s="19" t="s">
        <v>21</v>
      </c>
      <c r="AE17" s="19" t="s">
        <v>759</v>
      </c>
      <c r="AF17" s="19" t="s">
        <v>760</v>
      </c>
      <c r="AG17" s="4" t="s">
        <v>152</v>
      </c>
    </row>
    <row r="18" spans="1:33" ht="13.5" thickBot="1" x14ac:dyDescent="0.3">
      <c r="A18" s="32"/>
      <c r="B18" s="33" t="s">
        <v>22</v>
      </c>
      <c r="C18" s="33" t="s">
        <v>23</v>
      </c>
      <c r="D18" s="34" t="s">
        <v>45</v>
      </c>
      <c r="E18" s="33" t="s">
        <v>24</v>
      </c>
      <c r="F18" s="33" t="s">
        <v>25</v>
      </c>
      <c r="G18" s="34" t="s">
        <v>26</v>
      </c>
      <c r="H18" s="33" t="s">
        <v>27</v>
      </c>
      <c r="I18" s="33" t="s">
        <v>28</v>
      </c>
      <c r="J18" s="33" t="s">
        <v>29</v>
      </c>
      <c r="K18" s="5" t="s">
        <v>30</v>
      </c>
      <c r="L18" s="33" t="s">
        <v>31</v>
      </c>
      <c r="M18" s="33" t="s">
        <v>32</v>
      </c>
      <c r="N18" s="33" t="s">
        <v>33</v>
      </c>
      <c r="O18" s="33" t="s">
        <v>34</v>
      </c>
      <c r="P18" s="33" t="s">
        <v>35</v>
      </c>
      <c r="Q18" s="5" t="s">
        <v>36</v>
      </c>
      <c r="R18" s="5" t="s">
        <v>47</v>
      </c>
      <c r="S18" s="33" t="s">
        <v>37</v>
      </c>
      <c r="T18" s="33" t="s">
        <v>54</v>
      </c>
      <c r="U18" s="33" t="s">
        <v>38</v>
      </c>
      <c r="V18" s="33" t="s">
        <v>39</v>
      </c>
      <c r="W18" s="33" t="s">
        <v>40</v>
      </c>
      <c r="X18" s="33" t="s">
        <v>41</v>
      </c>
      <c r="Y18" s="33" t="s">
        <v>42</v>
      </c>
      <c r="Z18" s="33" t="s">
        <v>43</v>
      </c>
      <c r="AA18" s="33" t="s">
        <v>55</v>
      </c>
      <c r="AB18" s="5" t="s">
        <v>44</v>
      </c>
      <c r="AC18" s="5" t="s">
        <v>56</v>
      </c>
      <c r="AD18" s="5" t="s">
        <v>57</v>
      </c>
      <c r="AE18" s="5" t="s">
        <v>153</v>
      </c>
      <c r="AF18" s="5" t="s">
        <v>154</v>
      </c>
      <c r="AG18" s="6" t="s">
        <v>155</v>
      </c>
    </row>
    <row r="19" spans="1:33" x14ac:dyDescent="0.25">
      <c r="A19" s="35" t="s">
        <v>256</v>
      </c>
      <c r="B19" s="36" t="s">
        <v>73</v>
      </c>
      <c r="C19" s="36" t="s">
        <v>65</v>
      </c>
      <c r="D19" s="37" t="s">
        <v>59</v>
      </c>
      <c r="E19" s="37" t="s">
        <v>63</v>
      </c>
      <c r="F19" s="71" t="s">
        <v>67</v>
      </c>
      <c r="G19" s="38" t="s">
        <v>72</v>
      </c>
      <c r="H19" s="71" t="s">
        <v>68</v>
      </c>
      <c r="I19" s="36" t="s">
        <v>66</v>
      </c>
      <c r="J19" s="39">
        <v>42368</v>
      </c>
      <c r="K19" s="8">
        <v>36000</v>
      </c>
      <c r="L19" s="40"/>
      <c r="M19" s="39">
        <v>42368</v>
      </c>
      <c r="N19" s="39">
        <v>42733</v>
      </c>
      <c r="O19" s="37">
        <v>101</v>
      </c>
      <c r="P19" s="36" t="s">
        <v>72</v>
      </c>
      <c r="Q19" s="8"/>
      <c r="R19" s="8"/>
      <c r="S19" s="36" t="s">
        <v>80</v>
      </c>
      <c r="T19" s="36">
        <v>8</v>
      </c>
      <c r="U19" s="39">
        <v>44923</v>
      </c>
      <c r="V19" s="40">
        <v>13452</v>
      </c>
      <c r="W19" s="36" t="s">
        <v>62</v>
      </c>
      <c r="X19" s="39">
        <v>44924</v>
      </c>
      <c r="Y19" s="39">
        <v>45288</v>
      </c>
      <c r="Z19" s="36" t="s">
        <v>93</v>
      </c>
      <c r="AA19" s="36" t="s">
        <v>93</v>
      </c>
      <c r="AB19" s="8"/>
      <c r="AC19" s="8"/>
      <c r="AD19" s="8">
        <f>K19-AC19+AB19</f>
        <v>36000</v>
      </c>
      <c r="AE19" s="8">
        <v>0</v>
      </c>
      <c r="AF19" s="8">
        <f>3129.34</f>
        <v>3129.34</v>
      </c>
      <c r="AG19" s="8">
        <f t="shared" ref="AG19:AG84" si="0">AE19+AF19</f>
        <v>3129.34</v>
      </c>
    </row>
    <row r="20" spans="1:33" x14ac:dyDescent="0.25">
      <c r="A20" s="41" t="s">
        <v>164</v>
      </c>
      <c r="B20" s="42" t="s">
        <v>73</v>
      </c>
      <c r="C20" s="42" t="s">
        <v>65</v>
      </c>
      <c r="D20" s="43" t="s">
        <v>59</v>
      </c>
      <c r="E20" s="43" t="s">
        <v>63</v>
      </c>
      <c r="F20" s="72" t="s">
        <v>69</v>
      </c>
      <c r="G20" s="44" t="s">
        <v>121</v>
      </c>
      <c r="H20" s="72" t="s">
        <v>70</v>
      </c>
      <c r="I20" s="42" t="s">
        <v>71</v>
      </c>
      <c r="J20" s="45">
        <v>42006</v>
      </c>
      <c r="K20" s="7">
        <v>9456</v>
      </c>
      <c r="L20" s="46">
        <v>11764</v>
      </c>
      <c r="M20" s="45">
        <v>44197</v>
      </c>
      <c r="N20" s="45">
        <v>44561</v>
      </c>
      <c r="O20" s="43">
        <v>101</v>
      </c>
      <c r="P20" s="42" t="s">
        <v>121</v>
      </c>
      <c r="Q20" s="7"/>
      <c r="R20" s="7"/>
      <c r="S20" s="42" t="s">
        <v>81</v>
      </c>
      <c r="T20" s="42">
        <v>6</v>
      </c>
      <c r="U20" s="45">
        <v>44925</v>
      </c>
      <c r="V20" s="46">
        <v>13450</v>
      </c>
      <c r="W20" s="42" t="s">
        <v>62</v>
      </c>
      <c r="X20" s="45">
        <v>44927</v>
      </c>
      <c r="Y20" s="45">
        <v>45291</v>
      </c>
      <c r="Z20" s="42" t="s">
        <v>93</v>
      </c>
      <c r="AA20" s="42" t="s">
        <v>93</v>
      </c>
      <c r="AB20" s="7">
        <v>1070.48</v>
      </c>
      <c r="AC20" s="7"/>
      <c r="AD20" s="7">
        <f t="shared" ref="AD19:AD82" si="1">K20-AC20+AB20</f>
        <v>10526.48</v>
      </c>
      <c r="AE20" s="7">
        <f>1224.62+1429.99+1429.99+1429.99+1429.99+1429.99+1429.99+1429.99+1429.99+1429.99+1429.99+1429.99</f>
        <v>16954.509999999998</v>
      </c>
      <c r="AF20" s="7">
        <f>1507.99+1507.99+1507.99+1507.99</f>
        <v>6031.96</v>
      </c>
      <c r="AG20" s="7">
        <f t="shared" si="0"/>
        <v>22986.469999999998</v>
      </c>
    </row>
    <row r="21" spans="1:33" x14ac:dyDescent="0.25">
      <c r="A21" s="41" t="s">
        <v>165</v>
      </c>
      <c r="B21" s="42" t="s">
        <v>74</v>
      </c>
      <c r="C21" s="42" t="s">
        <v>75</v>
      </c>
      <c r="D21" s="43" t="s">
        <v>59</v>
      </c>
      <c r="E21" s="43" t="s">
        <v>63</v>
      </c>
      <c r="F21" s="72" t="s">
        <v>76</v>
      </c>
      <c r="G21" s="44" t="s">
        <v>77</v>
      </c>
      <c r="H21" s="72" t="s">
        <v>78</v>
      </c>
      <c r="I21" s="42" t="s">
        <v>79</v>
      </c>
      <c r="J21" s="45">
        <v>42891</v>
      </c>
      <c r="K21" s="7">
        <v>42000</v>
      </c>
      <c r="L21" s="46">
        <v>12125</v>
      </c>
      <c r="M21" s="45">
        <v>42891</v>
      </c>
      <c r="N21" s="45">
        <v>43255</v>
      </c>
      <c r="O21" s="43">
        <v>101</v>
      </c>
      <c r="P21" s="42" t="s">
        <v>77</v>
      </c>
      <c r="Q21" s="9"/>
      <c r="R21" s="7"/>
      <c r="S21" s="42" t="s">
        <v>80</v>
      </c>
      <c r="T21" s="42">
        <v>8</v>
      </c>
      <c r="U21" s="45">
        <v>45111</v>
      </c>
      <c r="V21" s="46">
        <v>13606</v>
      </c>
      <c r="W21" s="42" t="s">
        <v>62</v>
      </c>
      <c r="X21" s="45">
        <v>45113</v>
      </c>
      <c r="Y21" s="45">
        <v>45296</v>
      </c>
      <c r="Z21" s="47">
        <v>6.5100000000000005E-2</v>
      </c>
      <c r="AA21" s="42" t="s">
        <v>93</v>
      </c>
      <c r="AB21" s="7"/>
      <c r="AC21" s="7"/>
      <c r="AD21" s="7">
        <f t="shared" si="1"/>
        <v>42000</v>
      </c>
      <c r="AE21" s="7">
        <f>5488.02+5488.02+5488.02+5488.02+5488.02+10976.04+5488.02+5488.02+5488.02+5488.02</f>
        <v>60368.220000000016</v>
      </c>
      <c r="AF21" s="7"/>
      <c r="AG21" s="7">
        <f t="shared" si="0"/>
        <v>60368.220000000016</v>
      </c>
    </row>
    <row r="22" spans="1:33" x14ac:dyDescent="0.25">
      <c r="A22" s="41" t="s">
        <v>257</v>
      </c>
      <c r="B22" s="42" t="s">
        <v>193</v>
      </c>
      <c r="C22" s="42" t="s">
        <v>93</v>
      </c>
      <c r="D22" s="43" t="s">
        <v>59</v>
      </c>
      <c r="E22" s="43" t="s">
        <v>60</v>
      </c>
      <c r="F22" s="73" t="s">
        <v>76</v>
      </c>
      <c r="G22" s="41" t="s">
        <v>77</v>
      </c>
      <c r="H22" s="72" t="s">
        <v>191</v>
      </c>
      <c r="I22" s="42" t="s">
        <v>192</v>
      </c>
      <c r="J22" s="45" t="s">
        <v>93</v>
      </c>
      <c r="K22" s="7">
        <v>42000</v>
      </c>
      <c r="L22" s="45" t="s">
        <v>93</v>
      </c>
      <c r="M22" s="48">
        <v>42921</v>
      </c>
      <c r="N22" s="48" t="s">
        <v>196</v>
      </c>
      <c r="O22" s="49" t="s">
        <v>126</v>
      </c>
      <c r="P22" s="41" t="s">
        <v>77</v>
      </c>
      <c r="Q22" s="10"/>
      <c r="R22" s="7"/>
      <c r="S22" s="42" t="s">
        <v>61</v>
      </c>
      <c r="T22" s="42">
        <v>8</v>
      </c>
      <c r="U22" s="45">
        <v>45111</v>
      </c>
      <c r="V22" s="46">
        <v>13606</v>
      </c>
      <c r="W22" s="42" t="s">
        <v>62</v>
      </c>
      <c r="X22" s="45">
        <v>45113</v>
      </c>
      <c r="Y22" s="45">
        <v>45296</v>
      </c>
      <c r="Z22" s="45" t="s">
        <v>93</v>
      </c>
      <c r="AA22" s="45" t="s">
        <v>93</v>
      </c>
      <c r="AB22" s="7"/>
      <c r="AC22" s="7"/>
      <c r="AD22" s="7">
        <f t="shared" si="1"/>
        <v>42000</v>
      </c>
      <c r="AE22" s="7">
        <f>5488.02</f>
        <v>5488.02</v>
      </c>
      <c r="AF22" s="7"/>
      <c r="AG22" s="7">
        <f t="shared" si="0"/>
        <v>5488.02</v>
      </c>
    </row>
    <row r="23" spans="1:33" ht="25.5" x14ac:dyDescent="0.25">
      <c r="A23" s="41" t="s">
        <v>166</v>
      </c>
      <c r="B23" s="42" t="s">
        <v>90</v>
      </c>
      <c r="C23" s="42" t="s">
        <v>88</v>
      </c>
      <c r="D23" s="43" t="s">
        <v>59</v>
      </c>
      <c r="E23" s="43" t="s">
        <v>63</v>
      </c>
      <c r="F23" s="72" t="s">
        <v>85</v>
      </c>
      <c r="G23" s="44" t="s">
        <v>86</v>
      </c>
      <c r="H23" s="75" t="s">
        <v>89</v>
      </c>
      <c r="I23" s="41" t="s">
        <v>87</v>
      </c>
      <c r="J23" s="45">
        <v>43301</v>
      </c>
      <c r="K23" s="7">
        <v>235600.8</v>
      </c>
      <c r="L23" s="46">
        <v>12375</v>
      </c>
      <c r="M23" s="45">
        <v>43305</v>
      </c>
      <c r="N23" s="45">
        <v>43670</v>
      </c>
      <c r="O23" s="43">
        <v>101</v>
      </c>
      <c r="P23" s="44" t="s">
        <v>86</v>
      </c>
      <c r="Q23" s="7"/>
      <c r="R23" s="7"/>
      <c r="S23" s="42" t="s">
        <v>61</v>
      </c>
      <c r="T23" s="42">
        <v>7</v>
      </c>
      <c r="U23" s="45">
        <v>45131</v>
      </c>
      <c r="V23" s="46">
        <v>13592</v>
      </c>
      <c r="W23" s="42" t="s">
        <v>151</v>
      </c>
      <c r="X23" s="45">
        <v>45132</v>
      </c>
      <c r="Y23" s="45">
        <v>45497</v>
      </c>
      <c r="Z23" s="42" t="s">
        <v>93</v>
      </c>
      <c r="AA23" s="42" t="s">
        <v>93</v>
      </c>
      <c r="AB23" s="7"/>
      <c r="AC23" s="7"/>
      <c r="AD23" s="7">
        <f t="shared" si="1"/>
        <v>235600.8</v>
      </c>
      <c r="AE23" s="7">
        <f>18112.01+17623.03+4156.27+3442.81+3667.3+3442.81+3442.81+7334.6+3442.81+11001.9+3442.81+11001.9+25424.55+13237.29+4155.19+4155.19+12943.13+4155.19+13237.29+4155.19+13237.29+4155.19+13237.29</f>
        <v>202203.85000000003</v>
      </c>
      <c r="AF23" s="7">
        <f>17392.48+12980.05+12980.05+8567.62</f>
        <v>51920.200000000004</v>
      </c>
      <c r="AG23" s="7">
        <f t="shared" si="0"/>
        <v>254124.05000000005</v>
      </c>
    </row>
    <row r="24" spans="1:33" ht="51" x14ac:dyDescent="0.25">
      <c r="A24" s="41" t="s">
        <v>707</v>
      </c>
      <c r="B24" s="43" t="s">
        <v>423</v>
      </c>
      <c r="C24" s="43" t="s">
        <v>422</v>
      </c>
      <c r="D24" s="43" t="s">
        <v>59</v>
      </c>
      <c r="E24" s="43" t="s">
        <v>60</v>
      </c>
      <c r="F24" s="72" t="s">
        <v>253</v>
      </c>
      <c r="G24" s="42" t="s">
        <v>438</v>
      </c>
      <c r="H24" s="72" t="s">
        <v>434</v>
      </c>
      <c r="I24" s="51" t="s">
        <v>435</v>
      </c>
      <c r="J24" s="45">
        <v>43663</v>
      </c>
      <c r="K24" s="7">
        <v>76600</v>
      </c>
      <c r="L24" s="46">
        <v>12600</v>
      </c>
      <c r="M24" s="45">
        <v>43663</v>
      </c>
      <c r="N24" s="45">
        <v>43830</v>
      </c>
      <c r="O24" s="42">
        <v>106</v>
      </c>
      <c r="P24" s="42" t="s">
        <v>93</v>
      </c>
      <c r="Q24" s="7"/>
      <c r="R24" s="7"/>
      <c r="S24" s="42" t="s">
        <v>440</v>
      </c>
      <c r="T24" s="42">
        <v>9</v>
      </c>
      <c r="U24" s="45">
        <v>45324</v>
      </c>
      <c r="V24" s="46">
        <v>137115</v>
      </c>
      <c r="W24" s="42" t="s">
        <v>62</v>
      </c>
      <c r="X24" s="45">
        <v>45324</v>
      </c>
      <c r="Y24" s="45">
        <v>45505</v>
      </c>
      <c r="Z24" s="42"/>
      <c r="AA24" s="42"/>
      <c r="AB24" s="7"/>
      <c r="AC24" s="7"/>
      <c r="AD24" s="7">
        <f t="shared" si="1"/>
        <v>76600</v>
      </c>
      <c r="AE24" s="7"/>
      <c r="AF24" s="7"/>
      <c r="AG24" s="7">
        <f t="shared" si="0"/>
        <v>0</v>
      </c>
    </row>
    <row r="25" spans="1:33" ht="51" x14ac:dyDescent="0.25">
      <c r="A25" s="41" t="s">
        <v>258</v>
      </c>
      <c r="B25" s="43" t="s">
        <v>423</v>
      </c>
      <c r="C25" s="43" t="s">
        <v>422</v>
      </c>
      <c r="D25" s="43" t="s">
        <v>59</v>
      </c>
      <c r="E25" s="43" t="s">
        <v>60</v>
      </c>
      <c r="F25" s="72" t="s">
        <v>253</v>
      </c>
      <c r="G25" s="42" t="s">
        <v>437</v>
      </c>
      <c r="H25" s="72" t="s">
        <v>434</v>
      </c>
      <c r="I25" s="51" t="s">
        <v>435</v>
      </c>
      <c r="J25" s="45">
        <v>43663</v>
      </c>
      <c r="K25" s="7">
        <v>119200</v>
      </c>
      <c r="L25" s="46">
        <v>12600</v>
      </c>
      <c r="M25" s="45">
        <v>43663</v>
      </c>
      <c r="N25" s="45">
        <v>43830</v>
      </c>
      <c r="O25" s="42">
        <v>106</v>
      </c>
      <c r="P25" s="42" t="s">
        <v>93</v>
      </c>
      <c r="Q25" s="7"/>
      <c r="R25" s="7"/>
      <c r="S25" s="42" t="s">
        <v>440</v>
      </c>
      <c r="T25" s="42">
        <v>9</v>
      </c>
      <c r="U25" s="45">
        <v>45324</v>
      </c>
      <c r="V25" s="46">
        <v>13715</v>
      </c>
      <c r="W25" s="42" t="s">
        <v>62</v>
      </c>
      <c r="X25" s="45">
        <v>45324</v>
      </c>
      <c r="Y25" s="45">
        <v>45505</v>
      </c>
      <c r="Z25" s="42"/>
      <c r="AA25" s="42"/>
      <c r="AB25" s="7"/>
      <c r="AC25" s="7"/>
      <c r="AD25" s="7">
        <f t="shared" si="1"/>
        <v>119200</v>
      </c>
      <c r="AE25" s="7"/>
      <c r="AF25" s="7"/>
      <c r="AG25" s="7">
        <f t="shared" si="0"/>
        <v>0</v>
      </c>
    </row>
    <row r="26" spans="1:33" x14ac:dyDescent="0.25">
      <c r="A26" s="41" t="s">
        <v>167</v>
      </c>
      <c r="B26" s="42" t="s">
        <v>98</v>
      </c>
      <c r="C26" s="42" t="s">
        <v>93</v>
      </c>
      <c r="D26" s="43" t="s">
        <v>59</v>
      </c>
      <c r="E26" s="43" t="s">
        <v>63</v>
      </c>
      <c r="F26" s="72" t="s">
        <v>99</v>
      </c>
      <c r="G26" s="44" t="s">
        <v>94</v>
      </c>
      <c r="H26" s="72" t="s">
        <v>95</v>
      </c>
      <c r="I26" s="42" t="s">
        <v>64</v>
      </c>
      <c r="J26" s="45">
        <v>43616</v>
      </c>
      <c r="K26" s="7">
        <v>1098144.57</v>
      </c>
      <c r="L26" s="46">
        <v>12568</v>
      </c>
      <c r="M26" s="45">
        <v>43616</v>
      </c>
      <c r="N26" s="45">
        <v>43982</v>
      </c>
      <c r="O26" s="43">
        <v>101</v>
      </c>
      <c r="P26" s="44" t="s">
        <v>94</v>
      </c>
      <c r="Q26" s="7"/>
      <c r="R26" s="7"/>
      <c r="S26" s="42" t="s">
        <v>295</v>
      </c>
      <c r="T26" s="41">
        <v>10</v>
      </c>
      <c r="U26" s="48">
        <v>45442</v>
      </c>
      <c r="V26" s="52">
        <v>13790</v>
      </c>
      <c r="W26" s="42" t="s">
        <v>62</v>
      </c>
      <c r="X26" s="48">
        <v>45444</v>
      </c>
      <c r="Y26" s="48">
        <v>45808</v>
      </c>
      <c r="Z26" s="42" t="s">
        <v>93</v>
      </c>
      <c r="AA26" s="42" t="s">
        <v>93</v>
      </c>
      <c r="AB26" s="7"/>
      <c r="AC26" s="7"/>
      <c r="AD26" s="7">
        <f t="shared" si="1"/>
        <v>1098144.57</v>
      </c>
      <c r="AE26" s="7">
        <f>19956.72+3326.12+6652.24+19956.72+3326.12+6652.24+6652.24+3326.12+23282.84+23282.84+3326.12+6652.24+23282.84+6652.24+6652.24+6652.24+23282.84+3326.12+23393.71+6652.24+32706.83+6652.24+36593.87+6652.24+6652.24+39913.44+6652.24+39913.44+46565.68</f>
        <v>448589.24999999988</v>
      </c>
      <c r="AF26" s="7">
        <f>69405.03+157567.94+69848.52+46565.68+46565.68</f>
        <v>389952.85</v>
      </c>
      <c r="AG26" s="7">
        <f t="shared" si="0"/>
        <v>838542.09999999986</v>
      </c>
    </row>
    <row r="27" spans="1:33" x14ac:dyDescent="0.25">
      <c r="A27" s="41" t="s">
        <v>168</v>
      </c>
      <c r="B27" s="42" t="s">
        <v>93</v>
      </c>
      <c r="C27" s="42" t="s">
        <v>108</v>
      </c>
      <c r="D27" s="43" t="s">
        <v>59</v>
      </c>
      <c r="E27" s="43" t="s">
        <v>63</v>
      </c>
      <c r="F27" s="72" t="s">
        <v>85</v>
      </c>
      <c r="G27" s="44" t="s">
        <v>96</v>
      </c>
      <c r="H27" s="72" t="s">
        <v>102</v>
      </c>
      <c r="I27" s="42" t="s">
        <v>64</v>
      </c>
      <c r="J27" s="45">
        <v>43661</v>
      </c>
      <c r="K27" s="7">
        <v>325884</v>
      </c>
      <c r="L27" s="46">
        <v>12602</v>
      </c>
      <c r="M27" s="45">
        <v>43661</v>
      </c>
      <c r="N27" s="45">
        <v>43997</v>
      </c>
      <c r="O27" s="43">
        <v>101</v>
      </c>
      <c r="P27" s="44" t="s">
        <v>96</v>
      </c>
      <c r="Q27" s="7"/>
      <c r="R27" s="7"/>
      <c r="S27" s="42" t="s">
        <v>61</v>
      </c>
      <c r="T27" s="41">
        <v>7</v>
      </c>
      <c r="U27" s="48">
        <v>45309</v>
      </c>
      <c r="V27" s="52">
        <v>13700</v>
      </c>
      <c r="W27" s="42" t="s">
        <v>646</v>
      </c>
      <c r="X27" s="48">
        <v>45123</v>
      </c>
      <c r="Y27" s="48">
        <v>45488</v>
      </c>
      <c r="Z27" s="42" t="s">
        <v>93</v>
      </c>
      <c r="AA27" s="42" t="s">
        <v>93</v>
      </c>
      <c r="AB27" s="7"/>
      <c r="AC27" s="7"/>
      <c r="AD27" s="7">
        <f t="shared" si="1"/>
        <v>325884</v>
      </c>
      <c r="AE27" s="7">
        <f>6785.36+6785.36+6785.36+6785.36+6785.36+5202.11+6785.36+6785.36+6785.36+6785.36+6785.36+6785.36+3392.4+6785.36+6785.36+2035.44+6785.36+3392.68+6785.36+16963.4+6785.36+16963.4+16963.4+6785.36</f>
        <v>180263.94999999995</v>
      </c>
      <c r="AF27" s="7">
        <f>27141.44+34716.96+27141.44+27141.44+27141.44</f>
        <v>143282.72</v>
      </c>
      <c r="AG27" s="7">
        <f t="shared" si="0"/>
        <v>323546.66999999993</v>
      </c>
    </row>
    <row r="28" spans="1:33" x14ac:dyDescent="0.25">
      <c r="A28" s="41" t="s">
        <v>169</v>
      </c>
      <c r="B28" s="42" t="s">
        <v>106</v>
      </c>
      <c r="C28" s="42" t="s">
        <v>107</v>
      </c>
      <c r="D28" s="43" t="s">
        <v>59</v>
      </c>
      <c r="E28" s="43" t="s">
        <v>63</v>
      </c>
      <c r="F28" s="72" t="s">
        <v>85</v>
      </c>
      <c r="G28" s="44" t="s">
        <v>104</v>
      </c>
      <c r="H28" s="72" t="s">
        <v>103</v>
      </c>
      <c r="I28" s="42" t="s">
        <v>105</v>
      </c>
      <c r="J28" s="45">
        <v>43662</v>
      </c>
      <c r="K28" s="7">
        <v>1073883.3600000001</v>
      </c>
      <c r="L28" s="46" t="s">
        <v>93</v>
      </c>
      <c r="M28" s="45">
        <v>43663</v>
      </c>
      <c r="N28" s="45">
        <v>44029</v>
      </c>
      <c r="O28" s="43" t="s">
        <v>113</v>
      </c>
      <c r="P28" s="44" t="s">
        <v>104</v>
      </c>
      <c r="Q28" s="7"/>
      <c r="R28" s="7"/>
      <c r="S28" s="42" t="s">
        <v>61</v>
      </c>
      <c r="T28" s="42">
        <v>5</v>
      </c>
      <c r="U28" s="45">
        <v>45121</v>
      </c>
      <c r="V28" s="46">
        <v>13584</v>
      </c>
      <c r="W28" s="42" t="s">
        <v>62</v>
      </c>
      <c r="X28" s="45">
        <v>45125</v>
      </c>
      <c r="Y28" s="45">
        <v>45490</v>
      </c>
      <c r="Z28" s="53">
        <v>0.05</v>
      </c>
      <c r="AA28" s="45" t="s">
        <v>93</v>
      </c>
      <c r="AB28" s="7"/>
      <c r="AC28" s="7"/>
      <c r="AD28" s="7">
        <f t="shared" si="1"/>
        <v>1073883.3600000001</v>
      </c>
      <c r="AE28" s="7">
        <f>80007.63+12869.86+77219.16+12869.86+60917.34+25739.72+25739.72+55983.89+25739.72+57914.37+64134.8+19519.29+19304.79+58343.37+56412.89+12869.86+38609.58+28099.19+44699.54+35104.35+42125.22+28083.48+42125.22+28083.48</f>
        <v>952516.32999999984</v>
      </c>
      <c r="AF28" s="7">
        <f>70208.7+76761.51+63187.83+64123.95</f>
        <v>274281.99</v>
      </c>
      <c r="AG28" s="7">
        <f t="shared" si="0"/>
        <v>1226798.3199999998</v>
      </c>
    </row>
    <row r="29" spans="1:33" x14ac:dyDescent="0.25">
      <c r="A29" s="41" t="s">
        <v>170</v>
      </c>
      <c r="B29" s="42" t="s">
        <v>111</v>
      </c>
      <c r="C29" s="42" t="s">
        <v>112</v>
      </c>
      <c r="D29" s="43" t="s">
        <v>59</v>
      </c>
      <c r="E29" s="43" t="s">
        <v>63</v>
      </c>
      <c r="F29" s="72" t="s">
        <v>85</v>
      </c>
      <c r="G29" s="44" t="s">
        <v>109</v>
      </c>
      <c r="H29" s="72" t="s">
        <v>102</v>
      </c>
      <c r="I29" s="42" t="s">
        <v>110</v>
      </c>
      <c r="J29" s="45">
        <v>43707</v>
      </c>
      <c r="K29" s="7">
        <v>239468.98</v>
      </c>
      <c r="L29" s="46">
        <v>12632</v>
      </c>
      <c r="M29" s="45">
        <v>43707</v>
      </c>
      <c r="N29" s="45">
        <v>44073</v>
      </c>
      <c r="O29" s="43">
        <v>101</v>
      </c>
      <c r="P29" s="44" t="s">
        <v>109</v>
      </c>
      <c r="Q29" s="7"/>
      <c r="R29" s="7"/>
      <c r="S29" s="42" t="s">
        <v>61</v>
      </c>
      <c r="T29" s="41">
        <v>6</v>
      </c>
      <c r="U29" s="48">
        <v>45167</v>
      </c>
      <c r="V29" s="52">
        <v>13608</v>
      </c>
      <c r="W29" s="42" t="s">
        <v>62</v>
      </c>
      <c r="X29" s="48">
        <v>45169</v>
      </c>
      <c r="Y29" s="48">
        <v>45535</v>
      </c>
      <c r="Z29" s="42" t="s">
        <v>93</v>
      </c>
      <c r="AA29" s="42" t="s">
        <v>93</v>
      </c>
      <c r="AB29" s="7"/>
      <c r="AC29" s="7"/>
      <c r="AD29" s="7">
        <f t="shared" si="1"/>
        <v>239468.98</v>
      </c>
      <c r="AE29" s="7">
        <f>6665.34+6665.34+6665.34+9775.58+12996.9+12996.9+12996.9+9998.01+4809.15+24045.75</f>
        <v>107615.20999999999</v>
      </c>
      <c r="AF29" s="7"/>
      <c r="AG29" s="7">
        <f t="shared" si="0"/>
        <v>107615.20999999999</v>
      </c>
    </row>
    <row r="30" spans="1:33" x14ac:dyDescent="0.25">
      <c r="A30" s="41" t="s">
        <v>259</v>
      </c>
      <c r="B30" s="42" t="s">
        <v>118</v>
      </c>
      <c r="C30" s="42" t="s">
        <v>119</v>
      </c>
      <c r="D30" s="43" t="s">
        <v>59</v>
      </c>
      <c r="E30" s="43" t="s">
        <v>63</v>
      </c>
      <c r="F30" s="72" t="s">
        <v>116</v>
      </c>
      <c r="G30" s="44" t="s">
        <v>115</v>
      </c>
      <c r="H30" s="72" t="s">
        <v>114</v>
      </c>
      <c r="I30" s="42" t="s">
        <v>120</v>
      </c>
      <c r="J30" s="45">
        <v>43747</v>
      </c>
      <c r="K30" s="7">
        <v>762648</v>
      </c>
      <c r="L30" s="46">
        <v>12654</v>
      </c>
      <c r="M30" s="45">
        <v>43747</v>
      </c>
      <c r="N30" s="45">
        <v>44113</v>
      </c>
      <c r="O30" s="43">
        <v>101</v>
      </c>
      <c r="P30" s="44" t="s">
        <v>115</v>
      </c>
      <c r="Q30" s="7"/>
      <c r="R30" s="7"/>
      <c r="S30" s="42" t="s">
        <v>61</v>
      </c>
      <c r="T30" s="41">
        <v>4</v>
      </c>
      <c r="U30" s="48">
        <v>44770</v>
      </c>
      <c r="V30" s="52">
        <v>13381</v>
      </c>
      <c r="W30" s="48" t="s">
        <v>141</v>
      </c>
      <c r="X30" s="48">
        <v>44843</v>
      </c>
      <c r="Y30" s="48">
        <v>45207</v>
      </c>
      <c r="Z30" s="42" t="s">
        <v>93</v>
      </c>
      <c r="AA30" s="42" t="s">
        <v>93</v>
      </c>
      <c r="AB30" s="7"/>
      <c r="AC30" s="7"/>
      <c r="AD30" s="7">
        <f t="shared" si="1"/>
        <v>762648</v>
      </c>
      <c r="AE30" s="7">
        <f>20789.2+8315.68+4157.84+20789.2+8315.68+4157.84+20789.2+8315.68+4157.84+20789.2+4157.84+8315.68+20789.2+4157.84+8315.68+20789.2+4157.84+20789.2+4157.84+4157.84+20789.2+66525.44+17740.12</f>
        <v>325420.28000000003</v>
      </c>
      <c r="AF30" s="7"/>
      <c r="AG30" s="7">
        <f t="shared" si="0"/>
        <v>325420.28000000003</v>
      </c>
    </row>
    <row r="31" spans="1:33" ht="38.25" x14ac:dyDescent="0.25">
      <c r="A31" s="41" t="s">
        <v>260</v>
      </c>
      <c r="B31" s="42" t="s">
        <v>124</v>
      </c>
      <c r="C31" s="42" t="s">
        <v>125</v>
      </c>
      <c r="D31" s="43" t="s">
        <v>59</v>
      </c>
      <c r="E31" s="43" t="s">
        <v>60</v>
      </c>
      <c r="F31" s="72" t="s">
        <v>101</v>
      </c>
      <c r="G31" s="41" t="s">
        <v>122</v>
      </c>
      <c r="H31" s="72" t="s">
        <v>157</v>
      </c>
      <c r="I31" s="41" t="s">
        <v>82</v>
      </c>
      <c r="J31" s="48">
        <v>43909</v>
      </c>
      <c r="K31" s="7">
        <v>1445904</v>
      </c>
      <c r="L31" s="52">
        <v>12777</v>
      </c>
      <c r="M31" s="48">
        <v>43909</v>
      </c>
      <c r="N31" s="48">
        <v>44273</v>
      </c>
      <c r="O31" s="49" t="s">
        <v>126</v>
      </c>
      <c r="P31" s="41" t="s">
        <v>122</v>
      </c>
      <c r="Q31" s="10"/>
      <c r="R31" s="7"/>
      <c r="S31" s="42" t="s">
        <v>61</v>
      </c>
      <c r="T31" s="41">
        <v>4</v>
      </c>
      <c r="U31" s="48">
        <v>45369</v>
      </c>
      <c r="V31" s="52">
        <v>13735</v>
      </c>
      <c r="W31" s="41" t="s">
        <v>62</v>
      </c>
      <c r="X31" s="48">
        <v>45370</v>
      </c>
      <c r="Y31" s="48">
        <v>45734</v>
      </c>
      <c r="Z31" s="42" t="s">
        <v>93</v>
      </c>
      <c r="AA31" s="42" t="s">
        <v>93</v>
      </c>
      <c r="AB31" s="7"/>
      <c r="AC31" s="7"/>
      <c r="AD31" s="7">
        <f t="shared" si="1"/>
        <v>1445904</v>
      </c>
      <c r="AE31" s="7">
        <f>36371.4+36862.8+37194+32893.8+1350+31713.6+1380+30742.8+1560+34039.8+38931.6+1710+37822.8+1620+44561.4+1950+2070+49276.2+30582.92+1440</f>
        <v>454073.12</v>
      </c>
      <c r="AF31" s="7">
        <f>354.6+42981.6+45170.24+2100+2817.6+120+2770.8+120+54477.6+2370+2429.2+120+2865.6+120+76047.4+3300</f>
        <v>238164.64</v>
      </c>
      <c r="AG31" s="7">
        <f t="shared" si="0"/>
        <v>692237.76</v>
      </c>
    </row>
    <row r="32" spans="1:33" x14ac:dyDescent="0.25">
      <c r="A32" s="41" t="s">
        <v>171</v>
      </c>
      <c r="B32" s="42" t="s">
        <v>162</v>
      </c>
      <c r="C32" s="42" t="s">
        <v>93</v>
      </c>
      <c r="D32" s="43" t="s">
        <v>59</v>
      </c>
      <c r="E32" s="43" t="s">
        <v>60</v>
      </c>
      <c r="F32" s="73" t="s">
        <v>163</v>
      </c>
      <c r="G32" s="41" t="s">
        <v>123</v>
      </c>
      <c r="H32" s="72" t="s">
        <v>161</v>
      </c>
      <c r="I32" s="42" t="s">
        <v>97</v>
      </c>
      <c r="J32" s="48">
        <v>43910</v>
      </c>
      <c r="K32" s="7">
        <v>1445904</v>
      </c>
      <c r="L32" s="45" t="s">
        <v>93</v>
      </c>
      <c r="M32" s="48">
        <v>44276</v>
      </c>
      <c r="N32" s="48">
        <v>44640</v>
      </c>
      <c r="O32" s="49" t="s">
        <v>126</v>
      </c>
      <c r="P32" s="41" t="s">
        <v>123</v>
      </c>
      <c r="Q32" s="10"/>
      <c r="R32" s="7"/>
      <c r="S32" s="42" t="s">
        <v>61</v>
      </c>
      <c r="T32" s="42">
        <v>4</v>
      </c>
      <c r="U32" s="45">
        <v>45372</v>
      </c>
      <c r="V32" s="46">
        <v>13739</v>
      </c>
      <c r="W32" s="42" t="s">
        <v>141</v>
      </c>
      <c r="X32" s="45">
        <v>45372</v>
      </c>
      <c r="Y32" s="45">
        <v>45736</v>
      </c>
      <c r="Z32" s="42" t="s">
        <v>93</v>
      </c>
      <c r="AA32" s="42" t="s">
        <v>93</v>
      </c>
      <c r="AB32" s="7"/>
      <c r="AC32" s="7"/>
      <c r="AD32" s="7">
        <f t="shared" si="1"/>
        <v>1445904</v>
      </c>
      <c r="AE32" s="7">
        <f>15624.6+17030.72+19395.98+22141.36+23844.12+1170+1140+22457+1170+23003.06+1260+23487.98+10215.48+600+1260+23937.94+42183.78+2190+2220+44031.71+2100+42989.33</f>
        <v>343453.06000000006</v>
      </c>
      <c r="AF32" s="7">
        <f>1770+37666.33+6782+17946.6+5722+330+330+780+35493.33+1770+390+7896+1020+20997+1920+40118.6+330+5760.4+330+5630.8+2070+420+8708.8+720+17280+43583.8</f>
        <v>265765.65999999997</v>
      </c>
      <c r="AG32" s="7">
        <f t="shared" si="0"/>
        <v>609218.72</v>
      </c>
    </row>
    <row r="33" spans="1:33" ht="51" x14ac:dyDescent="0.25">
      <c r="A33" s="41" t="s">
        <v>172</v>
      </c>
      <c r="B33" s="43" t="s">
        <v>327</v>
      </c>
      <c r="C33" s="43" t="s">
        <v>328</v>
      </c>
      <c r="D33" s="43" t="s">
        <v>59</v>
      </c>
      <c r="E33" s="43" t="s">
        <v>60</v>
      </c>
      <c r="F33" s="72" t="s">
        <v>253</v>
      </c>
      <c r="G33" s="42" t="s">
        <v>324</v>
      </c>
      <c r="H33" s="72" t="s">
        <v>325</v>
      </c>
      <c r="I33" s="42" t="s">
        <v>326</v>
      </c>
      <c r="J33" s="45">
        <v>43950</v>
      </c>
      <c r="K33" s="7">
        <v>39000</v>
      </c>
      <c r="L33" s="46">
        <v>12797</v>
      </c>
      <c r="M33" s="45">
        <v>43950</v>
      </c>
      <c r="N33" s="45">
        <v>44195</v>
      </c>
      <c r="O33" s="42" t="s">
        <v>126</v>
      </c>
      <c r="P33" s="42" t="s">
        <v>93</v>
      </c>
      <c r="Q33" s="7"/>
      <c r="R33" s="7"/>
      <c r="S33" s="42" t="s">
        <v>61</v>
      </c>
      <c r="T33" s="42">
        <v>4</v>
      </c>
      <c r="U33" s="45">
        <v>45292</v>
      </c>
      <c r="V33" s="46">
        <v>13683</v>
      </c>
      <c r="W33" s="42" t="s">
        <v>62</v>
      </c>
      <c r="X33" s="45">
        <v>45292</v>
      </c>
      <c r="Y33" s="45">
        <v>45657</v>
      </c>
      <c r="Z33" s="42" t="s">
        <v>595</v>
      </c>
      <c r="AA33" s="42" t="s">
        <v>93</v>
      </c>
      <c r="AB33" s="7"/>
      <c r="AC33" s="7"/>
      <c r="AD33" s="7">
        <f t="shared" si="1"/>
        <v>39000</v>
      </c>
      <c r="AE33" s="7">
        <f>2580.5+2164.5+3623.75+2843.75+2580.5</f>
        <v>13793</v>
      </c>
      <c r="AF33" s="7">
        <f>5063.5+2580.5</f>
        <v>7644</v>
      </c>
      <c r="AG33" s="7">
        <f t="shared" si="0"/>
        <v>21437</v>
      </c>
    </row>
    <row r="34" spans="1:33" ht="51" x14ac:dyDescent="0.25">
      <c r="A34" s="41" t="s">
        <v>173</v>
      </c>
      <c r="B34" s="43" t="s">
        <v>327</v>
      </c>
      <c r="C34" s="43" t="s">
        <v>328</v>
      </c>
      <c r="D34" s="43" t="s">
        <v>59</v>
      </c>
      <c r="E34" s="43" t="s">
        <v>60</v>
      </c>
      <c r="F34" s="72" t="s">
        <v>253</v>
      </c>
      <c r="G34" s="42" t="s">
        <v>335</v>
      </c>
      <c r="H34" s="72" t="s">
        <v>334</v>
      </c>
      <c r="I34" s="42" t="s">
        <v>357</v>
      </c>
      <c r="J34" s="45">
        <v>43940</v>
      </c>
      <c r="K34" s="7">
        <v>59010</v>
      </c>
      <c r="L34" s="46">
        <v>12797</v>
      </c>
      <c r="M34" s="45">
        <v>43940</v>
      </c>
      <c r="N34" s="45">
        <v>44196</v>
      </c>
      <c r="O34" s="42" t="s">
        <v>356</v>
      </c>
      <c r="P34" s="42" t="s">
        <v>93</v>
      </c>
      <c r="Q34" s="7"/>
      <c r="R34" s="7"/>
      <c r="S34" s="42" t="s">
        <v>61</v>
      </c>
      <c r="T34" s="42">
        <v>4</v>
      </c>
      <c r="U34" s="45">
        <v>45292</v>
      </c>
      <c r="V34" s="46">
        <v>13683</v>
      </c>
      <c r="W34" s="42" t="s">
        <v>62</v>
      </c>
      <c r="X34" s="45">
        <v>45292</v>
      </c>
      <c r="Y34" s="45">
        <v>45657</v>
      </c>
      <c r="Z34" s="42" t="s">
        <v>93</v>
      </c>
      <c r="AA34" s="42" t="s">
        <v>93</v>
      </c>
      <c r="AB34" s="7"/>
      <c r="AC34" s="7"/>
      <c r="AD34" s="7">
        <f t="shared" si="1"/>
        <v>59010</v>
      </c>
      <c r="AE34" s="7"/>
      <c r="AF34" s="7"/>
      <c r="AG34" s="7">
        <f t="shared" si="0"/>
        <v>0</v>
      </c>
    </row>
    <row r="35" spans="1:33" ht="25.5" x14ac:dyDescent="0.25">
      <c r="A35" s="41" t="s">
        <v>174</v>
      </c>
      <c r="B35" s="42" t="s">
        <v>189</v>
      </c>
      <c r="C35" s="41" t="s">
        <v>145</v>
      </c>
      <c r="D35" s="43" t="s">
        <v>59</v>
      </c>
      <c r="E35" s="43" t="s">
        <v>60</v>
      </c>
      <c r="F35" s="73" t="s">
        <v>84</v>
      </c>
      <c r="G35" s="41" t="s">
        <v>305</v>
      </c>
      <c r="H35" s="72" t="s">
        <v>133</v>
      </c>
      <c r="I35" s="41" t="s">
        <v>188</v>
      </c>
      <c r="J35" s="48">
        <v>43965</v>
      </c>
      <c r="K35" s="7">
        <v>222912</v>
      </c>
      <c r="L35" s="52">
        <v>12798</v>
      </c>
      <c r="M35" s="48">
        <v>43965</v>
      </c>
      <c r="N35" s="48">
        <v>44196</v>
      </c>
      <c r="O35" s="49">
        <v>117</v>
      </c>
      <c r="P35" s="41" t="s">
        <v>93</v>
      </c>
      <c r="Q35" s="10"/>
      <c r="R35" s="10"/>
      <c r="S35" s="41" t="s">
        <v>100</v>
      </c>
      <c r="T35" s="41">
        <v>8</v>
      </c>
      <c r="U35" s="48">
        <v>45292</v>
      </c>
      <c r="V35" s="52">
        <v>13684</v>
      </c>
      <c r="W35" s="42" t="s">
        <v>151</v>
      </c>
      <c r="X35" s="48">
        <v>45301</v>
      </c>
      <c r="Y35" s="48">
        <v>45657</v>
      </c>
      <c r="Z35" s="54">
        <v>2.7605000000000001E-2</v>
      </c>
      <c r="AA35" s="41" t="s">
        <v>93</v>
      </c>
      <c r="AB35" s="10"/>
      <c r="AC35" s="10"/>
      <c r="AD35" s="7">
        <f t="shared" si="1"/>
        <v>222912</v>
      </c>
      <c r="AE35" s="7">
        <f>5260.88+5604.64+5604.64+5604.64+5604.64+5604.64+2802.32+2802.32+2802.32+19616.24</f>
        <v>61307.28</v>
      </c>
      <c r="AF35" s="7">
        <f>2879.68+2879.68+2879.68+2879.68</f>
        <v>11518.72</v>
      </c>
      <c r="AG35" s="7">
        <f t="shared" si="0"/>
        <v>72826</v>
      </c>
    </row>
    <row r="36" spans="1:33" ht="25.5" x14ac:dyDescent="0.25">
      <c r="A36" s="41" t="s">
        <v>261</v>
      </c>
      <c r="B36" s="42" t="s">
        <v>149</v>
      </c>
      <c r="C36" s="41" t="s">
        <v>143</v>
      </c>
      <c r="D36" s="43" t="s">
        <v>59</v>
      </c>
      <c r="E36" s="43" t="s">
        <v>60</v>
      </c>
      <c r="F36" s="73" t="s">
        <v>85</v>
      </c>
      <c r="G36" s="41" t="s">
        <v>128</v>
      </c>
      <c r="H36" s="72" t="s">
        <v>89</v>
      </c>
      <c r="I36" s="42" t="s">
        <v>87</v>
      </c>
      <c r="J36" s="48">
        <v>44053</v>
      </c>
      <c r="K36" s="7">
        <v>195597.36</v>
      </c>
      <c r="L36" s="45" t="s">
        <v>93</v>
      </c>
      <c r="M36" s="48">
        <v>44053</v>
      </c>
      <c r="N36" s="48">
        <v>44418</v>
      </c>
      <c r="O36" s="49" t="s">
        <v>139</v>
      </c>
      <c r="P36" s="41" t="s">
        <v>128</v>
      </c>
      <c r="Q36" s="10"/>
      <c r="R36" s="7"/>
      <c r="S36" s="42" t="s">
        <v>61</v>
      </c>
      <c r="T36" s="42">
        <v>4</v>
      </c>
      <c r="U36" s="45">
        <v>45147</v>
      </c>
      <c r="V36" s="46">
        <v>13602</v>
      </c>
      <c r="W36" s="42" t="s">
        <v>151</v>
      </c>
      <c r="X36" s="45">
        <v>45148</v>
      </c>
      <c r="Y36" s="45">
        <v>45513</v>
      </c>
      <c r="Z36" s="42" t="s">
        <v>93</v>
      </c>
      <c r="AA36" s="42" t="s">
        <v>93</v>
      </c>
      <c r="AB36" s="7"/>
      <c r="AC36" s="7"/>
      <c r="AD36" s="7">
        <f t="shared" si="1"/>
        <v>195597.36</v>
      </c>
      <c r="AE36" s="7">
        <f>3318.75+8381.49+27554.73+8226.5+30987.92+8226.5+3433.19+8381.49+15898.78+5352.03+3763.04+8984.92+14206.8+3763.04+5221.88+8984.92+14206.8+3763.04+8984.92+5221.88+27315.51+10143.82+4793.31+3433.19+3433.19+8226.5+8381.49+30987.92+34421.11+8381.49+8226.5+3433.19+8226.5+8381.49+3433.19+29627.8+8381.49+3433.19+8226.5+29627.8+52138.37+3763.04+8984.92+9126.44+22985.11+8984.92+3763.04+9126.44+18111.36</f>
        <v>584361.43999999994</v>
      </c>
      <c r="AF36" s="7">
        <f>32176.64+32176.64+32176.64+32176.64</f>
        <v>128706.56</v>
      </c>
      <c r="AG36" s="7">
        <f t="shared" si="0"/>
        <v>713068</v>
      </c>
    </row>
    <row r="37" spans="1:33" ht="25.5" x14ac:dyDescent="0.25">
      <c r="A37" s="41" t="s">
        <v>175</v>
      </c>
      <c r="B37" s="42" t="s">
        <v>142</v>
      </c>
      <c r="C37" s="41" t="s">
        <v>143</v>
      </c>
      <c r="D37" s="43" t="s">
        <v>59</v>
      </c>
      <c r="E37" s="43" t="s">
        <v>60</v>
      </c>
      <c r="F37" s="73" t="s">
        <v>85</v>
      </c>
      <c r="G37" s="41" t="s">
        <v>131</v>
      </c>
      <c r="H37" s="72" t="s">
        <v>132</v>
      </c>
      <c r="I37" s="42" t="s">
        <v>138</v>
      </c>
      <c r="J37" s="48">
        <v>44053</v>
      </c>
      <c r="K37" s="7">
        <v>285426</v>
      </c>
      <c r="L37" s="52">
        <v>12863</v>
      </c>
      <c r="M37" s="48">
        <v>44053</v>
      </c>
      <c r="N37" s="48">
        <v>44053</v>
      </c>
      <c r="O37" s="49" t="s">
        <v>139</v>
      </c>
      <c r="P37" s="41" t="s">
        <v>131</v>
      </c>
      <c r="Q37" s="10"/>
      <c r="R37" s="10"/>
      <c r="S37" s="41" t="s">
        <v>140</v>
      </c>
      <c r="T37" s="41">
        <v>6</v>
      </c>
      <c r="U37" s="48">
        <v>45174</v>
      </c>
      <c r="V37" s="52">
        <v>13614</v>
      </c>
      <c r="W37" s="42" t="s">
        <v>151</v>
      </c>
      <c r="X37" s="48">
        <v>45148</v>
      </c>
      <c r="Y37" s="45">
        <v>45513</v>
      </c>
      <c r="Z37" s="42" t="s">
        <v>93</v>
      </c>
      <c r="AA37" s="42" t="s">
        <v>93</v>
      </c>
      <c r="AB37" s="7"/>
      <c r="AC37" s="7"/>
      <c r="AD37" s="7">
        <f t="shared" si="1"/>
        <v>285426</v>
      </c>
      <c r="AE37" s="7">
        <f>14271.3+20281.71+13521.14+13521.14+13521.14+13521.14+13521.14+13521.14+13521.14+13521.14+13521.14+13521.14+13521.14+13521.14+14380.22+14380.22+8613.99+14380.22+14380.22+14380.22+14380.22+14380.22+14380.22</f>
        <v>320462.43999999994</v>
      </c>
      <c r="AF37" s="7">
        <f>35950.55+35950.55+35950.55+35950.55</f>
        <v>143802.20000000001</v>
      </c>
      <c r="AG37" s="7">
        <f t="shared" si="0"/>
        <v>464264.63999999996</v>
      </c>
    </row>
    <row r="38" spans="1:33" x14ac:dyDescent="0.25">
      <c r="A38" s="41" t="s">
        <v>176</v>
      </c>
      <c r="B38" s="42" t="s">
        <v>142</v>
      </c>
      <c r="C38" s="41" t="s">
        <v>144</v>
      </c>
      <c r="D38" s="43" t="s">
        <v>59</v>
      </c>
      <c r="E38" s="43" t="s">
        <v>60</v>
      </c>
      <c r="F38" s="73" t="s">
        <v>85</v>
      </c>
      <c r="G38" s="41" t="s">
        <v>129</v>
      </c>
      <c r="H38" s="72" t="s">
        <v>130</v>
      </c>
      <c r="I38" s="42" t="s">
        <v>136</v>
      </c>
      <c r="J38" s="48">
        <v>44053</v>
      </c>
      <c r="K38" s="7">
        <v>285426</v>
      </c>
      <c r="L38" s="52">
        <v>12863</v>
      </c>
      <c r="M38" s="48">
        <v>44053</v>
      </c>
      <c r="N38" s="48">
        <v>44418</v>
      </c>
      <c r="O38" s="49">
        <v>126</v>
      </c>
      <c r="P38" s="41" t="s">
        <v>129</v>
      </c>
      <c r="Q38" s="10"/>
      <c r="R38" s="10"/>
      <c r="S38" s="41" t="s">
        <v>61</v>
      </c>
      <c r="T38" s="41">
        <v>4</v>
      </c>
      <c r="U38" s="48">
        <v>45174</v>
      </c>
      <c r="V38" s="52">
        <v>13614</v>
      </c>
      <c r="W38" s="42" t="s">
        <v>646</v>
      </c>
      <c r="X38" s="48">
        <v>45148</v>
      </c>
      <c r="Y38" s="45">
        <v>45513</v>
      </c>
      <c r="Z38" s="42" t="s">
        <v>93</v>
      </c>
      <c r="AA38" s="42" t="s">
        <v>93</v>
      </c>
      <c r="AB38" s="7"/>
      <c r="AC38" s="7"/>
      <c r="AD38" s="7">
        <f t="shared" si="1"/>
        <v>285426</v>
      </c>
      <c r="AE38" s="7">
        <f>14399.08+14399.08+14399.08+14399.08+14399.08+14399.08+14399.08+14399.08+11601.24+66075.39+11601.24+11601.24+11601.24</f>
        <v>227672.99</v>
      </c>
      <c r="AF38" s="7">
        <f>11601.24+23202.48+19335.4+23202.48</f>
        <v>77341.600000000006</v>
      </c>
      <c r="AG38" s="7">
        <f t="shared" si="0"/>
        <v>305014.58999999997</v>
      </c>
    </row>
    <row r="39" spans="1:33" x14ac:dyDescent="0.25">
      <c r="A39" s="41" t="s">
        <v>177</v>
      </c>
      <c r="B39" s="42" t="s">
        <v>218</v>
      </c>
      <c r="C39" s="41" t="s">
        <v>219</v>
      </c>
      <c r="D39" s="43" t="s">
        <v>59</v>
      </c>
      <c r="E39" s="43" t="s">
        <v>60</v>
      </c>
      <c r="F39" s="73" t="s">
        <v>84</v>
      </c>
      <c r="G39" s="42" t="s">
        <v>220</v>
      </c>
      <c r="H39" s="72" t="s">
        <v>221</v>
      </c>
      <c r="I39" s="42" t="s">
        <v>222</v>
      </c>
      <c r="J39" s="45">
        <v>44088</v>
      </c>
      <c r="K39" s="7">
        <v>86352</v>
      </c>
      <c r="L39" s="46">
        <v>12886</v>
      </c>
      <c r="M39" s="45">
        <v>44088</v>
      </c>
      <c r="N39" s="45">
        <v>44452</v>
      </c>
      <c r="O39" s="42" t="s">
        <v>126</v>
      </c>
      <c r="P39" s="45" t="s">
        <v>93</v>
      </c>
      <c r="Q39" s="10"/>
      <c r="R39" s="7"/>
      <c r="S39" s="42" t="s">
        <v>61</v>
      </c>
      <c r="T39" s="42">
        <v>3</v>
      </c>
      <c r="U39" s="45" t="s">
        <v>645</v>
      </c>
      <c r="V39" s="46">
        <v>13615</v>
      </c>
      <c r="W39" s="42" t="s">
        <v>62</v>
      </c>
      <c r="X39" s="45">
        <v>45183</v>
      </c>
      <c r="Y39" s="45">
        <v>45548</v>
      </c>
      <c r="Z39" s="45" t="s">
        <v>93</v>
      </c>
      <c r="AA39" s="45" t="s">
        <v>93</v>
      </c>
      <c r="AB39" s="7"/>
      <c r="AC39" s="7"/>
      <c r="AD39" s="7">
        <f t="shared" si="1"/>
        <v>86352</v>
      </c>
      <c r="AE39" s="7">
        <f>3598+3598+3598+3598+3598+3598+3598+3598+3598+3598+3598+3598</f>
        <v>43176</v>
      </c>
      <c r="AF39" s="7">
        <f>3598+3598+3598+3598</f>
        <v>14392</v>
      </c>
      <c r="AG39" s="7">
        <f t="shared" si="0"/>
        <v>57568</v>
      </c>
    </row>
    <row r="40" spans="1:33" ht="51" x14ac:dyDescent="0.25">
      <c r="A40" s="41" t="s">
        <v>178</v>
      </c>
      <c r="B40" s="43" t="s">
        <v>300</v>
      </c>
      <c r="C40" s="43" t="s">
        <v>301</v>
      </c>
      <c r="D40" s="43" t="s">
        <v>59</v>
      </c>
      <c r="E40" s="43" t="s">
        <v>60</v>
      </c>
      <c r="F40" s="72" t="s">
        <v>253</v>
      </c>
      <c r="G40" s="42" t="s">
        <v>298</v>
      </c>
      <c r="H40" s="72" t="s">
        <v>299</v>
      </c>
      <c r="I40" s="42" t="s">
        <v>302</v>
      </c>
      <c r="J40" s="45">
        <v>44167</v>
      </c>
      <c r="K40" s="7">
        <v>39200</v>
      </c>
      <c r="L40" s="46">
        <v>12944</v>
      </c>
      <c r="M40" s="45">
        <v>44167</v>
      </c>
      <c r="N40" s="45">
        <v>44531</v>
      </c>
      <c r="O40" s="42">
        <v>117</v>
      </c>
      <c r="P40" s="42" t="s">
        <v>93</v>
      </c>
      <c r="Q40" s="7"/>
      <c r="R40" s="7"/>
      <c r="S40" s="42" t="s">
        <v>303</v>
      </c>
      <c r="T40" s="42">
        <v>2</v>
      </c>
      <c r="U40" s="45">
        <v>44863</v>
      </c>
      <c r="V40" s="46">
        <v>13421</v>
      </c>
      <c r="W40" s="42" t="s">
        <v>62</v>
      </c>
      <c r="X40" s="45">
        <v>44897</v>
      </c>
      <c r="Y40" s="45">
        <v>45261</v>
      </c>
      <c r="Z40" s="42" t="s">
        <v>93</v>
      </c>
      <c r="AA40" s="42" t="s">
        <v>93</v>
      </c>
      <c r="AB40" s="7"/>
      <c r="AC40" s="7"/>
      <c r="AD40" s="7">
        <f t="shared" si="1"/>
        <v>39200</v>
      </c>
      <c r="AE40" s="7">
        <f>2960+880+320</f>
        <v>4160</v>
      </c>
      <c r="AF40" s="7"/>
      <c r="AG40" s="7">
        <f t="shared" si="0"/>
        <v>4160</v>
      </c>
    </row>
    <row r="41" spans="1:33" ht="51" x14ac:dyDescent="0.25">
      <c r="A41" s="41" t="s">
        <v>262</v>
      </c>
      <c r="B41" s="43" t="s">
        <v>788</v>
      </c>
      <c r="C41" s="43" t="s">
        <v>789</v>
      </c>
      <c r="D41" s="43" t="s">
        <v>59</v>
      </c>
      <c r="E41" s="43" t="s">
        <v>60</v>
      </c>
      <c r="F41" s="72" t="s">
        <v>253</v>
      </c>
      <c r="G41" s="42" t="s">
        <v>785</v>
      </c>
      <c r="H41" s="72" t="s">
        <v>786</v>
      </c>
      <c r="I41" s="42" t="s">
        <v>790</v>
      </c>
      <c r="J41" s="45">
        <v>44144</v>
      </c>
      <c r="K41" s="7">
        <v>349653.68</v>
      </c>
      <c r="L41" s="46">
        <v>12927</v>
      </c>
      <c r="M41" s="45">
        <v>44144</v>
      </c>
      <c r="N41" s="45">
        <v>44508</v>
      </c>
      <c r="O41" s="49" t="s">
        <v>139</v>
      </c>
      <c r="P41" s="42"/>
      <c r="Q41" s="7"/>
      <c r="R41" s="7"/>
      <c r="S41" s="42" t="s">
        <v>92</v>
      </c>
      <c r="T41" s="42">
        <v>3</v>
      </c>
      <c r="U41" s="45">
        <v>45239</v>
      </c>
      <c r="V41" s="46">
        <v>13654</v>
      </c>
      <c r="W41" s="42" t="s">
        <v>62</v>
      </c>
      <c r="X41" s="45">
        <v>45239</v>
      </c>
      <c r="Y41" s="45">
        <v>45604</v>
      </c>
      <c r="Z41" s="42"/>
      <c r="AA41" s="42"/>
      <c r="AB41" s="7"/>
      <c r="AC41" s="7"/>
      <c r="AD41" s="7">
        <f t="shared" si="1"/>
        <v>349653.68</v>
      </c>
      <c r="AE41" s="7"/>
      <c r="AF41" s="7">
        <f>1177.55+1115.17</f>
        <v>2292.7200000000003</v>
      </c>
      <c r="AG41" s="7">
        <f t="shared" si="0"/>
        <v>2292.7200000000003</v>
      </c>
    </row>
    <row r="42" spans="1:33" ht="25.5" x14ac:dyDescent="0.25">
      <c r="A42" s="41" t="s">
        <v>263</v>
      </c>
      <c r="B42" s="42" t="s">
        <v>146</v>
      </c>
      <c r="C42" s="41" t="s">
        <v>145</v>
      </c>
      <c r="D42" s="43" t="s">
        <v>59</v>
      </c>
      <c r="E42" s="43" t="s">
        <v>60</v>
      </c>
      <c r="F42" s="73" t="s">
        <v>84</v>
      </c>
      <c r="G42" s="41" t="s">
        <v>134</v>
      </c>
      <c r="H42" s="72" t="s">
        <v>135</v>
      </c>
      <c r="I42" s="42" t="s">
        <v>137</v>
      </c>
      <c r="J42" s="48">
        <v>44174</v>
      </c>
      <c r="K42" s="7">
        <v>64788</v>
      </c>
      <c r="L42" s="52">
        <v>12927</v>
      </c>
      <c r="M42" s="48" t="s">
        <v>93</v>
      </c>
      <c r="N42" s="48" t="s">
        <v>93</v>
      </c>
      <c r="O42" s="49">
        <v>117</v>
      </c>
      <c r="P42" s="41" t="s">
        <v>134</v>
      </c>
      <c r="Q42" s="10"/>
      <c r="R42" s="10"/>
      <c r="S42" s="41" t="s">
        <v>61</v>
      </c>
      <c r="T42" s="42">
        <v>3</v>
      </c>
      <c r="U42" s="45">
        <v>44874</v>
      </c>
      <c r="V42" s="46">
        <v>13457</v>
      </c>
      <c r="W42" s="42" t="s">
        <v>151</v>
      </c>
      <c r="X42" s="45">
        <v>44875</v>
      </c>
      <c r="Y42" s="45">
        <v>45239</v>
      </c>
      <c r="Z42" s="55">
        <v>7.0113999999999996E-2</v>
      </c>
      <c r="AA42" s="42" t="s">
        <v>93</v>
      </c>
      <c r="AB42" s="7"/>
      <c r="AC42" s="7"/>
      <c r="AD42" s="7">
        <f t="shared" si="1"/>
        <v>64788</v>
      </c>
      <c r="AE42" s="7">
        <f>5777.54+5777.54+5777.54+5777.54+5777.54+5777.54+5777.54+5777.54+5777.54+5777.54+5777.54+5777.54</f>
        <v>69330.48</v>
      </c>
      <c r="AF42" s="7">
        <f>5777.54+5777.54+5777.54+5777.54</f>
        <v>23110.16</v>
      </c>
      <c r="AG42" s="7">
        <f t="shared" si="0"/>
        <v>92440.639999999999</v>
      </c>
    </row>
    <row r="43" spans="1:33" ht="25.5" x14ac:dyDescent="0.25">
      <c r="A43" s="41" t="s">
        <v>179</v>
      </c>
      <c r="B43" s="42" t="s">
        <v>189</v>
      </c>
      <c r="C43" s="41" t="s">
        <v>145</v>
      </c>
      <c r="D43" s="43" t="s">
        <v>59</v>
      </c>
      <c r="E43" s="43" t="s">
        <v>60</v>
      </c>
      <c r="F43" s="73" t="s">
        <v>84</v>
      </c>
      <c r="G43" s="41" t="s">
        <v>190</v>
      </c>
      <c r="H43" s="72" t="s">
        <v>133</v>
      </c>
      <c r="I43" s="41" t="s">
        <v>188</v>
      </c>
      <c r="J43" s="48">
        <v>44138</v>
      </c>
      <c r="K43" s="7">
        <v>149608</v>
      </c>
      <c r="L43" s="52">
        <v>12927</v>
      </c>
      <c r="M43" s="48">
        <v>44138</v>
      </c>
      <c r="N43" s="48">
        <v>44503</v>
      </c>
      <c r="O43" s="49" t="s">
        <v>139</v>
      </c>
      <c r="P43" s="41" t="s">
        <v>93</v>
      </c>
      <c r="Q43" s="10"/>
      <c r="R43" s="10"/>
      <c r="S43" s="41" t="s">
        <v>61</v>
      </c>
      <c r="T43" s="41">
        <v>6</v>
      </c>
      <c r="U43" s="48">
        <v>44910</v>
      </c>
      <c r="V43" s="52">
        <v>13440</v>
      </c>
      <c r="W43" s="42" t="s">
        <v>237</v>
      </c>
      <c r="X43" s="45">
        <v>44869</v>
      </c>
      <c r="Y43" s="45">
        <v>45233</v>
      </c>
      <c r="Z43" s="42" t="s">
        <v>93</v>
      </c>
      <c r="AA43" s="42" t="s">
        <v>93</v>
      </c>
      <c r="AB43" s="7"/>
      <c r="AC43" s="7"/>
      <c r="AD43" s="7">
        <f t="shared" si="1"/>
        <v>149608</v>
      </c>
      <c r="AE43" s="7">
        <f>2420.31+2420.31+2420.31+2427.57</f>
        <v>9688.5</v>
      </c>
      <c r="AF43" s="7">
        <f>2427.57+2427.57+2427.57</f>
        <v>7282.7100000000009</v>
      </c>
      <c r="AG43" s="7">
        <f t="shared" si="0"/>
        <v>16971.21</v>
      </c>
    </row>
    <row r="44" spans="1:33" x14ac:dyDescent="0.25">
      <c r="A44" s="41" t="s">
        <v>180</v>
      </c>
      <c r="B44" s="42" t="s">
        <v>199</v>
      </c>
      <c r="C44" s="41" t="s">
        <v>198</v>
      </c>
      <c r="D44" s="43" t="s">
        <v>59</v>
      </c>
      <c r="E44" s="43" t="s">
        <v>60</v>
      </c>
      <c r="F44" s="73" t="s">
        <v>85</v>
      </c>
      <c r="G44" s="41" t="s">
        <v>292</v>
      </c>
      <c r="H44" s="72" t="s">
        <v>296</v>
      </c>
      <c r="I44" s="46" t="s">
        <v>206</v>
      </c>
      <c r="J44" s="48">
        <v>44531</v>
      </c>
      <c r="K44" s="7">
        <v>68119.789999999994</v>
      </c>
      <c r="L44" s="45" t="s">
        <v>93</v>
      </c>
      <c r="M44" s="48">
        <v>44531</v>
      </c>
      <c r="N44" s="48">
        <v>44531</v>
      </c>
      <c r="O44" s="49" t="s">
        <v>126</v>
      </c>
      <c r="P44" s="41" t="s">
        <v>197</v>
      </c>
      <c r="Q44" s="10"/>
      <c r="R44" s="7"/>
      <c r="S44" s="42" t="s">
        <v>61</v>
      </c>
      <c r="T44" s="42">
        <v>3</v>
      </c>
      <c r="U44" s="45">
        <v>44863</v>
      </c>
      <c r="V44" s="46">
        <v>13421</v>
      </c>
      <c r="W44" s="42" t="s">
        <v>62</v>
      </c>
      <c r="X44" s="45">
        <v>44896</v>
      </c>
      <c r="Y44" s="45">
        <v>45260</v>
      </c>
      <c r="Z44" s="45" t="s">
        <v>93</v>
      </c>
      <c r="AA44" s="45" t="s">
        <v>93</v>
      </c>
      <c r="AB44" s="7"/>
      <c r="AC44" s="7"/>
      <c r="AD44" s="7">
        <f t="shared" si="1"/>
        <v>68119.789999999994</v>
      </c>
      <c r="AE44" s="7">
        <f>16684.41+2961.73+2961.73+17770.38+2961.73+25668.32+21916.8+2961.73+7108.11+85188.32</f>
        <v>186183.26</v>
      </c>
      <c r="AF44" s="7"/>
      <c r="AG44" s="7">
        <f t="shared" si="0"/>
        <v>186183.26</v>
      </c>
    </row>
    <row r="45" spans="1:33" x14ac:dyDescent="0.25">
      <c r="A45" s="41" t="s">
        <v>264</v>
      </c>
      <c r="B45" s="42" t="s">
        <v>142</v>
      </c>
      <c r="C45" s="41" t="s">
        <v>143</v>
      </c>
      <c r="D45" s="43" t="s">
        <v>59</v>
      </c>
      <c r="E45" s="43" t="s">
        <v>60</v>
      </c>
      <c r="F45" s="73" t="s">
        <v>85</v>
      </c>
      <c r="G45" s="41" t="s">
        <v>252</v>
      </c>
      <c r="H45" s="72" t="s">
        <v>132</v>
      </c>
      <c r="I45" s="42" t="s">
        <v>200</v>
      </c>
      <c r="J45" s="48">
        <v>44237</v>
      </c>
      <c r="K45" s="7">
        <v>285426</v>
      </c>
      <c r="L45" s="52"/>
      <c r="M45" s="48">
        <v>44237</v>
      </c>
      <c r="N45" s="48">
        <v>44602</v>
      </c>
      <c r="O45" s="49" t="s">
        <v>126</v>
      </c>
      <c r="P45" s="41" t="s">
        <v>93</v>
      </c>
      <c r="Q45" s="10"/>
      <c r="R45" s="10"/>
      <c r="S45" s="41" t="s">
        <v>100</v>
      </c>
      <c r="T45" s="41">
        <v>3</v>
      </c>
      <c r="U45" s="48">
        <v>44966</v>
      </c>
      <c r="V45" s="52">
        <v>13477</v>
      </c>
      <c r="W45" s="42" t="s">
        <v>141</v>
      </c>
      <c r="X45" s="48">
        <v>44967</v>
      </c>
      <c r="Y45" s="45">
        <v>45331</v>
      </c>
      <c r="Z45" s="53">
        <v>0.05</v>
      </c>
      <c r="AA45" s="42" t="s">
        <v>93</v>
      </c>
      <c r="AB45" s="7"/>
      <c r="AC45" s="7"/>
      <c r="AD45" s="7">
        <f t="shared" si="1"/>
        <v>285426</v>
      </c>
      <c r="AE45" s="7">
        <f>6760.57+6760.57+6760.57+6760.57+6760.57+6760.57+6760.57+13521.14+13521.14+6760.57+6760.57+13521.14+6760.57+13521.14+1352.11+13521.14+13521.14+12886.2+14380.22+7190.11</f>
        <v>184541.18000000002</v>
      </c>
      <c r="AF45" s="7">
        <f>21570.33+21570.33+21570.32+21570.33</f>
        <v>86281.31</v>
      </c>
      <c r="AG45" s="7">
        <f t="shared" si="0"/>
        <v>270822.49</v>
      </c>
    </row>
    <row r="46" spans="1:33" x14ac:dyDescent="0.25">
      <c r="A46" s="41" t="s">
        <v>265</v>
      </c>
      <c r="B46" s="42" t="s">
        <v>195</v>
      </c>
      <c r="C46" s="42" t="s">
        <v>194</v>
      </c>
      <c r="D46" s="43" t="s">
        <v>59</v>
      </c>
      <c r="E46" s="43" t="s">
        <v>63</v>
      </c>
      <c r="F46" s="72" t="s">
        <v>85</v>
      </c>
      <c r="G46" s="44" t="s">
        <v>148</v>
      </c>
      <c r="H46" s="75" t="s">
        <v>89</v>
      </c>
      <c r="I46" s="41" t="s">
        <v>87</v>
      </c>
      <c r="J46" s="45">
        <v>44237</v>
      </c>
      <c r="K46" s="7">
        <v>1995152.04</v>
      </c>
      <c r="L46" s="46"/>
      <c r="M46" s="45">
        <v>44237</v>
      </c>
      <c r="N46" s="45">
        <v>44602</v>
      </c>
      <c r="O46" s="43" t="s">
        <v>126</v>
      </c>
      <c r="P46" s="42" t="s">
        <v>93</v>
      </c>
      <c r="Q46" s="7"/>
      <c r="R46" s="7"/>
      <c r="S46" s="42" t="s">
        <v>100</v>
      </c>
      <c r="T46" s="42">
        <v>5</v>
      </c>
      <c r="U46" s="45">
        <v>45201</v>
      </c>
      <c r="V46" s="46">
        <v>13629</v>
      </c>
      <c r="W46" s="42" t="s">
        <v>238</v>
      </c>
      <c r="X46" s="45">
        <v>44968</v>
      </c>
      <c r="Y46" s="45">
        <v>45332</v>
      </c>
      <c r="Z46" s="53">
        <v>0.05</v>
      </c>
      <c r="AA46" s="42"/>
      <c r="AB46" s="7"/>
      <c r="AC46" s="7"/>
      <c r="AD46" s="7">
        <f t="shared" si="1"/>
        <v>1995152.04</v>
      </c>
      <c r="AE46" s="7">
        <f>28980.63+7021.37+63308.75+28980.63+7021.37+55925.17+32413.82+7021.37+56316.68+28980.63+60489.8+7021.37+28980.63+60836.53+7021.37+28980.63+63153.76+7021.37+61479.27+28980.63+7021.37+59565.58+7021.37+28980.63+28980.63+7021.37+56336.22+123756.71+61014.8+31704.68+7667.6+31704.68+7667.6+61014.8+11572.16+31704.68+65060.88</f>
        <v>1297731.5399999998</v>
      </c>
      <c r="AF46" s="7">
        <f>11572.16+96765.56+11572.16+93002.52+11572.16+93002.52+27941.64+11572.16+65060.88</f>
        <v>422061.76</v>
      </c>
      <c r="AG46" s="7">
        <f t="shared" si="0"/>
        <v>1719793.2999999998</v>
      </c>
    </row>
    <row r="47" spans="1:33" x14ac:dyDescent="0.25">
      <c r="A47" s="41" t="s">
        <v>499</v>
      </c>
      <c r="B47" s="42" t="s">
        <v>212</v>
      </c>
      <c r="C47" s="41" t="s">
        <v>213</v>
      </c>
      <c r="D47" s="43" t="s">
        <v>59</v>
      </c>
      <c r="E47" s="43" t="s">
        <v>60</v>
      </c>
      <c r="F47" s="73" t="s">
        <v>85</v>
      </c>
      <c r="G47" s="42" t="s">
        <v>209</v>
      </c>
      <c r="H47" s="72" t="s">
        <v>211</v>
      </c>
      <c r="I47" s="42" t="s">
        <v>210</v>
      </c>
      <c r="J47" s="45">
        <v>44239</v>
      </c>
      <c r="K47" s="7">
        <v>517333.92</v>
      </c>
      <c r="L47" s="46">
        <v>12994</v>
      </c>
      <c r="M47" s="45">
        <v>44239</v>
      </c>
      <c r="N47" s="45">
        <v>44604</v>
      </c>
      <c r="O47" s="42" t="s">
        <v>126</v>
      </c>
      <c r="P47" s="42" t="s">
        <v>209</v>
      </c>
      <c r="Q47" s="10"/>
      <c r="R47" s="7"/>
      <c r="S47" s="42" t="s">
        <v>61</v>
      </c>
      <c r="T47" s="42">
        <v>5</v>
      </c>
      <c r="U47" s="45">
        <v>45335</v>
      </c>
      <c r="V47" s="46">
        <v>13712</v>
      </c>
      <c r="W47" s="42" t="s">
        <v>62</v>
      </c>
      <c r="X47" s="45">
        <v>45335</v>
      </c>
      <c r="Y47" s="45">
        <v>45700</v>
      </c>
      <c r="Z47" s="45" t="s">
        <v>93</v>
      </c>
      <c r="AA47" s="45" t="s">
        <v>93</v>
      </c>
      <c r="AB47" s="7"/>
      <c r="AC47" s="7"/>
      <c r="AD47" s="7">
        <f t="shared" si="1"/>
        <v>517333.92</v>
      </c>
      <c r="AE47" s="7">
        <f>32635.24+33480.44+33480.44+33480.44+33480.44+33480.44+33480.44+33480.44+33480.44+33480.44+33480.44+33480.44</f>
        <v>400920.08</v>
      </c>
      <c r="AF47" s="7">
        <f>32113+32113+32113</f>
        <v>96339</v>
      </c>
      <c r="AG47" s="7">
        <f t="shared" si="0"/>
        <v>497259.08</v>
      </c>
    </row>
    <row r="48" spans="1:33" x14ac:dyDescent="0.25">
      <c r="A48" s="41" t="s">
        <v>500</v>
      </c>
      <c r="B48" s="42" t="s">
        <v>146</v>
      </c>
      <c r="C48" s="41" t="s">
        <v>145</v>
      </c>
      <c r="D48" s="43" t="s">
        <v>59</v>
      </c>
      <c r="E48" s="43" t="s">
        <v>60</v>
      </c>
      <c r="F48" s="73" t="s">
        <v>85</v>
      </c>
      <c r="G48" s="41" t="s">
        <v>160</v>
      </c>
      <c r="H48" s="72" t="s">
        <v>158</v>
      </c>
      <c r="I48" s="42" t="s">
        <v>159</v>
      </c>
      <c r="J48" s="48">
        <v>44239</v>
      </c>
      <c r="K48" s="7">
        <v>31200</v>
      </c>
      <c r="L48" s="45" t="s">
        <v>93</v>
      </c>
      <c r="M48" s="48">
        <v>44239</v>
      </c>
      <c r="N48" s="48">
        <v>44604</v>
      </c>
      <c r="O48" s="49" t="s">
        <v>126</v>
      </c>
      <c r="P48" s="41" t="s">
        <v>160</v>
      </c>
      <c r="Q48" s="10"/>
      <c r="R48" s="7"/>
      <c r="S48" s="42" t="s">
        <v>61</v>
      </c>
      <c r="T48" s="42">
        <v>1</v>
      </c>
      <c r="U48" s="45">
        <v>44600</v>
      </c>
      <c r="V48" s="46">
        <v>13233</v>
      </c>
      <c r="W48" s="45" t="s">
        <v>62</v>
      </c>
      <c r="X48" s="45">
        <v>44604</v>
      </c>
      <c r="Y48" s="45">
        <v>44968</v>
      </c>
      <c r="Z48" s="42" t="s">
        <v>93</v>
      </c>
      <c r="AA48" s="42" t="s">
        <v>93</v>
      </c>
      <c r="AB48" s="7"/>
      <c r="AC48" s="7"/>
      <c r="AD48" s="7">
        <f t="shared" si="1"/>
        <v>31200</v>
      </c>
      <c r="AE48" s="7">
        <f>2600+476.67</f>
        <v>3076.67</v>
      </c>
      <c r="AF48" s="7"/>
      <c r="AG48" s="7">
        <f t="shared" si="0"/>
        <v>3076.67</v>
      </c>
    </row>
    <row r="49" spans="1:33" ht="25.5" x14ac:dyDescent="0.25">
      <c r="A49" s="41" t="s">
        <v>501</v>
      </c>
      <c r="B49" s="42" t="s">
        <v>146</v>
      </c>
      <c r="C49" s="41" t="s">
        <v>145</v>
      </c>
      <c r="D49" s="43" t="s">
        <v>59</v>
      </c>
      <c r="E49" s="43" t="s">
        <v>60</v>
      </c>
      <c r="F49" s="73" t="s">
        <v>84</v>
      </c>
      <c r="G49" s="42" t="s">
        <v>224</v>
      </c>
      <c r="H49" s="72" t="s">
        <v>225</v>
      </c>
      <c r="I49" s="42" t="s">
        <v>91</v>
      </c>
      <c r="J49" s="45">
        <v>44239</v>
      </c>
      <c r="K49" s="7">
        <v>90960</v>
      </c>
      <c r="L49" s="46">
        <v>12989</v>
      </c>
      <c r="M49" s="45">
        <v>44239</v>
      </c>
      <c r="N49" s="45">
        <v>44561</v>
      </c>
      <c r="O49" s="42" t="s">
        <v>126</v>
      </c>
      <c r="P49" s="45" t="s">
        <v>93</v>
      </c>
      <c r="Q49" s="10"/>
      <c r="R49" s="7"/>
      <c r="S49" s="42" t="s">
        <v>61</v>
      </c>
      <c r="T49" s="42">
        <v>4</v>
      </c>
      <c r="U49" s="45">
        <v>44967</v>
      </c>
      <c r="V49" s="46">
        <v>13473</v>
      </c>
      <c r="W49" s="42" t="s">
        <v>151</v>
      </c>
      <c r="X49" s="45">
        <v>44969</v>
      </c>
      <c r="Y49" s="45">
        <v>45333</v>
      </c>
      <c r="Z49" s="47">
        <v>0.14627899999999999</v>
      </c>
      <c r="AA49" s="45" t="s">
        <v>93</v>
      </c>
      <c r="AB49" s="7"/>
      <c r="AC49" s="7"/>
      <c r="AD49" s="7">
        <f t="shared" si="1"/>
        <v>90960</v>
      </c>
      <c r="AE49" s="7">
        <f>8688.8+8688.8+8688.8+8688.8+8688.8+4344.4+4344.4+4344.4+4344.4+4344.4+868.88</f>
        <v>66034.880000000005</v>
      </c>
      <c r="AF49" s="7"/>
      <c r="AG49" s="7">
        <f t="shared" si="0"/>
        <v>66034.880000000005</v>
      </c>
    </row>
    <row r="50" spans="1:33" ht="25.5" x14ac:dyDescent="0.25">
      <c r="A50" s="41" t="s">
        <v>502</v>
      </c>
      <c r="B50" s="42" t="s">
        <v>205</v>
      </c>
      <c r="C50" s="41" t="s">
        <v>204</v>
      </c>
      <c r="D50" s="43" t="s">
        <v>59</v>
      </c>
      <c r="E50" s="43" t="s">
        <v>60</v>
      </c>
      <c r="F50" s="73" t="s">
        <v>85</v>
      </c>
      <c r="G50" s="41" t="s">
        <v>201</v>
      </c>
      <c r="H50" s="72" t="s">
        <v>202</v>
      </c>
      <c r="I50" s="46" t="s">
        <v>203</v>
      </c>
      <c r="J50" s="48">
        <v>44319</v>
      </c>
      <c r="K50" s="7">
        <v>2521757.4</v>
      </c>
      <c r="L50" s="45" t="s">
        <v>93</v>
      </c>
      <c r="M50" s="48">
        <v>44319</v>
      </c>
      <c r="N50" s="48">
        <v>44684</v>
      </c>
      <c r="O50" s="49" t="s">
        <v>126</v>
      </c>
      <c r="P50" s="41" t="s">
        <v>201</v>
      </c>
      <c r="Q50" s="10"/>
      <c r="R50" s="7"/>
      <c r="S50" s="42" t="s">
        <v>61</v>
      </c>
      <c r="T50" s="42">
        <v>2</v>
      </c>
      <c r="U50" s="45">
        <v>45050</v>
      </c>
      <c r="V50" s="46">
        <v>13539</v>
      </c>
      <c r="W50" s="45" t="s">
        <v>151</v>
      </c>
      <c r="X50" s="45">
        <v>45050</v>
      </c>
      <c r="Y50" s="45">
        <v>45415</v>
      </c>
      <c r="Z50" s="45" t="s">
        <v>93</v>
      </c>
      <c r="AA50" s="53">
        <v>0.05</v>
      </c>
      <c r="AB50" s="7"/>
      <c r="AC50" s="7"/>
      <c r="AD50" s="7">
        <f t="shared" si="1"/>
        <v>2521757.4</v>
      </c>
      <c r="AE50" s="7">
        <f>159797.34+11915.72+11915.72+155615.61+153004.37+11915.72+150195.27+11915.72+157487.52+11915.72+12659.78+166273.51+162746.28+12659.78+5426.51+145652.79+5426.51+145652.79+148879.93+8139.76+147915.91+8139.76+159490.38+8139.76</f>
        <v>1972882.16</v>
      </c>
      <c r="AF50" s="7">
        <f>168717.31+159573.12+139823.16+131472.71</f>
        <v>599586.29999999993</v>
      </c>
      <c r="AG50" s="7">
        <f t="shared" si="0"/>
        <v>2572468.46</v>
      </c>
    </row>
    <row r="51" spans="1:33" x14ac:dyDescent="0.25">
      <c r="A51" s="41" t="s">
        <v>503</v>
      </c>
      <c r="B51" s="42" t="s">
        <v>242</v>
      </c>
      <c r="C51" s="41" t="s">
        <v>241</v>
      </c>
      <c r="D51" s="43" t="s">
        <v>59</v>
      </c>
      <c r="E51" s="43" t="s">
        <v>60</v>
      </c>
      <c r="F51" s="73" t="s">
        <v>234</v>
      </c>
      <c r="G51" s="42" t="s">
        <v>240</v>
      </c>
      <c r="H51" s="72" t="s">
        <v>232</v>
      </c>
      <c r="I51" s="42" t="s">
        <v>243</v>
      </c>
      <c r="J51" s="45">
        <v>44405</v>
      </c>
      <c r="K51" s="7">
        <v>85000</v>
      </c>
      <c r="L51" s="46">
        <v>13076</v>
      </c>
      <c r="M51" s="45">
        <v>44405</v>
      </c>
      <c r="N51" s="45">
        <v>44561</v>
      </c>
      <c r="O51" s="42" t="s">
        <v>139</v>
      </c>
      <c r="P51" s="42" t="s">
        <v>240</v>
      </c>
      <c r="Q51" s="7"/>
      <c r="R51" s="7"/>
      <c r="S51" s="42" t="s">
        <v>100</v>
      </c>
      <c r="T51" s="45" t="s">
        <v>93</v>
      </c>
      <c r="U51" s="45" t="s">
        <v>93</v>
      </c>
      <c r="V51" s="45" t="s">
        <v>93</v>
      </c>
      <c r="W51" s="45" t="s">
        <v>93</v>
      </c>
      <c r="X51" s="45" t="s">
        <v>93</v>
      </c>
      <c r="Y51" s="45" t="s">
        <v>93</v>
      </c>
      <c r="Z51" s="45" t="s">
        <v>93</v>
      </c>
      <c r="AA51" s="45" t="s">
        <v>93</v>
      </c>
      <c r="AB51" s="7"/>
      <c r="AC51" s="7"/>
      <c r="AD51" s="7">
        <f t="shared" si="1"/>
        <v>85000</v>
      </c>
      <c r="AE51" s="7"/>
      <c r="AF51" s="7"/>
      <c r="AG51" s="7">
        <f t="shared" si="0"/>
        <v>0</v>
      </c>
    </row>
    <row r="52" spans="1:33" x14ac:dyDescent="0.25">
      <c r="A52" s="41" t="s">
        <v>504</v>
      </c>
      <c r="B52" s="42" t="s">
        <v>216</v>
      </c>
      <c r="C52" s="41" t="s">
        <v>156</v>
      </c>
      <c r="D52" s="43" t="s">
        <v>59</v>
      </c>
      <c r="E52" s="43" t="s">
        <v>60</v>
      </c>
      <c r="F52" s="73" t="s">
        <v>76</v>
      </c>
      <c r="G52" s="42" t="s">
        <v>214</v>
      </c>
      <c r="H52" s="72" t="s">
        <v>215</v>
      </c>
      <c r="I52" s="42" t="s">
        <v>223</v>
      </c>
      <c r="J52" s="45">
        <v>44414</v>
      </c>
      <c r="K52" s="7">
        <v>29670.12</v>
      </c>
      <c r="L52" s="46">
        <v>13110</v>
      </c>
      <c r="M52" s="45">
        <v>44414</v>
      </c>
      <c r="N52" s="45">
        <v>44778</v>
      </c>
      <c r="O52" s="42">
        <v>101</v>
      </c>
      <c r="P52" s="45" t="s">
        <v>93</v>
      </c>
      <c r="Q52" s="10"/>
      <c r="R52" s="7"/>
      <c r="S52" s="42" t="s">
        <v>83</v>
      </c>
      <c r="T52" s="42">
        <v>2</v>
      </c>
      <c r="U52" s="45">
        <v>45142</v>
      </c>
      <c r="V52" s="45">
        <v>13591</v>
      </c>
      <c r="W52" s="42" t="s">
        <v>62</v>
      </c>
      <c r="X52" s="45">
        <v>45144</v>
      </c>
      <c r="Y52" s="45">
        <v>45509</v>
      </c>
      <c r="Z52" s="45" t="s">
        <v>93</v>
      </c>
      <c r="AA52" s="45" t="s">
        <v>93</v>
      </c>
      <c r="AB52" s="7"/>
      <c r="AC52" s="7"/>
      <c r="AD52" s="7">
        <f t="shared" si="1"/>
        <v>29670.12</v>
      </c>
      <c r="AE52" s="7">
        <f>2737.09+2737.09+2737.09+2737.09+2737.09+2737.09+2737.09+2737.09+2737.09+2737.09+2737.09+2737.09</f>
        <v>32845.08</v>
      </c>
      <c r="AF52" s="7">
        <f>2737.09+2737.09+2737.09+2737.09</f>
        <v>10948.36</v>
      </c>
      <c r="AG52" s="7">
        <f t="shared" si="0"/>
        <v>43793.440000000002</v>
      </c>
    </row>
    <row r="53" spans="1:33" x14ac:dyDescent="0.25">
      <c r="A53" s="41" t="s">
        <v>505</v>
      </c>
      <c r="B53" s="42" t="s">
        <v>226</v>
      </c>
      <c r="C53" s="41" t="s">
        <v>204</v>
      </c>
      <c r="D53" s="43" t="s">
        <v>59</v>
      </c>
      <c r="E53" s="43" t="s">
        <v>60</v>
      </c>
      <c r="F53" s="73" t="s">
        <v>227</v>
      </c>
      <c r="G53" s="42" t="s">
        <v>228</v>
      </c>
      <c r="H53" s="72" t="s">
        <v>229</v>
      </c>
      <c r="I53" s="42" t="s">
        <v>230</v>
      </c>
      <c r="J53" s="45">
        <v>44468</v>
      </c>
      <c r="K53" s="7">
        <v>2053695.6</v>
      </c>
      <c r="L53" s="42">
        <v>13140</v>
      </c>
      <c r="M53" s="45">
        <v>44468</v>
      </c>
      <c r="N53" s="45">
        <v>44832</v>
      </c>
      <c r="O53" s="42" t="s">
        <v>126</v>
      </c>
      <c r="P53" s="42" t="s">
        <v>93</v>
      </c>
      <c r="Q53" s="7"/>
      <c r="R53" s="7"/>
      <c r="S53" s="42" t="s">
        <v>61</v>
      </c>
      <c r="T53" s="42">
        <v>3</v>
      </c>
      <c r="U53" s="45">
        <v>45198</v>
      </c>
      <c r="V53" s="46">
        <v>13626</v>
      </c>
      <c r="W53" s="42" t="s">
        <v>62</v>
      </c>
      <c r="X53" s="45">
        <v>45199</v>
      </c>
      <c r="Y53" s="45">
        <v>45564</v>
      </c>
      <c r="Z53" s="45" t="s">
        <v>93</v>
      </c>
      <c r="AA53" s="45" t="s">
        <v>93</v>
      </c>
      <c r="AB53" s="7"/>
      <c r="AC53" s="7"/>
      <c r="AD53" s="7">
        <f t="shared" si="1"/>
        <v>2053695.6</v>
      </c>
      <c r="AE53" s="7">
        <f>68456.52+144404.55+76533.84+84399.82+79510.15+82061.28+80998.31+80998.29+83124.23+68030.06+6377.82+63778.19+6377.82+63565.6+6377.82+69093.05+6377.82</f>
        <v>1070465.17</v>
      </c>
      <c r="AF53" s="7">
        <f>82696.19+87329.02+88718.88+88255.6</f>
        <v>346999.69000000006</v>
      </c>
      <c r="AG53" s="7">
        <f t="shared" si="0"/>
        <v>1417464.8599999999</v>
      </c>
    </row>
    <row r="54" spans="1:33" ht="25.5" x14ac:dyDescent="0.25">
      <c r="A54" s="41" t="s">
        <v>181</v>
      </c>
      <c r="B54" s="42" t="s">
        <v>247</v>
      </c>
      <c r="C54" s="41" t="s">
        <v>246</v>
      </c>
      <c r="D54" s="43" t="s">
        <v>59</v>
      </c>
      <c r="E54" s="43" t="s">
        <v>60</v>
      </c>
      <c r="F54" s="73" t="s">
        <v>244</v>
      </c>
      <c r="G54" s="42" t="s">
        <v>245</v>
      </c>
      <c r="H54" s="72" t="s">
        <v>248</v>
      </c>
      <c r="I54" s="45" t="s">
        <v>249</v>
      </c>
      <c r="J54" s="45">
        <v>44508</v>
      </c>
      <c r="K54" s="7">
        <v>107562.5</v>
      </c>
      <c r="L54" s="42">
        <v>13162</v>
      </c>
      <c r="M54" s="45">
        <v>44508</v>
      </c>
      <c r="N54" s="45">
        <v>44873</v>
      </c>
      <c r="O54" s="45" t="s">
        <v>250</v>
      </c>
      <c r="P54" s="45" t="s">
        <v>93</v>
      </c>
      <c r="Q54" s="7"/>
      <c r="R54" s="7"/>
      <c r="S54" s="45" t="s">
        <v>251</v>
      </c>
      <c r="T54" s="42">
        <v>1</v>
      </c>
      <c r="U54" s="45">
        <v>44842</v>
      </c>
      <c r="V54" s="46">
        <v>13413</v>
      </c>
      <c r="W54" s="42" t="s">
        <v>62</v>
      </c>
      <c r="X54" s="45">
        <v>44843</v>
      </c>
      <c r="Y54" s="45">
        <v>45238</v>
      </c>
      <c r="Z54" s="45" t="s">
        <v>93</v>
      </c>
      <c r="AA54" s="42" t="s">
        <v>93</v>
      </c>
      <c r="AB54" s="7"/>
      <c r="AC54" s="7"/>
      <c r="AD54" s="7">
        <f t="shared" si="1"/>
        <v>107562.5</v>
      </c>
      <c r="AE54" s="7">
        <f>5685+525+5269+6443+4845+1875</f>
        <v>24642</v>
      </c>
      <c r="AF54" s="7"/>
      <c r="AG54" s="7">
        <f t="shared" si="0"/>
        <v>24642</v>
      </c>
    </row>
    <row r="55" spans="1:33" x14ac:dyDescent="0.25">
      <c r="A55" s="41" t="s">
        <v>266</v>
      </c>
      <c r="B55" s="42" t="s">
        <v>239</v>
      </c>
      <c r="C55" s="41" t="s">
        <v>117</v>
      </c>
      <c r="D55" s="43" t="s">
        <v>59</v>
      </c>
      <c r="E55" s="43" t="s">
        <v>60</v>
      </c>
      <c r="F55" s="73" t="s">
        <v>233</v>
      </c>
      <c r="G55" s="42" t="s">
        <v>235</v>
      </c>
      <c r="H55" s="72" t="s">
        <v>231</v>
      </c>
      <c r="I55" s="42" t="s">
        <v>236</v>
      </c>
      <c r="J55" s="45">
        <v>44509</v>
      </c>
      <c r="K55" s="7">
        <v>25200</v>
      </c>
      <c r="L55" s="46">
        <v>13166</v>
      </c>
      <c r="M55" s="45">
        <v>44509</v>
      </c>
      <c r="N55" s="45">
        <v>44874</v>
      </c>
      <c r="O55" s="42">
        <v>101</v>
      </c>
      <c r="P55" s="42" t="s">
        <v>235</v>
      </c>
      <c r="Q55" s="7"/>
      <c r="R55" s="7"/>
      <c r="S55" s="42" t="s">
        <v>83</v>
      </c>
      <c r="T55" s="42">
        <v>4</v>
      </c>
      <c r="U55" s="45">
        <v>45421</v>
      </c>
      <c r="V55" s="46">
        <v>13775</v>
      </c>
      <c r="W55" s="42" t="s">
        <v>62</v>
      </c>
      <c r="X55" s="45">
        <v>45422</v>
      </c>
      <c r="Y55" s="45">
        <v>45605</v>
      </c>
      <c r="Z55" s="45" t="s">
        <v>93</v>
      </c>
      <c r="AA55" s="45" t="s">
        <v>93</v>
      </c>
      <c r="AB55" s="7"/>
      <c r="AC55" s="7"/>
      <c r="AD55" s="7">
        <f t="shared" si="1"/>
        <v>25200</v>
      </c>
      <c r="AE55" s="7">
        <f>2273.22+2273.22+2273.22+2273.22+2273.22+2273.22+2273.22+2273.22+2273.22+2273.22+2273.22+2273.22</f>
        <v>27278.640000000003</v>
      </c>
      <c r="AF55" s="7">
        <f>2273.22+2273.22+2273.22+2273.22</f>
        <v>9092.8799999999992</v>
      </c>
      <c r="AG55" s="7">
        <f t="shared" si="0"/>
        <v>36371.520000000004</v>
      </c>
    </row>
    <row r="56" spans="1:33" ht="51" x14ac:dyDescent="0.25">
      <c r="A56" s="41" t="s">
        <v>267</v>
      </c>
      <c r="B56" s="43" t="s">
        <v>686</v>
      </c>
      <c r="C56" s="43" t="s">
        <v>117</v>
      </c>
      <c r="D56" s="43" t="s">
        <v>59</v>
      </c>
      <c r="E56" s="43" t="s">
        <v>60</v>
      </c>
      <c r="F56" s="72" t="s">
        <v>253</v>
      </c>
      <c r="G56" s="42" t="s">
        <v>683</v>
      </c>
      <c r="H56" s="72" t="s">
        <v>684</v>
      </c>
      <c r="I56" s="51" t="s">
        <v>685</v>
      </c>
      <c r="J56" s="45">
        <v>44539</v>
      </c>
      <c r="K56" s="7">
        <v>36000</v>
      </c>
      <c r="L56" s="46">
        <v>13185</v>
      </c>
      <c r="M56" s="45">
        <v>44539</v>
      </c>
      <c r="N56" s="45">
        <v>44903</v>
      </c>
      <c r="O56" s="42" t="s">
        <v>126</v>
      </c>
      <c r="P56" s="42" t="s">
        <v>93</v>
      </c>
      <c r="Q56" s="7"/>
      <c r="R56" s="7"/>
      <c r="S56" s="42" t="s">
        <v>83</v>
      </c>
      <c r="T56" s="42">
        <v>2</v>
      </c>
      <c r="U56" s="45">
        <v>45269</v>
      </c>
      <c r="V56" s="46">
        <v>13670</v>
      </c>
      <c r="W56" s="42" t="s">
        <v>62</v>
      </c>
      <c r="X56" s="45">
        <v>45270</v>
      </c>
      <c r="Y56" s="45">
        <v>45635</v>
      </c>
      <c r="Z56" s="47">
        <v>8.5000000000000006E-2</v>
      </c>
      <c r="AA56" s="45" t="s">
        <v>93</v>
      </c>
      <c r="AB56" s="7"/>
      <c r="AC56" s="7"/>
      <c r="AD56" s="7">
        <f t="shared" si="1"/>
        <v>36000</v>
      </c>
      <c r="AE56" s="7">
        <f>3257.11</f>
        <v>3257.11</v>
      </c>
      <c r="AF56" s="7"/>
      <c r="AG56" s="7">
        <f t="shared" si="0"/>
        <v>3257.11</v>
      </c>
    </row>
    <row r="57" spans="1:33" ht="51" x14ac:dyDescent="0.25">
      <c r="A57" s="41" t="s">
        <v>268</v>
      </c>
      <c r="B57" s="43" t="s">
        <v>287</v>
      </c>
      <c r="C57" s="43" t="s">
        <v>286</v>
      </c>
      <c r="D57" s="43" t="s">
        <v>59</v>
      </c>
      <c r="E57" s="43" t="s">
        <v>60</v>
      </c>
      <c r="F57" s="72" t="s">
        <v>253</v>
      </c>
      <c r="G57" s="42" t="s">
        <v>294</v>
      </c>
      <c r="H57" s="72" t="s">
        <v>284</v>
      </c>
      <c r="I57" s="42" t="s">
        <v>285</v>
      </c>
      <c r="J57" s="45">
        <v>44553</v>
      </c>
      <c r="K57" s="7">
        <v>869000</v>
      </c>
      <c r="L57" s="46">
        <v>13196</v>
      </c>
      <c r="M57" s="45">
        <v>44553</v>
      </c>
      <c r="N57" s="45">
        <v>44918</v>
      </c>
      <c r="O57" s="42" t="s">
        <v>126</v>
      </c>
      <c r="P57" s="42" t="s">
        <v>93</v>
      </c>
      <c r="Q57" s="7"/>
      <c r="R57" s="7"/>
      <c r="S57" s="42" t="s">
        <v>61</v>
      </c>
      <c r="T57" s="42">
        <v>2</v>
      </c>
      <c r="U57" s="45">
        <v>45282</v>
      </c>
      <c r="V57" s="46">
        <v>13679</v>
      </c>
      <c r="W57" s="42" t="s">
        <v>62</v>
      </c>
      <c r="X57" s="45">
        <v>45284</v>
      </c>
      <c r="Y57" s="45">
        <v>45649</v>
      </c>
      <c r="Z57" s="42" t="s">
        <v>93</v>
      </c>
      <c r="AA57" s="42" t="s">
        <v>93</v>
      </c>
      <c r="AB57" s="7"/>
      <c r="AC57" s="7"/>
      <c r="AD57" s="7">
        <f t="shared" si="1"/>
        <v>869000</v>
      </c>
      <c r="AE57" s="7">
        <f>8268.86+17159.29+13521.35+4533.71+2700.46+2508.62+25364.52+7971.34+3965.97+4290.07+8544.81+1759.25+92.44+4595.5+4573.2+4096.02+3116.86+7696.16+9992.56+6597.45+4436.44+4772.82+5140.54+22013.81+20517.96+2524.8+15654.4+503.4+635.13+9581.61+4892.76+5202.32</f>
        <v>237224.43000000005</v>
      </c>
      <c r="AF57" s="7">
        <f>4474.68+5204.95+2859.3+2868.45+23089.48+6043+4090.15+10831.84</f>
        <v>59461.850000000006</v>
      </c>
      <c r="AG57" s="7">
        <f t="shared" si="0"/>
        <v>296686.28000000003</v>
      </c>
    </row>
    <row r="58" spans="1:33" ht="51" x14ac:dyDescent="0.25">
      <c r="A58" s="41" t="s">
        <v>269</v>
      </c>
      <c r="B58" s="43" t="s">
        <v>373</v>
      </c>
      <c r="C58" s="43" t="s">
        <v>378</v>
      </c>
      <c r="D58" s="43" t="s">
        <v>59</v>
      </c>
      <c r="E58" s="43" t="s">
        <v>60</v>
      </c>
      <c r="F58" s="72" t="s">
        <v>253</v>
      </c>
      <c r="G58" s="42" t="s">
        <v>377</v>
      </c>
      <c r="H58" s="72" t="s">
        <v>207</v>
      </c>
      <c r="I58" s="42" t="s">
        <v>208</v>
      </c>
      <c r="J58" s="45">
        <v>44592</v>
      </c>
      <c r="K58" s="7">
        <v>217674</v>
      </c>
      <c r="L58" s="46">
        <v>13222</v>
      </c>
      <c r="M58" s="45">
        <v>44592</v>
      </c>
      <c r="N58" s="45">
        <v>44926</v>
      </c>
      <c r="O58" s="42" t="s">
        <v>250</v>
      </c>
      <c r="P58" s="42" t="s">
        <v>93</v>
      </c>
      <c r="Q58" s="7"/>
      <c r="R58" s="7"/>
      <c r="S58" s="42" t="s">
        <v>100</v>
      </c>
      <c r="T58" s="42" t="s">
        <v>93</v>
      </c>
      <c r="U58" s="42" t="s">
        <v>93</v>
      </c>
      <c r="V58" s="42" t="s">
        <v>93</v>
      </c>
      <c r="W58" s="42" t="s">
        <v>93</v>
      </c>
      <c r="X58" s="42" t="s">
        <v>93</v>
      </c>
      <c r="Y58" s="42" t="s">
        <v>93</v>
      </c>
      <c r="Z58" s="42" t="s">
        <v>93</v>
      </c>
      <c r="AA58" s="42" t="s">
        <v>93</v>
      </c>
      <c r="AB58" s="7"/>
      <c r="AC58" s="7"/>
      <c r="AD58" s="7">
        <f t="shared" si="1"/>
        <v>217674</v>
      </c>
      <c r="AE58" s="7">
        <f>2610+4176</f>
        <v>6786</v>
      </c>
      <c r="AF58" s="7"/>
      <c r="AG58" s="7">
        <f t="shared" si="0"/>
        <v>6786</v>
      </c>
    </row>
    <row r="59" spans="1:33" ht="51" x14ac:dyDescent="0.25">
      <c r="A59" s="41" t="s">
        <v>182</v>
      </c>
      <c r="B59" s="43" t="s">
        <v>278</v>
      </c>
      <c r="C59" s="43" t="s">
        <v>485</v>
      </c>
      <c r="D59" s="43" t="s">
        <v>59</v>
      </c>
      <c r="E59" s="43" t="s">
        <v>60</v>
      </c>
      <c r="F59" s="72" t="s">
        <v>253</v>
      </c>
      <c r="G59" s="42" t="s">
        <v>484</v>
      </c>
      <c r="H59" s="72" t="s">
        <v>291</v>
      </c>
      <c r="I59" s="51" t="s">
        <v>486</v>
      </c>
      <c r="J59" s="45">
        <v>44606</v>
      </c>
      <c r="K59" s="7">
        <v>48570</v>
      </c>
      <c r="L59" s="46">
        <v>13229</v>
      </c>
      <c r="M59" s="45">
        <v>44606</v>
      </c>
      <c r="N59" s="45">
        <v>44926</v>
      </c>
      <c r="O59" s="42" t="s">
        <v>420</v>
      </c>
      <c r="P59" s="42" t="s">
        <v>93</v>
      </c>
      <c r="Q59" s="7"/>
      <c r="R59" s="7"/>
      <c r="S59" s="42" t="s">
        <v>100</v>
      </c>
      <c r="T59" s="42" t="s">
        <v>93</v>
      </c>
      <c r="U59" s="42" t="s">
        <v>93</v>
      </c>
      <c r="V59" s="42" t="s">
        <v>93</v>
      </c>
      <c r="W59" s="42" t="s">
        <v>93</v>
      </c>
      <c r="X59" s="42" t="s">
        <v>93</v>
      </c>
      <c r="Y59" s="42" t="s">
        <v>93</v>
      </c>
      <c r="Z59" s="42" t="s">
        <v>93</v>
      </c>
      <c r="AA59" s="42" t="s">
        <v>93</v>
      </c>
      <c r="AB59" s="7"/>
      <c r="AC59" s="7"/>
      <c r="AD59" s="7">
        <f t="shared" si="1"/>
        <v>48570</v>
      </c>
      <c r="AE59" s="7">
        <f>2900</f>
        <v>2900</v>
      </c>
      <c r="AF59" s="7"/>
      <c r="AG59" s="7">
        <f t="shared" si="0"/>
        <v>2900</v>
      </c>
    </row>
    <row r="60" spans="1:33" ht="51" x14ac:dyDescent="0.25">
      <c r="A60" s="41" t="s">
        <v>506</v>
      </c>
      <c r="B60" s="43" t="s">
        <v>278</v>
      </c>
      <c r="C60" s="43" t="s">
        <v>389</v>
      </c>
      <c r="D60" s="43" t="s">
        <v>59</v>
      </c>
      <c r="E60" s="43" t="s">
        <v>60</v>
      </c>
      <c r="F60" s="72" t="s">
        <v>253</v>
      </c>
      <c r="G60" s="42" t="s">
        <v>390</v>
      </c>
      <c r="H60" s="72" t="s">
        <v>391</v>
      </c>
      <c r="I60" s="42" t="s">
        <v>392</v>
      </c>
      <c r="J60" s="45">
        <v>44606</v>
      </c>
      <c r="K60" s="7">
        <v>90780</v>
      </c>
      <c r="L60" s="46">
        <v>13232</v>
      </c>
      <c r="M60" s="45">
        <v>44606</v>
      </c>
      <c r="N60" s="45">
        <v>44970</v>
      </c>
      <c r="O60" s="42" t="s">
        <v>250</v>
      </c>
      <c r="P60" s="42" t="s">
        <v>93</v>
      </c>
      <c r="Q60" s="7"/>
      <c r="R60" s="7"/>
      <c r="S60" s="42" t="s">
        <v>100</v>
      </c>
      <c r="T60" s="42" t="s">
        <v>93</v>
      </c>
      <c r="U60" s="42" t="s">
        <v>93</v>
      </c>
      <c r="V60" s="42" t="s">
        <v>93</v>
      </c>
      <c r="W60" s="42" t="s">
        <v>93</v>
      </c>
      <c r="X60" s="42" t="s">
        <v>93</v>
      </c>
      <c r="Y60" s="42" t="s">
        <v>93</v>
      </c>
      <c r="Z60" s="42" t="s">
        <v>93</v>
      </c>
      <c r="AA60" s="42" t="s">
        <v>93</v>
      </c>
      <c r="AB60" s="7"/>
      <c r="AC60" s="7"/>
      <c r="AD60" s="7">
        <f t="shared" si="1"/>
        <v>90780</v>
      </c>
      <c r="AE60" s="7">
        <f>30260</f>
        <v>30260</v>
      </c>
      <c r="AF60" s="7"/>
      <c r="AG60" s="7">
        <f t="shared" si="0"/>
        <v>30260</v>
      </c>
    </row>
    <row r="61" spans="1:33" ht="51" x14ac:dyDescent="0.25">
      <c r="A61" s="41" t="s">
        <v>270</v>
      </c>
      <c r="B61" s="43" t="s">
        <v>415</v>
      </c>
      <c r="C61" s="43" t="s">
        <v>416</v>
      </c>
      <c r="D61" s="43" t="s">
        <v>59</v>
      </c>
      <c r="E61" s="43" t="s">
        <v>60</v>
      </c>
      <c r="F61" s="72" t="s">
        <v>253</v>
      </c>
      <c r="G61" s="42" t="s">
        <v>417</v>
      </c>
      <c r="H61" s="72" t="s">
        <v>418</v>
      </c>
      <c r="I61" s="42" t="s">
        <v>222</v>
      </c>
      <c r="J61" s="45">
        <v>44239</v>
      </c>
      <c r="K61" s="7">
        <v>129528</v>
      </c>
      <c r="L61" s="46">
        <v>12991</v>
      </c>
      <c r="M61" s="45">
        <v>44239</v>
      </c>
      <c r="N61" s="45">
        <v>44603</v>
      </c>
      <c r="O61" s="42" t="s">
        <v>419</v>
      </c>
      <c r="P61" s="42" t="s">
        <v>93</v>
      </c>
      <c r="Q61" s="7"/>
      <c r="R61" s="7"/>
      <c r="S61" s="42" t="s">
        <v>61</v>
      </c>
      <c r="T61" s="42">
        <v>3</v>
      </c>
      <c r="U61" s="45">
        <v>45047</v>
      </c>
      <c r="V61" s="46">
        <v>13527</v>
      </c>
      <c r="W61" s="42" t="s">
        <v>151</v>
      </c>
      <c r="X61" s="45">
        <v>44970</v>
      </c>
      <c r="Y61" s="45">
        <v>45334</v>
      </c>
      <c r="Z61" s="56">
        <v>8.0864000000000005E-2</v>
      </c>
      <c r="AA61" s="42" t="s">
        <v>93</v>
      </c>
      <c r="AB61" s="7"/>
      <c r="AC61" s="7"/>
      <c r="AD61" s="7">
        <f t="shared" si="1"/>
        <v>129528</v>
      </c>
      <c r="AE61" s="7">
        <f>3598+3598+3598+3598+3888.95+3888.95+878.15+3888.95+3888.95+3888.95+3888.95+3888.95+3888.95</f>
        <v>46381.749999999993</v>
      </c>
      <c r="AF61" s="7">
        <f>3888.95+3888.95+3888.95+3888.95+3888.95+3888.95</f>
        <v>23333.7</v>
      </c>
      <c r="AG61" s="7">
        <f t="shared" si="0"/>
        <v>69715.45</v>
      </c>
    </row>
    <row r="62" spans="1:33" ht="51" x14ac:dyDescent="0.25">
      <c r="A62" s="41" t="s">
        <v>183</v>
      </c>
      <c r="B62" s="43" t="s">
        <v>289</v>
      </c>
      <c r="C62" s="43" t="s">
        <v>409</v>
      </c>
      <c r="D62" s="43" t="s">
        <v>59</v>
      </c>
      <c r="E62" s="43" t="s">
        <v>60</v>
      </c>
      <c r="F62" s="72" t="s">
        <v>253</v>
      </c>
      <c r="G62" s="42" t="s">
        <v>410</v>
      </c>
      <c r="H62" s="72" t="s">
        <v>411</v>
      </c>
      <c r="I62" s="42" t="s">
        <v>412</v>
      </c>
      <c r="J62" s="45">
        <v>44627</v>
      </c>
      <c r="K62" s="7">
        <v>11600</v>
      </c>
      <c r="L62" s="46">
        <v>13245</v>
      </c>
      <c r="M62" s="45">
        <v>44627</v>
      </c>
      <c r="N62" s="45">
        <v>44926</v>
      </c>
      <c r="O62" s="42" t="s">
        <v>420</v>
      </c>
      <c r="P62" s="42" t="s">
        <v>93</v>
      </c>
      <c r="Q62" s="7"/>
      <c r="R62" s="7"/>
      <c r="S62" s="42" t="s">
        <v>100</v>
      </c>
      <c r="T62" s="42" t="s">
        <v>93</v>
      </c>
      <c r="U62" s="42" t="s">
        <v>93</v>
      </c>
      <c r="V62" s="42" t="s">
        <v>93</v>
      </c>
      <c r="W62" s="42" t="s">
        <v>93</v>
      </c>
      <c r="X62" s="42" t="s">
        <v>93</v>
      </c>
      <c r="Y62" s="42" t="s">
        <v>93</v>
      </c>
      <c r="Z62" s="42" t="s">
        <v>93</v>
      </c>
      <c r="AA62" s="42" t="s">
        <v>93</v>
      </c>
      <c r="AB62" s="7"/>
      <c r="AC62" s="7"/>
      <c r="AD62" s="7">
        <f t="shared" si="1"/>
        <v>11600</v>
      </c>
      <c r="AE62" s="7">
        <f>285.55+720.07+2400+2400+729.93+417.95+288+624</f>
        <v>7865.5</v>
      </c>
      <c r="AF62" s="7"/>
      <c r="AG62" s="7">
        <f t="shared" si="0"/>
        <v>7865.5</v>
      </c>
    </row>
    <row r="63" spans="1:33" ht="51" x14ac:dyDescent="0.25">
      <c r="A63" s="41" t="s">
        <v>184</v>
      </c>
      <c r="B63" s="43" t="s">
        <v>344</v>
      </c>
      <c r="C63" s="43" t="s">
        <v>345</v>
      </c>
      <c r="D63" s="43" t="s">
        <v>59</v>
      </c>
      <c r="E63" s="43" t="s">
        <v>60</v>
      </c>
      <c r="F63" s="72" t="s">
        <v>253</v>
      </c>
      <c r="G63" s="42" t="s">
        <v>383</v>
      </c>
      <c r="H63" s="72" t="s">
        <v>384</v>
      </c>
      <c r="I63" s="42" t="s">
        <v>187</v>
      </c>
      <c r="J63" s="45">
        <v>44627</v>
      </c>
      <c r="K63" s="7">
        <v>689400</v>
      </c>
      <c r="L63" s="46">
        <v>13244</v>
      </c>
      <c r="M63" s="45">
        <v>44627</v>
      </c>
      <c r="N63" s="45">
        <v>44926</v>
      </c>
      <c r="O63" s="42" t="s">
        <v>250</v>
      </c>
      <c r="P63" s="42" t="s">
        <v>93</v>
      </c>
      <c r="Q63" s="7"/>
      <c r="R63" s="7"/>
      <c r="S63" s="42" t="s">
        <v>100</v>
      </c>
      <c r="T63" s="42" t="s">
        <v>93</v>
      </c>
      <c r="U63" s="42" t="s">
        <v>93</v>
      </c>
      <c r="V63" s="42" t="s">
        <v>93</v>
      </c>
      <c r="W63" s="42" t="s">
        <v>93</v>
      </c>
      <c r="X63" s="42" t="s">
        <v>93</v>
      </c>
      <c r="Y63" s="42" t="s">
        <v>93</v>
      </c>
      <c r="Z63" s="42" t="s">
        <v>93</v>
      </c>
      <c r="AA63" s="42" t="s">
        <v>93</v>
      </c>
      <c r="AB63" s="7"/>
      <c r="AC63" s="7"/>
      <c r="AD63" s="7">
        <f t="shared" si="1"/>
        <v>689400</v>
      </c>
      <c r="AE63" s="7">
        <f>32349.3+7655.7+10953.9</f>
        <v>50958.9</v>
      </c>
      <c r="AF63" s="7"/>
      <c r="AG63" s="7">
        <f t="shared" si="0"/>
        <v>50958.9</v>
      </c>
    </row>
    <row r="64" spans="1:33" ht="51" x14ac:dyDescent="0.25">
      <c r="A64" s="41" t="s">
        <v>271</v>
      </c>
      <c r="B64" s="43" t="s">
        <v>344</v>
      </c>
      <c r="C64" s="43" t="s">
        <v>345</v>
      </c>
      <c r="D64" s="43" t="s">
        <v>59</v>
      </c>
      <c r="E64" s="43" t="s">
        <v>60</v>
      </c>
      <c r="F64" s="72" t="s">
        <v>253</v>
      </c>
      <c r="G64" s="42" t="s">
        <v>342</v>
      </c>
      <c r="H64" s="72" t="s">
        <v>343</v>
      </c>
      <c r="I64" s="42" t="s">
        <v>359</v>
      </c>
      <c r="J64" s="45">
        <v>44627</v>
      </c>
      <c r="K64" s="7">
        <v>1412720</v>
      </c>
      <c r="L64" s="46">
        <v>13244</v>
      </c>
      <c r="M64" s="45">
        <v>44627</v>
      </c>
      <c r="N64" s="45">
        <v>44926</v>
      </c>
      <c r="O64" s="42" t="s">
        <v>250</v>
      </c>
      <c r="P64" s="42" t="s">
        <v>93</v>
      </c>
      <c r="Q64" s="7"/>
      <c r="R64" s="7"/>
      <c r="S64" s="42" t="s">
        <v>100</v>
      </c>
      <c r="T64" s="42" t="s">
        <v>93</v>
      </c>
      <c r="U64" s="42" t="s">
        <v>93</v>
      </c>
      <c r="V64" s="42" t="s">
        <v>93</v>
      </c>
      <c r="W64" s="42" t="s">
        <v>93</v>
      </c>
      <c r="X64" s="42" t="s">
        <v>93</v>
      </c>
      <c r="Y64" s="42" t="s">
        <v>93</v>
      </c>
      <c r="Z64" s="42" t="s">
        <v>93</v>
      </c>
      <c r="AA64" s="42" t="s">
        <v>93</v>
      </c>
      <c r="AB64" s="7"/>
      <c r="AC64" s="7"/>
      <c r="AD64" s="7">
        <f t="shared" si="1"/>
        <v>1412720</v>
      </c>
      <c r="AE64" s="7">
        <f>47449.8+15724.39+5970+36889.21</f>
        <v>106033.4</v>
      </c>
      <c r="AF64" s="7"/>
      <c r="AG64" s="7">
        <f t="shared" si="0"/>
        <v>106033.4</v>
      </c>
    </row>
    <row r="65" spans="1:33" ht="51" x14ac:dyDescent="0.25">
      <c r="A65" s="41" t="s">
        <v>272</v>
      </c>
      <c r="B65" s="43" t="s">
        <v>351</v>
      </c>
      <c r="C65" s="43" t="s">
        <v>350</v>
      </c>
      <c r="D65" s="43" t="s">
        <v>59</v>
      </c>
      <c r="E65" s="43" t="s">
        <v>60</v>
      </c>
      <c r="F65" s="72" t="s">
        <v>253</v>
      </c>
      <c r="G65" s="42" t="s">
        <v>349</v>
      </c>
      <c r="H65" s="72" t="s">
        <v>347</v>
      </c>
      <c r="I65" s="42" t="s">
        <v>360</v>
      </c>
      <c r="J65" s="45">
        <v>44659</v>
      </c>
      <c r="K65" s="7">
        <v>352445</v>
      </c>
      <c r="L65" s="46">
        <v>13244</v>
      </c>
      <c r="M65" s="45">
        <v>44659</v>
      </c>
      <c r="N65" s="45">
        <v>44926</v>
      </c>
      <c r="O65" s="42" t="s">
        <v>250</v>
      </c>
      <c r="P65" s="42" t="s">
        <v>93</v>
      </c>
      <c r="Q65" s="7"/>
      <c r="R65" s="7"/>
      <c r="S65" s="42" t="s">
        <v>100</v>
      </c>
      <c r="T65" s="42" t="s">
        <v>93</v>
      </c>
      <c r="U65" s="42" t="s">
        <v>93</v>
      </c>
      <c r="V65" s="42" t="s">
        <v>93</v>
      </c>
      <c r="W65" s="42" t="s">
        <v>93</v>
      </c>
      <c r="X65" s="42" t="s">
        <v>93</v>
      </c>
      <c r="Y65" s="42" t="s">
        <v>93</v>
      </c>
      <c r="Z65" s="42" t="s">
        <v>93</v>
      </c>
      <c r="AA65" s="42" t="s">
        <v>93</v>
      </c>
      <c r="AB65" s="7"/>
      <c r="AC65" s="7"/>
      <c r="AD65" s="7">
        <f t="shared" si="1"/>
        <v>352445</v>
      </c>
      <c r="AE65" s="7">
        <f>316.25+295.4+1880+1612.65+5877.37+9841.23+1493.7+1312.7+1281.3+1312.7+1493.7+6663.15+3097.27+3387.62+6531.32+194.6</f>
        <v>46590.96</v>
      </c>
      <c r="AF65" s="7"/>
      <c r="AG65" s="7">
        <f t="shared" si="0"/>
        <v>46590.96</v>
      </c>
    </row>
    <row r="66" spans="1:33" ht="51" x14ac:dyDescent="0.25">
      <c r="A66" s="41" t="s">
        <v>185</v>
      </c>
      <c r="B66" s="43" t="s">
        <v>351</v>
      </c>
      <c r="C66" s="43" t="s">
        <v>387</v>
      </c>
      <c r="D66" s="43" t="s">
        <v>59</v>
      </c>
      <c r="E66" s="43" t="s">
        <v>60</v>
      </c>
      <c r="F66" s="72" t="s">
        <v>253</v>
      </c>
      <c r="G66" s="42" t="s">
        <v>386</v>
      </c>
      <c r="H66" s="72" t="s">
        <v>384</v>
      </c>
      <c r="I66" s="42" t="s">
        <v>187</v>
      </c>
      <c r="J66" s="45">
        <v>44628</v>
      </c>
      <c r="K66" s="7">
        <v>76180</v>
      </c>
      <c r="L66" s="46">
        <v>13244</v>
      </c>
      <c r="M66" s="45">
        <v>44628</v>
      </c>
      <c r="N66" s="45">
        <v>44926</v>
      </c>
      <c r="O66" s="42" t="s">
        <v>420</v>
      </c>
      <c r="P66" s="42" t="s">
        <v>93</v>
      </c>
      <c r="Q66" s="7"/>
      <c r="R66" s="7"/>
      <c r="S66" s="42" t="s">
        <v>100</v>
      </c>
      <c r="T66" s="42" t="s">
        <v>93</v>
      </c>
      <c r="U66" s="42" t="s">
        <v>93</v>
      </c>
      <c r="V66" s="42" t="s">
        <v>93</v>
      </c>
      <c r="W66" s="42" t="s">
        <v>93</v>
      </c>
      <c r="X66" s="42" t="s">
        <v>93</v>
      </c>
      <c r="Y66" s="42" t="s">
        <v>93</v>
      </c>
      <c r="Z66" s="42" t="s">
        <v>93</v>
      </c>
      <c r="AA66" s="42" t="s">
        <v>93</v>
      </c>
      <c r="AB66" s="7"/>
      <c r="AC66" s="7"/>
      <c r="AD66" s="7">
        <f t="shared" si="1"/>
        <v>76180</v>
      </c>
      <c r="AE66" s="7">
        <f>2651.02+2350.58</f>
        <v>5001.6000000000004</v>
      </c>
      <c r="AF66" s="7"/>
      <c r="AG66" s="7">
        <f t="shared" si="0"/>
        <v>5001.6000000000004</v>
      </c>
    </row>
    <row r="67" spans="1:33" ht="51" x14ac:dyDescent="0.25">
      <c r="A67" s="41" t="s">
        <v>507</v>
      </c>
      <c r="B67" s="43" t="s">
        <v>316</v>
      </c>
      <c r="C67" s="43" t="s">
        <v>317</v>
      </c>
      <c r="D67" s="43" t="s">
        <v>59</v>
      </c>
      <c r="E67" s="43" t="s">
        <v>60</v>
      </c>
      <c r="F67" s="72" t="s">
        <v>253</v>
      </c>
      <c r="G67" s="42" t="s">
        <v>314</v>
      </c>
      <c r="H67" s="72" t="s">
        <v>315</v>
      </c>
      <c r="I67" s="42" t="s">
        <v>318</v>
      </c>
      <c r="J67" s="45">
        <v>44628</v>
      </c>
      <c r="K67" s="7">
        <v>84172.5</v>
      </c>
      <c r="L67" s="46">
        <v>13250</v>
      </c>
      <c r="M67" s="45">
        <v>44628</v>
      </c>
      <c r="N67" s="45">
        <v>44925</v>
      </c>
      <c r="O67" s="42" t="s">
        <v>250</v>
      </c>
      <c r="P67" s="42" t="s">
        <v>93</v>
      </c>
      <c r="Q67" s="7"/>
      <c r="R67" s="7"/>
      <c r="S67" s="42" t="s">
        <v>100</v>
      </c>
      <c r="T67" s="42" t="s">
        <v>93</v>
      </c>
      <c r="U67" s="42" t="s">
        <v>93</v>
      </c>
      <c r="V67" s="42" t="s">
        <v>93</v>
      </c>
      <c r="W67" s="42" t="s">
        <v>93</v>
      </c>
      <c r="X67" s="42" t="s">
        <v>93</v>
      </c>
      <c r="Y67" s="42" t="s">
        <v>93</v>
      </c>
      <c r="Z67" s="42" t="s">
        <v>93</v>
      </c>
      <c r="AA67" s="42" t="s">
        <v>93</v>
      </c>
      <c r="AB67" s="7"/>
      <c r="AC67" s="7"/>
      <c r="AD67" s="7">
        <f t="shared" si="1"/>
        <v>84172.5</v>
      </c>
      <c r="AE67" s="7">
        <f>2503.2</f>
        <v>2503.1999999999998</v>
      </c>
      <c r="AF67" s="7"/>
      <c r="AG67" s="7">
        <f t="shared" si="0"/>
        <v>2503.1999999999998</v>
      </c>
    </row>
    <row r="68" spans="1:33" ht="51" x14ac:dyDescent="0.25">
      <c r="A68" s="41" t="s">
        <v>508</v>
      </c>
      <c r="B68" s="43" t="s">
        <v>331</v>
      </c>
      <c r="C68" s="43" t="s">
        <v>330</v>
      </c>
      <c r="D68" s="43" t="s">
        <v>59</v>
      </c>
      <c r="E68" s="43" t="s">
        <v>60</v>
      </c>
      <c r="F68" s="72" t="s">
        <v>253</v>
      </c>
      <c r="G68" s="42" t="s">
        <v>332</v>
      </c>
      <c r="H68" s="72" t="s">
        <v>284</v>
      </c>
      <c r="I68" s="42" t="s">
        <v>285</v>
      </c>
      <c r="J68" s="45">
        <v>44650</v>
      </c>
      <c r="K68" s="7">
        <v>319560</v>
      </c>
      <c r="L68" s="46">
        <v>13259</v>
      </c>
      <c r="M68" s="45">
        <v>44650</v>
      </c>
      <c r="N68" s="45">
        <v>45014</v>
      </c>
      <c r="O68" s="42" t="s">
        <v>126</v>
      </c>
      <c r="P68" s="42" t="s">
        <v>93</v>
      </c>
      <c r="Q68" s="7"/>
      <c r="R68" s="7"/>
      <c r="S68" s="42" t="s">
        <v>61</v>
      </c>
      <c r="T68" s="42">
        <v>1</v>
      </c>
      <c r="U68" s="45">
        <v>45014</v>
      </c>
      <c r="V68" s="46">
        <v>13504</v>
      </c>
      <c r="W68" s="42" t="s">
        <v>62</v>
      </c>
      <c r="X68" s="45">
        <v>45015</v>
      </c>
      <c r="Y68" s="45">
        <v>45380</v>
      </c>
      <c r="Z68" s="42" t="s">
        <v>93</v>
      </c>
      <c r="AA68" s="42" t="s">
        <v>93</v>
      </c>
      <c r="AB68" s="7"/>
      <c r="AC68" s="7"/>
      <c r="AD68" s="7">
        <f t="shared" si="1"/>
        <v>319560</v>
      </c>
      <c r="AE68" s="7">
        <f>2252.66+1276.74+8581.67+8030.43+5117.04+7505.5+5847.71+263.64+6283.37+5735.81+22089.03+1887.24+14522.52+5952.52</f>
        <v>95345.880000000019</v>
      </c>
      <c r="AF68" s="7">
        <f>7460.14+7117.7+2920.73</f>
        <v>17498.57</v>
      </c>
      <c r="AG68" s="7">
        <f t="shared" si="0"/>
        <v>112844.45000000001</v>
      </c>
    </row>
    <row r="69" spans="1:33" ht="51" x14ac:dyDescent="0.25">
      <c r="A69" s="41" t="s">
        <v>186</v>
      </c>
      <c r="B69" s="43" t="s">
        <v>371</v>
      </c>
      <c r="C69" s="43" t="s">
        <v>362</v>
      </c>
      <c r="D69" s="43" t="s">
        <v>59</v>
      </c>
      <c r="E69" s="43" t="s">
        <v>60</v>
      </c>
      <c r="F69" s="72" t="s">
        <v>253</v>
      </c>
      <c r="G69" s="42" t="s">
        <v>369</v>
      </c>
      <c r="H69" s="72" t="s">
        <v>202</v>
      </c>
      <c r="I69" s="42" t="s">
        <v>370</v>
      </c>
      <c r="J69" s="45">
        <v>44650</v>
      </c>
      <c r="K69" s="7">
        <v>539064.9</v>
      </c>
      <c r="L69" s="46">
        <v>13260</v>
      </c>
      <c r="M69" s="45">
        <v>44650</v>
      </c>
      <c r="N69" s="45">
        <v>44926</v>
      </c>
      <c r="O69" s="42" t="s">
        <v>250</v>
      </c>
      <c r="P69" s="42" t="s">
        <v>93</v>
      </c>
      <c r="Q69" s="7"/>
      <c r="R69" s="7"/>
      <c r="S69" s="42" t="s">
        <v>100</v>
      </c>
      <c r="T69" s="42" t="s">
        <v>93</v>
      </c>
      <c r="U69" s="42" t="s">
        <v>93</v>
      </c>
      <c r="V69" s="42" t="s">
        <v>93</v>
      </c>
      <c r="W69" s="42" t="s">
        <v>93</v>
      </c>
      <c r="X69" s="42" t="s">
        <v>93</v>
      </c>
      <c r="Y69" s="42" t="s">
        <v>93</v>
      </c>
      <c r="Z69" s="42" t="s">
        <v>93</v>
      </c>
      <c r="AA69" s="42" t="s">
        <v>93</v>
      </c>
      <c r="AB69" s="7"/>
      <c r="AC69" s="7"/>
      <c r="AD69" s="7">
        <f t="shared" si="1"/>
        <v>539064.9</v>
      </c>
      <c r="AE69" s="7">
        <f>12610.57+20085</f>
        <v>32695.57</v>
      </c>
      <c r="AF69" s="7"/>
      <c r="AG69" s="7">
        <f t="shared" si="0"/>
        <v>32695.57</v>
      </c>
    </row>
    <row r="70" spans="1:33" ht="51" x14ac:dyDescent="0.25">
      <c r="A70" s="41" t="s">
        <v>273</v>
      </c>
      <c r="B70" s="43" t="s">
        <v>371</v>
      </c>
      <c r="C70" s="43" t="s">
        <v>408</v>
      </c>
      <c r="D70" s="43" t="s">
        <v>59</v>
      </c>
      <c r="E70" s="43" t="s">
        <v>60</v>
      </c>
      <c r="F70" s="72" t="s">
        <v>253</v>
      </c>
      <c r="G70" s="42" t="s">
        <v>586</v>
      </c>
      <c r="H70" s="72" t="s">
        <v>513</v>
      </c>
      <c r="I70" s="51" t="s">
        <v>587</v>
      </c>
      <c r="J70" s="45">
        <v>44655</v>
      </c>
      <c r="K70" s="7">
        <v>17380</v>
      </c>
      <c r="L70" s="46">
        <v>13260</v>
      </c>
      <c r="M70" s="45" t="s">
        <v>599</v>
      </c>
      <c r="N70" s="45">
        <v>44926</v>
      </c>
      <c r="O70" s="42" t="s">
        <v>250</v>
      </c>
      <c r="P70" s="42" t="s">
        <v>93</v>
      </c>
      <c r="Q70" s="7"/>
      <c r="R70" s="7"/>
      <c r="S70" s="42" t="s">
        <v>100</v>
      </c>
      <c r="T70" s="42" t="s">
        <v>93</v>
      </c>
      <c r="U70" s="42" t="s">
        <v>93</v>
      </c>
      <c r="V70" s="42" t="s">
        <v>93</v>
      </c>
      <c r="W70" s="42" t="s">
        <v>93</v>
      </c>
      <c r="X70" s="42" t="s">
        <v>93</v>
      </c>
      <c r="Y70" s="42" t="s">
        <v>93</v>
      </c>
      <c r="Z70" s="42" t="s">
        <v>93</v>
      </c>
      <c r="AA70" s="42" t="s">
        <v>93</v>
      </c>
      <c r="AB70" s="7"/>
      <c r="AC70" s="7"/>
      <c r="AD70" s="7">
        <f t="shared" si="1"/>
        <v>17380</v>
      </c>
      <c r="AE70" s="7">
        <f>345</f>
        <v>345</v>
      </c>
      <c r="AF70" s="7"/>
      <c r="AG70" s="7">
        <f t="shared" si="0"/>
        <v>345</v>
      </c>
    </row>
    <row r="71" spans="1:33" ht="51" x14ac:dyDescent="0.25">
      <c r="A71" s="41" t="s">
        <v>274</v>
      </c>
      <c r="B71" s="43" t="s">
        <v>311</v>
      </c>
      <c r="C71" s="43" t="s">
        <v>367</v>
      </c>
      <c r="D71" s="43" t="s">
        <v>59</v>
      </c>
      <c r="E71" s="43" t="s">
        <v>60</v>
      </c>
      <c r="F71" s="72" t="s">
        <v>253</v>
      </c>
      <c r="G71" s="42" t="s">
        <v>365</v>
      </c>
      <c r="H71" s="72" t="s">
        <v>320</v>
      </c>
      <c r="I71" s="42" t="s">
        <v>366</v>
      </c>
      <c r="J71" s="45">
        <v>44656</v>
      </c>
      <c r="K71" s="7">
        <v>124990</v>
      </c>
      <c r="L71" s="46">
        <v>13274</v>
      </c>
      <c r="M71" s="45">
        <v>44656</v>
      </c>
      <c r="N71" s="45">
        <v>44926</v>
      </c>
      <c r="O71" s="42" t="s">
        <v>250</v>
      </c>
      <c r="P71" s="42" t="s">
        <v>93</v>
      </c>
      <c r="Q71" s="7"/>
      <c r="R71" s="7"/>
      <c r="S71" s="42" t="s">
        <v>100</v>
      </c>
      <c r="T71" s="42" t="s">
        <v>93</v>
      </c>
      <c r="U71" s="42" t="s">
        <v>93</v>
      </c>
      <c r="V71" s="42" t="s">
        <v>93</v>
      </c>
      <c r="W71" s="42" t="s">
        <v>93</v>
      </c>
      <c r="X71" s="42" t="s">
        <v>93</v>
      </c>
      <c r="Y71" s="42" t="s">
        <v>93</v>
      </c>
      <c r="Z71" s="42" t="s">
        <v>93</v>
      </c>
      <c r="AA71" s="42" t="s">
        <v>93</v>
      </c>
      <c r="AB71" s="7"/>
      <c r="AC71" s="7"/>
      <c r="AD71" s="7">
        <f t="shared" si="1"/>
        <v>124990</v>
      </c>
      <c r="AE71" s="7">
        <f>2874.77+2999.76+2874.77</f>
        <v>8749.3000000000011</v>
      </c>
      <c r="AF71" s="7"/>
      <c r="AG71" s="7">
        <f t="shared" si="0"/>
        <v>8749.3000000000011</v>
      </c>
    </row>
    <row r="72" spans="1:33" ht="51" x14ac:dyDescent="0.25">
      <c r="A72" s="41" t="s">
        <v>277</v>
      </c>
      <c r="B72" s="43" t="s">
        <v>311</v>
      </c>
      <c r="C72" s="43" t="s">
        <v>310</v>
      </c>
      <c r="D72" s="43" t="s">
        <v>59</v>
      </c>
      <c r="E72" s="43" t="s">
        <v>60</v>
      </c>
      <c r="F72" s="72" t="s">
        <v>253</v>
      </c>
      <c r="G72" s="42" t="s">
        <v>309</v>
      </c>
      <c r="H72" s="72" t="s">
        <v>217</v>
      </c>
      <c r="I72" s="42" t="s">
        <v>312</v>
      </c>
      <c r="J72" s="45">
        <v>44656</v>
      </c>
      <c r="K72" s="7">
        <v>121100</v>
      </c>
      <c r="L72" s="46">
        <v>13272</v>
      </c>
      <c r="M72" s="45">
        <v>44656</v>
      </c>
      <c r="N72" s="45">
        <v>44925</v>
      </c>
      <c r="O72" s="42" t="s">
        <v>250</v>
      </c>
      <c r="P72" s="42" t="s">
        <v>93</v>
      </c>
      <c r="Q72" s="7"/>
      <c r="R72" s="7"/>
      <c r="S72" s="42" t="s">
        <v>100</v>
      </c>
      <c r="T72" s="42" t="s">
        <v>93</v>
      </c>
      <c r="U72" s="42" t="s">
        <v>93</v>
      </c>
      <c r="V72" s="42" t="s">
        <v>93</v>
      </c>
      <c r="W72" s="42" t="s">
        <v>93</v>
      </c>
      <c r="X72" s="42" t="s">
        <v>93</v>
      </c>
      <c r="Y72" s="42" t="s">
        <v>93</v>
      </c>
      <c r="Z72" s="42" t="s">
        <v>93</v>
      </c>
      <c r="AA72" s="42" t="s">
        <v>93</v>
      </c>
      <c r="AB72" s="7"/>
      <c r="AC72" s="7"/>
      <c r="AD72" s="7">
        <f t="shared" si="1"/>
        <v>121100</v>
      </c>
      <c r="AE72" s="7">
        <f>4282.5+3037.5+9465+172.5+3705</f>
        <v>20662.5</v>
      </c>
      <c r="AF72" s="7"/>
      <c r="AG72" s="7">
        <f t="shared" si="0"/>
        <v>20662.5</v>
      </c>
    </row>
    <row r="73" spans="1:33" ht="51" x14ac:dyDescent="0.25">
      <c r="A73" s="41" t="s">
        <v>708</v>
      </c>
      <c r="B73" s="43" t="s">
        <v>311</v>
      </c>
      <c r="C73" s="43" t="s">
        <v>572</v>
      </c>
      <c r="D73" s="43" t="s">
        <v>59</v>
      </c>
      <c r="E73" s="43" t="s">
        <v>60</v>
      </c>
      <c r="F73" s="72" t="s">
        <v>253</v>
      </c>
      <c r="G73" s="42" t="s">
        <v>571</v>
      </c>
      <c r="H73" s="72" t="s">
        <v>513</v>
      </c>
      <c r="I73" s="51" t="s">
        <v>514</v>
      </c>
      <c r="J73" s="45">
        <v>45021</v>
      </c>
      <c r="K73" s="7">
        <v>900</v>
      </c>
      <c r="L73" s="46">
        <v>13271</v>
      </c>
      <c r="M73" s="45">
        <v>45021</v>
      </c>
      <c r="N73" s="45">
        <v>45291</v>
      </c>
      <c r="O73" s="42" t="s">
        <v>250</v>
      </c>
      <c r="P73" s="42" t="s">
        <v>93</v>
      </c>
      <c r="Q73" s="7"/>
      <c r="R73" s="7"/>
      <c r="S73" s="42" t="s">
        <v>100</v>
      </c>
      <c r="T73" s="42" t="s">
        <v>93</v>
      </c>
      <c r="U73" s="42" t="s">
        <v>93</v>
      </c>
      <c r="V73" s="42" t="s">
        <v>93</v>
      </c>
      <c r="W73" s="42" t="s">
        <v>93</v>
      </c>
      <c r="X73" s="42" t="s">
        <v>93</v>
      </c>
      <c r="Y73" s="42" t="s">
        <v>93</v>
      </c>
      <c r="Z73" s="42" t="s">
        <v>93</v>
      </c>
      <c r="AA73" s="42" t="s">
        <v>93</v>
      </c>
      <c r="AB73" s="7"/>
      <c r="AC73" s="7"/>
      <c r="AD73" s="7">
        <f t="shared" si="1"/>
        <v>900</v>
      </c>
      <c r="AE73" s="7">
        <f>63</f>
        <v>63</v>
      </c>
      <c r="AF73" s="7"/>
      <c r="AG73" s="7">
        <f t="shared" si="0"/>
        <v>63</v>
      </c>
    </row>
    <row r="74" spans="1:33" ht="51" x14ac:dyDescent="0.25">
      <c r="A74" s="41" t="s">
        <v>279</v>
      </c>
      <c r="B74" s="43" t="s">
        <v>399</v>
      </c>
      <c r="C74" s="43" t="s">
        <v>400</v>
      </c>
      <c r="D74" s="43" t="s">
        <v>59</v>
      </c>
      <c r="E74" s="43" t="s">
        <v>60</v>
      </c>
      <c r="F74" s="72" t="s">
        <v>253</v>
      </c>
      <c r="G74" s="42" t="s">
        <v>401</v>
      </c>
      <c r="H74" s="72" t="s">
        <v>402</v>
      </c>
      <c r="I74" s="42" t="s">
        <v>403</v>
      </c>
      <c r="J74" s="45">
        <v>44664</v>
      </c>
      <c r="K74" s="7">
        <v>180000</v>
      </c>
      <c r="L74" s="46">
        <v>13271</v>
      </c>
      <c r="M74" s="45">
        <v>44664</v>
      </c>
      <c r="N74" s="45">
        <v>44663</v>
      </c>
      <c r="O74" s="42" t="s">
        <v>126</v>
      </c>
      <c r="P74" s="42" t="s">
        <v>93</v>
      </c>
      <c r="Q74" s="7"/>
      <c r="R74" s="7"/>
      <c r="S74" s="42" t="s">
        <v>61</v>
      </c>
      <c r="T74" s="42">
        <v>2</v>
      </c>
      <c r="U74" s="45">
        <v>45395</v>
      </c>
      <c r="V74" s="46">
        <v>13754</v>
      </c>
      <c r="W74" s="42" t="s">
        <v>62</v>
      </c>
      <c r="X74" s="45">
        <v>45395</v>
      </c>
      <c r="Y74" s="45">
        <v>45759</v>
      </c>
      <c r="Z74" s="42" t="s">
        <v>93</v>
      </c>
      <c r="AA74" s="42" t="s">
        <v>93</v>
      </c>
      <c r="AB74" s="7"/>
      <c r="AC74" s="7"/>
      <c r="AD74" s="7">
        <f t="shared" si="1"/>
        <v>180000</v>
      </c>
      <c r="AE74" s="7">
        <f>3000+3000+3000+3000+3000+3000+3000+3000+3000+3000+3000</f>
        <v>33000</v>
      </c>
      <c r="AF74" s="7">
        <f>3000+3000+3000</f>
        <v>9000</v>
      </c>
      <c r="AG74" s="7">
        <f t="shared" si="0"/>
        <v>42000</v>
      </c>
    </row>
    <row r="75" spans="1:33" ht="51" x14ac:dyDescent="0.25">
      <c r="A75" s="41" t="s">
        <v>283</v>
      </c>
      <c r="B75" s="43" t="s">
        <v>340</v>
      </c>
      <c r="C75" s="43" t="s">
        <v>394</v>
      </c>
      <c r="D75" s="43" t="s">
        <v>59</v>
      </c>
      <c r="E75" s="43" t="s">
        <v>60</v>
      </c>
      <c r="F75" s="72" t="s">
        <v>253</v>
      </c>
      <c r="G75" s="42" t="s">
        <v>395</v>
      </c>
      <c r="H75" s="72" t="s">
        <v>396</v>
      </c>
      <c r="I75" s="42" t="s">
        <v>397</v>
      </c>
      <c r="J75" s="45">
        <v>44671</v>
      </c>
      <c r="K75" s="7">
        <v>83590</v>
      </c>
      <c r="L75" s="46">
        <v>13274</v>
      </c>
      <c r="M75" s="45">
        <v>44671</v>
      </c>
      <c r="N75" s="45">
        <v>44926</v>
      </c>
      <c r="O75" s="42" t="s">
        <v>250</v>
      </c>
      <c r="P75" s="42" t="s">
        <v>93</v>
      </c>
      <c r="Q75" s="7"/>
      <c r="R75" s="7"/>
      <c r="S75" s="42" t="s">
        <v>100</v>
      </c>
      <c r="T75" s="42" t="s">
        <v>93</v>
      </c>
      <c r="U75" s="42" t="s">
        <v>93</v>
      </c>
      <c r="V75" s="42" t="s">
        <v>93</v>
      </c>
      <c r="W75" s="42" t="s">
        <v>93</v>
      </c>
      <c r="X75" s="42" t="s">
        <v>93</v>
      </c>
      <c r="Y75" s="42" t="s">
        <v>93</v>
      </c>
      <c r="Z75" s="42" t="s">
        <v>93</v>
      </c>
      <c r="AA75" s="42" t="s">
        <v>93</v>
      </c>
      <c r="AB75" s="7"/>
      <c r="AC75" s="7"/>
      <c r="AD75" s="7">
        <f t="shared" si="1"/>
        <v>83590</v>
      </c>
      <c r="AE75" s="7">
        <f>6929</f>
        <v>6929</v>
      </c>
      <c r="AF75" s="7"/>
      <c r="AG75" s="7">
        <f t="shared" si="0"/>
        <v>6929</v>
      </c>
    </row>
    <row r="76" spans="1:33" ht="51" x14ac:dyDescent="0.25">
      <c r="A76" s="41" t="s">
        <v>288</v>
      </c>
      <c r="B76" s="43" t="s">
        <v>355</v>
      </c>
      <c r="C76" s="43" t="s">
        <v>354</v>
      </c>
      <c r="D76" s="43" t="s">
        <v>59</v>
      </c>
      <c r="E76" s="43" t="s">
        <v>60</v>
      </c>
      <c r="F76" s="72" t="s">
        <v>253</v>
      </c>
      <c r="G76" s="42" t="s">
        <v>353</v>
      </c>
      <c r="H76" s="72" t="s">
        <v>275</v>
      </c>
      <c r="I76" s="42" t="s">
        <v>276</v>
      </c>
      <c r="J76" s="45">
        <v>44740</v>
      </c>
      <c r="K76" s="7">
        <v>82666.009999999995</v>
      </c>
      <c r="L76" s="46">
        <v>13318</v>
      </c>
      <c r="M76" s="45">
        <v>44740</v>
      </c>
      <c r="N76" s="45">
        <v>44926</v>
      </c>
      <c r="O76" s="42" t="s">
        <v>250</v>
      </c>
      <c r="P76" s="42" t="s">
        <v>93</v>
      </c>
      <c r="Q76" s="7"/>
      <c r="R76" s="7"/>
      <c r="S76" s="42" t="s">
        <v>361</v>
      </c>
      <c r="T76" s="42" t="s">
        <v>93</v>
      </c>
      <c r="U76" s="42" t="s">
        <v>93</v>
      </c>
      <c r="V76" s="42" t="s">
        <v>93</v>
      </c>
      <c r="W76" s="42" t="s">
        <v>93</v>
      </c>
      <c r="X76" s="42" t="s">
        <v>93</v>
      </c>
      <c r="Y76" s="42" t="s">
        <v>93</v>
      </c>
      <c r="Z76" s="42" t="s">
        <v>93</v>
      </c>
      <c r="AA76" s="42" t="s">
        <v>93</v>
      </c>
      <c r="AB76" s="7"/>
      <c r="AC76" s="7"/>
      <c r="AD76" s="7">
        <f t="shared" si="1"/>
        <v>82666.009999999995</v>
      </c>
      <c r="AE76" s="7">
        <f>8757.34</f>
        <v>8757.34</v>
      </c>
      <c r="AF76" s="7"/>
      <c r="AG76" s="7">
        <f t="shared" si="0"/>
        <v>8757.34</v>
      </c>
    </row>
    <row r="77" spans="1:33" ht="51" x14ac:dyDescent="0.25">
      <c r="A77" s="41" t="s">
        <v>290</v>
      </c>
      <c r="B77" s="43" t="s">
        <v>282</v>
      </c>
      <c r="C77" s="43" t="s">
        <v>426</v>
      </c>
      <c r="D77" s="43" t="s">
        <v>59</v>
      </c>
      <c r="E77" s="43" t="s">
        <v>60</v>
      </c>
      <c r="F77" s="72" t="s">
        <v>253</v>
      </c>
      <c r="G77" s="42" t="s">
        <v>424</v>
      </c>
      <c r="H77" s="72" t="s">
        <v>280</v>
      </c>
      <c r="I77" s="42" t="s">
        <v>425</v>
      </c>
      <c r="J77" s="45">
        <v>44757</v>
      </c>
      <c r="K77" s="7">
        <v>506000</v>
      </c>
      <c r="L77" s="46">
        <v>13331</v>
      </c>
      <c r="M77" s="45">
        <v>44757</v>
      </c>
      <c r="N77" s="45">
        <v>44926</v>
      </c>
      <c r="O77" s="42" t="s">
        <v>439</v>
      </c>
      <c r="P77" s="42" t="s">
        <v>93</v>
      </c>
      <c r="Q77" s="7"/>
      <c r="R77" s="7"/>
      <c r="S77" s="42" t="s">
        <v>100</v>
      </c>
      <c r="T77" s="42" t="s">
        <v>93</v>
      </c>
      <c r="U77" s="42" t="s">
        <v>93</v>
      </c>
      <c r="V77" s="42" t="s">
        <v>93</v>
      </c>
      <c r="W77" s="42" t="s">
        <v>93</v>
      </c>
      <c r="X77" s="42" t="s">
        <v>93</v>
      </c>
      <c r="Y77" s="42" t="s">
        <v>93</v>
      </c>
      <c r="Z77" s="42" t="s">
        <v>93</v>
      </c>
      <c r="AA77" s="42" t="s">
        <v>93</v>
      </c>
      <c r="AB77" s="7"/>
      <c r="AC77" s="7"/>
      <c r="AD77" s="7">
        <f t="shared" si="1"/>
        <v>506000</v>
      </c>
      <c r="AE77" s="7">
        <f>4731.1</f>
        <v>4731.1000000000004</v>
      </c>
      <c r="AF77" s="7"/>
      <c r="AG77" s="7">
        <f t="shared" si="0"/>
        <v>4731.1000000000004</v>
      </c>
    </row>
    <row r="78" spans="1:33" ht="51" x14ac:dyDescent="0.25">
      <c r="A78" s="41" t="s">
        <v>293</v>
      </c>
      <c r="B78" s="43" t="s">
        <v>773</v>
      </c>
      <c r="C78" s="42" t="s">
        <v>93</v>
      </c>
      <c r="D78" s="43" t="s">
        <v>59</v>
      </c>
      <c r="E78" s="43" t="s">
        <v>60</v>
      </c>
      <c r="F78" s="72" t="s">
        <v>253</v>
      </c>
      <c r="G78" s="42" t="s">
        <v>771</v>
      </c>
      <c r="H78" s="72" t="s">
        <v>191</v>
      </c>
      <c r="I78" s="42" t="s">
        <v>192</v>
      </c>
      <c r="J78" s="45">
        <v>44783</v>
      </c>
      <c r="K78" s="7">
        <v>23791.200000000001</v>
      </c>
      <c r="L78" s="46">
        <v>13348</v>
      </c>
      <c r="M78" s="45">
        <v>44783</v>
      </c>
      <c r="N78" s="45">
        <v>45147</v>
      </c>
      <c r="O78" s="42" t="s">
        <v>126</v>
      </c>
      <c r="P78" s="42" t="s">
        <v>93</v>
      </c>
      <c r="Q78" s="7"/>
      <c r="R78" s="7"/>
      <c r="S78" s="42" t="s">
        <v>61</v>
      </c>
      <c r="T78" s="42">
        <v>1</v>
      </c>
      <c r="U78" s="45">
        <v>45148</v>
      </c>
      <c r="V78" s="46">
        <v>13594</v>
      </c>
      <c r="W78" s="42" t="s">
        <v>62</v>
      </c>
      <c r="X78" s="45">
        <v>45148</v>
      </c>
      <c r="Y78" s="45">
        <v>45513</v>
      </c>
      <c r="Z78" s="42" t="s">
        <v>93</v>
      </c>
      <c r="AA78" s="42" t="s">
        <v>93</v>
      </c>
      <c r="AB78" s="7"/>
      <c r="AC78" s="7"/>
      <c r="AD78" s="7">
        <f t="shared" si="1"/>
        <v>23791.200000000001</v>
      </c>
      <c r="AE78" s="7"/>
      <c r="AF78" s="7">
        <f>1982.6</f>
        <v>1982.6</v>
      </c>
      <c r="AG78" s="7">
        <f t="shared" si="0"/>
        <v>1982.6</v>
      </c>
    </row>
    <row r="79" spans="1:33" ht="51" x14ac:dyDescent="0.25">
      <c r="A79" s="41" t="s">
        <v>297</v>
      </c>
      <c r="B79" s="43" t="s">
        <v>616</v>
      </c>
      <c r="C79" s="43" t="s">
        <v>615</v>
      </c>
      <c r="D79" s="43" t="s">
        <v>59</v>
      </c>
      <c r="E79" s="43" t="s">
        <v>60</v>
      </c>
      <c r="F79" s="72" t="s">
        <v>253</v>
      </c>
      <c r="G79" s="42" t="s">
        <v>614</v>
      </c>
      <c r="H79" s="72" t="s">
        <v>617</v>
      </c>
      <c r="I79" s="51" t="s">
        <v>618</v>
      </c>
      <c r="J79" s="45">
        <v>44792</v>
      </c>
      <c r="K79" s="7">
        <v>93802.38</v>
      </c>
      <c r="L79" s="46">
        <v>13368</v>
      </c>
      <c r="M79" s="45">
        <v>44792</v>
      </c>
      <c r="N79" s="45">
        <v>45156</v>
      </c>
      <c r="O79" s="42" t="s">
        <v>250</v>
      </c>
      <c r="P79" s="42" t="s">
        <v>93</v>
      </c>
      <c r="Q79" s="7"/>
      <c r="R79" s="7"/>
      <c r="S79" s="42" t="s">
        <v>637</v>
      </c>
      <c r="T79" s="42" t="s">
        <v>93</v>
      </c>
      <c r="U79" s="42" t="s">
        <v>93</v>
      </c>
      <c r="V79" s="42" t="s">
        <v>93</v>
      </c>
      <c r="W79" s="42" t="s">
        <v>93</v>
      </c>
      <c r="X79" s="42" t="s">
        <v>93</v>
      </c>
      <c r="Y79" s="42" t="s">
        <v>93</v>
      </c>
      <c r="Z79" s="42" t="s">
        <v>93</v>
      </c>
      <c r="AA79" s="42" t="s">
        <v>93</v>
      </c>
      <c r="AB79" s="7"/>
      <c r="AC79" s="7"/>
      <c r="AD79" s="7">
        <f t="shared" si="1"/>
        <v>93802.38</v>
      </c>
      <c r="AE79" s="7">
        <f>31700+4900</f>
        <v>36600</v>
      </c>
      <c r="AF79" s="7"/>
      <c r="AG79" s="7">
        <f t="shared" si="0"/>
        <v>36600</v>
      </c>
    </row>
    <row r="80" spans="1:33" ht="51" x14ac:dyDescent="0.25">
      <c r="A80" s="41" t="s">
        <v>304</v>
      </c>
      <c r="B80" s="43" t="s">
        <v>512</v>
      </c>
      <c r="C80" s="43" t="s">
        <v>511</v>
      </c>
      <c r="D80" s="43" t="s">
        <v>59</v>
      </c>
      <c r="E80" s="43" t="s">
        <v>60</v>
      </c>
      <c r="F80" s="72" t="s">
        <v>253</v>
      </c>
      <c r="G80" s="42" t="s">
        <v>515</v>
      </c>
      <c r="H80" s="72" t="s">
        <v>513</v>
      </c>
      <c r="I80" s="51" t="s">
        <v>514</v>
      </c>
      <c r="J80" s="45">
        <v>44833</v>
      </c>
      <c r="K80" s="7">
        <v>7277</v>
      </c>
      <c r="L80" s="46">
        <v>13397</v>
      </c>
      <c r="M80" s="45">
        <v>44833</v>
      </c>
      <c r="N80" s="45">
        <v>44926</v>
      </c>
      <c r="O80" s="42" t="s">
        <v>254</v>
      </c>
      <c r="P80" s="42" t="s">
        <v>93</v>
      </c>
      <c r="Q80" s="7"/>
      <c r="R80" s="7"/>
      <c r="S80" s="42" t="s">
        <v>255</v>
      </c>
      <c r="T80" s="42" t="s">
        <v>93</v>
      </c>
      <c r="U80" s="42" t="s">
        <v>93</v>
      </c>
      <c r="V80" s="42" t="s">
        <v>93</v>
      </c>
      <c r="W80" s="42" t="s">
        <v>93</v>
      </c>
      <c r="X80" s="42" t="s">
        <v>93</v>
      </c>
      <c r="Y80" s="42" t="s">
        <v>93</v>
      </c>
      <c r="Z80" s="42" t="s">
        <v>93</v>
      </c>
      <c r="AA80" s="42" t="s">
        <v>93</v>
      </c>
      <c r="AB80" s="7"/>
      <c r="AC80" s="7"/>
      <c r="AD80" s="7">
        <f t="shared" si="1"/>
        <v>7277</v>
      </c>
      <c r="AE80" s="7">
        <f>700+1100+2627+2850+9840</f>
        <v>17117</v>
      </c>
      <c r="AF80" s="7"/>
      <c r="AG80" s="7">
        <f t="shared" si="0"/>
        <v>17117</v>
      </c>
    </row>
    <row r="81" spans="1:33" ht="51" x14ac:dyDescent="0.25">
      <c r="A81" s="41" t="s">
        <v>306</v>
      </c>
      <c r="B81" s="43" t="s">
        <v>444</v>
      </c>
      <c r="C81" s="43" t="s">
        <v>445</v>
      </c>
      <c r="D81" s="43" t="s">
        <v>59</v>
      </c>
      <c r="E81" s="43" t="s">
        <v>60</v>
      </c>
      <c r="F81" s="72" t="s">
        <v>253</v>
      </c>
      <c r="G81" s="42" t="s">
        <v>446</v>
      </c>
      <c r="H81" s="72" t="s">
        <v>447</v>
      </c>
      <c r="I81" s="51" t="s">
        <v>448</v>
      </c>
      <c r="J81" s="45">
        <v>44698</v>
      </c>
      <c r="K81" s="7">
        <v>51500.5</v>
      </c>
      <c r="L81" s="46">
        <v>13393</v>
      </c>
      <c r="M81" s="45">
        <v>44698</v>
      </c>
      <c r="N81" s="45">
        <v>44926</v>
      </c>
      <c r="O81" s="42" t="s">
        <v>450</v>
      </c>
      <c r="P81" s="42" t="s">
        <v>93</v>
      </c>
      <c r="Q81" s="7"/>
      <c r="R81" s="7"/>
      <c r="S81" s="42" t="s">
        <v>92</v>
      </c>
      <c r="T81" s="42" t="s">
        <v>93</v>
      </c>
      <c r="U81" s="42" t="s">
        <v>93</v>
      </c>
      <c r="V81" s="42" t="s">
        <v>93</v>
      </c>
      <c r="W81" s="42" t="s">
        <v>93</v>
      </c>
      <c r="X81" s="42" t="s">
        <v>93</v>
      </c>
      <c r="Y81" s="42" t="s">
        <v>93</v>
      </c>
      <c r="Z81" s="42" t="s">
        <v>93</v>
      </c>
      <c r="AA81" s="42" t="s">
        <v>93</v>
      </c>
      <c r="AB81" s="7"/>
      <c r="AC81" s="7"/>
      <c r="AD81" s="7">
        <f t="shared" si="1"/>
        <v>51500.5</v>
      </c>
      <c r="AE81" s="7">
        <f>6722.63</f>
        <v>6722.63</v>
      </c>
      <c r="AF81" s="7"/>
      <c r="AG81" s="7">
        <f t="shared" si="0"/>
        <v>6722.63</v>
      </c>
    </row>
    <row r="82" spans="1:33" ht="51" x14ac:dyDescent="0.25">
      <c r="A82" s="41" t="s">
        <v>307</v>
      </c>
      <c r="B82" s="43" t="s">
        <v>477</v>
      </c>
      <c r="C82" s="43" t="s">
        <v>476</v>
      </c>
      <c r="D82" s="43" t="s">
        <v>59</v>
      </c>
      <c r="E82" s="43" t="s">
        <v>60</v>
      </c>
      <c r="F82" s="72" t="s">
        <v>253</v>
      </c>
      <c r="G82" s="42" t="s">
        <v>478</v>
      </c>
      <c r="H82" s="72" t="s">
        <v>479</v>
      </c>
      <c r="I82" s="51" t="s">
        <v>480</v>
      </c>
      <c r="J82" s="45">
        <v>44855</v>
      </c>
      <c r="K82" s="7">
        <v>66224</v>
      </c>
      <c r="L82" s="46">
        <v>13408</v>
      </c>
      <c r="M82" s="45">
        <v>44855</v>
      </c>
      <c r="N82" s="45">
        <v>44926</v>
      </c>
      <c r="O82" s="42" t="s">
        <v>492</v>
      </c>
      <c r="P82" s="42" t="s">
        <v>93</v>
      </c>
      <c r="Q82" s="7"/>
      <c r="R82" s="7"/>
      <c r="S82" s="42" t="s">
        <v>493</v>
      </c>
      <c r="T82" s="42" t="s">
        <v>93</v>
      </c>
      <c r="U82" s="42" t="s">
        <v>93</v>
      </c>
      <c r="V82" s="42" t="s">
        <v>93</v>
      </c>
      <c r="W82" s="42" t="s">
        <v>93</v>
      </c>
      <c r="X82" s="42" t="s">
        <v>93</v>
      </c>
      <c r="Y82" s="42" t="s">
        <v>93</v>
      </c>
      <c r="Z82" s="42" t="s">
        <v>93</v>
      </c>
      <c r="AA82" s="42" t="s">
        <v>93</v>
      </c>
      <c r="AB82" s="7"/>
      <c r="AC82" s="7"/>
      <c r="AD82" s="7">
        <f t="shared" si="1"/>
        <v>66224</v>
      </c>
      <c r="AE82" s="7">
        <f>23012.84</f>
        <v>23012.84</v>
      </c>
      <c r="AF82" s="7"/>
      <c r="AG82" s="7">
        <f t="shared" si="0"/>
        <v>23012.84</v>
      </c>
    </row>
    <row r="83" spans="1:33" ht="51" x14ac:dyDescent="0.25">
      <c r="A83" s="41" t="s">
        <v>308</v>
      </c>
      <c r="B83" s="43" t="s">
        <v>456</v>
      </c>
      <c r="C83" s="43" t="s">
        <v>457</v>
      </c>
      <c r="D83" s="43" t="s">
        <v>59</v>
      </c>
      <c r="E83" s="43" t="s">
        <v>60</v>
      </c>
      <c r="F83" s="72" t="s">
        <v>253</v>
      </c>
      <c r="G83" s="42" t="s">
        <v>452</v>
      </c>
      <c r="H83" s="72" t="s">
        <v>453</v>
      </c>
      <c r="I83" s="51" t="s">
        <v>454</v>
      </c>
      <c r="J83" s="45">
        <v>44861</v>
      </c>
      <c r="K83" s="7">
        <v>572000</v>
      </c>
      <c r="L83" s="46">
        <v>13407</v>
      </c>
      <c r="M83" s="45">
        <v>44861</v>
      </c>
      <c r="N83" s="45">
        <v>45225</v>
      </c>
      <c r="O83" s="42" t="s">
        <v>250</v>
      </c>
      <c r="P83" s="42" t="s">
        <v>93</v>
      </c>
      <c r="Q83" s="7"/>
      <c r="R83" s="7"/>
      <c r="S83" s="42" t="s">
        <v>61</v>
      </c>
      <c r="T83" s="42" t="s">
        <v>93</v>
      </c>
      <c r="U83" s="42" t="s">
        <v>93</v>
      </c>
      <c r="V83" s="42" t="s">
        <v>93</v>
      </c>
      <c r="W83" s="42" t="s">
        <v>93</v>
      </c>
      <c r="X83" s="42" t="s">
        <v>93</v>
      </c>
      <c r="Y83" s="42" t="s">
        <v>93</v>
      </c>
      <c r="Z83" s="42" t="s">
        <v>93</v>
      </c>
      <c r="AA83" s="42" t="s">
        <v>93</v>
      </c>
      <c r="AB83" s="7"/>
      <c r="AC83" s="7"/>
      <c r="AD83" s="7">
        <f t="shared" ref="AD83:AD146" si="2">K83-AC83+AB83</f>
        <v>572000</v>
      </c>
      <c r="AE83" s="7">
        <f>87707.81+6834.73+185898.4</f>
        <v>280440.94</v>
      </c>
      <c r="AF83" s="7"/>
      <c r="AG83" s="7">
        <f t="shared" si="0"/>
        <v>280440.94</v>
      </c>
    </row>
    <row r="84" spans="1:33" ht="51" x14ac:dyDescent="0.25">
      <c r="A84" s="41" t="s">
        <v>313</v>
      </c>
      <c r="B84" s="43" t="s">
        <v>458</v>
      </c>
      <c r="C84" s="43" t="s">
        <v>459</v>
      </c>
      <c r="D84" s="43" t="s">
        <v>59</v>
      </c>
      <c r="E84" s="43" t="s">
        <v>60</v>
      </c>
      <c r="F84" s="72" t="s">
        <v>253</v>
      </c>
      <c r="G84" s="42" t="s">
        <v>455</v>
      </c>
      <c r="H84" s="72" t="s">
        <v>374</v>
      </c>
      <c r="I84" s="51" t="s">
        <v>375</v>
      </c>
      <c r="J84" s="45">
        <v>44903</v>
      </c>
      <c r="K84" s="7">
        <v>14749.5</v>
      </c>
      <c r="L84" s="46">
        <v>13429</v>
      </c>
      <c r="M84" s="45">
        <v>44903</v>
      </c>
      <c r="N84" s="45">
        <v>45267</v>
      </c>
      <c r="O84" s="42" t="s">
        <v>460</v>
      </c>
      <c r="P84" s="42" t="s">
        <v>93</v>
      </c>
      <c r="Q84" s="7"/>
      <c r="R84" s="7"/>
      <c r="S84" s="42" t="s">
        <v>100</v>
      </c>
      <c r="T84" s="42" t="s">
        <v>93</v>
      </c>
      <c r="U84" s="42" t="s">
        <v>93</v>
      </c>
      <c r="V84" s="42" t="s">
        <v>93</v>
      </c>
      <c r="W84" s="42" t="s">
        <v>93</v>
      </c>
      <c r="X84" s="42" t="s">
        <v>93</v>
      </c>
      <c r="Y84" s="42" t="s">
        <v>93</v>
      </c>
      <c r="Z84" s="42" t="s">
        <v>93</v>
      </c>
      <c r="AA84" s="42" t="s">
        <v>93</v>
      </c>
      <c r="AB84" s="7"/>
      <c r="AC84" s="7"/>
      <c r="AD84" s="7">
        <f t="shared" si="2"/>
        <v>14749.5</v>
      </c>
      <c r="AE84" s="7"/>
      <c r="AF84" s="7"/>
      <c r="AG84" s="7">
        <f t="shared" si="0"/>
        <v>0</v>
      </c>
    </row>
    <row r="85" spans="1:33" ht="51" x14ac:dyDescent="0.25">
      <c r="A85" s="41" t="s">
        <v>319</v>
      </c>
      <c r="B85" s="43" t="s">
        <v>465</v>
      </c>
      <c r="C85" s="43" t="s">
        <v>464</v>
      </c>
      <c r="D85" s="43" t="s">
        <v>59</v>
      </c>
      <c r="E85" s="43" t="s">
        <v>60</v>
      </c>
      <c r="F85" s="72" t="s">
        <v>253</v>
      </c>
      <c r="G85" s="42" t="s">
        <v>461</v>
      </c>
      <c r="H85" s="72" t="s">
        <v>462</v>
      </c>
      <c r="I85" s="51" t="s">
        <v>463</v>
      </c>
      <c r="J85" s="45">
        <v>44903</v>
      </c>
      <c r="K85" s="7">
        <v>30000</v>
      </c>
      <c r="L85" s="46">
        <v>13429</v>
      </c>
      <c r="M85" s="45">
        <v>44903</v>
      </c>
      <c r="N85" s="45">
        <v>45267</v>
      </c>
      <c r="O85" s="42" t="s">
        <v>474</v>
      </c>
      <c r="P85" s="42" t="s">
        <v>93</v>
      </c>
      <c r="Q85" s="7"/>
      <c r="R85" s="7"/>
      <c r="S85" s="42" t="s">
        <v>83</v>
      </c>
      <c r="T85" s="42">
        <v>1</v>
      </c>
      <c r="U85" s="45">
        <v>45268</v>
      </c>
      <c r="V85" s="46">
        <v>13672</v>
      </c>
      <c r="W85" s="42" t="s">
        <v>62</v>
      </c>
      <c r="X85" s="45">
        <v>45268</v>
      </c>
      <c r="Y85" s="45">
        <v>45267</v>
      </c>
      <c r="Z85" s="42" t="s">
        <v>93</v>
      </c>
      <c r="AA85" s="42" t="s">
        <v>93</v>
      </c>
      <c r="AB85" s="7"/>
      <c r="AC85" s="7"/>
      <c r="AD85" s="7">
        <f t="shared" si="2"/>
        <v>30000</v>
      </c>
      <c r="AE85" s="7">
        <f>2500+1083.34+2500+2500+2500+2500+2500+2500+2500+2500+2500+2500+2500</f>
        <v>31083.34</v>
      </c>
      <c r="AF85" s="7">
        <f>2500+2500+2500+2500</f>
        <v>10000</v>
      </c>
      <c r="AG85" s="7">
        <f t="shared" ref="AG85:AG153" si="3">AE85+AF85</f>
        <v>41083.339999999997</v>
      </c>
    </row>
    <row r="86" spans="1:33" ht="51" x14ac:dyDescent="0.25">
      <c r="A86" s="41" t="s">
        <v>321</v>
      </c>
      <c r="B86" s="43" t="s">
        <v>465</v>
      </c>
      <c r="C86" s="43" t="s">
        <v>464</v>
      </c>
      <c r="D86" s="43" t="s">
        <v>59</v>
      </c>
      <c r="E86" s="43" t="s">
        <v>60</v>
      </c>
      <c r="F86" s="72" t="s">
        <v>253</v>
      </c>
      <c r="G86" s="42" t="s">
        <v>466</v>
      </c>
      <c r="H86" s="72" t="s">
        <v>467</v>
      </c>
      <c r="I86" s="51" t="s">
        <v>468</v>
      </c>
      <c r="J86" s="45">
        <v>44903</v>
      </c>
      <c r="K86" s="7">
        <v>31347</v>
      </c>
      <c r="L86" s="46">
        <v>13429</v>
      </c>
      <c r="M86" s="45">
        <v>44903</v>
      </c>
      <c r="N86" s="45">
        <v>45267</v>
      </c>
      <c r="O86" s="42" t="s">
        <v>475</v>
      </c>
      <c r="P86" s="42" t="s">
        <v>93</v>
      </c>
      <c r="Q86" s="7"/>
      <c r="R86" s="7"/>
      <c r="S86" s="42" t="s">
        <v>83</v>
      </c>
      <c r="T86" s="42" t="s">
        <v>93</v>
      </c>
      <c r="U86" s="42" t="s">
        <v>93</v>
      </c>
      <c r="V86" s="42" t="s">
        <v>93</v>
      </c>
      <c r="W86" s="42" t="s">
        <v>93</v>
      </c>
      <c r="X86" s="42" t="s">
        <v>93</v>
      </c>
      <c r="Y86" s="42" t="s">
        <v>93</v>
      </c>
      <c r="Z86" s="42" t="s">
        <v>93</v>
      </c>
      <c r="AA86" s="42" t="s">
        <v>93</v>
      </c>
      <c r="AB86" s="7"/>
      <c r="AC86" s="7"/>
      <c r="AD86" s="7">
        <f t="shared" si="2"/>
        <v>31347</v>
      </c>
      <c r="AE86" s="7">
        <f>1828.57+2612.25+2612.25+2612.25</f>
        <v>9665.32</v>
      </c>
      <c r="AF86" s="7"/>
      <c r="AG86" s="7">
        <f t="shared" si="3"/>
        <v>9665.32</v>
      </c>
    </row>
    <row r="87" spans="1:33" ht="51" x14ac:dyDescent="0.25">
      <c r="A87" s="41" t="s">
        <v>322</v>
      </c>
      <c r="B87" s="43" t="s">
        <v>588</v>
      </c>
      <c r="C87" s="43" t="s">
        <v>589</v>
      </c>
      <c r="D87" s="43" t="s">
        <v>59</v>
      </c>
      <c r="E87" s="43" t="s">
        <v>60</v>
      </c>
      <c r="F87" s="72" t="s">
        <v>253</v>
      </c>
      <c r="G87" s="42" t="s">
        <v>590</v>
      </c>
      <c r="H87" s="72" t="s">
        <v>513</v>
      </c>
      <c r="I87" s="51" t="s">
        <v>587</v>
      </c>
      <c r="J87" s="45">
        <v>44903</v>
      </c>
      <c r="K87" s="7">
        <v>6675</v>
      </c>
      <c r="L87" s="46"/>
      <c r="M87" s="45">
        <v>45268</v>
      </c>
      <c r="N87" s="45">
        <v>45291</v>
      </c>
      <c r="O87" s="42" t="s">
        <v>460</v>
      </c>
      <c r="P87" s="42" t="s">
        <v>93</v>
      </c>
      <c r="Q87" s="7"/>
      <c r="R87" s="7"/>
      <c r="S87" s="42" t="s">
        <v>255</v>
      </c>
      <c r="T87" s="42" t="s">
        <v>93</v>
      </c>
      <c r="U87" s="42" t="s">
        <v>93</v>
      </c>
      <c r="V87" s="42" t="s">
        <v>93</v>
      </c>
      <c r="W87" s="42" t="s">
        <v>93</v>
      </c>
      <c r="X87" s="42" t="s">
        <v>93</v>
      </c>
      <c r="Y87" s="42" t="s">
        <v>93</v>
      </c>
      <c r="Z87" s="42" t="s">
        <v>93</v>
      </c>
      <c r="AA87" s="42" t="s">
        <v>93</v>
      </c>
      <c r="AB87" s="7"/>
      <c r="AC87" s="7"/>
      <c r="AD87" s="7">
        <f t="shared" si="2"/>
        <v>6675</v>
      </c>
      <c r="AE87" s="7">
        <f>5475+1200</f>
        <v>6675</v>
      </c>
      <c r="AF87" s="7"/>
      <c r="AG87" s="7">
        <f t="shared" si="3"/>
        <v>6675</v>
      </c>
    </row>
    <row r="88" spans="1:33" ht="51" x14ac:dyDescent="0.25">
      <c r="A88" s="41" t="s">
        <v>323</v>
      </c>
      <c r="B88" s="43" t="s">
        <v>489</v>
      </c>
      <c r="C88" s="43" t="s">
        <v>488</v>
      </c>
      <c r="D88" s="43" t="s">
        <v>59</v>
      </c>
      <c r="E88" s="43" t="s">
        <v>60</v>
      </c>
      <c r="F88" s="72" t="s">
        <v>253</v>
      </c>
      <c r="G88" s="42" t="s">
        <v>522</v>
      </c>
      <c r="H88" s="72" t="s">
        <v>379</v>
      </c>
      <c r="I88" s="51" t="s">
        <v>360</v>
      </c>
      <c r="J88" s="45">
        <v>44903</v>
      </c>
      <c r="K88" s="7">
        <v>2861.32</v>
      </c>
      <c r="L88" s="46">
        <v>13429</v>
      </c>
      <c r="M88" s="45">
        <v>44903</v>
      </c>
      <c r="N88" s="45">
        <v>44926</v>
      </c>
      <c r="O88" s="42" t="s">
        <v>460</v>
      </c>
      <c r="P88" s="42" t="s">
        <v>93</v>
      </c>
      <c r="Q88" s="7"/>
      <c r="R88" s="7"/>
      <c r="S88" s="42" t="s">
        <v>255</v>
      </c>
      <c r="T88" s="42" t="s">
        <v>93</v>
      </c>
      <c r="U88" s="42" t="s">
        <v>93</v>
      </c>
      <c r="V88" s="42" t="s">
        <v>93</v>
      </c>
      <c r="W88" s="42" t="s">
        <v>93</v>
      </c>
      <c r="X88" s="42" t="s">
        <v>93</v>
      </c>
      <c r="Y88" s="42" t="s">
        <v>93</v>
      </c>
      <c r="Z88" s="42" t="s">
        <v>93</v>
      </c>
      <c r="AA88" s="42" t="s">
        <v>93</v>
      </c>
      <c r="AB88" s="7"/>
      <c r="AC88" s="7"/>
      <c r="AD88" s="7">
        <f t="shared" si="2"/>
        <v>2861.32</v>
      </c>
      <c r="AE88" s="7">
        <f>2861.32</f>
        <v>2861.32</v>
      </c>
      <c r="AF88" s="7"/>
      <c r="AG88" s="7">
        <f t="shared" si="3"/>
        <v>2861.32</v>
      </c>
    </row>
    <row r="89" spans="1:33" ht="51" x14ac:dyDescent="0.25">
      <c r="A89" s="41" t="s">
        <v>329</v>
      </c>
      <c r="B89" s="43" t="s">
        <v>489</v>
      </c>
      <c r="C89" s="43" t="s">
        <v>488</v>
      </c>
      <c r="D89" s="43" t="s">
        <v>59</v>
      </c>
      <c r="E89" s="43" t="s">
        <v>60</v>
      </c>
      <c r="F89" s="72" t="s">
        <v>253</v>
      </c>
      <c r="G89" s="42" t="s">
        <v>487</v>
      </c>
      <c r="H89" s="72" t="s">
        <v>490</v>
      </c>
      <c r="I89" s="51" t="s">
        <v>491</v>
      </c>
      <c r="J89" s="45">
        <v>44903</v>
      </c>
      <c r="K89" s="7">
        <v>5970</v>
      </c>
      <c r="L89" s="46">
        <v>13429</v>
      </c>
      <c r="M89" s="45">
        <v>44903</v>
      </c>
      <c r="N89" s="45">
        <v>44926</v>
      </c>
      <c r="O89" s="42" t="s">
        <v>460</v>
      </c>
      <c r="P89" s="42" t="s">
        <v>93</v>
      </c>
      <c r="Q89" s="7"/>
      <c r="R89" s="7"/>
      <c r="S89" s="42" t="s">
        <v>255</v>
      </c>
      <c r="T89" s="42" t="s">
        <v>93</v>
      </c>
      <c r="U89" s="42" t="s">
        <v>93</v>
      </c>
      <c r="V89" s="42" t="s">
        <v>93</v>
      </c>
      <c r="W89" s="42" t="s">
        <v>93</v>
      </c>
      <c r="X89" s="42" t="s">
        <v>93</v>
      </c>
      <c r="Y89" s="42" t="s">
        <v>93</v>
      </c>
      <c r="Z89" s="42" t="s">
        <v>93</v>
      </c>
      <c r="AA89" s="42" t="s">
        <v>93</v>
      </c>
      <c r="AB89" s="7"/>
      <c r="AC89" s="7"/>
      <c r="AD89" s="7">
        <f t="shared" si="2"/>
        <v>5970</v>
      </c>
      <c r="AE89" s="7">
        <f>5970</f>
        <v>5970</v>
      </c>
      <c r="AF89" s="7"/>
      <c r="AG89" s="7">
        <f t="shared" si="3"/>
        <v>5970</v>
      </c>
    </row>
    <row r="90" spans="1:33" ht="51" x14ac:dyDescent="0.25">
      <c r="A90" s="41" t="s">
        <v>333</v>
      </c>
      <c r="B90" s="43" t="s">
        <v>469</v>
      </c>
      <c r="C90" s="43" t="s">
        <v>472</v>
      </c>
      <c r="D90" s="43" t="s">
        <v>59</v>
      </c>
      <c r="E90" s="43" t="s">
        <v>60</v>
      </c>
      <c r="F90" s="72" t="s">
        <v>253</v>
      </c>
      <c r="G90" s="42" t="s">
        <v>470</v>
      </c>
      <c r="H90" s="72" t="s">
        <v>471</v>
      </c>
      <c r="I90" s="51" t="s">
        <v>473</v>
      </c>
      <c r="J90" s="45">
        <v>44957</v>
      </c>
      <c r="K90" s="7">
        <v>10865</v>
      </c>
      <c r="L90" s="46">
        <v>13470</v>
      </c>
      <c r="M90" s="45">
        <v>44957</v>
      </c>
      <c r="N90" s="45">
        <v>45321</v>
      </c>
      <c r="O90" s="42">
        <v>101</v>
      </c>
      <c r="P90" s="42" t="s">
        <v>93</v>
      </c>
      <c r="Q90" s="7"/>
      <c r="R90" s="7"/>
      <c r="S90" s="42" t="s">
        <v>61</v>
      </c>
      <c r="T90" s="42" t="s">
        <v>93</v>
      </c>
      <c r="U90" s="42" t="s">
        <v>93</v>
      </c>
      <c r="V90" s="42" t="s">
        <v>93</v>
      </c>
      <c r="W90" s="42" t="s">
        <v>93</v>
      </c>
      <c r="X90" s="42" t="s">
        <v>93</v>
      </c>
      <c r="Y90" s="42" t="s">
        <v>93</v>
      </c>
      <c r="Z90" s="42" t="s">
        <v>93</v>
      </c>
      <c r="AA90" s="42" t="s">
        <v>93</v>
      </c>
      <c r="AB90" s="7"/>
      <c r="AC90" s="7"/>
      <c r="AD90" s="7">
        <f t="shared" si="2"/>
        <v>10865</v>
      </c>
      <c r="AE90" s="7">
        <f>10865</f>
        <v>10865</v>
      </c>
      <c r="AF90" s="7">
        <f>10865</f>
        <v>10865</v>
      </c>
      <c r="AG90" s="7">
        <f t="shared" si="3"/>
        <v>21730</v>
      </c>
    </row>
    <row r="91" spans="1:33" ht="51" x14ac:dyDescent="0.25">
      <c r="A91" s="41" t="s">
        <v>336</v>
      </c>
      <c r="B91" s="43" t="s">
        <v>544</v>
      </c>
      <c r="C91" s="43" t="s">
        <v>472</v>
      </c>
      <c r="D91" s="43" t="s">
        <v>59</v>
      </c>
      <c r="E91" s="43" t="s">
        <v>60</v>
      </c>
      <c r="F91" s="72" t="s">
        <v>253</v>
      </c>
      <c r="G91" s="42" t="s">
        <v>545</v>
      </c>
      <c r="H91" s="72" t="s">
        <v>232</v>
      </c>
      <c r="I91" s="51" t="s">
        <v>243</v>
      </c>
      <c r="J91" s="45">
        <v>44958</v>
      </c>
      <c r="K91" s="7">
        <v>195000</v>
      </c>
      <c r="L91" s="46">
        <v>13474</v>
      </c>
      <c r="M91" s="45">
        <v>44958</v>
      </c>
      <c r="N91" s="45">
        <v>45291</v>
      </c>
      <c r="O91" s="42" t="s">
        <v>523</v>
      </c>
      <c r="P91" s="42" t="s">
        <v>93</v>
      </c>
      <c r="Q91" s="7"/>
      <c r="R91" s="7"/>
      <c r="S91" s="42" t="s">
        <v>100</v>
      </c>
      <c r="T91" s="42" t="s">
        <v>93</v>
      </c>
      <c r="U91" s="42" t="s">
        <v>93</v>
      </c>
      <c r="V91" s="42" t="s">
        <v>93</v>
      </c>
      <c r="W91" s="42" t="s">
        <v>93</v>
      </c>
      <c r="X91" s="42" t="s">
        <v>93</v>
      </c>
      <c r="Y91" s="42" t="s">
        <v>93</v>
      </c>
      <c r="Z91" s="42" t="s">
        <v>93</v>
      </c>
      <c r="AA91" s="42" t="s">
        <v>93</v>
      </c>
      <c r="AB91" s="7"/>
      <c r="AC91" s="7"/>
      <c r="AD91" s="7">
        <f t="shared" si="2"/>
        <v>195000</v>
      </c>
      <c r="AE91" s="7">
        <f>32000+27910.25+32000+7022.82+6409.05+14478.38</f>
        <v>119820.50000000001</v>
      </c>
      <c r="AF91" s="7"/>
      <c r="AG91" s="7">
        <f t="shared" si="3"/>
        <v>119820.50000000001</v>
      </c>
    </row>
    <row r="92" spans="1:33" ht="51" x14ac:dyDescent="0.25">
      <c r="A92" s="41" t="s">
        <v>337</v>
      </c>
      <c r="B92" s="43" t="s">
        <v>517</v>
      </c>
      <c r="C92" s="43" t="s">
        <v>518</v>
      </c>
      <c r="D92" s="43" t="s">
        <v>59</v>
      </c>
      <c r="E92" s="43" t="s">
        <v>60</v>
      </c>
      <c r="F92" s="72" t="s">
        <v>253</v>
      </c>
      <c r="G92" s="42" t="s">
        <v>529</v>
      </c>
      <c r="H92" s="72" t="s">
        <v>339</v>
      </c>
      <c r="I92" s="51" t="s">
        <v>358</v>
      </c>
      <c r="J92" s="45">
        <v>44966</v>
      </c>
      <c r="K92" s="7">
        <v>80656</v>
      </c>
      <c r="L92" s="46">
        <v>13482</v>
      </c>
      <c r="M92" s="45">
        <v>44966</v>
      </c>
      <c r="N92" s="45">
        <v>45291</v>
      </c>
      <c r="O92" s="42" t="s">
        <v>523</v>
      </c>
      <c r="P92" s="42" t="s">
        <v>93</v>
      </c>
      <c r="Q92" s="7"/>
      <c r="R92" s="7"/>
      <c r="S92" s="42" t="s">
        <v>100</v>
      </c>
      <c r="T92" s="42" t="s">
        <v>93</v>
      </c>
      <c r="U92" s="42" t="s">
        <v>93</v>
      </c>
      <c r="V92" s="42" t="s">
        <v>93</v>
      </c>
      <c r="W92" s="42" t="s">
        <v>93</v>
      </c>
      <c r="X92" s="42" t="s">
        <v>93</v>
      </c>
      <c r="Y92" s="42" t="s">
        <v>93</v>
      </c>
      <c r="Z92" s="42" t="s">
        <v>93</v>
      </c>
      <c r="AA92" s="42" t="s">
        <v>93</v>
      </c>
      <c r="AB92" s="7"/>
      <c r="AC92" s="7"/>
      <c r="AD92" s="7">
        <f t="shared" si="2"/>
        <v>80656</v>
      </c>
      <c r="AE92" s="7">
        <f>21617.97+15866.4+2181.63</f>
        <v>39666</v>
      </c>
      <c r="AF92" s="7"/>
      <c r="AG92" s="7">
        <f t="shared" si="3"/>
        <v>39666</v>
      </c>
    </row>
    <row r="93" spans="1:33" ht="51" x14ac:dyDescent="0.25">
      <c r="A93" s="41" t="s">
        <v>338</v>
      </c>
      <c r="B93" s="43" t="s">
        <v>517</v>
      </c>
      <c r="C93" s="43" t="s">
        <v>518</v>
      </c>
      <c r="D93" s="43" t="s">
        <v>59</v>
      </c>
      <c r="E93" s="43" t="s">
        <v>60</v>
      </c>
      <c r="F93" s="72" t="s">
        <v>253</v>
      </c>
      <c r="G93" s="42" t="s">
        <v>519</v>
      </c>
      <c r="H93" s="72" t="s">
        <v>520</v>
      </c>
      <c r="I93" s="51" t="s">
        <v>318</v>
      </c>
      <c r="J93" s="45">
        <v>44966</v>
      </c>
      <c r="K93" s="7">
        <v>45118</v>
      </c>
      <c r="L93" s="46">
        <v>13482</v>
      </c>
      <c r="M93" s="45">
        <v>44966</v>
      </c>
      <c r="N93" s="45">
        <v>45291</v>
      </c>
      <c r="O93" s="42" t="s">
        <v>523</v>
      </c>
      <c r="P93" s="42" t="s">
        <v>93</v>
      </c>
      <c r="Q93" s="7"/>
      <c r="R93" s="7"/>
      <c r="S93" s="42" t="s">
        <v>100</v>
      </c>
      <c r="T93" s="42" t="s">
        <v>93</v>
      </c>
      <c r="U93" s="42" t="s">
        <v>93</v>
      </c>
      <c r="V93" s="42" t="s">
        <v>93</v>
      </c>
      <c r="W93" s="42" t="s">
        <v>93</v>
      </c>
      <c r="X93" s="42" t="s">
        <v>93</v>
      </c>
      <c r="Y93" s="42" t="s">
        <v>93</v>
      </c>
      <c r="Z93" s="42" t="s">
        <v>93</v>
      </c>
      <c r="AA93" s="42" t="s">
        <v>93</v>
      </c>
      <c r="AB93" s="7"/>
      <c r="AC93" s="7"/>
      <c r="AD93" s="7">
        <f t="shared" si="2"/>
        <v>45118</v>
      </c>
      <c r="AE93" s="7">
        <f>858.5+515.1</f>
        <v>1373.6</v>
      </c>
      <c r="AF93" s="7">
        <f>1410</f>
        <v>1410</v>
      </c>
      <c r="AG93" s="7">
        <f t="shared" si="3"/>
        <v>2783.6</v>
      </c>
    </row>
    <row r="94" spans="1:33" ht="51" x14ac:dyDescent="0.25">
      <c r="A94" s="41" t="s">
        <v>341</v>
      </c>
      <c r="B94" s="43" t="s">
        <v>482</v>
      </c>
      <c r="C94" s="43" t="s">
        <v>591</v>
      </c>
      <c r="D94" s="43" t="s">
        <v>59</v>
      </c>
      <c r="E94" s="43" t="s">
        <v>60</v>
      </c>
      <c r="F94" s="72" t="s">
        <v>253</v>
      </c>
      <c r="G94" s="42" t="s">
        <v>592</v>
      </c>
      <c r="H94" s="72" t="s">
        <v>593</v>
      </c>
      <c r="I94" s="51" t="s">
        <v>594</v>
      </c>
      <c r="J94" s="45">
        <v>44971</v>
      </c>
      <c r="K94" s="7">
        <v>52599.839999999997</v>
      </c>
      <c r="L94" s="46">
        <v>13479</v>
      </c>
      <c r="M94" s="45">
        <v>44971</v>
      </c>
      <c r="N94" s="45">
        <v>45335</v>
      </c>
      <c r="O94" s="42" t="s">
        <v>598</v>
      </c>
      <c r="P94" s="42" t="s">
        <v>93</v>
      </c>
      <c r="Q94" s="7"/>
      <c r="R94" s="7"/>
      <c r="S94" s="42" t="s">
        <v>61</v>
      </c>
      <c r="T94" s="42" t="s">
        <v>93</v>
      </c>
      <c r="U94" s="42" t="s">
        <v>93</v>
      </c>
      <c r="V94" s="42" t="s">
        <v>93</v>
      </c>
      <c r="W94" s="42" t="s">
        <v>93</v>
      </c>
      <c r="X94" s="42" t="s">
        <v>93</v>
      </c>
      <c r="Y94" s="42" t="s">
        <v>93</v>
      </c>
      <c r="Z94" s="42" t="s">
        <v>93</v>
      </c>
      <c r="AA94" s="42" t="s">
        <v>93</v>
      </c>
      <c r="AB94" s="7"/>
      <c r="AC94" s="7"/>
      <c r="AD94" s="7">
        <f t="shared" si="2"/>
        <v>52599.839999999997</v>
      </c>
      <c r="AE94" s="7">
        <f>2191.66+4383.32+4383.32+4383.32+4383.32+4383.32+4383.32</f>
        <v>28491.579999999998</v>
      </c>
      <c r="AF94" s="7">
        <f>4383.32+4383.32+4383.32+4383.32</f>
        <v>17533.28</v>
      </c>
      <c r="AG94" s="7">
        <f t="shared" si="3"/>
        <v>46024.86</v>
      </c>
    </row>
    <row r="95" spans="1:33" ht="51" x14ac:dyDescent="0.25">
      <c r="A95" s="41" t="s">
        <v>346</v>
      </c>
      <c r="B95" s="43" t="s">
        <v>482</v>
      </c>
      <c r="C95" s="43" t="s">
        <v>481</v>
      </c>
      <c r="D95" s="43" t="s">
        <v>59</v>
      </c>
      <c r="E95" s="43" t="s">
        <v>60</v>
      </c>
      <c r="F95" s="72" t="s">
        <v>253</v>
      </c>
      <c r="G95" s="42" t="s">
        <v>483</v>
      </c>
      <c r="H95" s="72" t="s">
        <v>418</v>
      </c>
      <c r="I95" s="51" t="s">
        <v>222</v>
      </c>
      <c r="J95" s="45">
        <v>44971</v>
      </c>
      <c r="K95" s="7">
        <v>87998.399999999994</v>
      </c>
      <c r="L95" s="46">
        <v>13479</v>
      </c>
      <c r="M95" s="45">
        <v>44971</v>
      </c>
      <c r="N95" s="45">
        <v>45336</v>
      </c>
      <c r="O95" s="42" t="s">
        <v>494</v>
      </c>
      <c r="P95" s="42" t="s">
        <v>93</v>
      </c>
      <c r="Q95" s="7"/>
      <c r="R95" s="7"/>
      <c r="S95" s="42" t="s">
        <v>61</v>
      </c>
      <c r="T95" s="42" t="s">
        <v>93</v>
      </c>
      <c r="U95" s="42" t="s">
        <v>93</v>
      </c>
      <c r="V95" s="42" t="s">
        <v>93</v>
      </c>
      <c r="W95" s="42" t="s">
        <v>93</v>
      </c>
      <c r="X95" s="42" t="s">
        <v>93</v>
      </c>
      <c r="Y95" s="42" t="s">
        <v>93</v>
      </c>
      <c r="Z95" s="42" t="s">
        <v>93</v>
      </c>
      <c r="AA95" s="42" t="s">
        <v>93</v>
      </c>
      <c r="AB95" s="7"/>
      <c r="AC95" s="7"/>
      <c r="AD95" s="7">
        <f t="shared" si="2"/>
        <v>87998.399999999994</v>
      </c>
      <c r="AE95" s="7">
        <f>1466.64+7333.2+7333.2+7333.2+7088.76+7333.2+7333.2+7333.2+7333.2+7333.2+7333.2</f>
        <v>74554.199999999983</v>
      </c>
      <c r="AF95" s="7">
        <f>7333.2+7333.2+7333.2+7333.2</f>
        <v>29332.799999999999</v>
      </c>
      <c r="AG95" s="7">
        <f t="shared" si="3"/>
        <v>103886.99999999999</v>
      </c>
    </row>
    <row r="96" spans="1:33" ht="51" x14ac:dyDescent="0.25">
      <c r="A96" s="41" t="s">
        <v>348</v>
      </c>
      <c r="B96" s="43" t="s">
        <v>532</v>
      </c>
      <c r="C96" s="43" t="s">
        <v>531</v>
      </c>
      <c r="D96" s="43" t="s">
        <v>59</v>
      </c>
      <c r="E96" s="43" t="s">
        <v>60</v>
      </c>
      <c r="F96" s="72" t="s">
        <v>253</v>
      </c>
      <c r="G96" s="42" t="s">
        <v>533</v>
      </c>
      <c r="H96" s="72" t="s">
        <v>207</v>
      </c>
      <c r="I96" s="51" t="s">
        <v>208</v>
      </c>
      <c r="J96" s="45">
        <v>44971</v>
      </c>
      <c r="K96" s="7">
        <v>211495</v>
      </c>
      <c r="L96" s="46">
        <v>13488</v>
      </c>
      <c r="M96" s="45">
        <v>44971</v>
      </c>
      <c r="N96" s="45">
        <v>45291</v>
      </c>
      <c r="O96" s="42" t="s">
        <v>523</v>
      </c>
      <c r="P96" s="42" t="s">
        <v>93</v>
      </c>
      <c r="Q96" s="7"/>
      <c r="R96" s="7"/>
      <c r="S96" s="42" t="s">
        <v>100</v>
      </c>
      <c r="T96" s="42" t="s">
        <v>93</v>
      </c>
      <c r="U96" s="42" t="s">
        <v>93</v>
      </c>
      <c r="V96" s="42" t="s">
        <v>93</v>
      </c>
      <c r="W96" s="42" t="s">
        <v>93</v>
      </c>
      <c r="X96" s="42" t="s">
        <v>93</v>
      </c>
      <c r="Y96" s="42" t="s">
        <v>93</v>
      </c>
      <c r="Z96" s="42" t="s">
        <v>93</v>
      </c>
      <c r="AA96" s="42" t="s">
        <v>93</v>
      </c>
      <c r="AB96" s="7"/>
      <c r="AC96" s="7"/>
      <c r="AD96" s="7">
        <f t="shared" si="2"/>
        <v>211495</v>
      </c>
      <c r="AE96" s="7">
        <f>101.88+8008+36+4928+127.35+6776+2666+1989+441.48+10472+6776+5544+3213+7392+2907+238.29</f>
        <v>61616.000000000007</v>
      </c>
      <c r="AF96" s="7">
        <f>5049+11704+2142+1232+1700+8624</f>
        <v>30451</v>
      </c>
      <c r="AG96" s="7">
        <f t="shared" si="3"/>
        <v>92067</v>
      </c>
    </row>
    <row r="97" spans="1:33" ht="51" x14ac:dyDescent="0.25">
      <c r="A97" s="41" t="s">
        <v>352</v>
      </c>
      <c r="B97" s="43" t="s">
        <v>532</v>
      </c>
      <c r="C97" s="43" t="s">
        <v>531</v>
      </c>
      <c r="D97" s="43" t="s">
        <v>59</v>
      </c>
      <c r="E97" s="43" t="s">
        <v>60</v>
      </c>
      <c r="F97" s="72" t="s">
        <v>253</v>
      </c>
      <c r="G97" s="42" t="s">
        <v>803</v>
      </c>
      <c r="H97" s="72" t="s">
        <v>513</v>
      </c>
      <c r="I97" s="51" t="s">
        <v>514</v>
      </c>
      <c r="J97" s="45">
        <v>44971</v>
      </c>
      <c r="K97" s="7">
        <v>1945</v>
      </c>
      <c r="L97" s="46">
        <v>13488</v>
      </c>
      <c r="M97" s="45">
        <v>44971</v>
      </c>
      <c r="N97" s="45">
        <v>45657</v>
      </c>
      <c r="O97" s="42" t="s">
        <v>523</v>
      </c>
      <c r="P97" s="42"/>
      <c r="Q97" s="7"/>
      <c r="R97" s="7"/>
      <c r="S97" s="42" t="s">
        <v>100</v>
      </c>
      <c r="T97" s="42"/>
      <c r="U97" s="42"/>
      <c r="V97" s="42"/>
      <c r="W97" s="42"/>
      <c r="X97" s="42"/>
      <c r="Y97" s="42"/>
      <c r="Z97" s="42"/>
      <c r="AA97" s="42"/>
      <c r="AB97" s="7"/>
      <c r="AC97" s="7"/>
      <c r="AD97" s="7">
        <f t="shared" si="2"/>
        <v>1945</v>
      </c>
      <c r="AE97" s="7"/>
      <c r="AF97" s="7">
        <f>1945</f>
        <v>1945</v>
      </c>
      <c r="AG97" s="7">
        <f t="shared" si="3"/>
        <v>1945</v>
      </c>
    </row>
    <row r="98" spans="1:33" ht="51" x14ac:dyDescent="0.25">
      <c r="A98" s="41" t="s">
        <v>363</v>
      </c>
      <c r="B98" s="43" t="s">
        <v>532</v>
      </c>
      <c r="C98" s="43" t="s">
        <v>664</v>
      </c>
      <c r="D98" s="43" t="s">
        <v>59</v>
      </c>
      <c r="E98" s="43" t="s">
        <v>60</v>
      </c>
      <c r="F98" s="72" t="s">
        <v>253</v>
      </c>
      <c r="G98" s="42" t="s">
        <v>665</v>
      </c>
      <c r="H98" s="72" t="s">
        <v>666</v>
      </c>
      <c r="I98" s="51" t="s">
        <v>667</v>
      </c>
      <c r="J98" s="45">
        <v>44971</v>
      </c>
      <c r="K98" s="7">
        <v>36900</v>
      </c>
      <c r="L98" s="46">
        <v>13488</v>
      </c>
      <c r="M98" s="45">
        <v>44971</v>
      </c>
      <c r="N98" s="45">
        <v>45291</v>
      </c>
      <c r="O98" s="42" t="s">
        <v>439</v>
      </c>
      <c r="P98" s="42" t="s">
        <v>93</v>
      </c>
      <c r="Q98" s="7"/>
      <c r="R98" s="7"/>
      <c r="S98" s="42" t="s">
        <v>100</v>
      </c>
      <c r="T98" s="42" t="s">
        <v>93</v>
      </c>
      <c r="U98" s="42" t="s">
        <v>93</v>
      </c>
      <c r="V98" s="42" t="s">
        <v>93</v>
      </c>
      <c r="W98" s="42" t="s">
        <v>93</v>
      </c>
      <c r="X98" s="42" t="s">
        <v>93</v>
      </c>
      <c r="Y98" s="42" t="s">
        <v>93</v>
      </c>
      <c r="Z98" s="42" t="s">
        <v>93</v>
      </c>
      <c r="AA98" s="42" t="s">
        <v>93</v>
      </c>
      <c r="AB98" s="7"/>
      <c r="AC98" s="7"/>
      <c r="AD98" s="7">
        <f t="shared" si="2"/>
        <v>36900</v>
      </c>
      <c r="AE98" s="7">
        <f>2594.07+4442.76+3003.66+2099.61</f>
        <v>12140.1</v>
      </c>
      <c r="AF98" s="7">
        <f>2907.72+1697.4+2531.34+14819.04</f>
        <v>21955.5</v>
      </c>
      <c r="AG98" s="7">
        <f t="shared" si="3"/>
        <v>34095.599999999999</v>
      </c>
    </row>
    <row r="99" spans="1:33" ht="51" x14ac:dyDescent="0.25">
      <c r="A99" s="41" t="s">
        <v>364</v>
      </c>
      <c r="B99" s="43" t="s">
        <v>547</v>
      </c>
      <c r="C99" s="43" t="s">
        <v>488</v>
      </c>
      <c r="D99" s="43" t="s">
        <v>59</v>
      </c>
      <c r="E99" s="43" t="s">
        <v>60</v>
      </c>
      <c r="F99" s="72" t="s">
        <v>253</v>
      </c>
      <c r="G99" s="42" t="s">
        <v>548</v>
      </c>
      <c r="H99" s="72" t="s">
        <v>513</v>
      </c>
      <c r="I99" s="51" t="s">
        <v>514</v>
      </c>
      <c r="J99" s="45">
        <v>44980</v>
      </c>
      <c r="K99" s="7">
        <v>3675</v>
      </c>
      <c r="L99" s="46">
        <v>13511</v>
      </c>
      <c r="M99" s="45">
        <v>44980</v>
      </c>
      <c r="N99" s="45" t="s">
        <v>559</v>
      </c>
      <c r="O99" s="42" t="s">
        <v>560</v>
      </c>
      <c r="P99" s="42" t="s">
        <v>93</v>
      </c>
      <c r="Q99" s="7"/>
      <c r="R99" s="7"/>
      <c r="S99" s="42" t="s">
        <v>255</v>
      </c>
      <c r="T99" s="42" t="s">
        <v>93</v>
      </c>
      <c r="U99" s="42" t="s">
        <v>93</v>
      </c>
      <c r="V99" s="42" t="s">
        <v>93</v>
      </c>
      <c r="W99" s="42" t="s">
        <v>93</v>
      </c>
      <c r="X99" s="42" t="s">
        <v>93</v>
      </c>
      <c r="Y99" s="42" t="s">
        <v>93</v>
      </c>
      <c r="Z99" s="42" t="s">
        <v>93</v>
      </c>
      <c r="AA99" s="42" t="s">
        <v>93</v>
      </c>
      <c r="AB99" s="7"/>
      <c r="AC99" s="7"/>
      <c r="AD99" s="7">
        <f t="shared" si="2"/>
        <v>3675</v>
      </c>
      <c r="AE99" s="7">
        <f>3675</f>
        <v>3675</v>
      </c>
      <c r="AF99" s="7"/>
      <c r="AG99" s="7">
        <f t="shared" si="3"/>
        <v>3675</v>
      </c>
    </row>
    <row r="100" spans="1:33" ht="51" x14ac:dyDescent="0.25">
      <c r="A100" s="41" t="s">
        <v>368</v>
      </c>
      <c r="B100" s="43" t="s">
        <v>651</v>
      </c>
      <c r="C100" s="43" t="s">
        <v>650</v>
      </c>
      <c r="D100" s="43" t="s">
        <v>59</v>
      </c>
      <c r="E100" s="43" t="s">
        <v>60</v>
      </c>
      <c r="F100" s="72" t="s">
        <v>253</v>
      </c>
      <c r="G100" s="42" t="s">
        <v>647</v>
      </c>
      <c r="H100" s="72" t="s">
        <v>648</v>
      </c>
      <c r="I100" s="51" t="s">
        <v>649</v>
      </c>
      <c r="J100" s="45">
        <v>44987</v>
      </c>
      <c r="K100" s="7">
        <v>29030</v>
      </c>
      <c r="L100" s="46">
        <v>13498</v>
      </c>
      <c r="M100" s="45">
        <v>44987</v>
      </c>
      <c r="N100" s="45">
        <v>45291</v>
      </c>
      <c r="O100" s="42" t="s">
        <v>523</v>
      </c>
      <c r="P100" s="42" t="s">
        <v>93</v>
      </c>
      <c r="Q100" s="7"/>
      <c r="R100" s="7"/>
      <c r="S100" s="42" t="s">
        <v>100</v>
      </c>
      <c r="T100" s="42" t="s">
        <v>93</v>
      </c>
      <c r="U100" s="42" t="s">
        <v>93</v>
      </c>
      <c r="V100" s="42" t="s">
        <v>93</v>
      </c>
      <c r="W100" s="42" t="s">
        <v>93</v>
      </c>
      <c r="X100" s="42" t="s">
        <v>93</v>
      </c>
      <c r="Y100" s="42" t="s">
        <v>93</v>
      </c>
      <c r="Z100" s="42" t="s">
        <v>93</v>
      </c>
      <c r="AA100" s="42" t="s">
        <v>93</v>
      </c>
      <c r="AB100" s="7"/>
      <c r="AC100" s="7"/>
      <c r="AD100" s="7">
        <f t="shared" si="2"/>
        <v>29030</v>
      </c>
      <c r="AE100" s="7">
        <f>10020+2640</f>
        <v>12660</v>
      </c>
      <c r="AF100" s="7"/>
      <c r="AG100" s="7">
        <f t="shared" si="3"/>
        <v>12660</v>
      </c>
    </row>
    <row r="101" spans="1:33" ht="51" x14ac:dyDescent="0.25">
      <c r="A101" s="41" t="s">
        <v>372</v>
      </c>
      <c r="B101" s="43" t="s">
        <v>552</v>
      </c>
      <c r="C101" s="43" t="s">
        <v>551</v>
      </c>
      <c r="D101" s="43" t="s">
        <v>59</v>
      </c>
      <c r="E101" s="43" t="s">
        <v>60</v>
      </c>
      <c r="F101" s="72" t="s">
        <v>253</v>
      </c>
      <c r="G101" s="42" t="s">
        <v>555</v>
      </c>
      <c r="H101" s="72" t="s">
        <v>374</v>
      </c>
      <c r="I101" s="51" t="s">
        <v>375</v>
      </c>
      <c r="J101" s="45">
        <v>44988</v>
      </c>
      <c r="K101" s="7">
        <v>9998.9699999999993</v>
      </c>
      <c r="L101" s="46">
        <v>13489</v>
      </c>
      <c r="M101" s="45">
        <v>44988</v>
      </c>
      <c r="N101" s="45">
        <v>45291</v>
      </c>
      <c r="O101" s="42" t="s">
        <v>561</v>
      </c>
      <c r="P101" s="42" t="s">
        <v>93</v>
      </c>
      <c r="Q101" s="7"/>
      <c r="R101" s="7"/>
      <c r="S101" s="42" t="s">
        <v>255</v>
      </c>
      <c r="T101" s="42" t="s">
        <v>93</v>
      </c>
      <c r="U101" s="42" t="s">
        <v>93</v>
      </c>
      <c r="V101" s="42" t="s">
        <v>93</v>
      </c>
      <c r="W101" s="42" t="s">
        <v>93</v>
      </c>
      <c r="X101" s="42" t="s">
        <v>93</v>
      </c>
      <c r="Y101" s="42" t="s">
        <v>93</v>
      </c>
      <c r="Z101" s="42" t="s">
        <v>93</v>
      </c>
      <c r="AA101" s="42" t="s">
        <v>93</v>
      </c>
      <c r="AB101" s="7"/>
      <c r="AC101" s="7"/>
      <c r="AD101" s="7">
        <f t="shared" si="2"/>
        <v>9998.9699999999993</v>
      </c>
      <c r="AE101" s="7">
        <f>9998.97</f>
        <v>9998.9699999999993</v>
      </c>
      <c r="AF101" s="7"/>
      <c r="AG101" s="7">
        <f t="shared" si="3"/>
        <v>9998.9699999999993</v>
      </c>
    </row>
    <row r="102" spans="1:33" ht="51" x14ac:dyDescent="0.25">
      <c r="A102" s="41" t="s">
        <v>376</v>
      </c>
      <c r="B102" s="43" t="s">
        <v>552</v>
      </c>
      <c r="C102" s="43" t="s">
        <v>551</v>
      </c>
      <c r="D102" s="43" t="s">
        <v>59</v>
      </c>
      <c r="E102" s="43" t="s">
        <v>60</v>
      </c>
      <c r="F102" s="72" t="s">
        <v>253</v>
      </c>
      <c r="G102" s="42" t="s">
        <v>550</v>
      </c>
      <c r="H102" s="72" t="s">
        <v>513</v>
      </c>
      <c r="I102" s="51" t="s">
        <v>514</v>
      </c>
      <c r="J102" s="45">
        <v>44992</v>
      </c>
      <c r="K102" s="7">
        <v>18400</v>
      </c>
      <c r="L102" s="46">
        <v>13498</v>
      </c>
      <c r="M102" s="45">
        <v>44992</v>
      </c>
      <c r="N102" s="45">
        <v>45291</v>
      </c>
      <c r="O102" s="42" t="s">
        <v>560</v>
      </c>
      <c r="P102" s="42" t="s">
        <v>93</v>
      </c>
      <c r="Q102" s="7"/>
      <c r="R102" s="7"/>
      <c r="S102" s="42" t="s">
        <v>255</v>
      </c>
      <c r="T102" s="42" t="s">
        <v>93</v>
      </c>
      <c r="U102" s="42" t="s">
        <v>93</v>
      </c>
      <c r="V102" s="42" t="s">
        <v>93</v>
      </c>
      <c r="W102" s="42" t="s">
        <v>93</v>
      </c>
      <c r="X102" s="42" t="s">
        <v>93</v>
      </c>
      <c r="Y102" s="42" t="s">
        <v>93</v>
      </c>
      <c r="Z102" s="42" t="s">
        <v>93</v>
      </c>
      <c r="AA102" s="42" t="s">
        <v>93</v>
      </c>
      <c r="AB102" s="7"/>
      <c r="AC102" s="7"/>
      <c r="AD102" s="7">
        <f t="shared" si="2"/>
        <v>18400</v>
      </c>
      <c r="AE102" s="7">
        <f>18400</f>
        <v>18400</v>
      </c>
      <c r="AF102" s="7"/>
      <c r="AG102" s="7">
        <f t="shared" si="3"/>
        <v>18400</v>
      </c>
    </row>
    <row r="103" spans="1:33" ht="51" x14ac:dyDescent="0.25">
      <c r="A103" s="41" t="s">
        <v>380</v>
      </c>
      <c r="B103" s="43" t="s">
        <v>585</v>
      </c>
      <c r="C103" s="43" t="s">
        <v>584</v>
      </c>
      <c r="D103" s="43" t="s">
        <v>59</v>
      </c>
      <c r="E103" s="43" t="s">
        <v>60</v>
      </c>
      <c r="F103" s="72" t="s">
        <v>253</v>
      </c>
      <c r="G103" s="42" t="s">
        <v>583</v>
      </c>
      <c r="H103" s="72" t="s">
        <v>418</v>
      </c>
      <c r="I103" s="51" t="s">
        <v>222</v>
      </c>
      <c r="J103" s="45">
        <v>45008</v>
      </c>
      <c r="K103" s="7">
        <v>8550</v>
      </c>
      <c r="L103" s="46">
        <v>13502</v>
      </c>
      <c r="M103" s="45">
        <v>45008</v>
      </c>
      <c r="N103" s="45">
        <v>45373</v>
      </c>
      <c r="O103" s="42">
        <v>101</v>
      </c>
      <c r="P103" s="42" t="s">
        <v>93</v>
      </c>
      <c r="Q103" s="7"/>
      <c r="R103" s="7"/>
      <c r="S103" s="42" t="s">
        <v>61</v>
      </c>
      <c r="T103" s="42" t="s">
        <v>93</v>
      </c>
      <c r="U103" s="42" t="s">
        <v>93</v>
      </c>
      <c r="V103" s="42" t="s">
        <v>93</v>
      </c>
      <c r="W103" s="42" t="s">
        <v>93</v>
      </c>
      <c r="X103" s="42" t="s">
        <v>93</v>
      </c>
      <c r="Y103" s="42" t="s">
        <v>93</v>
      </c>
      <c r="Z103" s="42" t="s">
        <v>93</v>
      </c>
      <c r="AA103" s="42" t="s">
        <v>93</v>
      </c>
      <c r="AB103" s="7"/>
      <c r="AC103" s="7"/>
      <c r="AD103" s="7">
        <f t="shared" si="2"/>
        <v>8550</v>
      </c>
      <c r="AE103" s="7">
        <f>950+1064+836</f>
        <v>2850</v>
      </c>
      <c r="AF103" s="7">
        <f>1520+570</f>
        <v>2090</v>
      </c>
      <c r="AG103" s="7">
        <f t="shared" si="3"/>
        <v>4940</v>
      </c>
    </row>
    <row r="104" spans="1:33" ht="51" x14ac:dyDescent="0.25">
      <c r="A104" s="41" t="s">
        <v>381</v>
      </c>
      <c r="B104" s="43" t="s">
        <v>429</v>
      </c>
      <c r="C104" s="43" t="s">
        <v>430</v>
      </c>
      <c r="D104" s="43" t="s">
        <v>59</v>
      </c>
      <c r="E104" s="43" t="s">
        <v>60</v>
      </c>
      <c r="F104" s="72" t="s">
        <v>253</v>
      </c>
      <c r="G104" s="42" t="s">
        <v>565</v>
      </c>
      <c r="H104" s="72" t="s">
        <v>431</v>
      </c>
      <c r="I104" s="51" t="s">
        <v>432</v>
      </c>
      <c r="J104" s="45">
        <v>45012</v>
      </c>
      <c r="K104" s="7">
        <v>89000</v>
      </c>
      <c r="L104" s="46">
        <v>13506</v>
      </c>
      <c r="M104" s="45">
        <v>45012</v>
      </c>
      <c r="N104" s="45">
        <v>45291</v>
      </c>
      <c r="O104" s="42" t="s">
        <v>439</v>
      </c>
      <c r="P104" s="42" t="s">
        <v>93</v>
      </c>
      <c r="Q104" s="7"/>
      <c r="R104" s="7"/>
      <c r="S104" s="42" t="s">
        <v>61</v>
      </c>
      <c r="T104" s="42" t="s">
        <v>93</v>
      </c>
      <c r="U104" s="42" t="s">
        <v>93</v>
      </c>
      <c r="V104" s="42" t="s">
        <v>93</v>
      </c>
      <c r="W104" s="42" t="s">
        <v>93</v>
      </c>
      <c r="X104" s="42" t="s">
        <v>93</v>
      </c>
      <c r="Y104" s="42" t="s">
        <v>93</v>
      </c>
      <c r="Z104" s="42" t="s">
        <v>93</v>
      </c>
      <c r="AA104" s="42" t="s">
        <v>93</v>
      </c>
      <c r="AB104" s="7"/>
      <c r="AC104" s="7"/>
      <c r="AD104" s="7">
        <f t="shared" si="2"/>
        <v>89000</v>
      </c>
      <c r="AE104" s="7">
        <f>222.5+1246+1824.5+2447.5</f>
        <v>5740.5</v>
      </c>
      <c r="AF104" s="7"/>
      <c r="AG104" s="7">
        <f t="shared" si="3"/>
        <v>5740.5</v>
      </c>
    </row>
    <row r="105" spans="1:33" ht="51" x14ac:dyDescent="0.25">
      <c r="A105" s="41" t="s">
        <v>382</v>
      </c>
      <c r="B105" s="43" t="s">
        <v>525</v>
      </c>
      <c r="C105" s="43" t="s">
        <v>526</v>
      </c>
      <c r="D105" s="43" t="s">
        <v>59</v>
      </c>
      <c r="E105" s="43" t="s">
        <v>60</v>
      </c>
      <c r="F105" s="72" t="s">
        <v>253</v>
      </c>
      <c r="G105" s="42" t="s">
        <v>556</v>
      </c>
      <c r="H105" s="72" t="s">
        <v>611</v>
      </c>
      <c r="I105" s="51" t="s">
        <v>557</v>
      </c>
      <c r="J105" s="45">
        <v>45013</v>
      </c>
      <c r="K105" s="7">
        <v>62740.9</v>
      </c>
      <c r="L105" s="46">
        <v>13508</v>
      </c>
      <c r="M105" s="45">
        <v>45013</v>
      </c>
      <c r="N105" s="45">
        <v>45291</v>
      </c>
      <c r="O105" s="42" t="s">
        <v>523</v>
      </c>
      <c r="P105" s="42" t="s">
        <v>93</v>
      </c>
      <c r="Q105" s="7"/>
      <c r="R105" s="7"/>
      <c r="S105" s="42" t="s">
        <v>100</v>
      </c>
      <c r="T105" s="42" t="s">
        <v>93</v>
      </c>
      <c r="U105" s="42" t="s">
        <v>93</v>
      </c>
      <c r="V105" s="42" t="s">
        <v>93</v>
      </c>
      <c r="W105" s="42" t="s">
        <v>93</v>
      </c>
      <c r="X105" s="42" t="s">
        <v>93</v>
      </c>
      <c r="Y105" s="42" t="s">
        <v>93</v>
      </c>
      <c r="Z105" s="42" t="s">
        <v>93</v>
      </c>
      <c r="AA105" s="42" t="s">
        <v>93</v>
      </c>
      <c r="AB105" s="7"/>
      <c r="AC105" s="7"/>
      <c r="AD105" s="7">
        <f t="shared" si="2"/>
        <v>62740.9</v>
      </c>
      <c r="AE105" s="7">
        <f>11076</f>
        <v>11076</v>
      </c>
      <c r="AF105" s="7">
        <f>1114.4</f>
        <v>1114.4000000000001</v>
      </c>
      <c r="AG105" s="7">
        <f t="shared" si="3"/>
        <v>12190.4</v>
      </c>
    </row>
    <row r="106" spans="1:33" ht="51" x14ac:dyDescent="0.25">
      <c r="A106" s="41" t="s">
        <v>385</v>
      </c>
      <c r="B106" s="43" t="s">
        <v>525</v>
      </c>
      <c r="C106" s="43" t="s">
        <v>526</v>
      </c>
      <c r="D106" s="43" t="s">
        <v>59</v>
      </c>
      <c r="E106" s="43" t="s">
        <v>60</v>
      </c>
      <c r="F106" s="72" t="s">
        <v>253</v>
      </c>
      <c r="G106" s="42" t="s">
        <v>527</v>
      </c>
      <c r="H106" s="72" t="s">
        <v>374</v>
      </c>
      <c r="I106" s="51" t="s">
        <v>375</v>
      </c>
      <c r="J106" s="45">
        <v>45013</v>
      </c>
      <c r="K106" s="7">
        <v>7825</v>
      </c>
      <c r="L106" s="46">
        <v>13508</v>
      </c>
      <c r="M106" s="45">
        <v>45013</v>
      </c>
      <c r="N106" s="45">
        <v>45291</v>
      </c>
      <c r="O106" s="42" t="s">
        <v>523</v>
      </c>
      <c r="P106" s="42" t="s">
        <v>93</v>
      </c>
      <c r="Q106" s="7"/>
      <c r="R106" s="7"/>
      <c r="S106" s="42" t="s">
        <v>100</v>
      </c>
      <c r="T106" s="42" t="s">
        <v>93</v>
      </c>
      <c r="U106" s="42" t="s">
        <v>93</v>
      </c>
      <c r="V106" s="42" t="s">
        <v>93</v>
      </c>
      <c r="W106" s="42" t="s">
        <v>93</v>
      </c>
      <c r="X106" s="42" t="s">
        <v>93</v>
      </c>
      <c r="Y106" s="42" t="s">
        <v>93</v>
      </c>
      <c r="Z106" s="42" t="s">
        <v>93</v>
      </c>
      <c r="AA106" s="42" t="s">
        <v>93</v>
      </c>
      <c r="AB106" s="7"/>
      <c r="AC106" s="7"/>
      <c r="AD106" s="7">
        <f t="shared" si="2"/>
        <v>7825</v>
      </c>
      <c r="AE106" s="7">
        <f>3600+975</f>
        <v>4575</v>
      </c>
      <c r="AF106" s="7">
        <f>1050</f>
        <v>1050</v>
      </c>
      <c r="AG106" s="7">
        <f t="shared" si="3"/>
        <v>5625</v>
      </c>
    </row>
    <row r="107" spans="1:33" ht="51" x14ac:dyDescent="0.25">
      <c r="A107" s="41" t="s">
        <v>388</v>
      </c>
      <c r="B107" s="43" t="s">
        <v>554</v>
      </c>
      <c r="C107" s="43" t="s">
        <v>526</v>
      </c>
      <c r="D107" s="43" t="s">
        <v>59</v>
      </c>
      <c r="E107" s="43" t="s">
        <v>60</v>
      </c>
      <c r="F107" s="72" t="s">
        <v>253</v>
      </c>
      <c r="G107" s="42" t="s">
        <v>553</v>
      </c>
      <c r="H107" s="72" t="s">
        <v>291</v>
      </c>
      <c r="I107" s="51" t="s">
        <v>486</v>
      </c>
      <c r="J107" s="45">
        <v>45013</v>
      </c>
      <c r="K107" s="7">
        <v>62845</v>
      </c>
      <c r="L107" s="46">
        <v>13508</v>
      </c>
      <c r="M107" s="45">
        <v>45013</v>
      </c>
      <c r="N107" s="45">
        <v>45291</v>
      </c>
      <c r="O107" s="42" t="s">
        <v>523</v>
      </c>
      <c r="P107" s="42" t="s">
        <v>93</v>
      </c>
      <c r="Q107" s="7"/>
      <c r="R107" s="7"/>
      <c r="S107" s="42" t="s">
        <v>100</v>
      </c>
      <c r="T107" s="42" t="s">
        <v>93</v>
      </c>
      <c r="U107" s="42" t="s">
        <v>93</v>
      </c>
      <c r="V107" s="42" t="s">
        <v>93</v>
      </c>
      <c r="W107" s="42" t="s">
        <v>93</v>
      </c>
      <c r="X107" s="42" t="s">
        <v>93</v>
      </c>
      <c r="Y107" s="42" t="s">
        <v>93</v>
      </c>
      <c r="Z107" s="42" t="s">
        <v>93</v>
      </c>
      <c r="AA107" s="42" t="s">
        <v>93</v>
      </c>
      <c r="AB107" s="7"/>
      <c r="AC107" s="7"/>
      <c r="AD107" s="7">
        <f t="shared" si="2"/>
        <v>62845</v>
      </c>
      <c r="AE107" s="7">
        <f>4551.9</f>
        <v>4551.8999999999996</v>
      </c>
      <c r="AF107" s="7">
        <f>18763.1</f>
        <v>18763.099999999999</v>
      </c>
      <c r="AG107" s="7">
        <f t="shared" si="3"/>
        <v>23315</v>
      </c>
    </row>
    <row r="108" spans="1:33" ht="51" x14ac:dyDescent="0.25">
      <c r="A108" s="41" t="s">
        <v>393</v>
      </c>
      <c r="B108" s="43" t="s">
        <v>674</v>
      </c>
      <c r="C108" s="43" t="s">
        <v>673</v>
      </c>
      <c r="D108" s="43" t="s">
        <v>59</v>
      </c>
      <c r="E108" s="43" t="s">
        <v>60</v>
      </c>
      <c r="F108" s="72" t="s">
        <v>253</v>
      </c>
      <c r="G108" s="42" t="s">
        <v>681</v>
      </c>
      <c r="H108" s="72" t="s">
        <v>682</v>
      </c>
      <c r="I108" s="51" t="s">
        <v>187</v>
      </c>
      <c r="J108" s="45">
        <v>45016</v>
      </c>
      <c r="K108" s="7">
        <v>245825</v>
      </c>
      <c r="L108" s="46">
        <v>13511</v>
      </c>
      <c r="M108" s="45">
        <v>45016</v>
      </c>
      <c r="N108" s="45">
        <v>45291</v>
      </c>
      <c r="O108" s="42" t="s">
        <v>689</v>
      </c>
      <c r="P108" s="42" t="s">
        <v>93</v>
      </c>
      <c r="Q108" s="7"/>
      <c r="R108" s="7"/>
      <c r="S108" s="42" t="s">
        <v>100</v>
      </c>
      <c r="T108" s="42" t="s">
        <v>93</v>
      </c>
      <c r="U108" s="42" t="s">
        <v>93</v>
      </c>
      <c r="V108" s="42" t="s">
        <v>93</v>
      </c>
      <c r="W108" s="42" t="s">
        <v>93</v>
      </c>
      <c r="X108" s="42" t="s">
        <v>93</v>
      </c>
      <c r="Y108" s="42" t="s">
        <v>93</v>
      </c>
      <c r="Z108" s="42" t="s">
        <v>93</v>
      </c>
      <c r="AA108" s="42" t="s">
        <v>93</v>
      </c>
      <c r="AB108" s="7"/>
      <c r="AC108" s="7"/>
      <c r="AD108" s="7">
        <f t="shared" si="2"/>
        <v>245825</v>
      </c>
      <c r="AE108" s="7">
        <f>27778.82+10623.88+40216.7</f>
        <v>78619.399999999994</v>
      </c>
      <c r="AF108" s="7">
        <f>31770.17+11831.93+736</f>
        <v>44338.1</v>
      </c>
      <c r="AG108" s="7">
        <f t="shared" si="3"/>
        <v>122957.5</v>
      </c>
    </row>
    <row r="109" spans="1:33" ht="51" x14ac:dyDescent="0.25">
      <c r="A109" s="41" t="s">
        <v>398</v>
      </c>
      <c r="B109" s="43" t="s">
        <v>536</v>
      </c>
      <c r="C109" s="43" t="s">
        <v>604</v>
      </c>
      <c r="D109" s="43" t="s">
        <v>59</v>
      </c>
      <c r="E109" s="43" t="s">
        <v>60</v>
      </c>
      <c r="F109" s="72" t="s">
        <v>253</v>
      </c>
      <c r="G109" s="42" t="s">
        <v>603</v>
      </c>
      <c r="H109" s="72" t="s">
        <v>343</v>
      </c>
      <c r="I109" s="51" t="s">
        <v>359</v>
      </c>
      <c r="J109" s="45">
        <v>45016</v>
      </c>
      <c r="K109" s="7">
        <v>94505</v>
      </c>
      <c r="L109" s="46">
        <v>13511</v>
      </c>
      <c r="M109" s="45">
        <v>45016</v>
      </c>
      <c r="N109" s="45">
        <v>45291</v>
      </c>
      <c r="O109" s="42" t="s">
        <v>523</v>
      </c>
      <c r="P109" s="42" t="s">
        <v>93</v>
      </c>
      <c r="Q109" s="7"/>
      <c r="R109" s="7"/>
      <c r="S109" s="42" t="s">
        <v>100</v>
      </c>
      <c r="T109" s="42" t="s">
        <v>93</v>
      </c>
      <c r="U109" s="42" t="s">
        <v>93</v>
      </c>
      <c r="V109" s="42" t="s">
        <v>93</v>
      </c>
      <c r="W109" s="42" t="s">
        <v>93</v>
      </c>
      <c r="X109" s="42" t="s">
        <v>93</v>
      </c>
      <c r="Y109" s="42" t="s">
        <v>93</v>
      </c>
      <c r="Z109" s="42" t="s">
        <v>93</v>
      </c>
      <c r="AA109" s="42" t="s">
        <v>93</v>
      </c>
      <c r="AB109" s="7"/>
      <c r="AC109" s="7"/>
      <c r="AD109" s="7">
        <f t="shared" si="2"/>
        <v>94505</v>
      </c>
      <c r="AE109" s="7">
        <f>15267.6+7459.96+5240.38</f>
        <v>27967.940000000002</v>
      </c>
      <c r="AF109" s="7">
        <f>6368.28+3850.88+1356+8703.38+7965.58+16791.18+7468.1</f>
        <v>52503.4</v>
      </c>
      <c r="AG109" s="7">
        <f t="shared" si="3"/>
        <v>80471.34</v>
      </c>
    </row>
    <row r="110" spans="1:33" ht="51" x14ac:dyDescent="0.25">
      <c r="A110" s="41" t="s">
        <v>404</v>
      </c>
      <c r="B110" s="43" t="s">
        <v>674</v>
      </c>
      <c r="C110" s="43" t="s">
        <v>673</v>
      </c>
      <c r="D110" s="43" t="s">
        <v>59</v>
      </c>
      <c r="E110" s="43" t="s">
        <v>60</v>
      </c>
      <c r="F110" s="72" t="s">
        <v>253</v>
      </c>
      <c r="G110" s="42" t="s">
        <v>672</v>
      </c>
      <c r="H110" s="72" t="s">
        <v>675</v>
      </c>
      <c r="I110" s="51" t="s">
        <v>676</v>
      </c>
      <c r="J110" s="45">
        <v>45016</v>
      </c>
      <c r="K110" s="7">
        <v>33720</v>
      </c>
      <c r="L110" s="46">
        <v>13511</v>
      </c>
      <c r="M110" s="45">
        <v>45016</v>
      </c>
      <c r="N110" s="45">
        <v>45291</v>
      </c>
      <c r="O110" s="42" t="s">
        <v>689</v>
      </c>
      <c r="P110" s="42" t="s">
        <v>93</v>
      </c>
      <c r="Q110" s="7"/>
      <c r="R110" s="7"/>
      <c r="S110" s="42" t="s">
        <v>100</v>
      </c>
      <c r="T110" s="42" t="s">
        <v>93</v>
      </c>
      <c r="U110" s="42" t="s">
        <v>93</v>
      </c>
      <c r="V110" s="42" t="s">
        <v>93</v>
      </c>
      <c r="W110" s="42" t="s">
        <v>93</v>
      </c>
      <c r="X110" s="42" t="s">
        <v>93</v>
      </c>
      <c r="Y110" s="42" t="s">
        <v>93</v>
      </c>
      <c r="Z110" s="42" t="s">
        <v>93</v>
      </c>
      <c r="AA110" s="42" t="s">
        <v>93</v>
      </c>
      <c r="AB110" s="7"/>
      <c r="AC110" s="7"/>
      <c r="AD110" s="7">
        <f t="shared" si="2"/>
        <v>33720</v>
      </c>
      <c r="AE110" s="7">
        <f>472.84+695.72</f>
        <v>1168.56</v>
      </c>
      <c r="AF110" s="7">
        <f>4356.27+1857.5</f>
        <v>6213.77</v>
      </c>
      <c r="AG110" s="7">
        <f t="shared" si="3"/>
        <v>7382.33</v>
      </c>
    </row>
    <row r="111" spans="1:33" ht="51" x14ac:dyDescent="0.25">
      <c r="A111" s="41" t="s">
        <v>407</v>
      </c>
      <c r="B111" s="43" t="s">
        <v>613</v>
      </c>
      <c r="C111" s="43" t="s">
        <v>612</v>
      </c>
      <c r="D111" s="43" t="s">
        <v>59</v>
      </c>
      <c r="E111" s="43" t="s">
        <v>60</v>
      </c>
      <c r="F111" s="72" t="s">
        <v>253</v>
      </c>
      <c r="G111" s="42" t="s">
        <v>610</v>
      </c>
      <c r="H111" s="72" t="s">
        <v>611</v>
      </c>
      <c r="I111" s="51" t="s">
        <v>557</v>
      </c>
      <c r="J111" s="45">
        <v>45016</v>
      </c>
      <c r="K111" s="7">
        <v>40537</v>
      </c>
      <c r="L111" s="46">
        <v>13512</v>
      </c>
      <c r="M111" s="45">
        <v>45016</v>
      </c>
      <c r="N111" s="45">
        <v>45291</v>
      </c>
      <c r="O111" s="42" t="s">
        <v>523</v>
      </c>
      <c r="P111" s="42" t="s">
        <v>93</v>
      </c>
      <c r="Q111" s="7"/>
      <c r="R111" s="7"/>
      <c r="S111" s="42" t="s">
        <v>100</v>
      </c>
      <c r="T111" s="42" t="s">
        <v>93</v>
      </c>
      <c r="U111" s="42" t="s">
        <v>93</v>
      </c>
      <c r="V111" s="42" t="s">
        <v>93</v>
      </c>
      <c r="W111" s="42" t="s">
        <v>93</v>
      </c>
      <c r="X111" s="42" t="s">
        <v>93</v>
      </c>
      <c r="Y111" s="42" t="s">
        <v>93</v>
      </c>
      <c r="Z111" s="42" t="s">
        <v>93</v>
      </c>
      <c r="AA111" s="42" t="s">
        <v>93</v>
      </c>
      <c r="AB111" s="7"/>
      <c r="AC111" s="7"/>
      <c r="AD111" s="7">
        <f t="shared" si="2"/>
        <v>40537</v>
      </c>
      <c r="AE111" s="7">
        <f>5716.4+5419.4+4392+2928</f>
        <v>18455.8</v>
      </c>
      <c r="AF111" s="7">
        <f>19454.4+2626.8</f>
        <v>22081.200000000001</v>
      </c>
      <c r="AG111" s="7">
        <f t="shared" si="3"/>
        <v>40537</v>
      </c>
    </row>
    <row r="112" spans="1:33" ht="51" x14ac:dyDescent="0.25">
      <c r="A112" s="41" t="s">
        <v>413</v>
      </c>
      <c r="B112" s="43" t="s">
        <v>536</v>
      </c>
      <c r="C112" s="43" t="s">
        <v>535</v>
      </c>
      <c r="D112" s="43" t="s">
        <v>59</v>
      </c>
      <c r="E112" s="43" t="s">
        <v>60</v>
      </c>
      <c r="F112" s="72" t="s">
        <v>253</v>
      </c>
      <c r="G112" s="42" t="s">
        <v>537</v>
      </c>
      <c r="H112" s="72" t="s">
        <v>343</v>
      </c>
      <c r="I112" s="51" t="s">
        <v>359</v>
      </c>
      <c r="J112" s="45">
        <v>45028</v>
      </c>
      <c r="K112" s="7">
        <v>221380</v>
      </c>
      <c r="L112" s="46">
        <v>13514</v>
      </c>
      <c r="M112" s="45">
        <v>45028</v>
      </c>
      <c r="N112" s="45">
        <v>45291</v>
      </c>
      <c r="O112" s="42" t="s">
        <v>439</v>
      </c>
      <c r="P112" s="42" t="s">
        <v>93</v>
      </c>
      <c r="Q112" s="7"/>
      <c r="R112" s="7"/>
      <c r="S112" s="42" t="s">
        <v>100</v>
      </c>
      <c r="T112" s="42" t="s">
        <v>93</v>
      </c>
      <c r="U112" s="42" t="s">
        <v>93</v>
      </c>
      <c r="V112" s="42" t="s">
        <v>93</v>
      </c>
      <c r="W112" s="42" t="s">
        <v>93</v>
      </c>
      <c r="X112" s="42" t="s">
        <v>93</v>
      </c>
      <c r="Y112" s="42" t="s">
        <v>93</v>
      </c>
      <c r="Z112" s="42" t="s">
        <v>93</v>
      </c>
      <c r="AA112" s="42" t="s">
        <v>93</v>
      </c>
      <c r="AB112" s="7"/>
      <c r="AC112" s="7"/>
      <c r="AD112" s="7">
        <f t="shared" si="2"/>
        <v>221380</v>
      </c>
      <c r="AE112" s="7">
        <f>187074.7+17887.8+16417.5</f>
        <v>221380</v>
      </c>
      <c r="AF112" s="7"/>
      <c r="AG112" s="7">
        <f t="shared" si="3"/>
        <v>221380</v>
      </c>
    </row>
    <row r="113" spans="1:33" ht="51" x14ac:dyDescent="0.25">
      <c r="A113" s="41" t="s">
        <v>414</v>
      </c>
      <c r="B113" s="43" t="s">
        <v>570</v>
      </c>
      <c r="C113" s="43" t="s">
        <v>526</v>
      </c>
      <c r="D113" s="43" t="s">
        <v>59</v>
      </c>
      <c r="E113" s="43" t="s">
        <v>60</v>
      </c>
      <c r="F113" s="72" t="s">
        <v>253</v>
      </c>
      <c r="G113" s="42" t="s">
        <v>569</v>
      </c>
      <c r="H113" s="72" t="s">
        <v>89</v>
      </c>
      <c r="I113" s="51" t="s">
        <v>87</v>
      </c>
      <c r="J113" s="45">
        <v>45028</v>
      </c>
      <c r="K113" s="7">
        <v>502012.8</v>
      </c>
      <c r="L113" s="46">
        <v>13533</v>
      </c>
      <c r="M113" s="45">
        <v>45028</v>
      </c>
      <c r="N113" s="45">
        <v>45393</v>
      </c>
      <c r="O113" s="42" t="s">
        <v>598</v>
      </c>
      <c r="P113" s="42" t="s">
        <v>93</v>
      </c>
      <c r="Q113" s="7"/>
      <c r="R113" s="7"/>
      <c r="S113" s="42" t="s">
        <v>61</v>
      </c>
      <c r="T113" s="42">
        <v>2</v>
      </c>
      <c r="U113" s="45">
        <v>45393</v>
      </c>
      <c r="V113" s="46">
        <v>13751</v>
      </c>
      <c r="W113" s="42" t="s">
        <v>62</v>
      </c>
      <c r="X113" s="45">
        <v>45394</v>
      </c>
      <c r="Y113" s="45">
        <v>45758</v>
      </c>
      <c r="Z113" s="42" t="s">
        <v>93</v>
      </c>
      <c r="AA113" s="42" t="s">
        <v>93</v>
      </c>
      <c r="AB113" s="7"/>
      <c r="AC113" s="7"/>
      <c r="AD113" s="7">
        <f t="shared" si="2"/>
        <v>502012.8</v>
      </c>
      <c r="AE113" s="7">
        <f>1626.89+13247.54</f>
        <v>14874.43</v>
      </c>
      <c r="AF113" s="7">
        <f>60465</f>
        <v>60465</v>
      </c>
      <c r="AG113" s="7">
        <f t="shared" si="3"/>
        <v>75339.429999999993</v>
      </c>
    </row>
    <row r="114" spans="1:33" ht="51" x14ac:dyDescent="0.25">
      <c r="A114" s="41" t="s">
        <v>421</v>
      </c>
      <c r="B114" s="43" t="s">
        <v>570</v>
      </c>
      <c r="C114" s="43" t="s">
        <v>526</v>
      </c>
      <c r="D114" s="43" t="s">
        <v>59</v>
      </c>
      <c r="E114" s="43" t="s">
        <v>60</v>
      </c>
      <c r="F114" s="72" t="s">
        <v>253</v>
      </c>
      <c r="G114" s="42" t="s">
        <v>628</v>
      </c>
      <c r="H114" s="72" t="s">
        <v>629</v>
      </c>
      <c r="I114" s="51" t="s">
        <v>630</v>
      </c>
      <c r="J114" s="45">
        <v>44993</v>
      </c>
      <c r="K114" s="7">
        <v>611996.80000000005</v>
      </c>
      <c r="L114" s="50" t="s">
        <v>638</v>
      </c>
      <c r="M114" s="45">
        <v>44993</v>
      </c>
      <c r="N114" s="45">
        <v>45511</v>
      </c>
      <c r="O114" s="42" t="s">
        <v>639</v>
      </c>
      <c r="P114" s="42" t="s">
        <v>93</v>
      </c>
      <c r="Q114" s="7"/>
      <c r="R114" s="7"/>
      <c r="S114" s="42" t="s">
        <v>61</v>
      </c>
      <c r="T114" s="42">
        <v>1</v>
      </c>
      <c r="U114" s="45">
        <v>45393</v>
      </c>
      <c r="V114" s="46">
        <v>13755</v>
      </c>
      <c r="W114" s="42" t="s">
        <v>62</v>
      </c>
      <c r="X114" s="45">
        <v>45394</v>
      </c>
      <c r="Y114" s="45">
        <v>45758</v>
      </c>
      <c r="Z114" s="42" t="s">
        <v>93</v>
      </c>
      <c r="AA114" s="42" t="s">
        <v>93</v>
      </c>
      <c r="AB114" s="7"/>
      <c r="AC114" s="7"/>
      <c r="AD114" s="7">
        <f t="shared" si="2"/>
        <v>611996.80000000005</v>
      </c>
      <c r="AE114" s="7">
        <f>5414.48+13178.64+4188.56+3166.96+25437.84+30648</f>
        <v>82034.48</v>
      </c>
      <c r="AF114" s="7">
        <f>32691.2+39842.4+39740.24+39842.4</f>
        <v>152116.24</v>
      </c>
      <c r="AG114" s="7">
        <f t="shared" si="3"/>
        <v>234150.71999999997</v>
      </c>
    </row>
    <row r="115" spans="1:33" ht="51" x14ac:dyDescent="0.25">
      <c r="A115" s="41" t="s">
        <v>427</v>
      </c>
      <c r="B115" s="43" t="s">
        <v>769</v>
      </c>
      <c r="C115" s="43" t="s">
        <v>770</v>
      </c>
      <c r="D115" s="43" t="s">
        <v>59</v>
      </c>
      <c r="E115" s="43" t="s">
        <v>60</v>
      </c>
      <c r="F115" s="72" t="s">
        <v>253</v>
      </c>
      <c r="G115" s="42" t="s">
        <v>765</v>
      </c>
      <c r="H115" s="72" t="s">
        <v>766</v>
      </c>
      <c r="I115" s="51" t="s">
        <v>767</v>
      </c>
      <c r="J115" s="45">
        <v>45033</v>
      </c>
      <c r="K115" s="7">
        <v>9997.5</v>
      </c>
      <c r="L115" s="46">
        <v>13519</v>
      </c>
      <c r="M115" s="45">
        <v>45033</v>
      </c>
      <c r="N115" s="45">
        <v>45291</v>
      </c>
      <c r="O115" s="42" t="s">
        <v>782</v>
      </c>
      <c r="P115" s="42" t="s">
        <v>93</v>
      </c>
      <c r="Q115" s="7"/>
      <c r="R115" s="7"/>
      <c r="S115" s="42" t="s">
        <v>783</v>
      </c>
      <c r="T115" s="42">
        <v>1</v>
      </c>
      <c r="U115" s="45">
        <v>45258</v>
      </c>
      <c r="V115" s="46">
        <v>13666</v>
      </c>
      <c r="W115" s="42" t="s">
        <v>238</v>
      </c>
      <c r="X115" s="42" t="s">
        <v>93</v>
      </c>
      <c r="Y115" s="42" t="s">
        <v>93</v>
      </c>
      <c r="Z115" s="53">
        <v>0.25</v>
      </c>
      <c r="AA115" s="42" t="s">
        <v>93</v>
      </c>
      <c r="AB115" s="7"/>
      <c r="AC115" s="7"/>
      <c r="AD115" s="7">
        <f t="shared" si="2"/>
        <v>9997.5</v>
      </c>
      <c r="AE115" s="7"/>
      <c r="AF115" s="7">
        <f>9973.47+12496.87</f>
        <v>22470.34</v>
      </c>
      <c r="AG115" s="7">
        <f t="shared" si="3"/>
        <v>22470.34</v>
      </c>
    </row>
    <row r="116" spans="1:33" ht="51" x14ac:dyDescent="0.25">
      <c r="A116" s="41" t="s">
        <v>428</v>
      </c>
      <c r="B116" s="43" t="s">
        <v>606</v>
      </c>
      <c r="C116" s="43" t="s">
        <v>605</v>
      </c>
      <c r="D116" s="43" t="s">
        <v>59</v>
      </c>
      <c r="E116" s="43" t="s">
        <v>60</v>
      </c>
      <c r="F116" s="72" t="s">
        <v>253</v>
      </c>
      <c r="G116" s="42" t="s">
        <v>607</v>
      </c>
      <c r="H116" s="72" t="s">
        <v>608</v>
      </c>
      <c r="I116" s="51" t="s">
        <v>609</v>
      </c>
      <c r="J116" s="45">
        <v>45034</v>
      </c>
      <c r="K116" s="7">
        <v>249600</v>
      </c>
      <c r="L116" s="46">
        <v>13526</v>
      </c>
      <c r="M116" s="45">
        <v>45034</v>
      </c>
      <c r="N116" s="45">
        <v>45291</v>
      </c>
      <c r="O116" s="42" t="s">
        <v>523</v>
      </c>
      <c r="P116" s="42" t="s">
        <v>93</v>
      </c>
      <c r="Q116" s="7"/>
      <c r="R116" s="7"/>
      <c r="S116" s="42" t="s">
        <v>635</v>
      </c>
      <c r="T116" s="42" t="s">
        <v>93</v>
      </c>
      <c r="U116" s="42" t="s">
        <v>93</v>
      </c>
      <c r="V116" s="42" t="s">
        <v>93</v>
      </c>
      <c r="W116" s="42" t="s">
        <v>93</v>
      </c>
      <c r="X116" s="42" t="s">
        <v>93</v>
      </c>
      <c r="Y116" s="42" t="s">
        <v>93</v>
      </c>
      <c r="Z116" s="42" t="s">
        <v>93</v>
      </c>
      <c r="AA116" s="42" t="s">
        <v>93</v>
      </c>
      <c r="AB116" s="7"/>
      <c r="AC116" s="7"/>
      <c r="AD116" s="7">
        <f t="shared" si="2"/>
        <v>249600</v>
      </c>
      <c r="AE116" s="7">
        <f>2662.01</f>
        <v>2662.01</v>
      </c>
      <c r="AF116" s="7"/>
      <c r="AG116" s="7">
        <f t="shared" si="3"/>
        <v>2662.01</v>
      </c>
    </row>
    <row r="117" spans="1:33" ht="51" x14ac:dyDescent="0.25">
      <c r="A117" s="41" t="s">
        <v>433</v>
      </c>
      <c r="B117" s="43" t="s">
        <v>582</v>
      </c>
      <c r="C117" s="43" t="s">
        <v>581</v>
      </c>
      <c r="D117" s="43" t="s">
        <v>59</v>
      </c>
      <c r="E117" s="43" t="s">
        <v>60</v>
      </c>
      <c r="F117" s="72" t="s">
        <v>253</v>
      </c>
      <c r="G117" s="42" t="s">
        <v>578</v>
      </c>
      <c r="H117" s="72" t="s">
        <v>579</v>
      </c>
      <c r="I117" s="51" t="s">
        <v>580</v>
      </c>
      <c r="J117" s="45">
        <v>45048</v>
      </c>
      <c r="K117" s="7">
        <v>1416842.28</v>
      </c>
      <c r="L117" s="46">
        <v>13543</v>
      </c>
      <c r="M117" s="45">
        <v>45048</v>
      </c>
      <c r="N117" s="45">
        <v>45413</v>
      </c>
      <c r="O117" s="42" t="s">
        <v>598</v>
      </c>
      <c r="P117" s="42" t="s">
        <v>93</v>
      </c>
      <c r="Q117" s="7"/>
      <c r="R117" s="7"/>
      <c r="S117" s="42" t="s">
        <v>61</v>
      </c>
      <c r="T117" s="42">
        <v>1</v>
      </c>
      <c r="U117" s="45">
        <v>45412</v>
      </c>
      <c r="V117" s="46">
        <v>13775</v>
      </c>
      <c r="W117" s="42" t="s">
        <v>62</v>
      </c>
      <c r="X117" s="45">
        <v>45414</v>
      </c>
      <c r="Y117" s="45">
        <v>45778</v>
      </c>
      <c r="Z117" s="42" t="s">
        <v>93</v>
      </c>
      <c r="AA117" s="42" t="s">
        <v>93</v>
      </c>
      <c r="AB117" s="7"/>
      <c r="AC117" s="7"/>
      <c r="AD117" s="7">
        <f t="shared" si="2"/>
        <v>1416842.28</v>
      </c>
      <c r="AE117" s="7">
        <f>9652.78+9652.78+19305.56+27667.88+43091.86+43091.86+49456.35</f>
        <v>201919.07</v>
      </c>
      <c r="AF117" s="7">
        <f>49456.35+39803.57+62222.93+68761.91</f>
        <v>220244.76</v>
      </c>
      <c r="AG117" s="7">
        <f t="shared" si="3"/>
        <v>422163.83</v>
      </c>
    </row>
    <row r="118" spans="1:33" ht="51" x14ac:dyDescent="0.25">
      <c r="A118" s="41" t="s">
        <v>436</v>
      </c>
      <c r="B118" s="43" t="s">
        <v>539</v>
      </c>
      <c r="C118" s="43" t="s">
        <v>700</v>
      </c>
      <c r="D118" s="43" t="s">
        <v>59</v>
      </c>
      <c r="E118" s="43" t="s">
        <v>60</v>
      </c>
      <c r="F118" s="72" t="s">
        <v>253</v>
      </c>
      <c r="G118" s="42" t="s">
        <v>699</v>
      </c>
      <c r="H118" s="72" t="s">
        <v>682</v>
      </c>
      <c r="I118" s="51" t="s">
        <v>187</v>
      </c>
      <c r="J118" s="45" t="s">
        <v>711</v>
      </c>
      <c r="K118" s="7">
        <v>80435</v>
      </c>
      <c r="L118" s="46">
        <v>13529</v>
      </c>
      <c r="M118" s="45">
        <v>45040</v>
      </c>
      <c r="N118" s="45">
        <v>45291</v>
      </c>
      <c r="O118" s="42" t="s">
        <v>523</v>
      </c>
      <c r="P118" s="42" t="s">
        <v>93</v>
      </c>
      <c r="Q118" s="7"/>
      <c r="R118" s="7"/>
      <c r="S118" s="42" t="s">
        <v>100</v>
      </c>
      <c r="T118" s="42" t="s">
        <v>93</v>
      </c>
      <c r="U118" s="42" t="s">
        <v>93</v>
      </c>
      <c r="V118" s="42" t="s">
        <v>93</v>
      </c>
      <c r="W118" s="42" t="s">
        <v>93</v>
      </c>
      <c r="X118" s="42" t="s">
        <v>93</v>
      </c>
      <c r="Y118" s="42" t="s">
        <v>93</v>
      </c>
      <c r="Z118" s="42" t="s">
        <v>93</v>
      </c>
      <c r="AA118" s="42" t="s">
        <v>93</v>
      </c>
      <c r="AB118" s="7"/>
      <c r="AC118" s="7"/>
      <c r="AD118" s="7">
        <f t="shared" si="2"/>
        <v>80435</v>
      </c>
      <c r="AE118" s="7">
        <f>5129.2+2161+9142+1943.2+6835.82+7020.87</f>
        <v>32232.09</v>
      </c>
      <c r="AF118" s="7">
        <f>20012+6269.26+22263.02+6679.5</f>
        <v>55223.78</v>
      </c>
      <c r="AG118" s="7">
        <f t="shared" si="3"/>
        <v>87455.87</v>
      </c>
    </row>
    <row r="119" spans="1:33" ht="51" x14ac:dyDescent="0.25">
      <c r="A119" s="41" t="s">
        <v>441</v>
      </c>
      <c r="B119" s="43" t="s">
        <v>539</v>
      </c>
      <c r="C119" s="43" t="s">
        <v>538</v>
      </c>
      <c r="D119" s="43" t="s">
        <v>59</v>
      </c>
      <c r="E119" s="43" t="s">
        <v>60</v>
      </c>
      <c r="F119" s="72" t="s">
        <v>253</v>
      </c>
      <c r="G119" s="42" t="s">
        <v>540</v>
      </c>
      <c r="H119" s="72" t="s">
        <v>405</v>
      </c>
      <c r="I119" s="51" t="s">
        <v>541</v>
      </c>
      <c r="J119" s="45">
        <v>45040</v>
      </c>
      <c r="K119" s="7">
        <v>606465</v>
      </c>
      <c r="L119" s="46">
        <v>13529</v>
      </c>
      <c r="M119" s="45">
        <v>45040</v>
      </c>
      <c r="N119" s="45">
        <v>45291</v>
      </c>
      <c r="O119" s="42" t="s">
        <v>523</v>
      </c>
      <c r="P119" s="42" t="s">
        <v>93</v>
      </c>
      <c r="Q119" s="7"/>
      <c r="R119" s="7"/>
      <c r="S119" s="42" t="s">
        <v>100</v>
      </c>
      <c r="T119" s="42" t="s">
        <v>93</v>
      </c>
      <c r="U119" s="42" t="s">
        <v>93</v>
      </c>
      <c r="V119" s="42" t="s">
        <v>93</v>
      </c>
      <c r="W119" s="42" t="s">
        <v>93</v>
      </c>
      <c r="X119" s="42" t="s">
        <v>93</v>
      </c>
      <c r="Y119" s="42" t="s">
        <v>93</v>
      </c>
      <c r="Z119" s="42" t="s">
        <v>93</v>
      </c>
      <c r="AA119" s="42" t="s">
        <v>93</v>
      </c>
      <c r="AB119" s="7"/>
      <c r="AC119" s="7"/>
      <c r="AD119" s="7">
        <f t="shared" si="2"/>
        <v>606465</v>
      </c>
      <c r="AE119" s="7">
        <f>183330.94+3000+21524.9+9089+1194+4362+9427.5+15763+9588.8+3000+3318+1194+9091+597+14075</f>
        <v>288555.14</v>
      </c>
      <c r="AF119" s="7">
        <f>4284+3143+4769.64+14539.79+10579.2+5837+10651.92+750+8572.08+33114.57+23888</f>
        <v>120129.20000000001</v>
      </c>
      <c r="AG119" s="7">
        <f t="shared" si="3"/>
        <v>408684.34</v>
      </c>
    </row>
    <row r="120" spans="1:33" ht="51" x14ac:dyDescent="0.25">
      <c r="A120" s="41" t="s">
        <v>442</v>
      </c>
      <c r="B120" s="43" t="s">
        <v>539</v>
      </c>
      <c r="C120" s="43" t="s">
        <v>538</v>
      </c>
      <c r="D120" s="43" t="s">
        <v>59</v>
      </c>
      <c r="E120" s="43" t="s">
        <v>60</v>
      </c>
      <c r="F120" s="72" t="s">
        <v>253</v>
      </c>
      <c r="G120" s="42" t="s">
        <v>566</v>
      </c>
      <c r="H120" s="72" t="s">
        <v>567</v>
      </c>
      <c r="I120" s="51" t="s">
        <v>568</v>
      </c>
      <c r="J120" s="45">
        <v>45040</v>
      </c>
      <c r="K120" s="7">
        <v>248294</v>
      </c>
      <c r="L120" s="46">
        <v>13531</v>
      </c>
      <c r="M120" s="45">
        <v>45040</v>
      </c>
      <c r="N120" s="45">
        <v>45291</v>
      </c>
      <c r="O120" s="42" t="s">
        <v>523</v>
      </c>
      <c r="P120" s="42" t="s">
        <v>93</v>
      </c>
      <c r="Q120" s="7" t="s">
        <v>595</v>
      </c>
      <c r="R120" s="7"/>
      <c r="S120" s="42" t="s">
        <v>100</v>
      </c>
      <c r="T120" s="42" t="s">
        <v>93</v>
      </c>
      <c r="U120" s="42" t="s">
        <v>93</v>
      </c>
      <c r="V120" s="42" t="s">
        <v>93</v>
      </c>
      <c r="W120" s="42" t="s">
        <v>93</v>
      </c>
      <c r="X120" s="42" t="s">
        <v>93</v>
      </c>
      <c r="Y120" s="42" t="s">
        <v>93</v>
      </c>
      <c r="Z120" s="42" t="s">
        <v>93</v>
      </c>
      <c r="AA120" s="42" t="s">
        <v>93</v>
      </c>
      <c r="AB120" s="7"/>
      <c r="AC120" s="7"/>
      <c r="AD120" s="7">
        <f t="shared" si="2"/>
        <v>248294</v>
      </c>
      <c r="AE120" s="7">
        <f>12843+10790+4720+9117.5+700+3703.65+1387+4292.6+6400</f>
        <v>53953.75</v>
      </c>
      <c r="AF120" s="7">
        <f>25028.5+11781.25+32608.5</f>
        <v>69418.25</v>
      </c>
      <c r="AG120" s="7">
        <f t="shared" si="3"/>
        <v>123372</v>
      </c>
    </row>
    <row r="121" spans="1:33" ht="51" x14ac:dyDescent="0.25">
      <c r="A121" s="41" t="s">
        <v>443</v>
      </c>
      <c r="B121" s="43" t="s">
        <v>688</v>
      </c>
      <c r="C121" s="43" t="s">
        <v>677</v>
      </c>
      <c r="D121" s="43" t="s">
        <v>59</v>
      </c>
      <c r="E121" s="43" t="s">
        <v>60</v>
      </c>
      <c r="F121" s="72" t="s">
        <v>253</v>
      </c>
      <c r="G121" s="42" t="s">
        <v>687</v>
      </c>
      <c r="H121" s="72" t="s">
        <v>191</v>
      </c>
      <c r="I121" s="51" t="s">
        <v>192</v>
      </c>
      <c r="J121" s="45">
        <v>45048</v>
      </c>
      <c r="K121" s="7">
        <v>37800</v>
      </c>
      <c r="L121" s="46">
        <v>13533</v>
      </c>
      <c r="M121" s="45">
        <v>45048</v>
      </c>
      <c r="N121" s="45">
        <v>45413</v>
      </c>
      <c r="O121" s="42" t="s">
        <v>450</v>
      </c>
      <c r="P121" s="42" t="s">
        <v>93</v>
      </c>
      <c r="Q121" s="7"/>
      <c r="R121" s="7"/>
      <c r="S121" s="42" t="s">
        <v>61</v>
      </c>
      <c r="T121" s="42">
        <v>1</v>
      </c>
      <c r="U121" s="45">
        <v>45414</v>
      </c>
      <c r="V121" s="46">
        <v>13771</v>
      </c>
      <c r="W121" s="42" t="s">
        <v>62</v>
      </c>
      <c r="X121" s="45">
        <v>45414</v>
      </c>
      <c r="Y121" s="45">
        <v>45778</v>
      </c>
      <c r="Z121" s="42" t="s">
        <v>93</v>
      </c>
      <c r="AA121" s="42" t="s">
        <v>93</v>
      </c>
      <c r="AB121" s="7"/>
      <c r="AC121" s="7"/>
      <c r="AD121" s="7">
        <f t="shared" si="2"/>
        <v>37800</v>
      </c>
      <c r="AE121" s="7">
        <f>3150+3150+3150+3150</f>
        <v>12600</v>
      </c>
      <c r="AF121" s="7"/>
      <c r="AG121" s="7">
        <f t="shared" si="3"/>
        <v>12600</v>
      </c>
    </row>
    <row r="122" spans="1:33" ht="51" x14ac:dyDescent="0.25">
      <c r="A122" s="41" t="s">
        <v>449</v>
      </c>
      <c r="B122" s="43" t="s">
        <v>577</v>
      </c>
      <c r="C122" s="43" t="s">
        <v>576</v>
      </c>
      <c r="D122" s="43" t="s">
        <v>59</v>
      </c>
      <c r="E122" s="43" t="s">
        <v>60</v>
      </c>
      <c r="F122" s="72" t="s">
        <v>253</v>
      </c>
      <c r="G122" s="42" t="s">
        <v>573</v>
      </c>
      <c r="H122" s="72" t="s">
        <v>574</v>
      </c>
      <c r="I122" s="51" t="s">
        <v>575</v>
      </c>
      <c r="J122" s="45">
        <v>45054</v>
      </c>
      <c r="K122" s="7">
        <v>2349964.5</v>
      </c>
      <c r="L122" s="46">
        <v>13533</v>
      </c>
      <c r="M122" s="45">
        <v>45054</v>
      </c>
      <c r="N122" s="45">
        <v>45419</v>
      </c>
      <c r="O122" s="42">
        <v>101</v>
      </c>
      <c r="P122" s="42" t="s">
        <v>93</v>
      </c>
      <c r="Q122" s="7"/>
      <c r="R122" s="7"/>
      <c r="S122" s="42" t="s">
        <v>61</v>
      </c>
      <c r="T122" s="42">
        <v>1</v>
      </c>
      <c r="U122" s="45">
        <v>45419</v>
      </c>
      <c r="V122" s="46">
        <v>13772</v>
      </c>
      <c r="W122" s="42" t="s">
        <v>62</v>
      </c>
      <c r="X122" s="45">
        <v>45420</v>
      </c>
      <c r="Y122" s="45">
        <v>45784</v>
      </c>
      <c r="Z122" s="42" t="s">
        <v>93</v>
      </c>
      <c r="AA122" s="42" t="s">
        <v>93</v>
      </c>
      <c r="AB122" s="7"/>
      <c r="AC122" s="7"/>
      <c r="AD122" s="7">
        <f t="shared" si="2"/>
        <v>2349964.5</v>
      </c>
      <c r="AE122" s="7">
        <f>14194.22+1972.95+4552.96+46490.06+4552.96+70942.8+4971.55+4971.55+73821.72+4552.96+4971.55+79280.24+4552.96+83198.76+4552.96+9943.1+97315.21</f>
        <v>514838.51</v>
      </c>
      <c r="AF122" s="7">
        <f>100311.51+97482.06+98312.73+66899.94+7422.52+4552.96+9943.1+7422.52+4552.96+9943.1+63402.07</f>
        <v>470245.47000000003</v>
      </c>
      <c r="AG122" s="7">
        <f t="shared" si="3"/>
        <v>985083.98</v>
      </c>
    </row>
    <row r="123" spans="1:33" ht="51" x14ac:dyDescent="0.25">
      <c r="A123" s="41" t="s">
        <v>451</v>
      </c>
      <c r="B123" s="43" t="s">
        <v>697</v>
      </c>
      <c r="C123" s="43" t="s">
        <v>698</v>
      </c>
      <c r="D123" s="43" t="s">
        <v>59</v>
      </c>
      <c r="E123" s="43" t="s">
        <v>60</v>
      </c>
      <c r="F123" s="72" t="s">
        <v>253</v>
      </c>
      <c r="G123" s="42" t="s">
        <v>694</v>
      </c>
      <c r="H123" s="72" t="s">
        <v>695</v>
      </c>
      <c r="I123" s="51" t="s">
        <v>696</v>
      </c>
      <c r="J123" s="45">
        <v>45062</v>
      </c>
      <c r="K123" s="7">
        <v>6078</v>
      </c>
      <c r="L123" s="46">
        <v>13539</v>
      </c>
      <c r="M123" s="45">
        <v>45062</v>
      </c>
      <c r="N123" s="45">
        <v>45291</v>
      </c>
      <c r="O123" s="42" t="s">
        <v>439</v>
      </c>
      <c r="P123" s="42" t="s">
        <v>93</v>
      </c>
      <c r="Q123" s="7" t="s">
        <v>595</v>
      </c>
      <c r="R123" s="7"/>
      <c r="S123" s="42" t="s">
        <v>100</v>
      </c>
      <c r="T123" s="42" t="s">
        <v>93</v>
      </c>
      <c r="U123" s="42" t="s">
        <v>93</v>
      </c>
      <c r="V123" s="42" t="s">
        <v>93</v>
      </c>
      <c r="W123" s="42" t="s">
        <v>93</v>
      </c>
      <c r="X123" s="42" t="s">
        <v>93</v>
      </c>
      <c r="Y123" s="42" t="s">
        <v>93</v>
      </c>
      <c r="Z123" s="42" t="s">
        <v>93</v>
      </c>
      <c r="AA123" s="42" t="s">
        <v>93</v>
      </c>
      <c r="AB123" s="7"/>
      <c r="AC123" s="7"/>
      <c r="AD123" s="7">
        <f t="shared" si="2"/>
        <v>6078</v>
      </c>
      <c r="AE123" s="7">
        <f>1598.68+4480.22</f>
        <v>6078.9000000000005</v>
      </c>
      <c r="AF123" s="7"/>
      <c r="AG123" s="7">
        <f t="shared" si="3"/>
        <v>6078.9000000000005</v>
      </c>
    </row>
    <row r="124" spans="1:33" ht="51" x14ac:dyDescent="0.25">
      <c r="A124" s="41" t="s">
        <v>510</v>
      </c>
      <c r="B124" s="43" t="s">
        <v>624</v>
      </c>
      <c r="C124" s="43" t="s">
        <v>623</v>
      </c>
      <c r="D124" s="43" t="s">
        <v>59</v>
      </c>
      <c r="E124" s="43" t="s">
        <v>60</v>
      </c>
      <c r="F124" s="72" t="s">
        <v>253</v>
      </c>
      <c r="G124" s="42" t="s">
        <v>619</v>
      </c>
      <c r="H124" s="72" t="s">
        <v>620</v>
      </c>
      <c r="I124" s="51" t="s">
        <v>622</v>
      </c>
      <c r="J124" s="45">
        <v>45062</v>
      </c>
      <c r="K124" s="7">
        <v>606</v>
      </c>
      <c r="L124" s="46">
        <v>13639</v>
      </c>
      <c r="M124" s="45">
        <v>45062</v>
      </c>
      <c r="N124" s="45">
        <v>45291</v>
      </c>
      <c r="O124" s="42" t="s">
        <v>439</v>
      </c>
      <c r="P124" s="42" t="s">
        <v>93</v>
      </c>
      <c r="Q124" s="7"/>
      <c r="R124" s="7"/>
      <c r="S124" s="42" t="s">
        <v>61</v>
      </c>
      <c r="T124" s="42" t="s">
        <v>93</v>
      </c>
      <c r="U124" s="42" t="s">
        <v>93</v>
      </c>
      <c r="V124" s="42" t="s">
        <v>93</v>
      </c>
      <c r="W124" s="42" t="s">
        <v>93</v>
      </c>
      <c r="X124" s="42" t="s">
        <v>93</v>
      </c>
      <c r="Y124" s="42" t="s">
        <v>93</v>
      </c>
      <c r="Z124" s="42" t="s">
        <v>93</v>
      </c>
      <c r="AA124" s="42" t="s">
        <v>93</v>
      </c>
      <c r="AB124" s="7"/>
      <c r="AC124" s="7"/>
      <c r="AD124" s="7">
        <f t="shared" si="2"/>
        <v>606</v>
      </c>
      <c r="AE124" s="7">
        <f>606.9</f>
        <v>606.9</v>
      </c>
      <c r="AF124" s="7"/>
      <c r="AG124" s="7">
        <f t="shared" si="3"/>
        <v>606.9</v>
      </c>
    </row>
    <row r="125" spans="1:33" ht="51" x14ac:dyDescent="0.25">
      <c r="A125" s="41" t="s">
        <v>516</v>
      </c>
      <c r="B125" s="43" t="s">
        <v>626</v>
      </c>
      <c r="C125" s="43" t="s">
        <v>625</v>
      </c>
      <c r="D125" s="43" t="s">
        <v>59</v>
      </c>
      <c r="E125" s="43" t="s">
        <v>60</v>
      </c>
      <c r="F125" s="72" t="s">
        <v>253</v>
      </c>
      <c r="G125" s="42" t="s">
        <v>627</v>
      </c>
      <c r="H125" s="72" t="s">
        <v>374</v>
      </c>
      <c r="I125" s="51" t="s">
        <v>375</v>
      </c>
      <c r="J125" s="45">
        <v>45069</v>
      </c>
      <c r="K125" s="7">
        <v>82700</v>
      </c>
      <c r="L125" s="46">
        <v>13542</v>
      </c>
      <c r="M125" s="45">
        <v>45069</v>
      </c>
      <c r="N125" s="45">
        <v>45291</v>
      </c>
      <c r="O125" s="42" t="s">
        <v>636</v>
      </c>
      <c r="P125" s="42" t="s">
        <v>93</v>
      </c>
      <c r="Q125" s="7"/>
      <c r="R125" s="7"/>
      <c r="S125" s="42" t="s">
        <v>255</v>
      </c>
      <c r="T125" s="42" t="s">
        <v>93</v>
      </c>
      <c r="U125" s="42" t="s">
        <v>93</v>
      </c>
      <c r="V125" s="42" t="s">
        <v>93</v>
      </c>
      <c r="W125" s="42" t="s">
        <v>93</v>
      </c>
      <c r="X125" s="42" t="s">
        <v>93</v>
      </c>
      <c r="Y125" s="42" t="s">
        <v>93</v>
      </c>
      <c r="Z125" s="42" t="s">
        <v>93</v>
      </c>
      <c r="AA125" s="42" t="s">
        <v>93</v>
      </c>
      <c r="AB125" s="7"/>
      <c r="AC125" s="7"/>
      <c r="AD125" s="7">
        <f t="shared" si="2"/>
        <v>82700</v>
      </c>
      <c r="AE125" s="7">
        <f>4200+59500</f>
        <v>63700</v>
      </c>
      <c r="AF125" s="7"/>
      <c r="AG125" s="7">
        <f t="shared" si="3"/>
        <v>63700</v>
      </c>
    </row>
    <row r="126" spans="1:33" ht="51" x14ac:dyDescent="0.25">
      <c r="A126" s="41" t="s">
        <v>521</v>
      </c>
      <c r="B126" s="43" t="s">
        <v>626</v>
      </c>
      <c r="C126" s="43" t="s">
        <v>625</v>
      </c>
      <c r="D126" s="43" t="s">
        <v>59</v>
      </c>
      <c r="E126" s="43" t="s">
        <v>60</v>
      </c>
      <c r="F126" s="72" t="s">
        <v>253</v>
      </c>
      <c r="G126" s="42" t="s">
        <v>621</v>
      </c>
      <c r="H126" s="72" t="s">
        <v>620</v>
      </c>
      <c r="I126" s="51" t="s">
        <v>622</v>
      </c>
      <c r="J126" s="45">
        <v>45069</v>
      </c>
      <c r="K126" s="7">
        <v>1319.94</v>
      </c>
      <c r="L126" s="46">
        <v>13545</v>
      </c>
      <c r="M126" s="45">
        <v>45069</v>
      </c>
      <c r="N126" s="45">
        <v>45291</v>
      </c>
      <c r="O126" s="42" t="s">
        <v>250</v>
      </c>
      <c r="P126" s="42" t="s">
        <v>93</v>
      </c>
      <c r="Q126" s="7"/>
      <c r="R126" s="7"/>
      <c r="S126" s="42" t="s">
        <v>255</v>
      </c>
      <c r="T126" s="42" t="s">
        <v>93</v>
      </c>
      <c r="U126" s="42" t="s">
        <v>93</v>
      </c>
      <c r="V126" s="42" t="s">
        <v>93</v>
      </c>
      <c r="W126" s="42" t="s">
        <v>93</v>
      </c>
      <c r="X126" s="42" t="s">
        <v>93</v>
      </c>
      <c r="Y126" s="42" t="s">
        <v>93</v>
      </c>
      <c r="Z126" s="42" t="s">
        <v>93</v>
      </c>
      <c r="AA126" s="42" t="s">
        <v>93</v>
      </c>
      <c r="AB126" s="7"/>
      <c r="AC126" s="7"/>
      <c r="AD126" s="7">
        <f t="shared" si="2"/>
        <v>1319.94</v>
      </c>
      <c r="AE126" s="7">
        <f>1319.94</f>
        <v>1319.94</v>
      </c>
      <c r="AF126" s="7"/>
      <c r="AG126" s="7">
        <f t="shared" si="3"/>
        <v>1319.94</v>
      </c>
    </row>
    <row r="127" spans="1:33" ht="51" x14ac:dyDescent="0.25">
      <c r="A127" s="41" t="s">
        <v>524</v>
      </c>
      <c r="B127" s="43" t="s">
        <v>654</v>
      </c>
      <c r="C127" s="43" t="s">
        <v>653</v>
      </c>
      <c r="D127" s="43" t="s">
        <v>59</v>
      </c>
      <c r="E127" s="43" t="s">
        <v>60</v>
      </c>
      <c r="F127" s="72" t="s">
        <v>253</v>
      </c>
      <c r="G127" s="42" t="s">
        <v>652</v>
      </c>
      <c r="H127" s="72" t="s">
        <v>648</v>
      </c>
      <c r="I127" s="51" t="s">
        <v>649</v>
      </c>
      <c r="J127" s="45">
        <v>45069</v>
      </c>
      <c r="K127" s="7">
        <v>4181</v>
      </c>
      <c r="L127" s="46">
        <v>13542</v>
      </c>
      <c r="M127" s="45">
        <v>45069</v>
      </c>
      <c r="N127" s="45">
        <v>45291</v>
      </c>
      <c r="O127" s="42" t="s">
        <v>250</v>
      </c>
      <c r="P127" s="42" t="s">
        <v>93</v>
      </c>
      <c r="Q127" s="7"/>
      <c r="R127" s="7"/>
      <c r="S127" s="42" t="s">
        <v>255</v>
      </c>
      <c r="T127" s="42" t="s">
        <v>93</v>
      </c>
      <c r="U127" s="42" t="s">
        <v>93</v>
      </c>
      <c r="V127" s="42" t="s">
        <v>93</v>
      </c>
      <c r="W127" s="42" t="s">
        <v>93</v>
      </c>
      <c r="X127" s="42" t="s">
        <v>93</v>
      </c>
      <c r="Y127" s="42" t="s">
        <v>93</v>
      </c>
      <c r="Z127" s="42" t="s">
        <v>93</v>
      </c>
      <c r="AA127" s="42" t="s">
        <v>93</v>
      </c>
      <c r="AB127" s="7"/>
      <c r="AC127" s="7"/>
      <c r="AD127" s="7">
        <f t="shared" si="2"/>
        <v>4181</v>
      </c>
      <c r="AE127" s="7">
        <v>4181</v>
      </c>
      <c r="AF127" s="7"/>
      <c r="AG127" s="7">
        <f t="shared" si="3"/>
        <v>4181</v>
      </c>
    </row>
    <row r="128" spans="1:33" ht="51" x14ac:dyDescent="0.25">
      <c r="A128" s="41" t="s">
        <v>528</v>
      </c>
      <c r="B128" s="43" t="s">
        <v>626</v>
      </c>
      <c r="C128" s="43" t="s">
        <v>653</v>
      </c>
      <c r="D128" s="43" t="s">
        <v>59</v>
      </c>
      <c r="E128" s="43" t="s">
        <v>60</v>
      </c>
      <c r="F128" s="72" t="s">
        <v>253</v>
      </c>
      <c r="G128" s="42" t="s">
        <v>661</v>
      </c>
      <c r="H128" s="72" t="s">
        <v>662</v>
      </c>
      <c r="I128" s="51" t="s">
        <v>663</v>
      </c>
      <c r="J128" s="45">
        <v>45069</v>
      </c>
      <c r="K128" s="7">
        <v>6650</v>
      </c>
      <c r="L128" s="46">
        <v>13545</v>
      </c>
      <c r="M128" s="45">
        <v>45069</v>
      </c>
      <c r="N128" s="45">
        <v>45291</v>
      </c>
      <c r="O128" s="42" t="s">
        <v>250</v>
      </c>
      <c r="P128" s="42" t="s">
        <v>93</v>
      </c>
      <c r="Q128" s="7"/>
      <c r="R128" s="7"/>
      <c r="S128" s="42" t="s">
        <v>255</v>
      </c>
      <c r="T128" s="42" t="s">
        <v>93</v>
      </c>
      <c r="U128" s="42" t="s">
        <v>93</v>
      </c>
      <c r="V128" s="42" t="s">
        <v>93</v>
      </c>
      <c r="W128" s="42" t="s">
        <v>93</v>
      </c>
      <c r="X128" s="42" t="s">
        <v>93</v>
      </c>
      <c r="Y128" s="42" t="s">
        <v>93</v>
      </c>
      <c r="Z128" s="42" t="s">
        <v>93</v>
      </c>
      <c r="AA128" s="42" t="s">
        <v>93</v>
      </c>
      <c r="AB128" s="7"/>
      <c r="AC128" s="7"/>
      <c r="AD128" s="7">
        <f t="shared" si="2"/>
        <v>6650</v>
      </c>
      <c r="AE128" s="7">
        <f>1210+2420</f>
        <v>3630</v>
      </c>
      <c r="AF128" s="7"/>
      <c r="AG128" s="7">
        <f t="shared" si="3"/>
        <v>3630</v>
      </c>
    </row>
    <row r="129" spans="1:33" ht="51" x14ac:dyDescent="0.25">
      <c r="A129" s="41" t="s">
        <v>530</v>
      </c>
      <c r="B129" s="43" t="s">
        <v>563</v>
      </c>
      <c r="C129" s="43" t="s">
        <v>564</v>
      </c>
      <c r="D129" s="43" t="s">
        <v>59</v>
      </c>
      <c r="E129" s="43" t="s">
        <v>60</v>
      </c>
      <c r="F129" s="72" t="s">
        <v>253</v>
      </c>
      <c r="G129" s="42" t="s">
        <v>562</v>
      </c>
      <c r="H129" s="72" t="s">
        <v>280</v>
      </c>
      <c r="I129" s="51" t="s">
        <v>281</v>
      </c>
      <c r="J129" s="45">
        <v>45075</v>
      </c>
      <c r="K129" s="7">
        <v>176031.72</v>
      </c>
      <c r="L129" s="46">
        <v>13546</v>
      </c>
      <c r="M129" s="45">
        <v>45075</v>
      </c>
      <c r="N129" s="45">
        <v>45225</v>
      </c>
      <c r="O129" s="42" t="s">
        <v>596</v>
      </c>
      <c r="P129" s="42" t="s">
        <v>93</v>
      </c>
      <c r="Q129" s="7"/>
      <c r="R129" s="7"/>
      <c r="S129" s="42" t="s">
        <v>597</v>
      </c>
      <c r="T129" s="42" t="s">
        <v>93</v>
      </c>
      <c r="U129" s="42" t="s">
        <v>93</v>
      </c>
      <c r="V129" s="42" t="s">
        <v>93</v>
      </c>
      <c r="W129" s="42" t="s">
        <v>93</v>
      </c>
      <c r="X129" s="42" t="s">
        <v>93</v>
      </c>
      <c r="Y129" s="42" t="s">
        <v>93</v>
      </c>
      <c r="Z129" s="42" t="s">
        <v>93</v>
      </c>
      <c r="AA129" s="42" t="s">
        <v>93</v>
      </c>
      <c r="AB129" s="7"/>
      <c r="AC129" s="7"/>
      <c r="AD129" s="7">
        <f t="shared" si="2"/>
        <v>176031.72</v>
      </c>
      <c r="AE129" s="7">
        <f>176031.72</f>
        <v>176031.72</v>
      </c>
      <c r="AF129" s="7"/>
      <c r="AG129" s="7">
        <f t="shared" si="3"/>
        <v>176031.72</v>
      </c>
    </row>
    <row r="130" spans="1:33" ht="51" x14ac:dyDescent="0.25">
      <c r="A130" s="41" t="s">
        <v>534</v>
      </c>
      <c r="B130" s="43" t="s">
        <v>634</v>
      </c>
      <c r="C130" s="43" t="s">
        <v>601</v>
      </c>
      <c r="D130" s="43" t="s">
        <v>59</v>
      </c>
      <c r="E130" s="43" t="s">
        <v>60</v>
      </c>
      <c r="F130" s="72" t="s">
        <v>253</v>
      </c>
      <c r="G130" s="42" t="s">
        <v>631</v>
      </c>
      <c r="H130" s="72" t="s">
        <v>632</v>
      </c>
      <c r="I130" s="51" t="s">
        <v>633</v>
      </c>
      <c r="J130" s="45">
        <v>45076</v>
      </c>
      <c r="K130" s="7">
        <v>622852</v>
      </c>
      <c r="L130" s="46">
        <v>13546</v>
      </c>
      <c r="M130" s="45">
        <v>45076</v>
      </c>
      <c r="N130" s="45">
        <v>45291</v>
      </c>
      <c r="O130" s="42" t="s">
        <v>439</v>
      </c>
      <c r="P130" s="42" t="s">
        <v>93</v>
      </c>
      <c r="Q130" s="7"/>
      <c r="R130" s="7"/>
      <c r="S130" s="42" t="s">
        <v>100</v>
      </c>
      <c r="T130" s="42" t="s">
        <v>93</v>
      </c>
      <c r="U130" s="42" t="s">
        <v>93</v>
      </c>
      <c r="V130" s="42" t="s">
        <v>93</v>
      </c>
      <c r="W130" s="42" t="s">
        <v>93</v>
      </c>
      <c r="X130" s="42" t="s">
        <v>93</v>
      </c>
      <c r="Y130" s="42" t="s">
        <v>93</v>
      </c>
      <c r="Z130" s="42" t="s">
        <v>93</v>
      </c>
      <c r="AA130" s="42" t="s">
        <v>93</v>
      </c>
      <c r="AB130" s="7"/>
      <c r="AC130" s="7"/>
      <c r="AD130" s="7">
        <f t="shared" si="2"/>
        <v>622852</v>
      </c>
      <c r="AE130" s="7">
        <f>31297.3+37128.8+41188.68+52534.8+81348.16+519+71632.7</f>
        <v>315649.44</v>
      </c>
      <c r="AF130" s="7">
        <f>114487.96</f>
        <v>114487.96</v>
      </c>
      <c r="AG130" s="7">
        <f t="shared" si="3"/>
        <v>430137.4</v>
      </c>
    </row>
    <row r="131" spans="1:33" ht="51" x14ac:dyDescent="0.25">
      <c r="A131" s="41" t="s">
        <v>542</v>
      </c>
      <c r="B131" s="43" t="s">
        <v>602</v>
      </c>
      <c r="C131" s="43" t="s">
        <v>601</v>
      </c>
      <c r="D131" s="43" t="s">
        <v>59</v>
      </c>
      <c r="E131" s="43" t="s">
        <v>60</v>
      </c>
      <c r="F131" s="72" t="s">
        <v>253</v>
      </c>
      <c r="G131" s="42" t="s">
        <v>655</v>
      </c>
      <c r="H131" s="72" t="s">
        <v>405</v>
      </c>
      <c r="I131" s="51" t="s">
        <v>406</v>
      </c>
      <c r="J131" s="45">
        <v>45076</v>
      </c>
      <c r="K131" s="7">
        <v>79870</v>
      </c>
      <c r="L131" s="46">
        <v>13546</v>
      </c>
      <c r="M131" s="45">
        <v>45076</v>
      </c>
      <c r="N131" s="45">
        <v>45291</v>
      </c>
      <c r="O131" s="42" t="s">
        <v>439</v>
      </c>
      <c r="P131" s="42" t="s">
        <v>93</v>
      </c>
      <c r="Q131" s="7"/>
      <c r="R131" s="7"/>
      <c r="S131" s="42" t="s">
        <v>100</v>
      </c>
      <c r="T131" s="42" t="s">
        <v>93</v>
      </c>
      <c r="U131" s="42" t="s">
        <v>93</v>
      </c>
      <c r="V131" s="42" t="s">
        <v>93</v>
      </c>
      <c r="W131" s="42" t="s">
        <v>93</v>
      </c>
      <c r="X131" s="42" t="s">
        <v>93</v>
      </c>
      <c r="Y131" s="42" t="s">
        <v>93</v>
      </c>
      <c r="Z131" s="42" t="s">
        <v>93</v>
      </c>
      <c r="AA131" s="42" t="s">
        <v>93</v>
      </c>
      <c r="AB131" s="7"/>
      <c r="AC131" s="7"/>
      <c r="AD131" s="7">
        <f t="shared" si="2"/>
        <v>79870</v>
      </c>
      <c r="AE131" s="7">
        <f>9273.24+11197.69+15586.04</f>
        <v>36056.97</v>
      </c>
      <c r="AF131" s="7">
        <f>3878.03</f>
        <v>3878.03</v>
      </c>
      <c r="AG131" s="7">
        <f t="shared" si="3"/>
        <v>39935</v>
      </c>
    </row>
    <row r="132" spans="1:33" ht="51" x14ac:dyDescent="0.25">
      <c r="A132" s="41" t="s">
        <v>543</v>
      </c>
      <c r="B132" s="43" t="s">
        <v>602</v>
      </c>
      <c r="C132" s="43" t="s">
        <v>601</v>
      </c>
      <c r="D132" s="43" t="s">
        <v>59</v>
      </c>
      <c r="E132" s="43" t="s">
        <v>60</v>
      </c>
      <c r="F132" s="72" t="s">
        <v>253</v>
      </c>
      <c r="G132" s="42" t="s">
        <v>600</v>
      </c>
      <c r="H132" s="72" t="s">
        <v>343</v>
      </c>
      <c r="I132" s="51" t="s">
        <v>359</v>
      </c>
      <c r="J132" s="45">
        <v>45076</v>
      </c>
      <c r="K132" s="7">
        <v>155960</v>
      </c>
      <c r="L132" s="46">
        <v>13548</v>
      </c>
      <c r="M132" s="45">
        <v>45076</v>
      </c>
      <c r="N132" s="45">
        <v>45291</v>
      </c>
      <c r="O132" s="42" t="s">
        <v>523</v>
      </c>
      <c r="P132" s="42" t="s">
        <v>93</v>
      </c>
      <c r="Q132" s="7"/>
      <c r="R132" s="7"/>
      <c r="S132" s="42" t="s">
        <v>100</v>
      </c>
      <c r="T132" s="42" t="s">
        <v>93</v>
      </c>
      <c r="U132" s="42" t="s">
        <v>93</v>
      </c>
      <c r="V132" s="42" t="s">
        <v>93</v>
      </c>
      <c r="W132" s="42" t="s">
        <v>93</v>
      </c>
      <c r="X132" s="42" t="s">
        <v>93</v>
      </c>
      <c r="Y132" s="42" t="s">
        <v>93</v>
      </c>
      <c r="Z132" s="42" t="s">
        <v>93</v>
      </c>
      <c r="AA132" s="42" t="s">
        <v>93</v>
      </c>
      <c r="AB132" s="7"/>
      <c r="AC132" s="7"/>
      <c r="AD132" s="7">
        <f t="shared" si="2"/>
        <v>155960</v>
      </c>
      <c r="AE132" s="7">
        <f>36115.8+24043+19318.6+20237.2</f>
        <v>99714.599999999991</v>
      </c>
      <c r="AF132" s="7">
        <f>1984.5+3359.9+4113</f>
        <v>9457.4</v>
      </c>
      <c r="AG132" s="7">
        <f t="shared" si="3"/>
        <v>109171.99999999999</v>
      </c>
    </row>
    <row r="133" spans="1:33" ht="51" x14ac:dyDescent="0.25">
      <c r="A133" s="41" t="s">
        <v>546</v>
      </c>
      <c r="B133" s="43" t="s">
        <v>757</v>
      </c>
      <c r="C133" s="43" t="s">
        <v>756</v>
      </c>
      <c r="D133" s="43" t="s">
        <v>59</v>
      </c>
      <c r="E133" s="43" t="s">
        <v>60</v>
      </c>
      <c r="F133" s="72" t="s">
        <v>253</v>
      </c>
      <c r="G133" s="42" t="s">
        <v>736</v>
      </c>
      <c r="H133" s="72" t="s">
        <v>248</v>
      </c>
      <c r="I133" s="51" t="s">
        <v>249</v>
      </c>
      <c r="J133" s="45">
        <v>45126</v>
      </c>
      <c r="K133" s="7">
        <v>99499.95</v>
      </c>
      <c r="L133" s="46">
        <v>13580</v>
      </c>
      <c r="M133" s="45">
        <v>45126</v>
      </c>
      <c r="N133" s="45">
        <v>45491</v>
      </c>
      <c r="O133" s="42" t="s">
        <v>439</v>
      </c>
      <c r="P133" s="42" t="s">
        <v>93</v>
      </c>
      <c r="Q133" s="7"/>
      <c r="R133" s="7"/>
      <c r="S133" s="42" t="s">
        <v>597</v>
      </c>
      <c r="T133" s="42" t="s">
        <v>93</v>
      </c>
      <c r="U133" s="42" t="s">
        <v>93</v>
      </c>
      <c r="V133" s="42" t="s">
        <v>93</v>
      </c>
      <c r="W133" s="42" t="s">
        <v>93</v>
      </c>
      <c r="X133" s="42" t="s">
        <v>93</v>
      </c>
      <c r="Y133" s="42" t="s">
        <v>93</v>
      </c>
      <c r="Z133" s="42" t="s">
        <v>93</v>
      </c>
      <c r="AA133" s="42" t="s">
        <v>93</v>
      </c>
      <c r="AB133" s="7"/>
      <c r="AC133" s="7"/>
      <c r="AD133" s="7">
        <f t="shared" si="2"/>
        <v>99499.95</v>
      </c>
      <c r="AE133" s="7">
        <f>5410</f>
        <v>5410</v>
      </c>
      <c r="AF133" s="7">
        <f>3710+5600</f>
        <v>9310</v>
      </c>
      <c r="AG133" s="7">
        <f t="shared" si="3"/>
        <v>14720</v>
      </c>
    </row>
    <row r="134" spans="1:33" ht="51" x14ac:dyDescent="0.25">
      <c r="A134" s="41" t="s">
        <v>549</v>
      </c>
      <c r="B134" s="43" t="s">
        <v>656</v>
      </c>
      <c r="C134" s="43" t="s">
        <v>657</v>
      </c>
      <c r="D134" s="43" t="s">
        <v>59</v>
      </c>
      <c r="E134" s="43" t="s">
        <v>60</v>
      </c>
      <c r="F134" s="72" t="s">
        <v>253</v>
      </c>
      <c r="G134" s="42" t="s">
        <v>658</v>
      </c>
      <c r="H134" s="72" t="s">
        <v>659</v>
      </c>
      <c r="I134" s="51" t="s">
        <v>660</v>
      </c>
      <c r="J134" s="45">
        <v>45114</v>
      </c>
      <c r="K134" s="7">
        <v>65116.65</v>
      </c>
      <c r="L134" s="46">
        <v>13574</v>
      </c>
      <c r="M134" s="45">
        <v>45114</v>
      </c>
      <c r="N134" s="45">
        <v>45291</v>
      </c>
      <c r="O134" s="42" t="s">
        <v>250</v>
      </c>
      <c r="P134" s="42" t="s">
        <v>93</v>
      </c>
      <c r="Q134" s="7"/>
      <c r="R134" s="7"/>
      <c r="S134" s="42" t="s">
        <v>255</v>
      </c>
      <c r="T134" s="42" t="s">
        <v>93</v>
      </c>
      <c r="U134" s="42" t="s">
        <v>93</v>
      </c>
      <c r="V134" s="42" t="s">
        <v>93</v>
      </c>
      <c r="W134" s="42" t="s">
        <v>93</v>
      </c>
      <c r="X134" s="42" t="s">
        <v>93</v>
      </c>
      <c r="Y134" s="42" t="s">
        <v>93</v>
      </c>
      <c r="Z134" s="42" t="s">
        <v>93</v>
      </c>
      <c r="AA134" s="42" t="s">
        <v>93</v>
      </c>
      <c r="AB134" s="7"/>
      <c r="AC134" s="7"/>
      <c r="AD134" s="7">
        <f t="shared" si="2"/>
        <v>65116.65</v>
      </c>
      <c r="AE134" s="7">
        <f>4023.25+24139.5</f>
        <v>28162.75</v>
      </c>
      <c r="AF134" s="7">
        <f>4023.25</f>
        <v>4023.25</v>
      </c>
      <c r="AG134" s="7">
        <f t="shared" si="3"/>
        <v>32186</v>
      </c>
    </row>
    <row r="135" spans="1:33" ht="51" x14ac:dyDescent="0.25">
      <c r="A135" s="41" t="s">
        <v>558</v>
      </c>
      <c r="B135" s="43" t="s">
        <v>656</v>
      </c>
      <c r="C135" s="43" t="s">
        <v>671</v>
      </c>
      <c r="D135" s="43" t="s">
        <v>59</v>
      </c>
      <c r="E135" s="43" t="s">
        <v>60</v>
      </c>
      <c r="F135" s="72" t="s">
        <v>253</v>
      </c>
      <c r="G135" s="42" t="s">
        <v>701</v>
      </c>
      <c r="H135" s="72" t="s">
        <v>702</v>
      </c>
      <c r="I135" s="51" t="s">
        <v>703</v>
      </c>
      <c r="J135" s="45">
        <v>45114</v>
      </c>
      <c r="K135" s="7">
        <v>55000</v>
      </c>
      <c r="L135" s="46">
        <v>13577</v>
      </c>
      <c r="M135" s="45">
        <v>45114</v>
      </c>
      <c r="N135" s="45">
        <v>45291</v>
      </c>
      <c r="O135" s="42" t="s">
        <v>250</v>
      </c>
      <c r="P135" s="42" t="s">
        <v>93</v>
      </c>
      <c r="Q135" s="7"/>
      <c r="R135" s="7"/>
      <c r="S135" s="42" t="s">
        <v>255</v>
      </c>
      <c r="T135" s="42" t="s">
        <v>93</v>
      </c>
      <c r="U135" s="42" t="s">
        <v>93</v>
      </c>
      <c r="V135" s="42" t="s">
        <v>93</v>
      </c>
      <c r="W135" s="42" t="s">
        <v>93</v>
      </c>
      <c r="X135" s="42" t="s">
        <v>93</v>
      </c>
      <c r="Y135" s="42" t="s">
        <v>93</v>
      </c>
      <c r="Z135" s="42" t="s">
        <v>93</v>
      </c>
      <c r="AA135" s="42" t="s">
        <v>93</v>
      </c>
      <c r="AB135" s="7"/>
      <c r="AC135" s="7"/>
      <c r="AD135" s="7">
        <f t="shared" si="2"/>
        <v>55000</v>
      </c>
      <c r="AE135" s="7">
        <f>11000+11000+22000</f>
        <v>44000</v>
      </c>
      <c r="AF135" s="7"/>
      <c r="AG135" s="7">
        <f t="shared" si="3"/>
        <v>44000</v>
      </c>
    </row>
    <row r="136" spans="1:33" ht="51" x14ac:dyDescent="0.25">
      <c r="A136" s="41" t="s">
        <v>691</v>
      </c>
      <c r="B136" s="43" t="s">
        <v>656</v>
      </c>
      <c r="C136" s="43" t="s">
        <v>671</v>
      </c>
      <c r="D136" s="43" t="s">
        <v>59</v>
      </c>
      <c r="E136" s="43" t="s">
        <v>60</v>
      </c>
      <c r="F136" s="72" t="s">
        <v>253</v>
      </c>
      <c r="G136" s="42" t="s">
        <v>668</v>
      </c>
      <c r="H136" s="72" t="s">
        <v>669</v>
      </c>
      <c r="I136" s="51" t="s">
        <v>670</v>
      </c>
      <c r="J136" s="45">
        <v>45114</v>
      </c>
      <c r="K136" s="7">
        <v>65719.100000000006</v>
      </c>
      <c r="L136" s="46">
        <v>13577</v>
      </c>
      <c r="M136" s="45">
        <v>45114</v>
      </c>
      <c r="N136" s="45">
        <v>45291</v>
      </c>
      <c r="O136" s="42" t="s">
        <v>250</v>
      </c>
      <c r="P136" s="42" t="s">
        <v>93</v>
      </c>
      <c r="Q136" s="7"/>
      <c r="R136" s="7"/>
      <c r="S136" s="42" t="s">
        <v>255</v>
      </c>
      <c r="T136" s="42" t="s">
        <v>93</v>
      </c>
      <c r="U136" s="42" t="s">
        <v>93</v>
      </c>
      <c r="V136" s="42" t="s">
        <v>93</v>
      </c>
      <c r="W136" s="42" t="s">
        <v>93</v>
      </c>
      <c r="X136" s="42" t="s">
        <v>93</v>
      </c>
      <c r="Y136" s="42" t="s">
        <v>93</v>
      </c>
      <c r="Z136" s="42" t="s">
        <v>93</v>
      </c>
      <c r="AA136" s="42" t="s">
        <v>93</v>
      </c>
      <c r="AB136" s="7"/>
      <c r="AC136" s="7"/>
      <c r="AD136" s="7">
        <f t="shared" si="2"/>
        <v>65719.100000000006</v>
      </c>
      <c r="AE136" s="7">
        <f>2446.66+14368.66+28577.14</f>
        <v>45392.46</v>
      </c>
      <c r="AF136" s="7">
        <f>2446.66</f>
        <v>2446.66</v>
      </c>
      <c r="AG136" s="7">
        <f t="shared" si="3"/>
        <v>47839.119999999995</v>
      </c>
    </row>
    <row r="137" spans="1:33" ht="51" x14ac:dyDescent="0.25">
      <c r="A137" s="41" t="s">
        <v>709</v>
      </c>
      <c r="B137" s="43" t="s">
        <v>692</v>
      </c>
      <c r="C137" s="43" t="s">
        <v>693</v>
      </c>
      <c r="D137" s="43" t="s">
        <v>59</v>
      </c>
      <c r="E137" s="43" t="s">
        <v>60</v>
      </c>
      <c r="F137" s="72" t="s">
        <v>253</v>
      </c>
      <c r="G137" s="42" t="s">
        <v>690</v>
      </c>
      <c r="H137" s="72" t="s">
        <v>211</v>
      </c>
      <c r="I137" s="51" t="s">
        <v>210</v>
      </c>
      <c r="J137" s="45">
        <v>45112</v>
      </c>
      <c r="K137" s="7">
        <v>369900</v>
      </c>
      <c r="L137" s="46">
        <v>13575</v>
      </c>
      <c r="M137" s="45">
        <v>45112</v>
      </c>
      <c r="N137" s="45">
        <v>45842</v>
      </c>
      <c r="O137" s="42" t="s">
        <v>460</v>
      </c>
      <c r="P137" s="42" t="s">
        <v>93</v>
      </c>
      <c r="Q137" s="7"/>
      <c r="R137" s="7"/>
      <c r="S137" s="42" t="s">
        <v>61</v>
      </c>
      <c r="T137" s="42" t="s">
        <v>93</v>
      </c>
      <c r="U137" s="42" t="s">
        <v>93</v>
      </c>
      <c r="V137" s="42" t="s">
        <v>93</v>
      </c>
      <c r="W137" s="42" t="s">
        <v>93</v>
      </c>
      <c r="X137" s="42" t="s">
        <v>93</v>
      </c>
      <c r="Y137" s="42" t="s">
        <v>93</v>
      </c>
      <c r="Z137" s="42" t="s">
        <v>93</v>
      </c>
      <c r="AA137" s="42" t="s">
        <v>93</v>
      </c>
      <c r="AB137" s="7"/>
      <c r="AC137" s="7"/>
      <c r="AD137" s="7">
        <f t="shared" si="2"/>
        <v>369900</v>
      </c>
      <c r="AE137" s="7">
        <f>7258</f>
        <v>7258</v>
      </c>
      <c r="AF137" s="7">
        <f>5754</f>
        <v>5754</v>
      </c>
      <c r="AG137" s="7">
        <f t="shared" si="3"/>
        <v>13012</v>
      </c>
    </row>
    <row r="138" spans="1:33" ht="51" x14ac:dyDescent="0.25">
      <c r="A138" s="41" t="s">
        <v>710</v>
      </c>
      <c r="B138" s="43" t="s">
        <v>643</v>
      </c>
      <c r="C138" s="43" t="s">
        <v>644</v>
      </c>
      <c r="D138" s="43" t="s">
        <v>59</v>
      </c>
      <c r="E138" s="43" t="s">
        <v>60</v>
      </c>
      <c r="F138" s="72" t="s">
        <v>253</v>
      </c>
      <c r="G138" s="42" t="s">
        <v>640</v>
      </c>
      <c r="H138" s="72" t="s">
        <v>641</v>
      </c>
      <c r="I138" s="51" t="s">
        <v>642</v>
      </c>
      <c r="J138" s="45">
        <v>45127</v>
      </c>
      <c r="K138" s="7">
        <v>11928</v>
      </c>
      <c r="L138" s="46">
        <v>13588</v>
      </c>
      <c r="M138" s="45">
        <v>45127</v>
      </c>
      <c r="N138" s="45">
        <v>45492</v>
      </c>
      <c r="O138" s="42">
        <v>101</v>
      </c>
      <c r="P138" s="42" t="s">
        <v>93</v>
      </c>
      <c r="Q138" s="7"/>
      <c r="R138" s="7"/>
      <c r="S138" s="42" t="s">
        <v>83</v>
      </c>
      <c r="T138" s="42" t="s">
        <v>93</v>
      </c>
      <c r="U138" s="42" t="s">
        <v>93</v>
      </c>
      <c r="V138" s="42" t="s">
        <v>93</v>
      </c>
      <c r="W138" s="42" t="s">
        <v>93</v>
      </c>
      <c r="X138" s="42" t="s">
        <v>93</v>
      </c>
      <c r="Y138" s="42" t="s">
        <v>93</v>
      </c>
      <c r="Z138" s="42" t="s">
        <v>93</v>
      </c>
      <c r="AA138" s="42" t="s">
        <v>93</v>
      </c>
      <c r="AB138" s="7"/>
      <c r="AC138" s="7"/>
      <c r="AD138" s="7">
        <f t="shared" si="2"/>
        <v>11928</v>
      </c>
      <c r="AE138" s="7">
        <f>994+994</f>
        <v>1988</v>
      </c>
      <c r="AF138" s="7">
        <f>994+994+994+994</f>
        <v>3976</v>
      </c>
      <c r="AG138" s="7">
        <f t="shared" si="3"/>
        <v>5964</v>
      </c>
    </row>
    <row r="139" spans="1:33" ht="51" x14ac:dyDescent="0.25">
      <c r="A139" s="41" t="s">
        <v>712</v>
      </c>
      <c r="B139" s="43" t="s">
        <v>752</v>
      </c>
      <c r="C139" s="43" t="s">
        <v>753</v>
      </c>
      <c r="D139" s="43" t="s">
        <v>59</v>
      </c>
      <c r="E139" s="43" t="s">
        <v>60</v>
      </c>
      <c r="F139" s="72" t="s">
        <v>253</v>
      </c>
      <c r="G139" s="42" t="s">
        <v>751</v>
      </c>
      <c r="H139" s="72" t="s">
        <v>754</v>
      </c>
      <c r="I139" s="51" t="s">
        <v>755</v>
      </c>
      <c r="J139" s="45">
        <v>45131</v>
      </c>
      <c r="K139" s="7">
        <v>38496.25</v>
      </c>
      <c r="L139" s="46">
        <v>13585</v>
      </c>
      <c r="M139" s="45">
        <v>45131</v>
      </c>
      <c r="N139" s="45">
        <v>45291</v>
      </c>
      <c r="O139" s="42" t="s">
        <v>689</v>
      </c>
      <c r="P139" s="42" t="s">
        <v>93</v>
      </c>
      <c r="Q139" s="7"/>
      <c r="R139" s="7"/>
      <c r="S139" s="42" t="s">
        <v>100</v>
      </c>
      <c r="T139" s="42" t="s">
        <v>93</v>
      </c>
      <c r="U139" s="42" t="s">
        <v>93</v>
      </c>
      <c r="V139" s="42" t="s">
        <v>93</v>
      </c>
      <c r="W139" s="42" t="s">
        <v>93</v>
      </c>
      <c r="X139" s="42" t="s">
        <v>93</v>
      </c>
      <c r="Y139" s="42" t="s">
        <v>93</v>
      </c>
      <c r="Z139" s="42" t="s">
        <v>93</v>
      </c>
      <c r="AA139" s="42" t="s">
        <v>93</v>
      </c>
      <c r="AB139" s="7"/>
      <c r="AC139" s="7"/>
      <c r="AD139" s="7">
        <f t="shared" si="2"/>
        <v>38496.25</v>
      </c>
      <c r="AE139" s="7">
        <f>37096.55</f>
        <v>37096.550000000003</v>
      </c>
      <c r="AF139" s="7">
        <f>1150.9+248.8</f>
        <v>1399.7</v>
      </c>
      <c r="AG139" s="7">
        <f t="shared" si="3"/>
        <v>38496.25</v>
      </c>
    </row>
    <row r="140" spans="1:33" ht="51" x14ac:dyDescent="0.25">
      <c r="A140" s="41" t="s">
        <v>715</v>
      </c>
      <c r="B140" s="43" t="s">
        <v>718</v>
      </c>
      <c r="C140" s="43" t="s">
        <v>717</v>
      </c>
      <c r="D140" s="43" t="s">
        <v>59</v>
      </c>
      <c r="E140" s="43" t="s">
        <v>60</v>
      </c>
      <c r="F140" s="72" t="s">
        <v>253</v>
      </c>
      <c r="G140" s="42" t="s">
        <v>758</v>
      </c>
      <c r="H140" s="72" t="s">
        <v>716</v>
      </c>
      <c r="I140" s="51" t="s">
        <v>318</v>
      </c>
      <c r="J140" s="45">
        <v>45131</v>
      </c>
      <c r="K140" s="7">
        <v>17380</v>
      </c>
      <c r="L140" s="46">
        <v>13590</v>
      </c>
      <c r="M140" s="45">
        <v>45131</v>
      </c>
      <c r="N140" s="45">
        <v>45291</v>
      </c>
      <c r="O140" s="42" t="s">
        <v>689</v>
      </c>
      <c r="P140" s="42" t="s">
        <v>93</v>
      </c>
      <c r="Q140" s="7"/>
      <c r="R140" s="7"/>
      <c r="S140" s="42" t="s">
        <v>100</v>
      </c>
      <c r="T140" s="42" t="s">
        <v>93</v>
      </c>
      <c r="U140" s="42" t="s">
        <v>93</v>
      </c>
      <c r="V140" s="42" t="s">
        <v>93</v>
      </c>
      <c r="W140" s="42" t="s">
        <v>93</v>
      </c>
      <c r="X140" s="42" t="s">
        <v>93</v>
      </c>
      <c r="Y140" s="42" t="s">
        <v>93</v>
      </c>
      <c r="Z140" s="42" t="s">
        <v>93</v>
      </c>
      <c r="AA140" s="42" t="s">
        <v>93</v>
      </c>
      <c r="AB140" s="7"/>
      <c r="AC140" s="7"/>
      <c r="AD140" s="7">
        <f t="shared" si="2"/>
        <v>17380</v>
      </c>
      <c r="AE140" s="7">
        <f>340</f>
        <v>340</v>
      </c>
      <c r="AF140" s="7">
        <f>2380+9090+5570</f>
        <v>17040</v>
      </c>
      <c r="AG140" s="7">
        <f t="shared" si="3"/>
        <v>17380</v>
      </c>
    </row>
    <row r="141" spans="1:33" ht="51" x14ac:dyDescent="0.25">
      <c r="A141" s="41" t="s">
        <v>719</v>
      </c>
      <c r="B141" s="43" t="s">
        <v>718</v>
      </c>
      <c r="C141" s="43" t="s">
        <v>717</v>
      </c>
      <c r="D141" s="43" t="s">
        <v>59</v>
      </c>
      <c r="E141" s="43" t="s">
        <v>60</v>
      </c>
      <c r="F141" s="72" t="s">
        <v>253</v>
      </c>
      <c r="G141" s="42" t="s">
        <v>733</v>
      </c>
      <c r="H141" s="72" t="s">
        <v>810</v>
      </c>
      <c r="I141" s="51" t="s">
        <v>734</v>
      </c>
      <c r="J141" s="45">
        <v>45131</v>
      </c>
      <c r="K141" s="7">
        <v>13005</v>
      </c>
      <c r="L141" s="46">
        <v>13590</v>
      </c>
      <c r="M141" s="45">
        <v>45131</v>
      </c>
      <c r="N141" s="45">
        <v>45291</v>
      </c>
      <c r="O141" s="42" t="s">
        <v>689</v>
      </c>
      <c r="P141" s="42" t="s">
        <v>93</v>
      </c>
      <c r="Q141" s="7"/>
      <c r="R141" s="7"/>
      <c r="S141" s="42" t="s">
        <v>100</v>
      </c>
      <c r="T141" s="42" t="s">
        <v>93</v>
      </c>
      <c r="U141" s="42" t="s">
        <v>93</v>
      </c>
      <c r="V141" s="42" t="s">
        <v>93</v>
      </c>
      <c r="W141" s="42" t="s">
        <v>93</v>
      </c>
      <c r="X141" s="42" t="s">
        <v>93</v>
      </c>
      <c r="Y141" s="42" t="s">
        <v>93</v>
      </c>
      <c r="Z141" s="42" t="s">
        <v>93</v>
      </c>
      <c r="AA141" s="42" t="s">
        <v>93</v>
      </c>
      <c r="AB141" s="7"/>
      <c r="AC141" s="7"/>
      <c r="AD141" s="7">
        <f t="shared" si="2"/>
        <v>13005</v>
      </c>
      <c r="AE141" s="7">
        <f>29.95</f>
        <v>29.95</v>
      </c>
      <c r="AF141" s="7">
        <f>275.43+3300.62+1596+1803+798</f>
        <v>7773.0499999999993</v>
      </c>
      <c r="AG141" s="7">
        <f t="shared" si="3"/>
        <v>7802.9999999999991</v>
      </c>
    </row>
    <row r="142" spans="1:33" ht="51" x14ac:dyDescent="0.25">
      <c r="A142" s="41" t="s">
        <v>724</v>
      </c>
      <c r="B142" s="43" t="s">
        <v>680</v>
      </c>
      <c r="C142" s="43" t="s">
        <v>679</v>
      </c>
      <c r="D142" s="43" t="s">
        <v>59</v>
      </c>
      <c r="E142" s="43" t="s">
        <v>60</v>
      </c>
      <c r="F142" s="72" t="s">
        <v>253</v>
      </c>
      <c r="G142" s="42" t="s">
        <v>678</v>
      </c>
      <c r="H142" s="72" t="s">
        <v>280</v>
      </c>
      <c r="I142" s="51" t="s">
        <v>281</v>
      </c>
      <c r="J142" s="45">
        <v>45141</v>
      </c>
      <c r="K142" s="7">
        <v>30000</v>
      </c>
      <c r="L142" s="46">
        <v>13598</v>
      </c>
      <c r="M142" s="45">
        <v>45141</v>
      </c>
      <c r="N142" s="45">
        <v>45291</v>
      </c>
      <c r="O142" s="42" t="s">
        <v>689</v>
      </c>
      <c r="P142" s="42" t="s">
        <v>93</v>
      </c>
      <c r="Q142" s="7"/>
      <c r="R142" s="7"/>
      <c r="S142" s="42" t="s">
        <v>100</v>
      </c>
      <c r="T142" s="42" t="s">
        <v>93</v>
      </c>
      <c r="U142" s="42" t="s">
        <v>93</v>
      </c>
      <c r="V142" s="42" t="s">
        <v>93</v>
      </c>
      <c r="W142" s="42" t="s">
        <v>93</v>
      </c>
      <c r="X142" s="42" t="s">
        <v>93</v>
      </c>
      <c r="Y142" s="42" t="s">
        <v>93</v>
      </c>
      <c r="Z142" s="42" t="s">
        <v>93</v>
      </c>
      <c r="AA142" s="42" t="s">
        <v>93</v>
      </c>
      <c r="AB142" s="7"/>
      <c r="AC142" s="7"/>
      <c r="AD142" s="7">
        <f t="shared" si="2"/>
        <v>30000</v>
      </c>
      <c r="AE142" s="7">
        <f>400+800+2000+1600+4000</f>
        <v>8800</v>
      </c>
      <c r="AF142" s="7">
        <f>8900</f>
        <v>8900</v>
      </c>
      <c r="AG142" s="7">
        <f t="shared" si="3"/>
        <v>17700</v>
      </c>
    </row>
    <row r="143" spans="1:33" ht="51" x14ac:dyDescent="0.25">
      <c r="A143" s="41" t="s">
        <v>727</v>
      </c>
      <c r="B143" s="43" t="s">
        <v>606</v>
      </c>
      <c r="C143" s="43" t="s">
        <v>605</v>
      </c>
      <c r="D143" s="43" t="s">
        <v>59</v>
      </c>
      <c r="E143" s="43" t="s">
        <v>60</v>
      </c>
      <c r="F143" s="72" t="s">
        <v>253</v>
      </c>
      <c r="G143" s="42" t="s">
        <v>777</v>
      </c>
      <c r="H143" s="72" t="s">
        <v>608</v>
      </c>
      <c r="I143" s="51" t="s">
        <v>609</v>
      </c>
      <c r="J143" s="45">
        <v>45161</v>
      </c>
      <c r="K143" s="7">
        <v>404700</v>
      </c>
      <c r="L143" s="46">
        <v>13606</v>
      </c>
      <c r="M143" s="45">
        <v>45161</v>
      </c>
      <c r="N143" s="45">
        <v>45291</v>
      </c>
      <c r="O143" s="42" t="s">
        <v>784</v>
      </c>
      <c r="P143" s="42" t="s">
        <v>93</v>
      </c>
      <c r="Q143" s="7"/>
      <c r="R143" s="7"/>
      <c r="S143" s="42" t="s">
        <v>597</v>
      </c>
      <c r="T143" s="42" t="s">
        <v>93</v>
      </c>
      <c r="U143" s="42" t="s">
        <v>93</v>
      </c>
      <c r="V143" s="42" t="s">
        <v>93</v>
      </c>
      <c r="W143" s="42" t="s">
        <v>93</v>
      </c>
      <c r="X143" s="42" t="s">
        <v>93</v>
      </c>
      <c r="Y143" s="42" t="s">
        <v>93</v>
      </c>
      <c r="Z143" s="42" t="s">
        <v>93</v>
      </c>
      <c r="AA143" s="42" t="s">
        <v>93</v>
      </c>
      <c r="AB143" s="7"/>
      <c r="AC143" s="7"/>
      <c r="AD143" s="7">
        <f t="shared" si="2"/>
        <v>404700</v>
      </c>
      <c r="AE143" s="7"/>
      <c r="AF143" s="7">
        <f>2496</f>
        <v>2496</v>
      </c>
      <c r="AG143" s="7">
        <f t="shared" si="3"/>
        <v>2496</v>
      </c>
    </row>
    <row r="144" spans="1:33" ht="51" x14ac:dyDescent="0.25">
      <c r="A144" s="41" t="s">
        <v>729</v>
      </c>
      <c r="B144" s="43" t="s">
        <v>706</v>
      </c>
      <c r="C144" s="43" t="s">
        <v>705</v>
      </c>
      <c r="D144" s="43" t="s">
        <v>59</v>
      </c>
      <c r="E144" s="43" t="s">
        <v>60</v>
      </c>
      <c r="F144" s="72" t="s">
        <v>253</v>
      </c>
      <c r="G144" s="42" t="s">
        <v>704</v>
      </c>
      <c r="H144" s="72" t="s">
        <v>291</v>
      </c>
      <c r="I144" s="51" t="s">
        <v>486</v>
      </c>
      <c r="J144" s="45">
        <v>45189</v>
      </c>
      <c r="K144" s="7">
        <v>73760.7</v>
      </c>
      <c r="L144" s="46">
        <v>13629</v>
      </c>
      <c r="M144" s="45">
        <v>45189</v>
      </c>
      <c r="N144" s="45">
        <v>45291</v>
      </c>
      <c r="O144" s="42" t="s">
        <v>523</v>
      </c>
      <c r="P144" s="42" t="s">
        <v>93</v>
      </c>
      <c r="Q144" s="7"/>
      <c r="R144" s="7"/>
      <c r="S144" s="42" t="s">
        <v>100</v>
      </c>
      <c r="T144" s="42" t="s">
        <v>93</v>
      </c>
      <c r="U144" s="42" t="s">
        <v>93</v>
      </c>
      <c r="V144" s="42" t="s">
        <v>93</v>
      </c>
      <c r="W144" s="42" t="s">
        <v>93</v>
      </c>
      <c r="X144" s="42" t="s">
        <v>93</v>
      </c>
      <c r="Y144" s="42" t="s">
        <v>93</v>
      </c>
      <c r="Z144" s="42" t="s">
        <v>93</v>
      </c>
      <c r="AA144" s="42" t="s">
        <v>93</v>
      </c>
      <c r="AB144" s="7"/>
      <c r="AC144" s="7"/>
      <c r="AD144" s="7">
        <f t="shared" si="2"/>
        <v>73760.7</v>
      </c>
      <c r="AE144" s="7">
        <f>816.5+23786.95</f>
        <v>24603.45</v>
      </c>
      <c r="AF144" s="7"/>
      <c r="AG144" s="7">
        <f t="shared" si="3"/>
        <v>24603.45</v>
      </c>
    </row>
    <row r="145" spans="1:33" ht="51" x14ac:dyDescent="0.25">
      <c r="A145" s="41" t="s">
        <v>732</v>
      </c>
      <c r="B145" s="43" t="s">
        <v>706</v>
      </c>
      <c r="C145" s="43" t="s">
        <v>720</v>
      </c>
      <c r="D145" s="43" t="s">
        <v>59</v>
      </c>
      <c r="E145" s="43" t="s">
        <v>60</v>
      </c>
      <c r="F145" s="72" t="s">
        <v>253</v>
      </c>
      <c r="G145" s="42" t="s">
        <v>721</v>
      </c>
      <c r="H145" s="72" t="s">
        <v>722</v>
      </c>
      <c r="I145" s="51" t="s">
        <v>723</v>
      </c>
      <c r="J145" s="45">
        <v>45189</v>
      </c>
      <c r="K145" s="7">
        <v>42125.1</v>
      </c>
      <c r="L145" s="46">
        <v>13626</v>
      </c>
      <c r="M145" s="45">
        <v>45189</v>
      </c>
      <c r="N145" s="45">
        <v>45291</v>
      </c>
      <c r="O145" s="42" t="s">
        <v>523</v>
      </c>
      <c r="P145" s="42" t="s">
        <v>93</v>
      </c>
      <c r="Q145" s="7"/>
      <c r="R145" s="7"/>
      <c r="S145" s="42" t="s">
        <v>100</v>
      </c>
      <c r="T145" s="42" t="s">
        <v>93</v>
      </c>
      <c r="U145" s="42" t="s">
        <v>93</v>
      </c>
      <c r="V145" s="42" t="s">
        <v>93</v>
      </c>
      <c r="W145" s="42" t="s">
        <v>93</v>
      </c>
      <c r="X145" s="42" t="s">
        <v>93</v>
      </c>
      <c r="Y145" s="42" t="s">
        <v>93</v>
      </c>
      <c r="Z145" s="42" t="s">
        <v>93</v>
      </c>
      <c r="AA145" s="42" t="s">
        <v>93</v>
      </c>
      <c r="AB145" s="7"/>
      <c r="AC145" s="7"/>
      <c r="AD145" s="7">
        <f t="shared" si="2"/>
        <v>42125.1</v>
      </c>
      <c r="AE145" s="7">
        <f>1877.8+692</f>
        <v>2569.8000000000002</v>
      </c>
      <c r="AF145" s="7">
        <f>2724.8+2666.6+4892.7+8901.88</f>
        <v>19185.979999999996</v>
      </c>
      <c r="AG145" s="7">
        <f t="shared" si="3"/>
        <v>21755.779999999995</v>
      </c>
    </row>
    <row r="146" spans="1:33" ht="51" x14ac:dyDescent="0.25">
      <c r="A146" s="41" t="s">
        <v>735</v>
      </c>
      <c r="B146" s="43" t="s">
        <v>706</v>
      </c>
      <c r="C146" s="43" t="s">
        <v>720</v>
      </c>
      <c r="D146" s="43" t="s">
        <v>59</v>
      </c>
      <c r="E146" s="43" t="s">
        <v>60</v>
      </c>
      <c r="F146" s="72" t="s">
        <v>253</v>
      </c>
      <c r="G146" s="42" t="s">
        <v>730</v>
      </c>
      <c r="H146" s="72" t="s">
        <v>405</v>
      </c>
      <c r="I146" s="51" t="s">
        <v>731</v>
      </c>
      <c r="J146" s="45">
        <v>45189</v>
      </c>
      <c r="K146" s="7">
        <v>27164.85</v>
      </c>
      <c r="L146" s="46">
        <v>13628</v>
      </c>
      <c r="M146" s="45">
        <v>45189</v>
      </c>
      <c r="N146" s="45">
        <v>45291</v>
      </c>
      <c r="O146" s="42" t="s">
        <v>523</v>
      </c>
      <c r="P146" s="42" t="s">
        <v>93</v>
      </c>
      <c r="Q146" s="7"/>
      <c r="R146" s="7"/>
      <c r="S146" s="42" t="s">
        <v>100</v>
      </c>
      <c r="T146" s="42" t="s">
        <v>93</v>
      </c>
      <c r="U146" s="42" t="s">
        <v>93</v>
      </c>
      <c r="V146" s="42" t="s">
        <v>93</v>
      </c>
      <c r="W146" s="42" t="s">
        <v>93</v>
      </c>
      <c r="X146" s="42" t="s">
        <v>93</v>
      </c>
      <c r="Y146" s="42" t="s">
        <v>93</v>
      </c>
      <c r="Z146" s="42" t="s">
        <v>93</v>
      </c>
      <c r="AA146" s="42" t="s">
        <v>93</v>
      </c>
      <c r="AB146" s="7"/>
      <c r="AC146" s="7"/>
      <c r="AD146" s="7">
        <f t="shared" si="2"/>
        <v>27164.85</v>
      </c>
      <c r="AE146" s="7">
        <f>11456</f>
        <v>11456</v>
      </c>
      <c r="AF146" s="7"/>
      <c r="AG146" s="7">
        <f t="shared" si="3"/>
        <v>11456</v>
      </c>
    </row>
    <row r="147" spans="1:33" ht="51" x14ac:dyDescent="0.25">
      <c r="A147" s="41" t="s">
        <v>737</v>
      </c>
      <c r="B147" s="43" t="s">
        <v>680</v>
      </c>
      <c r="C147" s="43" t="s">
        <v>679</v>
      </c>
      <c r="D147" s="43" t="s">
        <v>59</v>
      </c>
      <c r="E147" s="43" t="s">
        <v>60</v>
      </c>
      <c r="F147" s="72" t="s">
        <v>253</v>
      </c>
      <c r="G147" s="42" t="s">
        <v>713</v>
      </c>
      <c r="H147" s="72" t="s">
        <v>280</v>
      </c>
      <c r="I147" s="51" t="s">
        <v>714</v>
      </c>
      <c r="J147" s="45">
        <v>45194</v>
      </c>
      <c r="K147" s="7">
        <v>3500</v>
      </c>
      <c r="L147" s="46">
        <v>13626</v>
      </c>
      <c r="M147" s="45">
        <v>45194</v>
      </c>
      <c r="N147" s="45">
        <v>45291</v>
      </c>
      <c r="O147" s="42" t="s">
        <v>439</v>
      </c>
      <c r="P147" s="42" t="s">
        <v>93</v>
      </c>
      <c r="Q147" s="7"/>
      <c r="R147" s="7"/>
      <c r="S147" s="42" t="s">
        <v>100</v>
      </c>
      <c r="T147" s="42" t="s">
        <v>93</v>
      </c>
      <c r="U147" s="42" t="s">
        <v>93</v>
      </c>
      <c r="V147" s="42" t="s">
        <v>93</v>
      </c>
      <c r="W147" s="42" t="s">
        <v>93</v>
      </c>
      <c r="X147" s="42" t="s">
        <v>93</v>
      </c>
      <c r="Y147" s="42" t="s">
        <v>93</v>
      </c>
      <c r="Z147" s="42" t="s">
        <v>93</v>
      </c>
      <c r="AA147" s="42" t="s">
        <v>93</v>
      </c>
      <c r="AB147" s="7"/>
      <c r="AC147" s="7"/>
      <c r="AD147" s="7">
        <f t="shared" ref="AD147:AD168" si="4">K147-AC147+AB147</f>
        <v>3500</v>
      </c>
      <c r="AE147" s="7">
        <f>2450</f>
        <v>2450</v>
      </c>
      <c r="AF147" s="7"/>
      <c r="AG147" s="7">
        <f t="shared" si="3"/>
        <v>2450</v>
      </c>
    </row>
    <row r="148" spans="1:33" ht="51" x14ac:dyDescent="0.25">
      <c r="A148" s="41" t="s">
        <v>743</v>
      </c>
      <c r="B148" s="43" t="s">
        <v>539</v>
      </c>
      <c r="C148" s="43" t="s">
        <v>700</v>
      </c>
      <c r="D148" s="43" t="s">
        <v>59</v>
      </c>
      <c r="E148" s="43" t="s">
        <v>60</v>
      </c>
      <c r="F148" s="72" t="s">
        <v>253</v>
      </c>
      <c r="G148" s="42" t="s">
        <v>728</v>
      </c>
      <c r="H148" s="72" t="s">
        <v>567</v>
      </c>
      <c r="I148" s="51" t="s">
        <v>568</v>
      </c>
      <c r="J148" s="45">
        <v>45216</v>
      </c>
      <c r="K148" s="7">
        <v>13600</v>
      </c>
      <c r="L148" s="46">
        <v>13641</v>
      </c>
      <c r="M148" s="45">
        <v>45216</v>
      </c>
      <c r="N148" s="45">
        <v>45291</v>
      </c>
      <c r="O148" s="42" t="s">
        <v>439</v>
      </c>
      <c r="P148" s="42" t="s">
        <v>93</v>
      </c>
      <c r="Q148" s="7"/>
      <c r="R148" s="7"/>
      <c r="S148" s="42" t="s">
        <v>100</v>
      </c>
      <c r="T148" s="42" t="s">
        <v>93</v>
      </c>
      <c r="U148" s="42" t="s">
        <v>93</v>
      </c>
      <c r="V148" s="42" t="s">
        <v>93</v>
      </c>
      <c r="W148" s="42" t="s">
        <v>93</v>
      </c>
      <c r="X148" s="42" t="s">
        <v>93</v>
      </c>
      <c r="Y148" s="42" t="s">
        <v>93</v>
      </c>
      <c r="Z148" s="42" t="s">
        <v>93</v>
      </c>
      <c r="AA148" s="42" t="s">
        <v>93</v>
      </c>
      <c r="AB148" s="7"/>
      <c r="AC148" s="7"/>
      <c r="AD148" s="7">
        <f t="shared" si="4"/>
        <v>13600</v>
      </c>
      <c r="AE148" s="7">
        <f>1575+5700</f>
        <v>7275</v>
      </c>
      <c r="AF148" s="7">
        <f>6325</f>
        <v>6325</v>
      </c>
      <c r="AG148" s="7">
        <f t="shared" si="3"/>
        <v>13600</v>
      </c>
    </row>
    <row r="149" spans="1:33" ht="51" x14ac:dyDescent="0.25">
      <c r="A149" s="41" t="s">
        <v>746</v>
      </c>
      <c r="B149" s="43" t="s">
        <v>763</v>
      </c>
      <c r="C149" s="43" t="s">
        <v>764</v>
      </c>
      <c r="D149" s="43" t="s">
        <v>59</v>
      </c>
      <c r="E149" s="43" t="s">
        <v>60</v>
      </c>
      <c r="F149" s="72" t="s">
        <v>253</v>
      </c>
      <c r="G149" s="42" t="s">
        <v>761</v>
      </c>
      <c r="H149" s="72" t="s">
        <v>211</v>
      </c>
      <c r="I149" s="51" t="s">
        <v>210</v>
      </c>
      <c r="J149" s="45">
        <v>45218</v>
      </c>
      <c r="K149" s="7">
        <v>152673.20000000001</v>
      </c>
      <c r="L149" s="46">
        <v>13655</v>
      </c>
      <c r="M149" s="45">
        <v>45218</v>
      </c>
      <c r="N149" s="45">
        <v>45291</v>
      </c>
      <c r="O149" s="42" t="s">
        <v>639</v>
      </c>
      <c r="P149" s="42" t="s">
        <v>93</v>
      </c>
      <c r="Q149" s="7"/>
      <c r="R149" s="7"/>
      <c r="S149" s="42" t="s">
        <v>61</v>
      </c>
      <c r="T149" s="42" t="s">
        <v>93</v>
      </c>
      <c r="U149" s="42" t="s">
        <v>93</v>
      </c>
      <c r="V149" s="42" t="s">
        <v>93</v>
      </c>
      <c r="W149" s="42" t="s">
        <v>93</v>
      </c>
      <c r="X149" s="42" t="s">
        <v>93</v>
      </c>
      <c r="Y149" s="42" t="s">
        <v>93</v>
      </c>
      <c r="Z149" s="42" t="s">
        <v>93</v>
      </c>
      <c r="AA149" s="42" t="s">
        <v>93</v>
      </c>
      <c r="AB149" s="7"/>
      <c r="AC149" s="7"/>
      <c r="AD149" s="7">
        <f t="shared" si="4"/>
        <v>152673.20000000001</v>
      </c>
      <c r="AE149" s="7"/>
      <c r="AF149" s="7">
        <f>3816.83+68702.94</f>
        <v>72519.77</v>
      </c>
      <c r="AG149" s="7">
        <f t="shared" si="3"/>
        <v>72519.77</v>
      </c>
    </row>
    <row r="150" spans="1:33" ht="51" x14ac:dyDescent="0.25">
      <c r="A150" s="41" t="s">
        <v>762</v>
      </c>
      <c r="B150" s="43" t="s">
        <v>763</v>
      </c>
      <c r="C150" s="43" t="s">
        <v>764</v>
      </c>
      <c r="D150" s="43" t="s">
        <v>59</v>
      </c>
      <c r="E150" s="43" t="s">
        <v>60</v>
      </c>
      <c r="F150" s="72" t="s">
        <v>253</v>
      </c>
      <c r="G150" s="42" t="s">
        <v>791</v>
      </c>
      <c r="H150" s="72" t="s">
        <v>792</v>
      </c>
      <c r="I150" s="51" t="s">
        <v>793</v>
      </c>
      <c r="J150" s="45">
        <v>45218</v>
      </c>
      <c r="K150" s="7">
        <v>7250</v>
      </c>
      <c r="L150" s="46">
        <v>13655</v>
      </c>
      <c r="M150" s="45">
        <v>45218</v>
      </c>
      <c r="N150" s="45">
        <v>45291</v>
      </c>
      <c r="O150" s="42" t="s">
        <v>639</v>
      </c>
      <c r="P150" s="42" t="s">
        <v>93</v>
      </c>
      <c r="Q150" s="7"/>
      <c r="R150" s="7"/>
      <c r="S150" s="42" t="s">
        <v>61</v>
      </c>
      <c r="T150" s="42" t="s">
        <v>93</v>
      </c>
      <c r="U150" s="42" t="s">
        <v>93</v>
      </c>
      <c r="V150" s="42" t="s">
        <v>93</v>
      </c>
      <c r="W150" s="42" t="s">
        <v>93</v>
      </c>
      <c r="X150" s="42" t="s">
        <v>93</v>
      </c>
      <c r="Y150" s="42" t="s">
        <v>93</v>
      </c>
      <c r="Z150" s="42" t="s">
        <v>93</v>
      </c>
      <c r="AA150" s="42" t="s">
        <v>93</v>
      </c>
      <c r="AB150" s="7"/>
      <c r="AC150" s="7"/>
      <c r="AD150" s="7">
        <f t="shared" si="4"/>
        <v>7250</v>
      </c>
      <c r="AE150" s="7"/>
      <c r="AF150" s="7">
        <f>725+725</f>
        <v>1450</v>
      </c>
      <c r="AG150" s="7">
        <f t="shared" si="3"/>
        <v>1450</v>
      </c>
    </row>
    <row r="151" spans="1:33" ht="51" x14ac:dyDescent="0.25">
      <c r="A151" s="41" t="s">
        <v>768</v>
      </c>
      <c r="B151" s="43" t="s">
        <v>745</v>
      </c>
      <c r="C151" s="43" t="s">
        <v>664</v>
      </c>
      <c r="D151" s="43" t="s">
        <v>59</v>
      </c>
      <c r="E151" s="43" t="s">
        <v>60</v>
      </c>
      <c r="F151" s="72" t="s">
        <v>253</v>
      </c>
      <c r="G151" s="42" t="s">
        <v>744</v>
      </c>
      <c r="H151" s="72" t="s">
        <v>207</v>
      </c>
      <c r="I151" s="51" t="s">
        <v>208</v>
      </c>
      <c r="J151" s="45">
        <v>45219</v>
      </c>
      <c r="K151" s="7">
        <v>5332</v>
      </c>
      <c r="L151" s="46">
        <v>13646</v>
      </c>
      <c r="M151" s="45">
        <v>45219</v>
      </c>
      <c r="N151" s="45">
        <v>45291</v>
      </c>
      <c r="O151" s="42">
        <v>101</v>
      </c>
      <c r="P151" s="42" t="s">
        <v>93</v>
      </c>
      <c r="Q151" s="7"/>
      <c r="R151" s="7"/>
      <c r="S151" s="42" t="s">
        <v>100</v>
      </c>
      <c r="T151" s="42" t="s">
        <v>93</v>
      </c>
      <c r="U151" s="42" t="s">
        <v>93</v>
      </c>
      <c r="V151" s="42" t="s">
        <v>93</v>
      </c>
      <c r="W151" s="42" t="s">
        <v>93</v>
      </c>
      <c r="X151" s="42" t="s">
        <v>93</v>
      </c>
      <c r="Y151" s="42" t="s">
        <v>93</v>
      </c>
      <c r="Z151" s="42" t="s">
        <v>93</v>
      </c>
      <c r="AA151" s="42" t="s">
        <v>93</v>
      </c>
      <c r="AB151" s="7"/>
      <c r="AC151" s="7"/>
      <c r="AD151" s="7">
        <f t="shared" si="4"/>
        <v>5332</v>
      </c>
      <c r="AE151" s="7">
        <f>2666</f>
        <v>2666</v>
      </c>
      <c r="AF151" s="7"/>
      <c r="AG151" s="7">
        <f t="shared" si="3"/>
        <v>2666</v>
      </c>
    </row>
    <row r="152" spans="1:33" ht="51" x14ac:dyDescent="0.25">
      <c r="A152" s="41" t="s">
        <v>772</v>
      </c>
      <c r="B152" s="43" t="s">
        <v>525</v>
      </c>
      <c r="C152" s="43" t="s">
        <v>726</v>
      </c>
      <c r="D152" s="43" t="s">
        <v>59</v>
      </c>
      <c r="E152" s="43" t="s">
        <v>60</v>
      </c>
      <c r="F152" s="72" t="s">
        <v>253</v>
      </c>
      <c r="G152" s="42" t="s">
        <v>725</v>
      </c>
      <c r="H152" s="72" t="s">
        <v>405</v>
      </c>
      <c r="I152" s="51" t="s">
        <v>406</v>
      </c>
      <c r="J152" s="45">
        <v>45223</v>
      </c>
      <c r="K152" s="7">
        <v>15450</v>
      </c>
      <c r="L152" s="46">
        <v>13646</v>
      </c>
      <c r="M152" s="45">
        <v>45223</v>
      </c>
      <c r="N152" s="45">
        <v>45291</v>
      </c>
      <c r="O152" s="42" t="s">
        <v>523</v>
      </c>
      <c r="P152" s="42" t="s">
        <v>93</v>
      </c>
      <c r="Q152" s="7"/>
      <c r="R152" s="7"/>
      <c r="S152" s="42" t="s">
        <v>100</v>
      </c>
      <c r="T152" s="42" t="s">
        <v>93</v>
      </c>
      <c r="U152" s="42" t="s">
        <v>93</v>
      </c>
      <c r="V152" s="42" t="s">
        <v>93</v>
      </c>
      <c r="W152" s="42" t="s">
        <v>93</v>
      </c>
      <c r="X152" s="42" t="s">
        <v>93</v>
      </c>
      <c r="Y152" s="42" t="s">
        <v>93</v>
      </c>
      <c r="Z152" s="42" t="s">
        <v>93</v>
      </c>
      <c r="AA152" s="42" t="s">
        <v>93</v>
      </c>
      <c r="AB152" s="7"/>
      <c r="AC152" s="7"/>
      <c r="AD152" s="7">
        <f t="shared" si="4"/>
        <v>15450</v>
      </c>
      <c r="AE152" s="7">
        <f>1925</f>
        <v>1925</v>
      </c>
      <c r="AF152" s="7">
        <f>1600+4200</f>
        <v>5800</v>
      </c>
      <c r="AG152" s="7">
        <f t="shared" si="3"/>
        <v>7725</v>
      </c>
    </row>
    <row r="153" spans="1:33" ht="51" x14ac:dyDescent="0.25">
      <c r="A153" s="41" t="s">
        <v>775</v>
      </c>
      <c r="B153" s="43" t="s">
        <v>750</v>
      </c>
      <c r="C153" s="42" t="s">
        <v>93</v>
      </c>
      <c r="D153" s="43" t="s">
        <v>59</v>
      </c>
      <c r="E153" s="43" t="s">
        <v>60</v>
      </c>
      <c r="F153" s="72" t="s">
        <v>253</v>
      </c>
      <c r="G153" s="42" t="s">
        <v>809</v>
      </c>
      <c r="H153" s="72" t="s">
        <v>659</v>
      </c>
      <c r="I153" s="51" t="s">
        <v>660</v>
      </c>
      <c r="J153" s="45">
        <v>45238</v>
      </c>
      <c r="K153" s="7">
        <v>36953.9</v>
      </c>
      <c r="L153" s="46">
        <v>13653</v>
      </c>
      <c r="M153" s="45">
        <v>45238</v>
      </c>
      <c r="N153" s="45">
        <v>45291</v>
      </c>
      <c r="O153" s="42" t="s">
        <v>126</v>
      </c>
      <c r="P153" s="42" t="s">
        <v>93</v>
      </c>
      <c r="Q153" s="7"/>
      <c r="R153" s="7"/>
      <c r="S153" s="42" t="s">
        <v>255</v>
      </c>
      <c r="T153" s="42" t="s">
        <v>93</v>
      </c>
      <c r="U153" s="42" t="s">
        <v>93</v>
      </c>
      <c r="V153" s="42" t="s">
        <v>93</v>
      </c>
      <c r="W153" s="42" t="s">
        <v>93</v>
      </c>
      <c r="X153" s="42" t="s">
        <v>93</v>
      </c>
      <c r="Y153" s="42" t="s">
        <v>93</v>
      </c>
      <c r="Z153" s="42" t="s">
        <v>93</v>
      </c>
      <c r="AA153" s="42" t="s">
        <v>93</v>
      </c>
      <c r="AB153" s="7"/>
      <c r="AC153" s="7"/>
      <c r="AD153" s="7">
        <f t="shared" si="4"/>
        <v>36953.9</v>
      </c>
      <c r="AE153" s="7"/>
      <c r="AF153" s="7">
        <v>27000.240000000002</v>
      </c>
      <c r="AG153" s="7">
        <f t="shared" si="3"/>
        <v>27000.240000000002</v>
      </c>
    </row>
    <row r="154" spans="1:33" ht="51" x14ac:dyDescent="0.25">
      <c r="A154" s="41" t="s">
        <v>778</v>
      </c>
      <c r="B154" s="43" t="s">
        <v>740</v>
      </c>
      <c r="C154" s="43" t="s">
        <v>741</v>
      </c>
      <c r="D154" s="43" t="s">
        <v>59</v>
      </c>
      <c r="E154" s="43" t="s">
        <v>60</v>
      </c>
      <c r="F154" s="72" t="s">
        <v>253</v>
      </c>
      <c r="G154" s="42" t="s">
        <v>738</v>
      </c>
      <c r="H154" s="72" t="s">
        <v>739</v>
      </c>
      <c r="I154" s="51" t="s">
        <v>742</v>
      </c>
      <c r="J154" s="45">
        <v>45240</v>
      </c>
      <c r="K154" s="7">
        <v>15000</v>
      </c>
      <c r="L154" s="46">
        <v>13655</v>
      </c>
      <c r="M154" s="45">
        <v>45240</v>
      </c>
      <c r="N154" s="45">
        <v>45291</v>
      </c>
      <c r="O154" s="42">
        <v>101</v>
      </c>
      <c r="P154" s="42" t="s">
        <v>93</v>
      </c>
      <c r="Q154" s="7"/>
      <c r="R154" s="7"/>
      <c r="S154" s="42" t="s">
        <v>61</v>
      </c>
      <c r="T154" s="42" t="s">
        <v>93</v>
      </c>
      <c r="U154" s="42" t="s">
        <v>93</v>
      </c>
      <c r="V154" s="42" t="s">
        <v>93</v>
      </c>
      <c r="W154" s="42" t="s">
        <v>93</v>
      </c>
      <c r="X154" s="42" t="s">
        <v>93</v>
      </c>
      <c r="Y154" s="42" t="s">
        <v>93</v>
      </c>
      <c r="Z154" s="42" t="s">
        <v>93</v>
      </c>
      <c r="AA154" s="42" t="s">
        <v>93</v>
      </c>
      <c r="AB154" s="7"/>
      <c r="AC154" s="7"/>
      <c r="AD154" s="7">
        <f t="shared" si="4"/>
        <v>15000</v>
      </c>
      <c r="AE154" s="7">
        <f>15000</f>
        <v>15000</v>
      </c>
      <c r="AF154" s="7"/>
      <c r="AG154" s="7">
        <f t="shared" ref="AG154:AG168" si="5">AE154+AF154</f>
        <v>15000</v>
      </c>
    </row>
    <row r="155" spans="1:33" ht="51" x14ac:dyDescent="0.25">
      <c r="A155" s="41" t="s">
        <v>787</v>
      </c>
      <c r="B155" s="43" t="s">
        <v>656</v>
      </c>
      <c r="C155" s="43" t="s">
        <v>807</v>
      </c>
      <c r="D155" s="43" t="s">
        <v>59</v>
      </c>
      <c r="E155" s="43" t="s">
        <v>60</v>
      </c>
      <c r="F155" s="72" t="s">
        <v>253</v>
      </c>
      <c r="G155" s="42" t="s">
        <v>806</v>
      </c>
      <c r="H155" s="72" t="s">
        <v>669</v>
      </c>
      <c r="I155" s="51" t="s">
        <v>670</v>
      </c>
      <c r="J155" s="45">
        <v>45238</v>
      </c>
      <c r="K155" s="7">
        <v>41723.980000000003</v>
      </c>
      <c r="L155" s="46">
        <v>13653</v>
      </c>
      <c r="M155" s="45">
        <v>45238</v>
      </c>
      <c r="N155" s="45">
        <v>45291</v>
      </c>
      <c r="O155" s="42" t="s">
        <v>126</v>
      </c>
      <c r="P155" s="42" t="s">
        <v>93</v>
      </c>
      <c r="Q155" s="7"/>
      <c r="R155" s="7"/>
      <c r="S155" s="42" t="s">
        <v>255</v>
      </c>
      <c r="T155" s="42" t="s">
        <v>93</v>
      </c>
      <c r="U155" s="42" t="s">
        <v>93</v>
      </c>
      <c r="V155" s="42" t="s">
        <v>93</v>
      </c>
      <c r="W155" s="42" t="s">
        <v>93</v>
      </c>
      <c r="X155" s="42" t="s">
        <v>93</v>
      </c>
      <c r="Y155" s="42" t="s">
        <v>93</v>
      </c>
      <c r="Z155" s="42" t="s">
        <v>93</v>
      </c>
      <c r="AA155" s="42" t="s">
        <v>93</v>
      </c>
      <c r="AB155" s="7"/>
      <c r="AC155" s="7"/>
      <c r="AD155" s="7">
        <f t="shared" si="4"/>
        <v>41723.980000000003</v>
      </c>
      <c r="AE155" s="7"/>
      <c r="AF155" s="7">
        <f>2289.5+15590.48+5961</f>
        <v>23840.98</v>
      </c>
      <c r="AG155" s="7">
        <f t="shared" si="5"/>
        <v>23840.98</v>
      </c>
    </row>
    <row r="156" spans="1:33" ht="51" x14ac:dyDescent="0.25">
      <c r="A156" s="41" t="s">
        <v>811</v>
      </c>
      <c r="B156" s="42" t="s">
        <v>93</v>
      </c>
      <c r="C156" s="43" t="s">
        <v>831</v>
      </c>
      <c r="D156" s="43" t="s">
        <v>59</v>
      </c>
      <c r="E156" s="43" t="s">
        <v>60</v>
      </c>
      <c r="F156" s="72" t="s">
        <v>253</v>
      </c>
      <c r="G156" s="42" t="s">
        <v>828</v>
      </c>
      <c r="H156" s="72" t="s">
        <v>829</v>
      </c>
      <c r="I156" s="51" t="s">
        <v>830</v>
      </c>
      <c r="J156" s="45">
        <v>45253</v>
      </c>
      <c r="K156" s="7">
        <v>150000</v>
      </c>
      <c r="L156" s="46">
        <v>13660</v>
      </c>
      <c r="M156" s="42" t="s">
        <v>93</v>
      </c>
      <c r="N156" s="42" t="s">
        <v>93</v>
      </c>
      <c r="O156" s="42" t="s">
        <v>834</v>
      </c>
      <c r="P156" s="42" t="s">
        <v>93</v>
      </c>
      <c r="Q156" s="7"/>
      <c r="R156" s="7"/>
      <c r="S156" s="42" t="s">
        <v>92</v>
      </c>
      <c r="T156" s="42"/>
      <c r="U156" s="42"/>
      <c r="V156" s="42"/>
      <c r="W156" s="42"/>
      <c r="X156" s="42"/>
      <c r="Y156" s="42"/>
      <c r="Z156" s="42"/>
      <c r="AA156" s="42"/>
      <c r="AB156" s="7"/>
      <c r="AC156" s="7"/>
      <c r="AD156" s="7">
        <f t="shared" si="4"/>
        <v>150000</v>
      </c>
      <c r="AE156" s="7"/>
      <c r="AF156" s="7">
        <f>6179.42+14259.69+6446.12</f>
        <v>26885.23</v>
      </c>
      <c r="AG156" s="7">
        <f t="shared" si="5"/>
        <v>26885.23</v>
      </c>
    </row>
    <row r="157" spans="1:33" ht="51" x14ac:dyDescent="0.25">
      <c r="A157" s="41" t="s">
        <v>812</v>
      </c>
      <c r="B157" s="43" t="s">
        <v>750</v>
      </c>
      <c r="C157" s="42" t="s">
        <v>93</v>
      </c>
      <c r="D157" s="43" t="s">
        <v>59</v>
      </c>
      <c r="E157" s="43" t="s">
        <v>60</v>
      </c>
      <c r="F157" s="72" t="s">
        <v>253</v>
      </c>
      <c r="G157" s="42" t="s">
        <v>747</v>
      </c>
      <c r="H157" s="72" t="s">
        <v>748</v>
      </c>
      <c r="I157" s="51" t="s">
        <v>749</v>
      </c>
      <c r="J157" s="45">
        <v>45254</v>
      </c>
      <c r="K157" s="7">
        <v>1500000</v>
      </c>
      <c r="L157" s="46">
        <v>13662</v>
      </c>
      <c r="M157" s="45">
        <v>45254</v>
      </c>
      <c r="N157" s="45">
        <v>45619</v>
      </c>
      <c r="O157" s="42">
        <v>101</v>
      </c>
      <c r="P157" s="42" t="s">
        <v>93</v>
      </c>
      <c r="Q157" s="7"/>
      <c r="R157" s="7"/>
      <c r="S157" s="42" t="s">
        <v>61</v>
      </c>
      <c r="T157" s="42" t="s">
        <v>93</v>
      </c>
      <c r="U157" s="42" t="s">
        <v>93</v>
      </c>
      <c r="V157" s="42" t="s">
        <v>93</v>
      </c>
      <c r="W157" s="42" t="s">
        <v>93</v>
      </c>
      <c r="X157" s="42" t="s">
        <v>93</v>
      </c>
      <c r="Y157" s="42" t="s">
        <v>93</v>
      </c>
      <c r="Z157" s="42" t="s">
        <v>93</v>
      </c>
      <c r="AA157" s="42" t="s">
        <v>93</v>
      </c>
      <c r="AB157" s="7"/>
      <c r="AC157" s="7"/>
      <c r="AD157" s="7">
        <f t="shared" si="4"/>
        <v>1500000</v>
      </c>
      <c r="AE157" s="7">
        <f>38112.25+713389.84</f>
        <v>751502.09</v>
      </c>
      <c r="AF157" s="7"/>
      <c r="AG157" s="7">
        <f t="shared" si="5"/>
        <v>751502.09</v>
      </c>
    </row>
    <row r="158" spans="1:33" ht="51" x14ac:dyDescent="0.25">
      <c r="A158" s="41" t="s">
        <v>813</v>
      </c>
      <c r="B158" s="43" t="s">
        <v>796</v>
      </c>
      <c r="C158" s="43" t="s">
        <v>797</v>
      </c>
      <c r="D158" s="43" t="s">
        <v>59</v>
      </c>
      <c r="E158" s="43" t="s">
        <v>60</v>
      </c>
      <c r="F158" s="72" t="s">
        <v>253</v>
      </c>
      <c r="G158" s="42" t="s">
        <v>802</v>
      </c>
      <c r="H158" s="72" t="s">
        <v>648</v>
      </c>
      <c r="I158" s="51" t="s">
        <v>649</v>
      </c>
      <c r="J158" s="45">
        <v>45264</v>
      </c>
      <c r="K158" s="7">
        <v>82650</v>
      </c>
      <c r="L158" s="46">
        <v>13668</v>
      </c>
      <c r="M158" s="45">
        <v>45264</v>
      </c>
      <c r="N158" s="45">
        <v>45291</v>
      </c>
      <c r="O158" s="42" t="s">
        <v>822</v>
      </c>
      <c r="P158" s="42" t="s">
        <v>93</v>
      </c>
      <c r="Q158" s="7"/>
      <c r="R158" s="7"/>
      <c r="S158" s="42" t="s">
        <v>255</v>
      </c>
      <c r="T158" s="42" t="s">
        <v>93</v>
      </c>
      <c r="U158" s="42" t="s">
        <v>93</v>
      </c>
      <c r="V158" s="42" t="s">
        <v>93</v>
      </c>
      <c r="W158" s="42" t="s">
        <v>93</v>
      </c>
      <c r="X158" s="42" t="s">
        <v>93</v>
      </c>
      <c r="Y158" s="42" t="s">
        <v>93</v>
      </c>
      <c r="Z158" s="42" t="s">
        <v>93</v>
      </c>
      <c r="AA158" s="42" t="s">
        <v>93</v>
      </c>
      <c r="AB158" s="7"/>
      <c r="AC158" s="7"/>
      <c r="AD158" s="7">
        <f t="shared" si="4"/>
        <v>82650</v>
      </c>
      <c r="AE158" s="7"/>
      <c r="AF158" s="7">
        <f>16150</f>
        <v>16150</v>
      </c>
      <c r="AG158" s="7">
        <f t="shared" si="5"/>
        <v>16150</v>
      </c>
    </row>
    <row r="159" spans="1:33" ht="51" x14ac:dyDescent="0.25">
      <c r="A159" s="41" t="s">
        <v>814</v>
      </c>
      <c r="B159" s="43" t="s">
        <v>780</v>
      </c>
      <c r="C159" s="43" t="s">
        <v>781</v>
      </c>
      <c r="D159" s="43" t="s">
        <v>59</v>
      </c>
      <c r="E159" s="43" t="s">
        <v>60</v>
      </c>
      <c r="F159" s="72" t="s">
        <v>253</v>
      </c>
      <c r="G159" s="42" t="s">
        <v>779</v>
      </c>
      <c r="H159" s="72" t="s">
        <v>648</v>
      </c>
      <c r="I159" s="51" t="s">
        <v>649</v>
      </c>
      <c r="J159" s="45">
        <v>45264</v>
      </c>
      <c r="K159" s="7">
        <v>37000</v>
      </c>
      <c r="L159" s="46">
        <v>13668</v>
      </c>
      <c r="M159" s="45">
        <v>45264</v>
      </c>
      <c r="N159" s="45">
        <v>45291</v>
      </c>
      <c r="O159" s="42">
        <v>124</v>
      </c>
      <c r="P159" s="42" t="s">
        <v>93</v>
      </c>
      <c r="Q159" s="7"/>
      <c r="R159" s="7"/>
      <c r="S159" s="42" t="s">
        <v>255</v>
      </c>
      <c r="T159" s="42" t="s">
        <v>93</v>
      </c>
      <c r="U159" s="42" t="s">
        <v>93</v>
      </c>
      <c r="V159" s="42" t="s">
        <v>93</v>
      </c>
      <c r="W159" s="42" t="s">
        <v>93</v>
      </c>
      <c r="X159" s="42" t="s">
        <v>93</v>
      </c>
      <c r="Y159" s="42" t="s">
        <v>93</v>
      </c>
      <c r="Z159" s="42" t="s">
        <v>93</v>
      </c>
      <c r="AA159" s="42" t="s">
        <v>93</v>
      </c>
      <c r="AB159" s="7"/>
      <c r="AC159" s="7"/>
      <c r="AD159" s="7">
        <f t="shared" si="4"/>
        <v>37000</v>
      </c>
      <c r="AE159" s="7"/>
      <c r="AF159" s="7">
        <f>6970</f>
        <v>6970</v>
      </c>
      <c r="AG159" s="7">
        <f t="shared" si="5"/>
        <v>6970</v>
      </c>
    </row>
    <row r="160" spans="1:33" ht="51" x14ac:dyDescent="0.25">
      <c r="A160" s="41" t="s">
        <v>815</v>
      </c>
      <c r="B160" s="43" t="s">
        <v>796</v>
      </c>
      <c r="C160" s="43" t="s">
        <v>797</v>
      </c>
      <c r="D160" s="43" t="s">
        <v>59</v>
      </c>
      <c r="E160" s="43" t="s">
        <v>60</v>
      </c>
      <c r="F160" s="72" t="s">
        <v>253</v>
      </c>
      <c r="G160" s="42" t="s">
        <v>795</v>
      </c>
      <c r="H160" s="72" t="s">
        <v>766</v>
      </c>
      <c r="I160" s="51" t="s">
        <v>798</v>
      </c>
      <c r="J160" s="45">
        <v>45641</v>
      </c>
      <c r="K160" s="7">
        <v>139995.51</v>
      </c>
      <c r="L160" s="46">
        <v>13676</v>
      </c>
      <c r="M160" s="45">
        <v>45275</v>
      </c>
      <c r="N160" s="45">
        <v>45291</v>
      </c>
      <c r="O160" s="42" t="s">
        <v>823</v>
      </c>
      <c r="P160" s="42" t="s">
        <v>93</v>
      </c>
      <c r="Q160" s="7"/>
      <c r="R160" s="7"/>
      <c r="S160" s="42" t="s">
        <v>255</v>
      </c>
      <c r="T160" s="42" t="s">
        <v>93</v>
      </c>
      <c r="U160" s="42" t="s">
        <v>93</v>
      </c>
      <c r="V160" s="42" t="s">
        <v>93</v>
      </c>
      <c r="W160" s="42" t="s">
        <v>93</v>
      </c>
      <c r="X160" s="42" t="s">
        <v>93</v>
      </c>
      <c r="Y160" s="42" t="s">
        <v>93</v>
      </c>
      <c r="Z160" s="42" t="s">
        <v>93</v>
      </c>
      <c r="AA160" s="42" t="s">
        <v>93</v>
      </c>
      <c r="AB160" s="7"/>
      <c r="AC160" s="7"/>
      <c r="AD160" s="7">
        <f t="shared" si="4"/>
        <v>139995.51</v>
      </c>
      <c r="AE160" s="7"/>
      <c r="AF160" s="7">
        <v>52468</v>
      </c>
      <c r="AG160" s="7">
        <f t="shared" si="5"/>
        <v>52468</v>
      </c>
    </row>
    <row r="161" spans="1:33" ht="51" x14ac:dyDescent="0.25">
      <c r="A161" s="41" t="s">
        <v>816</v>
      </c>
      <c r="B161" s="43" t="s">
        <v>602</v>
      </c>
      <c r="C161" s="43" t="s">
        <v>601</v>
      </c>
      <c r="D161" s="43" t="s">
        <v>59</v>
      </c>
      <c r="E161" s="43" t="s">
        <v>60</v>
      </c>
      <c r="F161" s="72" t="s">
        <v>253</v>
      </c>
      <c r="G161" s="42" t="s">
        <v>804</v>
      </c>
      <c r="H161" s="72" t="s">
        <v>632</v>
      </c>
      <c r="I161" s="51" t="s">
        <v>633</v>
      </c>
      <c r="J161" s="45">
        <v>45316</v>
      </c>
      <c r="K161" s="7">
        <v>236208</v>
      </c>
      <c r="L161" s="46">
        <v>13704</v>
      </c>
      <c r="M161" s="45">
        <v>45316</v>
      </c>
      <c r="N161" s="45">
        <v>45657</v>
      </c>
      <c r="O161" s="42" t="s">
        <v>824</v>
      </c>
      <c r="P161" s="42" t="s">
        <v>93</v>
      </c>
      <c r="Q161" s="7"/>
      <c r="R161" s="7"/>
      <c r="S161" s="42" t="s">
        <v>100</v>
      </c>
      <c r="T161" s="42">
        <v>1</v>
      </c>
      <c r="U161" s="45">
        <v>45456</v>
      </c>
      <c r="V161" s="46">
        <v>13797</v>
      </c>
      <c r="W161" s="42" t="s">
        <v>238</v>
      </c>
      <c r="X161" s="42" t="s">
        <v>93</v>
      </c>
      <c r="Y161" s="42" t="s">
        <v>93</v>
      </c>
      <c r="Z161" s="53">
        <v>0.25</v>
      </c>
      <c r="AA161" s="42" t="s">
        <v>93</v>
      </c>
      <c r="AB161" s="7">
        <v>295260</v>
      </c>
      <c r="AC161" s="7"/>
      <c r="AD161" s="7">
        <f t="shared" si="4"/>
        <v>531468</v>
      </c>
      <c r="AE161" s="7"/>
      <c r="AF161" s="7">
        <f>119159.88</f>
        <v>119159.88</v>
      </c>
      <c r="AG161" s="7">
        <f t="shared" si="5"/>
        <v>119159.88</v>
      </c>
    </row>
    <row r="162" spans="1:33" ht="51" x14ac:dyDescent="0.25">
      <c r="A162" s="41" t="s">
        <v>817</v>
      </c>
      <c r="B162" s="43" t="s">
        <v>606</v>
      </c>
      <c r="C162" s="42" t="s">
        <v>605</v>
      </c>
      <c r="D162" s="43" t="s">
        <v>59</v>
      </c>
      <c r="E162" s="43" t="s">
        <v>60</v>
      </c>
      <c r="F162" s="72" t="s">
        <v>253</v>
      </c>
      <c r="G162" s="42" t="s">
        <v>794</v>
      </c>
      <c r="H162" s="72" t="s">
        <v>608</v>
      </c>
      <c r="I162" s="51" t="s">
        <v>609</v>
      </c>
      <c r="J162" s="45">
        <v>45316</v>
      </c>
      <c r="K162" s="7">
        <v>344500</v>
      </c>
      <c r="L162" s="46">
        <v>13705</v>
      </c>
      <c r="M162" s="45">
        <v>45316</v>
      </c>
      <c r="N162" s="45">
        <v>45657</v>
      </c>
      <c r="O162" s="42" t="s">
        <v>824</v>
      </c>
      <c r="P162" s="42" t="s">
        <v>93</v>
      </c>
      <c r="Q162" s="7"/>
      <c r="R162" s="7"/>
      <c r="S162" s="42" t="s">
        <v>100</v>
      </c>
      <c r="T162" s="42" t="s">
        <v>93</v>
      </c>
      <c r="U162" s="42" t="s">
        <v>93</v>
      </c>
      <c r="V162" s="42" t="s">
        <v>93</v>
      </c>
      <c r="W162" s="42" t="s">
        <v>93</v>
      </c>
      <c r="X162" s="42" t="s">
        <v>93</v>
      </c>
      <c r="Y162" s="42" t="s">
        <v>93</v>
      </c>
      <c r="Z162" s="42" t="s">
        <v>93</v>
      </c>
      <c r="AA162" s="42" t="s">
        <v>93</v>
      </c>
      <c r="AB162" s="7"/>
      <c r="AC162" s="7"/>
      <c r="AD162" s="7">
        <f t="shared" si="4"/>
        <v>344500</v>
      </c>
      <c r="AE162" s="7"/>
      <c r="AF162" s="7">
        <f>1186.25</f>
        <v>1186.25</v>
      </c>
      <c r="AG162" s="7">
        <f t="shared" si="5"/>
        <v>1186.25</v>
      </c>
    </row>
    <row r="163" spans="1:33" ht="51" x14ac:dyDescent="0.25">
      <c r="A163" s="41" t="s">
        <v>818</v>
      </c>
      <c r="B163" s="43" t="s">
        <v>602</v>
      </c>
      <c r="C163" s="42" t="s">
        <v>601</v>
      </c>
      <c r="D163" s="43" t="s">
        <v>59</v>
      </c>
      <c r="E163" s="43" t="s">
        <v>60</v>
      </c>
      <c r="F163" s="72" t="s">
        <v>253</v>
      </c>
      <c r="G163" s="42" t="s">
        <v>805</v>
      </c>
      <c r="H163" s="72" t="s">
        <v>405</v>
      </c>
      <c r="I163" s="51" t="s">
        <v>406</v>
      </c>
      <c r="J163" s="45" t="s">
        <v>825</v>
      </c>
      <c r="K163" s="7">
        <v>99840</v>
      </c>
      <c r="L163" s="46">
        <v>13704</v>
      </c>
      <c r="M163" s="45">
        <v>45320</v>
      </c>
      <c r="N163" s="45">
        <v>45657</v>
      </c>
      <c r="O163" s="42" t="s">
        <v>824</v>
      </c>
      <c r="P163" s="42" t="s">
        <v>93</v>
      </c>
      <c r="Q163" s="7"/>
      <c r="R163" s="7"/>
      <c r="S163" s="42" t="s">
        <v>100</v>
      </c>
      <c r="T163" s="42" t="s">
        <v>93</v>
      </c>
      <c r="U163" s="42" t="s">
        <v>93</v>
      </c>
      <c r="V163" s="42" t="s">
        <v>93</v>
      </c>
      <c r="W163" s="42" t="s">
        <v>93</v>
      </c>
      <c r="X163" s="42" t="s">
        <v>93</v>
      </c>
      <c r="Y163" s="42" t="s">
        <v>93</v>
      </c>
      <c r="Z163" s="42" t="s">
        <v>93</v>
      </c>
      <c r="AA163" s="42" t="s">
        <v>93</v>
      </c>
      <c r="AB163" s="7"/>
      <c r="AC163" s="7"/>
      <c r="AD163" s="7">
        <f t="shared" si="4"/>
        <v>99840</v>
      </c>
      <c r="AE163" s="7"/>
      <c r="AF163" s="7">
        <v>69888</v>
      </c>
      <c r="AG163" s="7">
        <f t="shared" si="5"/>
        <v>69888</v>
      </c>
    </row>
    <row r="164" spans="1:33" ht="51" x14ac:dyDescent="0.25">
      <c r="A164" s="41" t="s">
        <v>819</v>
      </c>
      <c r="B164" s="43" t="s">
        <v>801</v>
      </c>
      <c r="C164" s="42" t="s">
        <v>800</v>
      </c>
      <c r="D164" s="43" t="s">
        <v>59</v>
      </c>
      <c r="E164" s="43" t="s">
        <v>60</v>
      </c>
      <c r="F164" s="72" t="s">
        <v>253</v>
      </c>
      <c r="G164" s="42" t="s">
        <v>799</v>
      </c>
      <c r="H164" s="72" t="s">
        <v>232</v>
      </c>
      <c r="I164" s="51" t="s">
        <v>243</v>
      </c>
      <c r="J164" s="45">
        <v>45320</v>
      </c>
      <c r="K164" s="7">
        <v>91500</v>
      </c>
      <c r="L164" s="46">
        <v>13706</v>
      </c>
      <c r="M164" s="45">
        <v>45320</v>
      </c>
      <c r="N164" s="45">
        <v>45657</v>
      </c>
      <c r="O164" s="42" t="s">
        <v>824</v>
      </c>
      <c r="P164" s="42" t="s">
        <v>93</v>
      </c>
      <c r="Q164" s="7"/>
      <c r="R164" s="7"/>
      <c r="S164" s="42" t="s">
        <v>100</v>
      </c>
      <c r="T164" s="42" t="s">
        <v>93</v>
      </c>
      <c r="U164" s="42" t="s">
        <v>93</v>
      </c>
      <c r="V164" s="42" t="s">
        <v>93</v>
      </c>
      <c r="W164" s="42" t="s">
        <v>93</v>
      </c>
      <c r="X164" s="42" t="s">
        <v>93</v>
      </c>
      <c r="Y164" s="42" t="s">
        <v>93</v>
      </c>
      <c r="Z164" s="42" t="s">
        <v>93</v>
      </c>
      <c r="AA164" s="42" t="s">
        <v>93</v>
      </c>
      <c r="AB164" s="7"/>
      <c r="AC164" s="7"/>
      <c r="AD164" s="7">
        <f t="shared" si="4"/>
        <v>91500</v>
      </c>
      <c r="AE164" s="7"/>
      <c r="AF164" s="7">
        <f>24498.39</f>
        <v>24498.39</v>
      </c>
      <c r="AG164" s="7">
        <f t="shared" si="5"/>
        <v>24498.39</v>
      </c>
    </row>
    <row r="165" spans="1:33" ht="51" x14ac:dyDescent="0.25">
      <c r="A165" s="41" t="s">
        <v>820</v>
      </c>
      <c r="B165" s="43" t="s">
        <v>776</v>
      </c>
      <c r="C165" s="42" t="s">
        <v>93</v>
      </c>
      <c r="D165" s="43" t="s">
        <v>59</v>
      </c>
      <c r="E165" s="43" t="s">
        <v>60</v>
      </c>
      <c r="F165" s="72" t="s">
        <v>253</v>
      </c>
      <c r="G165" s="42" t="s">
        <v>774</v>
      </c>
      <c r="H165" s="72" t="s">
        <v>191</v>
      </c>
      <c r="I165" s="51" t="s">
        <v>192</v>
      </c>
      <c r="J165" s="45">
        <v>45297</v>
      </c>
      <c r="K165" s="7">
        <v>72000</v>
      </c>
      <c r="L165" s="46">
        <v>13706</v>
      </c>
      <c r="M165" s="45">
        <v>45297</v>
      </c>
      <c r="N165" s="45">
        <v>45662</v>
      </c>
      <c r="O165" s="42">
        <v>1500</v>
      </c>
      <c r="P165" s="42" t="s">
        <v>93</v>
      </c>
      <c r="Q165" s="7"/>
      <c r="R165" s="7"/>
      <c r="S165" s="42" t="s">
        <v>61</v>
      </c>
      <c r="T165" s="42" t="s">
        <v>93</v>
      </c>
      <c r="U165" s="42" t="s">
        <v>93</v>
      </c>
      <c r="V165" s="42" t="s">
        <v>93</v>
      </c>
      <c r="W165" s="42" t="s">
        <v>93</v>
      </c>
      <c r="X165" s="42" t="s">
        <v>93</v>
      </c>
      <c r="Y165" s="42" t="s">
        <v>93</v>
      </c>
      <c r="Z165" s="42" t="s">
        <v>93</v>
      </c>
      <c r="AA165" s="42" t="s">
        <v>93</v>
      </c>
      <c r="AB165" s="7"/>
      <c r="AC165" s="7"/>
      <c r="AD165" s="7">
        <f t="shared" si="4"/>
        <v>72000</v>
      </c>
      <c r="AE165" s="7"/>
      <c r="AF165" s="7">
        <f>6000+6000+6000+6000</f>
        <v>24000</v>
      </c>
      <c r="AG165" s="7">
        <f t="shared" si="5"/>
        <v>24000</v>
      </c>
    </row>
    <row r="166" spans="1:33" ht="51" x14ac:dyDescent="0.25">
      <c r="A166" s="41" t="s">
        <v>821</v>
      </c>
      <c r="B166" s="43" t="s">
        <v>525</v>
      </c>
      <c r="C166" s="42" t="s">
        <v>726</v>
      </c>
      <c r="D166" s="43" t="s">
        <v>59</v>
      </c>
      <c r="E166" s="43" t="s">
        <v>60</v>
      </c>
      <c r="F166" s="72" t="s">
        <v>253</v>
      </c>
      <c r="G166" s="42" t="s">
        <v>827</v>
      </c>
      <c r="H166" s="72" t="s">
        <v>611</v>
      </c>
      <c r="I166" s="51" t="s">
        <v>557</v>
      </c>
      <c r="J166" s="45">
        <v>45328</v>
      </c>
      <c r="K166" s="7">
        <v>80884</v>
      </c>
      <c r="L166" s="46">
        <v>13711</v>
      </c>
      <c r="M166" s="45">
        <v>45328</v>
      </c>
      <c r="N166" s="45">
        <v>45657</v>
      </c>
      <c r="O166" s="42" t="s">
        <v>824</v>
      </c>
      <c r="P166" s="42"/>
      <c r="Q166" s="7"/>
      <c r="R166" s="7"/>
      <c r="S166" s="42" t="s">
        <v>100</v>
      </c>
      <c r="T166" s="42"/>
      <c r="U166" s="42"/>
      <c r="V166" s="42"/>
      <c r="W166" s="42"/>
      <c r="X166" s="42"/>
      <c r="Y166" s="42"/>
      <c r="Z166" s="42"/>
      <c r="AA166" s="42"/>
      <c r="AB166" s="7"/>
      <c r="AC166" s="7"/>
      <c r="AD166" s="7">
        <f t="shared" si="4"/>
        <v>80884</v>
      </c>
      <c r="AE166" s="7"/>
      <c r="AF166" s="7">
        <f>26540+7425+19992</f>
        <v>53957</v>
      </c>
      <c r="AG166" s="7">
        <f t="shared" si="5"/>
        <v>53957</v>
      </c>
    </row>
    <row r="167" spans="1:33" ht="51" x14ac:dyDescent="0.25">
      <c r="A167" s="41" t="s">
        <v>832</v>
      </c>
      <c r="B167" s="43" t="s">
        <v>613</v>
      </c>
      <c r="C167" s="42" t="s">
        <v>612</v>
      </c>
      <c r="D167" s="43" t="s">
        <v>59</v>
      </c>
      <c r="E167" s="43" t="s">
        <v>60</v>
      </c>
      <c r="F167" s="72" t="s">
        <v>253</v>
      </c>
      <c r="G167" s="42" t="s">
        <v>808</v>
      </c>
      <c r="H167" s="72" t="s">
        <v>648</v>
      </c>
      <c r="I167" s="51" t="s">
        <v>649</v>
      </c>
      <c r="J167" s="45" t="s">
        <v>826</v>
      </c>
      <c r="K167" s="7">
        <v>136539</v>
      </c>
      <c r="L167" s="46">
        <v>13725</v>
      </c>
      <c r="M167" s="45">
        <v>45350</v>
      </c>
      <c r="N167" s="45">
        <v>45657</v>
      </c>
      <c r="O167" s="42">
        <v>1500</v>
      </c>
      <c r="P167" s="42" t="s">
        <v>93</v>
      </c>
      <c r="Q167" s="7"/>
      <c r="R167" s="7"/>
      <c r="S167" s="42" t="s">
        <v>100</v>
      </c>
      <c r="T167" s="42" t="s">
        <v>93</v>
      </c>
      <c r="U167" s="42" t="s">
        <v>93</v>
      </c>
      <c r="V167" s="42" t="s">
        <v>93</v>
      </c>
      <c r="W167" s="42" t="s">
        <v>93</v>
      </c>
      <c r="X167" s="42" t="s">
        <v>93</v>
      </c>
      <c r="Y167" s="42" t="s">
        <v>93</v>
      </c>
      <c r="Z167" s="42" t="s">
        <v>93</v>
      </c>
      <c r="AA167" s="42" t="s">
        <v>93</v>
      </c>
      <c r="AB167" s="7"/>
      <c r="AC167" s="7"/>
      <c r="AD167" s="7">
        <f t="shared" si="4"/>
        <v>136539</v>
      </c>
      <c r="AE167" s="7"/>
      <c r="AF167" s="7">
        <v>103497.63</v>
      </c>
      <c r="AG167" s="7">
        <f t="shared" si="5"/>
        <v>103497.63</v>
      </c>
    </row>
    <row r="168" spans="1:33" ht="26.25" thickBot="1" x14ac:dyDescent="0.3">
      <c r="A168" s="57" t="s">
        <v>833</v>
      </c>
      <c r="B168" s="58"/>
      <c r="C168" s="58"/>
      <c r="D168" s="58"/>
      <c r="E168" s="58"/>
      <c r="F168" s="74"/>
      <c r="G168" s="57"/>
      <c r="H168" s="74" t="s">
        <v>147</v>
      </c>
      <c r="I168" s="57"/>
      <c r="J168" s="59"/>
      <c r="K168" s="12"/>
      <c r="L168" s="60"/>
      <c r="M168" s="59"/>
      <c r="N168" s="59"/>
      <c r="O168" s="61"/>
      <c r="P168" s="62"/>
      <c r="Q168" s="12"/>
      <c r="R168" s="11"/>
      <c r="S168" s="62"/>
      <c r="T168" s="62" t="s">
        <v>93</v>
      </c>
      <c r="U168" s="62" t="s">
        <v>93</v>
      </c>
      <c r="V168" s="62" t="s">
        <v>93</v>
      </c>
      <c r="W168" s="62" t="s">
        <v>93</v>
      </c>
      <c r="X168" s="62" t="s">
        <v>93</v>
      </c>
      <c r="Y168" s="62" t="s">
        <v>93</v>
      </c>
      <c r="Z168" s="62" t="s">
        <v>93</v>
      </c>
      <c r="AA168" s="62" t="s">
        <v>93</v>
      </c>
      <c r="AB168" s="11"/>
      <c r="AC168" s="11"/>
      <c r="AD168" s="11">
        <f t="shared" si="4"/>
        <v>0</v>
      </c>
      <c r="AE168" s="11">
        <f>950.04+1865.16+2100+101.81+975.11+132.87+50725.71+268.94+229.22+3106.24+1865.16+2100+1861.47+1447.81+164.86+47651.62+298.75+2100+1865.16+25757.5+50077.02+330.1+1034.15+1034.15+2100+1865.16+65.21+46745.75+330.1+65.21+67.38+363.32+105.08+102.09+111.24+105.46+320.39+320.39+336.41+355.95+359.2+363.32+102.09+105.08+111.24+105.46+320.39+320.39+336.41+355.95+359.2+2325.51+2325.51+89.24+14.7+2100+1865.16+2857.04+2649.32+2593.87+2857.04+2649.32+2593.87+2804.4+5440.33+2857.04+2649.32+2593.87+38319.17+812.9+6318.83+134.05+330.1+1157.37+1157.37+14800+1865.16+8961+1990+98.9+16.31+138.47+78.61+125.61+104.49+100+1320+132739.51+21888.74+689.42+689.42+689.42+551.55+166.69+65.21+184.54+184.54+186.33+186.33+163.29+163.29+163.29+163.29+163.29+163.29+30000+3000+1865.16+51261.58+19317.3+1320+335.34+2033.6+48.55+294.5+125.61+104.49+100+30000+40000+2694.12+3000+65.26+5280+7221.58+43793.71+336.27+772.17+772.17+772.17+100+10000+79000+50000+30000+90000+3000+18257.29+15000+1132.46+7224.91+43813.89+1500+3960+125.61+125.61+100+104.49+104.49+63000+2640+65.21+404.21+450.09+74.21+133.77+811.29+57.47+348.62+330.4+2003.7+65.21+3000+3114+7928.23+48079.04+10560+14458.38+2384.19+330.1+706.98+843.2+551.55+551.55+551.55+1500+52250+65.71+3159+3000+53841.69+21120+65.45+330.1+50000+698.94+275.77+275.77+275.77+275.77+275.77+946.84+2790.77+248.86+1509.24+1861.47+3000+3000+275.77+698.94+55140.49+330.1+182.48+3000+3000+29000+45925.15+85000</f>
        <v>1717361.1700000004</v>
      </c>
      <c r="AF168" s="11">
        <f>3000+3108+18019.64+70.48+65.21+52870.34+10560+149000+19000+330.1+1326.24+3000+3441+18024.08+29000+53209.96+551.55+1034.15+7920+330.1+25375.87+3111+3000+330.1+53302.6+1861.47+6600+135.45+133.33+330.93+330.93+394.22+1941.19+3147.5+3530.7+1034.15+3102.44+330.93+330.93+330.93+3057+3000+133.33+1034.15+330.1+10560+6890.28+44961.08+20000+173.85+649.67+3000+3153+555.06+357+175750+150000+95.47+135.86+50000+620.49+1240.98</f>
        <v>958212.84</v>
      </c>
      <c r="AG168" s="11">
        <f t="shared" si="5"/>
        <v>2675574.0100000002</v>
      </c>
    </row>
    <row r="169" spans="1:33" ht="13.5" thickBot="1" x14ac:dyDescent="0.3">
      <c r="A169" s="63" t="s">
        <v>497</v>
      </c>
      <c r="B169" s="64"/>
      <c r="C169" s="64"/>
      <c r="D169" s="64"/>
      <c r="E169" s="64"/>
      <c r="F169" s="64"/>
      <c r="G169" s="64"/>
      <c r="H169" s="64"/>
      <c r="I169" s="65"/>
      <c r="J169" s="66"/>
      <c r="K169" s="13">
        <f>SUM(K19:K168)</f>
        <v>36916923.269999996</v>
      </c>
      <c r="L169" s="67"/>
      <c r="M169" s="66"/>
      <c r="N169" s="66"/>
      <c r="O169" s="68"/>
      <c r="P169" s="69"/>
      <c r="Q169" s="13">
        <f>SUM(Q19:Q168)</f>
        <v>0</v>
      </c>
      <c r="R169" s="13">
        <f>SUM(R19:R168)</f>
        <v>0</v>
      </c>
      <c r="S169" s="69"/>
      <c r="T169" s="69"/>
      <c r="U169" s="69"/>
      <c r="V169" s="69"/>
      <c r="W169" s="69"/>
      <c r="X169" s="69"/>
      <c r="Y169" s="69"/>
      <c r="Z169" s="69"/>
      <c r="AA169" s="69"/>
      <c r="AB169" s="13">
        <f>SUM(AB19:AB168)</f>
        <v>296330.48</v>
      </c>
      <c r="AC169" s="13">
        <f>SUM(AC19:AC168)</f>
        <v>0</v>
      </c>
      <c r="AD169" s="13">
        <f>SUM(AD19:AD168)</f>
        <v>37213253.749999993</v>
      </c>
      <c r="AE169" s="13">
        <f>SUM(AE19:AE168)</f>
        <v>16270259.740000004</v>
      </c>
      <c r="AF169" s="13">
        <f>SUM(AF19:AF168)</f>
        <v>6717102.8799999999</v>
      </c>
      <c r="AG169" s="13">
        <f>SUM(AG19:AG168)</f>
        <v>22987362.61999999</v>
      </c>
    </row>
    <row r="170" spans="1:33" x14ac:dyDescent="0.25">
      <c r="R170" s="16"/>
      <c r="AA170" s="70"/>
      <c r="AB170" s="16"/>
      <c r="AE170" s="16"/>
      <c r="AF170" s="16"/>
    </row>
    <row r="171" spans="1:33" s="21" customFormat="1" x14ac:dyDescent="0.25">
      <c r="A171" s="25" t="s">
        <v>835</v>
      </c>
      <c r="B171" s="25"/>
      <c r="C171" s="25"/>
      <c r="G171" s="17"/>
      <c r="H171" s="23"/>
      <c r="K171" s="14"/>
      <c r="Q171" s="14"/>
      <c r="R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</row>
    <row r="172" spans="1:33" s="21" customFormat="1" x14ac:dyDescent="0.25">
      <c r="A172" s="23" t="s">
        <v>496</v>
      </c>
      <c r="G172" s="17"/>
      <c r="H172" s="23"/>
      <c r="K172" s="14"/>
      <c r="Q172" s="14"/>
      <c r="R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</row>
    <row r="173" spans="1:33" s="21" customFormat="1" x14ac:dyDescent="0.25">
      <c r="A173" s="23" t="s">
        <v>509</v>
      </c>
      <c r="G173" s="17"/>
      <c r="H173" s="23"/>
      <c r="K173" s="14"/>
      <c r="Q173" s="14"/>
      <c r="R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</row>
    <row r="174" spans="1:33" x14ac:dyDescent="0.25">
      <c r="Q174" s="15" t="s">
        <v>127</v>
      </c>
      <c r="R174" s="16"/>
      <c r="AB174" s="16"/>
    </row>
    <row r="175" spans="1:33" x14ac:dyDescent="0.25">
      <c r="R175" s="16"/>
      <c r="AB175" s="16"/>
    </row>
    <row r="176" spans="1:33" x14ac:dyDescent="0.25">
      <c r="R176" s="16"/>
      <c r="AB176" s="16"/>
    </row>
    <row r="177" spans="18:28" x14ac:dyDescent="0.25">
      <c r="R177" s="16"/>
      <c r="AB177" s="16"/>
    </row>
    <row r="178" spans="18:28" x14ac:dyDescent="0.25">
      <c r="R178" s="16"/>
      <c r="AB178" s="16"/>
    </row>
    <row r="179" spans="18:28" x14ac:dyDescent="0.25">
      <c r="R179" s="16"/>
      <c r="AB179" s="16"/>
    </row>
    <row r="180" spans="18:28" x14ac:dyDescent="0.25">
      <c r="R180" s="16"/>
      <c r="AB180" s="16"/>
    </row>
    <row r="181" spans="18:28" x14ac:dyDescent="0.25">
      <c r="R181" s="16"/>
      <c r="AB181" s="16"/>
    </row>
    <row r="182" spans="18:28" x14ac:dyDescent="0.25">
      <c r="R182" s="16"/>
      <c r="AB182" s="16"/>
    </row>
    <row r="183" spans="18:28" x14ac:dyDescent="0.25">
      <c r="R183" s="16"/>
      <c r="AB183" s="16"/>
    </row>
    <row r="184" spans="18:28" x14ac:dyDescent="0.25">
      <c r="R184" s="16"/>
      <c r="AB184" s="16"/>
    </row>
    <row r="185" spans="18:28" x14ac:dyDescent="0.25">
      <c r="R185" s="16"/>
      <c r="AB185" s="16"/>
    </row>
    <row r="186" spans="18:28" x14ac:dyDescent="0.25">
      <c r="R186" s="16"/>
      <c r="AB186" s="16"/>
    </row>
    <row r="187" spans="18:28" x14ac:dyDescent="0.25">
      <c r="R187" s="16"/>
      <c r="AB187" s="16"/>
    </row>
    <row r="188" spans="18:28" x14ac:dyDescent="0.25">
      <c r="R188" s="16"/>
      <c r="AB188" s="16"/>
    </row>
    <row r="189" spans="18:28" x14ac:dyDescent="0.25">
      <c r="R189" s="16"/>
      <c r="AB189" s="16"/>
    </row>
    <row r="190" spans="18:28" x14ac:dyDescent="0.25">
      <c r="R190" s="16"/>
      <c r="AB190" s="16"/>
    </row>
    <row r="191" spans="18:28" x14ac:dyDescent="0.25">
      <c r="R191" s="16"/>
      <c r="AB191" s="16"/>
    </row>
    <row r="192" spans="18:28" x14ac:dyDescent="0.25">
      <c r="R192" s="16"/>
      <c r="AB192" s="16"/>
    </row>
    <row r="193" spans="9:28" x14ac:dyDescent="0.25">
      <c r="R193" s="16"/>
      <c r="AB193" s="16"/>
    </row>
    <row r="194" spans="9:28" x14ac:dyDescent="0.25">
      <c r="R194" s="16"/>
      <c r="AB194" s="16"/>
    </row>
    <row r="195" spans="9:28" x14ac:dyDescent="0.25">
      <c r="R195" s="16"/>
      <c r="AB195" s="16"/>
    </row>
    <row r="196" spans="9:28" x14ac:dyDescent="0.25">
      <c r="R196" s="16"/>
      <c r="AB196" s="16"/>
    </row>
    <row r="197" spans="9:28" x14ac:dyDescent="0.25">
      <c r="R197" s="16"/>
      <c r="AB197" s="16"/>
    </row>
    <row r="198" spans="9:28" x14ac:dyDescent="0.25">
      <c r="R198" s="16"/>
      <c r="AB198" s="16"/>
    </row>
    <row r="199" spans="9:28" x14ac:dyDescent="0.25">
      <c r="AB199" s="16"/>
    </row>
    <row r="200" spans="9:28" x14ac:dyDescent="0.25">
      <c r="AB200" s="16"/>
    </row>
    <row r="201" spans="9:28" x14ac:dyDescent="0.25">
      <c r="AB201" s="16"/>
    </row>
    <row r="202" spans="9:28" x14ac:dyDescent="0.25">
      <c r="AB202" s="16"/>
    </row>
    <row r="203" spans="9:28" x14ac:dyDescent="0.25">
      <c r="I203" s="22"/>
      <c r="K203" s="15"/>
      <c r="AB203" s="16"/>
    </row>
    <row r="204" spans="9:28" x14ac:dyDescent="0.25">
      <c r="I204" s="22"/>
      <c r="K204" s="15"/>
      <c r="AB204" s="16"/>
    </row>
    <row r="205" spans="9:28" x14ac:dyDescent="0.25">
      <c r="I205" s="22"/>
      <c r="K205" s="15"/>
      <c r="AB205" s="16"/>
    </row>
    <row r="206" spans="9:28" x14ac:dyDescent="0.25">
      <c r="I206" s="22"/>
      <c r="K206" s="15"/>
      <c r="AB206" s="16"/>
    </row>
    <row r="207" spans="9:28" x14ac:dyDescent="0.25">
      <c r="I207" s="22"/>
      <c r="K207" s="15"/>
      <c r="AB207" s="16"/>
    </row>
    <row r="208" spans="9:28" x14ac:dyDescent="0.25">
      <c r="I208" s="22"/>
      <c r="K208" s="15"/>
      <c r="AB208" s="16"/>
    </row>
    <row r="209" spans="9:28" x14ac:dyDescent="0.25">
      <c r="I209" s="22"/>
      <c r="K209" s="15"/>
      <c r="AB209" s="16"/>
    </row>
    <row r="210" spans="9:28" x14ac:dyDescent="0.25">
      <c r="I210" s="22"/>
      <c r="K210" s="15"/>
      <c r="AB210" s="16"/>
    </row>
    <row r="211" spans="9:28" x14ac:dyDescent="0.25">
      <c r="I211" s="22"/>
      <c r="K211" s="15"/>
      <c r="AB211" s="16"/>
    </row>
    <row r="212" spans="9:28" x14ac:dyDescent="0.25">
      <c r="I212" s="22"/>
      <c r="K212" s="15"/>
      <c r="AB212" s="16"/>
    </row>
    <row r="213" spans="9:28" x14ac:dyDescent="0.25">
      <c r="I213" s="22"/>
      <c r="K213" s="15"/>
      <c r="AB213" s="16"/>
    </row>
    <row r="214" spans="9:28" x14ac:dyDescent="0.25">
      <c r="I214" s="22"/>
      <c r="K214" s="15"/>
      <c r="AB214" s="16"/>
    </row>
    <row r="215" spans="9:28" x14ac:dyDescent="0.25">
      <c r="I215" s="22"/>
      <c r="K215" s="15"/>
      <c r="AB215" s="16"/>
    </row>
    <row r="216" spans="9:28" x14ac:dyDescent="0.25">
      <c r="I216" s="22"/>
      <c r="K216" s="15"/>
      <c r="AB216" s="16"/>
    </row>
    <row r="217" spans="9:28" x14ac:dyDescent="0.25">
      <c r="I217" s="22"/>
      <c r="K217" s="15"/>
      <c r="AB217" s="16"/>
    </row>
    <row r="218" spans="9:28" x14ac:dyDescent="0.25">
      <c r="I218" s="22"/>
      <c r="K218" s="15"/>
      <c r="AB218" s="16"/>
    </row>
  </sheetData>
  <mergeCells count="10">
    <mergeCell ref="A171:C171"/>
    <mergeCell ref="A169:I169"/>
    <mergeCell ref="A12:D12"/>
    <mergeCell ref="A11:F11"/>
    <mergeCell ref="A15:A18"/>
    <mergeCell ref="B15:F16"/>
    <mergeCell ref="G15:AE15"/>
    <mergeCell ref="G16:S16"/>
    <mergeCell ref="T16:AC16"/>
    <mergeCell ref="AD16:AE16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LICITAÇÕES 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2024-04-16T18:21:47Z</cp:lastPrinted>
  <dcterms:created xsi:type="dcterms:W3CDTF">2013-10-11T22:10:57Z</dcterms:created>
  <dcterms:modified xsi:type="dcterms:W3CDTF">2024-08-08T20:06:39Z</dcterms:modified>
</cp:coreProperties>
</file>