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59"/>
  </bookViews>
  <sheets>
    <sheet name="SASDH LICITAÇÕES FEV 2023" sheetId="1" r:id="rId1"/>
  </sheets>
  <definedNames>
    <definedName name="OLE_LINK1" localSheetId="0">'SASDH LICITAÇÕES FEV 2023'!#REF!</definedName>
  </definedNames>
  <calcPr calcId="145621"/>
</workbook>
</file>

<file path=xl/calcChain.xml><?xml version="1.0" encoding="utf-8"?>
<calcChain xmlns="http://schemas.openxmlformats.org/spreadsheetml/2006/main">
  <c r="K119" i="1" l="1"/>
  <c r="AB119" i="1"/>
  <c r="AC119" i="1"/>
  <c r="AD119" i="1"/>
  <c r="AG21" i="1"/>
  <c r="AG25" i="1"/>
  <c r="AG26" i="1"/>
  <c r="AG27" i="1"/>
  <c r="AG29" i="1"/>
  <c r="AG39" i="1"/>
  <c r="AG42" i="1"/>
  <c r="AG46" i="1"/>
  <c r="AG49" i="1"/>
  <c r="AG55" i="1"/>
  <c r="AG57" i="1"/>
  <c r="AG58" i="1"/>
  <c r="AG68" i="1"/>
  <c r="AG71" i="1"/>
  <c r="AG76" i="1"/>
  <c r="AG77" i="1"/>
  <c r="AG78" i="1"/>
  <c r="AG106" i="1"/>
  <c r="AG18" i="1"/>
  <c r="AF117" i="1" l="1"/>
  <c r="AG117" i="1" s="1"/>
  <c r="AF116" i="1"/>
  <c r="AG116" i="1" s="1"/>
  <c r="AF30" i="1"/>
  <c r="AG30" i="1" s="1"/>
  <c r="AF43" i="1"/>
  <c r="AG43" i="1" s="1"/>
  <c r="AF34" i="1"/>
  <c r="AG34" i="1" s="1"/>
  <c r="AF65" i="1"/>
  <c r="AF48" i="1"/>
  <c r="AG48" i="1" s="1"/>
  <c r="AF51" i="1"/>
  <c r="AG51" i="1" s="1"/>
  <c r="AF19" i="1"/>
  <c r="AF115" i="1"/>
  <c r="AG115" i="1" s="1"/>
  <c r="AF56" i="1"/>
  <c r="AG56" i="1" s="1"/>
  <c r="AF96" i="1"/>
  <c r="AF87" i="1"/>
  <c r="AF108" i="1"/>
  <c r="AF118" i="1"/>
  <c r="AG118" i="1" s="1"/>
  <c r="AF84" i="1"/>
  <c r="AF53" i="1"/>
  <c r="AG53" i="1" s="1"/>
  <c r="AF40" i="1"/>
  <c r="AF54" i="1"/>
  <c r="AG54" i="1" s="1"/>
  <c r="AF101" i="1"/>
  <c r="AF52" i="1"/>
  <c r="AG52" i="1" s="1"/>
  <c r="AF44" i="1"/>
  <c r="AG44" i="1" s="1"/>
  <c r="AF47" i="1"/>
  <c r="AG47" i="1" s="1"/>
  <c r="AF33" i="1"/>
  <c r="AG33" i="1" s="1"/>
  <c r="AF41" i="1"/>
  <c r="AG41" i="1" s="1"/>
  <c r="AF31" i="1"/>
  <c r="AG31" i="1" s="1"/>
  <c r="AF28" i="1"/>
  <c r="AG28" i="1" s="1"/>
  <c r="AF82" i="1"/>
  <c r="AF32" i="1"/>
  <c r="AG32" i="1" s="1"/>
  <c r="AF22" i="1"/>
  <c r="AG22" i="1" s="1"/>
  <c r="AF45" i="1"/>
  <c r="AG45" i="1" s="1"/>
  <c r="AF38" i="1"/>
  <c r="AG38" i="1" s="1"/>
  <c r="AF37" i="1"/>
  <c r="AG37" i="1" s="1"/>
  <c r="AF36" i="1"/>
  <c r="AG36" i="1" s="1"/>
  <c r="AF23" i="1"/>
  <c r="AG23" i="1" s="1"/>
  <c r="AF64" i="1"/>
  <c r="AF97" i="1"/>
  <c r="AF50" i="1"/>
  <c r="AG50" i="1" s="1"/>
  <c r="AE66" i="1"/>
  <c r="AG66" i="1" s="1"/>
  <c r="AE67" i="1"/>
  <c r="AG67" i="1" s="1"/>
  <c r="AE69" i="1"/>
  <c r="AG69" i="1" s="1"/>
  <c r="AE70" i="1"/>
  <c r="AG70" i="1" s="1"/>
  <c r="AE72" i="1"/>
  <c r="AG72" i="1" s="1"/>
  <c r="AE73" i="1"/>
  <c r="AG73" i="1" s="1"/>
  <c r="AE74" i="1"/>
  <c r="AG74" i="1" s="1"/>
  <c r="AE75" i="1"/>
  <c r="AG75" i="1" s="1"/>
  <c r="AE79" i="1"/>
  <c r="AG79" i="1" s="1"/>
  <c r="AE80" i="1"/>
  <c r="AG80" i="1" s="1"/>
  <c r="AE81" i="1"/>
  <c r="AG81" i="1" s="1"/>
  <c r="AE82" i="1"/>
  <c r="AG82" i="1" s="1"/>
  <c r="AE83" i="1"/>
  <c r="AG83" i="1" s="1"/>
  <c r="AE84" i="1"/>
  <c r="AG84" i="1" s="1"/>
  <c r="AE85" i="1"/>
  <c r="AG85" i="1" s="1"/>
  <c r="AE86" i="1"/>
  <c r="AG86" i="1" s="1"/>
  <c r="AE87" i="1"/>
  <c r="AE88" i="1"/>
  <c r="AG88" i="1" s="1"/>
  <c r="AE89" i="1"/>
  <c r="AG89" i="1" s="1"/>
  <c r="AE90" i="1"/>
  <c r="AG90" i="1" s="1"/>
  <c r="AE91" i="1"/>
  <c r="AG91" i="1" s="1"/>
  <c r="AE92" i="1"/>
  <c r="AG92" i="1" s="1"/>
  <c r="AE93" i="1"/>
  <c r="AG93" i="1" s="1"/>
  <c r="AE94" i="1"/>
  <c r="AG94" i="1" s="1"/>
  <c r="AE95" i="1"/>
  <c r="AG95" i="1" s="1"/>
  <c r="AE96" i="1"/>
  <c r="AG96" i="1" s="1"/>
  <c r="AE97" i="1"/>
  <c r="AG97" i="1" s="1"/>
  <c r="AE98" i="1"/>
  <c r="AG98" i="1" s="1"/>
  <c r="AE99" i="1"/>
  <c r="AG99" i="1" s="1"/>
  <c r="AE100" i="1"/>
  <c r="AG100" i="1" s="1"/>
  <c r="AE101" i="1"/>
  <c r="AG101" i="1" s="1"/>
  <c r="AE102" i="1"/>
  <c r="AG102" i="1" s="1"/>
  <c r="AE103" i="1"/>
  <c r="AG103" i="1" s="1"/>
  <c r="AE104" i="1"/>
  <c r="AG104" i="1" s="1"/>
  <c r="AE105" i="1"/>
  <c r="AG105" i="1" s="1"/>
  <c r="AE107" i="1"/>
  <c r="AG107" i="1" s="1"/>
  <c r="AE108" i="1"/>
  <c r="AG108" i="1" s="1"/>
  <c r="AE109" i="1"/>
  <c r="AG109" i="1" s="1"/>
  <c r="AE110" i="1"/>
  <c r="AG110" i="1" s="1"/>
  <c r="AE111" i="1"/>
  <c r="AG111" i="1" s="1"/>
  <c r="AE112" i="1"/>
  <c r="AG112" i="1" s="1"/>
  <c r="AE113" i="1"/>
  <c r="AG113" i="1" s="1"/>
  <c r="AE114" i="1"/>
  <c r="AG114" i="1" s="1"/>
  <c r="AE59" i="1"/>
  <c r="AG59" i="1" s="1"/>
  <c r="AE60" i="1"/>
  <c r="AG60" i="1" s="1"/>
  <c r="AE61" i="1"/>
  <c r="AG61" i="1" s="1"/>
  <c r="AE62" i="1"/>
  <c r="AG62" i="1" s="1"/>
  <c r="AE63" i="1"/>
  <c r="AG63" i="1" s="1"/>
  <c r="AE64" i="1"/>
  <c r="AG64" i="1" s="1"/>
  <c r="AE65" i="1"/>
  <c r="AG65" i="1" s="1"/>
  <c r="AE40" i="1"/>
  <c r="AG40" i="1" s="1"/>
  <c r="AF20" i="1"/>
  <c r="AG20" i="1" s="1"/>
  <c r="AF24" i="1"/>
  <c r="AG24" i="1" s="1"/>
  <c r="AG87" i="1" l="1"/>
  <c r="AG19" i="1"/>
  <c r="AF119" i="1"/>
  <c r="AE35" i="1"/>
  <c r="AE119" i="1" l="1"/>
  <c r="AG35" i="1"/>
  <c r="AG119" i="1"/>
</calcChain>
</file>

<file path=xl/sharedStrings.xml><?xml version="1.0" encoding="utf-8"?>
<sst xmlns="http://schemas.openxmlformats.org/spreadsheetml/2006/main" count="2065" uniqueCount="636">
  <si>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</si>
  <si>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</si>
  <si>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</si>
  <si>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</si>
  <si>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</si>
  <si>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</si>
  <si>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</si>
  <si>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</si>
  <si>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</si>
  <si>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</si>
  <si>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</si>
  <si>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</si>
  <si>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</si>
  <si>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</si>
  <si>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</si>
  <si>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</si>
  <si>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</si>
  <si>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</si>
  <si>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</si>
  <si>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</si>
  <si>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</si>
  <si>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</si>
  <si>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</si>
  <si>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</si>
  <si>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</si>
  <si>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</si>
  <si>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</si>
  <si>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</si>
  <si>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</si>
  <si>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</si>
  <si>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</si>
  <si>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</si>
  <si>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</si>
  <si>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</si>
  <si>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</si>
  <si>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</si>
  <si>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</si>
  <si>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</si>
  <si>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</si>
  <si>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</si>
  <si>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</si>
  <si>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</si>
  <si>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</si>
  <si>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</si>
  <si>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</si>
  <si>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</si>
  <si>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</si>
  <si>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</si>
  <si>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</si>
  <si>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</si>
  <si>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</si>
  <si>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</si>
  <si>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</si>
  <si>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</si>
  <si>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</si>
  <si>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</si>
  <si>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</si>
  <si>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</si>
  <si>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</si>
  <si>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</si>
  <si>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</si>
  <si>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</si>
  <si>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</si>
  <si>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</si>
  <si>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</si>
  <si>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</si>
  <si>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</si>
  <si>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</si>
  <si>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</si>
  <si>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</si>
  <si>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</si>
  <si>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</si>
  <si>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</si>
  <si>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</si>
  <si>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</si>
  <si>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</si>
  <si>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</si>
  <si>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</si>
  <si>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</si>
  <si>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</si>
  <si>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</si>
  <si>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</si>
  <si>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</si>
  <si>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</si>
  <si>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</si>
  <si>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</si>
  <si>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</si>
  <si>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</si>
  <si>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</si>
  <si>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</si>
  <si>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</si>
  <si>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</si>
  <si>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</si>
  <si>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</si>
  <si>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</si>
  <si>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</si>
  <si>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</si>
  <si>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</si>
  <si>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</si>
  <si>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</si>
  <si>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</si>
  <si>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</si>
  <si>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</si>
  <si>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</si>
  <si>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</si>
  <si>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</si>
  <si>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</si>
  <si>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</si>
  <si>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</si>
  <si>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</si>
  <si>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</si>
  <si>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</si>
  <si>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</si>
  <si>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</si>
  <si>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</si>
  <si>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</si>
  <si>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</si>
  <si>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</si>
  <si>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</si>
  <si>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</si>
  <si>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</si>
  <si>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</si>
  <si>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</si>
  <si>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</si>
  <si>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</si>
  <si>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</si>
  <si>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</si>
  <si>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</si>
  <si>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</si>
  <si>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</si>
  <si>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</si>
  <si>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</si>
  <si>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</si>
  <si>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</si>
  <si>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</si>
  <si>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</si>
  <si>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</si>
  <si>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</si>
  <si>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</si>
  <si>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</si>
  <si>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</si>
  <si>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</si>
  <si>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</si>
  <si>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</si>
  <si>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</si>
  <si>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</si>
  <si>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</si>
  <si>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</si>
  <si>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</si>
  <si>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</si>
  <si>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</si>
  <si>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</si>
  <si>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</si>
  <si>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</si>
  <si>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</si>
  <si>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</si>
  <si>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</si>
  <si>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</si>
  <si>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</si>
  <si>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</si>
  <si>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</si>
  <si>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</si>
  <si>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</si>
  <si>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</si>
  <si>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</si>
  <si>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</si>
  <si>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</si>
  <si>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</si>
  <si>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</si>
  <si>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</si>
  <si>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</si>
  <si>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</si>
  <si>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</si>
  <si>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</si>
  <si>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</si>
  <si>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</si>
  <si>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</si>
  <si>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</si>
  <si>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</si>
  <si>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</si>
  <si>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</si>
  <si>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</si>
  <si>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</si>
  <si>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</si>
  <si>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</si>
  <si>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</si>
  <si>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</si>
  <si>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</si>
  <si>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</si>
  <si>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</si>
  <si>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</si>
  <si>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</si>
  <si>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</si>
  <si>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</si>
  <si>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</si>
  <si>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</si>
  <si>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</si>
  <si>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</si>
  <si>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</si>
  <si>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</si>
  <si>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</si>
  <si>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</si>
  <si>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</si>
  <si>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</si>
  <si>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PROCESSO N°  159/2020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</si>
  <si>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</si>
  <si>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</si>
  <si>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</si>
  <si>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</si>
  <si>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</si>
  <si>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</si>
  <si>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</si>
  <si>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</si>
  <si>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</si>
  <si>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</si>
  <si>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</si>
  <si>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</si>
  <si>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</si>
  <si>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</si>
  <si>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</si>
  <si>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</si>
  <si>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</si>
  <si>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</si>
  <si>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</si>
  <si>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</si>
  <si>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</si>
  <si>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</si>
  <si>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</si>
  <si>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</si>
  <si>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</si>
  <si>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</si>
  <si>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</si>
  <si>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</si>
  <si>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</si>
  <si>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</si>
  <si>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</si>
  <si>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</si>
  <si>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</si>
  <si>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</si>
  <si>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</si>
  <si>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</si>
  <si>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</si>
  <si>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</si>
  <si>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</si>
  <si>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</si>
  <si>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</si>
  <si>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</si>
  <si>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</si>
  <si>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</si>
  <si>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</si>
  <si>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</si>
  <si>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</si>
  <si>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</si>
  <si>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</si>
  <si>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</si>
  <si>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</si>
  <si>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</si>
  <si>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</si>
  <si>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</si>
  <si>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</si>
  <si>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</si>
  <si>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</si>
  <si>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</si>
  <si>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</si>
  <si>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</si>
  <si>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</si>
  <si>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</si>
  <si>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</si>
  <si>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</si>
  <si>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</si>
  <si>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</si>
  <si>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</si>
  <si>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</si>
  <si>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</si>
  <si>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</si>
  <si>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</si>
  <si>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</si>
  <si>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</si>
  <si>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</si>
  <si>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</si>
  <si>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</si>
  <si>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</si>
  <si>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</si>
  <si>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</si>
  <si>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</si>
  <si>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</si>
  <si>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</si>
  <si>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</si>
  <si>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</si>
  <si>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</si>
  <si>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</si>
  <si>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</si>
  <si>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</si>
  <si>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</si>
  <si>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</si>
  <si>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</si>
  <si>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</si>
  <si>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</si>
  <si>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</si>
  <si>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</si>
  <si>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</si>
  <si>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</si>
  <si>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</si>
  <si>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</si>
  <si>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</si>
  <si>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</si>
  <si>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</si>
  <si>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</si>
  <si>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</si>
  <si>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</si>
  <si>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</si>
  <si>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</si>
  <si>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</si>
  <si>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</si>
  <si>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</si>
  <si>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</si>
  <si>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</si>
  <si>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</si>
  <si>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</si>
  <si>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</si>
  <si>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</si>
  <si>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</si>
  <si>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</si>
  <si>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</si>
  <si>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</si>
  <si>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</si>
  <si>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</si>
  <si>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</si>
  <si>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</si>
  <si>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</si>
  <si>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</si>
  <si>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</si>
  <si>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</si>
  <si>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</si>
  <si>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</si>
  <si>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</si>
  <si>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</si>
  <si>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</si>
  <si>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</si>
  <si>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</si>
  <si>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</si>
  <si>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</si>
  <si>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</si>
  <si>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</si>
  <si>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</si>
  <si>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</si>
  <si>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</si>
  <si>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</si>
  <si>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</si>
  <si>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</si>
  <si>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</si>
  <si>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</si>
  <si>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</si>
  <si>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</si>
  <si>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</si>
  <si>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</si>
  <si>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</si>
  <si>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</si>
  <si>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</si>
  <si>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</si>
  <si>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</si>
  <si>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</si>
  <si>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</si>
  <si>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</si>
  <si>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</si>
  <si>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</si>
  <si>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</si>
  <si>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</si>
  <si>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</si>
  <si>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</si>
  <si>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</si>
  <si>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</si>
  <si>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</si>
  <si>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</si>
  <si>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</si>
  <si>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</si>
  <si>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</si>
  <si>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</si>
  <si>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</si>
  <si>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</si>
  <si>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</si>
  <si>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</si>
  <si>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</si>
  <si>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</si>
  <si>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</si>
  <si>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</si>
  <si>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</si>
  <si>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</si>
  <si>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</si>
  <si>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</si>
  <si>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</si>
  <si>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</si>
  <si>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</si>
  <si>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</si>
  <si>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</si>
  <si>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</si>
  <si>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</si>
  <si>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</si>
  <si>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</si>
  <si>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</si>
  <si>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</si>
  <si>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</si>
  <si>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</si>
  <si>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</si>
  <si>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</si>
  <si>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</si>
  <si>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</si>
  <si>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</si>
  <si>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</si>
  <si>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</si>
  <si>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</si>
  <si>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</si>
  <si>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</si>
  <si>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</si>
  <si>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</si>
  <si>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</si>
  <si>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</si>
  <si>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</si>
  <si>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</si>
  <si>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</si>
  <si>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</si>
  <si>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</si>
  <si>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</si>
  <si>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</si>
  <si>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</si>
  <si>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</si>
  <si>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</si>
  <si>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</si>
  <si>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</si>
  <si>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</si>
  <si>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</si>
  <si>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</si>
  <si>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</si>
  <si>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</si>
  <si>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</si>
  <si>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</si>
  <si>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</si>
  <si>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</si>
  <si>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</si>
  <si>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</si>
  <si>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</si>
  <si>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</si>
  <si>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</si>
  <si>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</si>
  <si>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</si>
  <si>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</si>
  <si>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</si>
  <si>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</si>
  <si>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</si>
  <si>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</si>
  <si>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</si>
  <si>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</si>
  <si>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</si>
  <si>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</si>
  <si>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</si>
  <si>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</si>
  <si>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</si>
  <si>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</si>
  <si>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</si>
  <si>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</si>
  <si>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</si>
  <si>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</si>
  <si>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</si>
  <si>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</si>
  <si>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</si>
  <si>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</si>
  <si>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</si>
  <si>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</si>
  <si>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</si>
  <si>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</si>
  <si>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</si>
  <si>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</si>
  <si>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</si>
  <si>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</si>
  <si>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</si>
  <si>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</si>
  <si>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</si>
  <si>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</si>
  <si>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</si>
  <si>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</si>
  <si>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</si>
  <si>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</si>
  <si>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</si>
  <si>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</si>
  <si>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</si>
  <si>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</si>
  <si>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</si>
  <si>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</si>
  <si>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</si>
  <si>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</si>
  <si>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</si>
  <si>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</si>
  <si>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</si>
  <si>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</si>
  <si>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</si>
  <si>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</si>
  <si>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</si>
  <si>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</si>
  <si>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</si>
  <si>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</si>
  <si>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</si>
  <si>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</si>
  <si>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</si>
  <si>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</si>
  <si>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</si>
  <si>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</si>
  <si>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</si>
  <si>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</si>
  <si>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</si>
  <si>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</si>
  <si>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</si>
  <si>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</si>
  <si>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</si>
  <si>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</si>
  <si>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</si>
  <si>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</si>
  <si>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</si>
  <si>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</si>
  <si>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</si>
  <si>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</si>
  <si>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</si>
  <si>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</si>
  <si>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</si>
  <si>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</si>
  <si>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</si>
  <si>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</si>
  <si>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</si>
  <si>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</si>
  <si>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</si>
  <si>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</si>
  <si>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</si>
  <si>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</si>
  <si>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</si>
  <si>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</si>
  <si>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</si>
  <si>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</si>
  <si>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</si>
  <si>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</si>
  <si>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</si>
  <si>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</si>
  <si>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</si>
  <si>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</si>
  <si>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</si>
  <si>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</si>
  <si>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</si>
  <si>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</si>
  <si>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</si>
  <si>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</si>
  <si>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</si>
  <si>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</si>
  <si>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</si>
  <si>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</si>
  <si>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</si>
  <si>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</si>
  <si>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</si>
  <si>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</si>
  <si>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</si>
  <si>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</si>
  <si>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</si>
  <si>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</si>
  <si>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</si>
  <si>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</si>
  <si>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</si>
  <si>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</si>
  <si>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</si>
  <si>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</si>
  <si>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</si>
  <si>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</si>
  <si>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</si>
  <si>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</si>
  <si>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</si>
  <si>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</si>
  <si>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</si>
  <si>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</si>
  <si>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</si>
  <si>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</si>
  <si>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</si>
  <si>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</si>
  <si>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</si>
  <si>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</si>
  <si>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</si>
  <si>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</si>
  <si>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</si>
  <si>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</si>
  <si>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</si>
  <si>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.106</t>
  </si>
  <si>
    <t>.107</t>
  </si>
  <si>
    <t>077/2022</t>
  </si>
  <si>
    <t xml:space="preserve">G. L. O. MAGALHAES EXTINTORES &amp; SERVIÇOS </t>
  </si>
  <si>
    <t>29.946.443/0001-51</t>
  </si>
  <si>
    <t>.108</t>
  </si>
  <si>
    <t>085/2022</t>
  </si>
  <si>
    <t>INNOVE ARQUITETURA E ENGENHARIA EIRELI</t>
  </si>
  <si>
    <t>23.820.555/0001-85</t>
  </si>
  <si>
    <t>.109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</si>
  <si>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</si>
  <si>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</si>
  <si>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</si>
  <si>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</si>
  <si>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</si>
  <si>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</si>
  <si>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</si>
  <si>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</si>
  <si>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</si>
  <si>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</si>
  <si>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</si>
  <si>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</si>
  <si>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>Data da emissão: 09/01/2023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</si>
  <si>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</si>
  <si>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</si>
  <si>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</si>
  <si>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</si>
  <si>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</si>
  <si>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</si>
  <si>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.110</t>
  </si>
  <si>
    <t>091/2022</t>
  </si>
  <si>
    <t>PEDRO ANDRÉ DE AQUINO CARVALHO</t>
  </si>
  <si>
    <t>886.483.542-34</t>
  </si>
  <si>
    <t>.111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</si>
  <si>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</si>
  <si>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</si>
  <si>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</si>
  <si>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</si>
  <si>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</si>
  <si>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</si>
  <si>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</si>
  <si>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PODER EXECUTIVO MUNICIPAL</t>
  </si>
  <si>
    <t>PRESTAÇÃO DE CONTAS MENSAL - EXERCÍCIO 2023</t>
  </si>
  <si>
    <t>Manual de Referência - 9ª EDIÇÃO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</si>
  <si>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</si>
  <si>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DE 2023</t>
    </r>
  </si>
  <si>
    <t>Nº do Convênio/ Contrato</t>
  </si>
  <si>
    <t>Executado até o exercício 2022</t>
  </si>
  <si>
    <t>TOTAL</t>
  </si>
  <si>
    <t>Nome do responsável pela elaboração: Ailton José Blazute Braga</t>
  </si>
  <si>
    <t xml:space="preserve">Nome do responsável pelo Órgão: Marfisa de Lima Galvão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</si>
</sst>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4" fontId="6" fillId="0" borderId="5" xfId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left" vertical="center"/>
    </xf>
    <xf numFmtId="44" fontId="5" fillId="0" borderId="1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Alignment="1">
      <alignment vertical="center"/>
    </xf>
    <xf numFmtId="44" fontId="5" fillId="0" borderId="7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vertical="center"/>
    </xf>
    <xf numFmtId="44" fontId="5" fillId="0" borderId="9" xfId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4" fontId="5" fillId="0" borderId="17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0</xdr:row>
      <xdr:rowOff>38100</xdr:rowOff>
    </xdr:from>
    <xdr:to>
      <xdr:col>1</xdr:col>
      <xdr:colOff>676275</xdr:colOff>
      <xdr:row>2</xdr:row>
      <xdr:rowOff>129428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8100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zoomScaleNormal="100" zoomScaleSheetLayoutView="20" workbookViewId="0">
      <selection activeCell="F10" sqref="F10"/>
    </sheetView>
  </sheetViews>
  <sheetFormatPr defaultRowHeight="12.75" x14ac:dyDescent="0.2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50.7109375" style="2" customWidth="1"/>
    <col min="7" max="7" width="10.5703125" style="51" bestFit="1" customWidth="1"/>
    <col min="8" max="8" width="43" style="51" customWidth="1"/>
    <col min="9" max="9" width="25.140625" style="1" bestFit="1" customWidth="1"/>
    <col min="10" max="10" width="15.28515625" style="2" bestFit="1" customWidth="1"/>
    <col min="11" max="11" width="15.7109375" style="57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9.140625" style="2" bestFit="1" customWidth="1"/>
    <col min="17" max="17" width="23" style="2" customWidth="1"/>
    <col min="18" max="18" width="11.85546875" style="2" bestFit="1" customWidth="1"/>
    <col min="19" max="19" width="11.140625" style="2" bestFit="1" customWidth="1"/>
    <col min="20" max="20" width="9.28515625" style="2" customWidth="1"/>
    <col min="21" max="21" width="10.42578125" style="2" bestFit="1" customWidth="1"/>
    <col min="22" max="22" width="13.42578125" style="2" bestFit="1" customWidth="1"/>
    <col min="23" max="23" width="16.5703125" style="2" bestFit="1" customWidth="1"/>
    <col min="24" max="24" width="14" style="2" bestFit="1" customWidth="1"/>
    <col min="25" max="25" width="10.42578125" style="2" bestFit="1" customWidth="1"/>
    <col min="26" max="27" width="8.7109375" style="2" bestFit="1" customWidth="1"/>
    <col min="28" max="28" width="11.140625" style="58" bestFit="1" customWidth="1"/>
    <col min="29" max="29" width="8.7109375" style="58" bestFit="1" customWidth="1"/>
    <col min="30" max="30" width="17.28515625" style="58" bestFit="1" customWidth="1"/>
    <col min="31" max="31" width="21.5703125" style="58" bestFit="1" customWidth="1"/>
    <col min="32" max="32" width="19.7109375" style="58" bestFit="1" customWidth="1"/>
    <col min="33" max="33" width="15.7109375" style="58" bestFit="1" customWidth="1"/>
    <col min="34" max="16384" width="9.140625" style="2"/>
  </cols>
  <sheetData>
    <row r="1" spans="1:33" s="24" customFormat="1" ht="15" x14ac:dyDescent="0.25">
      <c r="F1" s="25"/>
      <c r="G1" s="26"/>
      <c r="H1" s="49"/>
      <c r="K1" s="53"/>
      <c r="AB1" s="53"/>
      <c r="AC1" s="53"/>
      <c r="AD1" s="53"/>
      <c r="AE1" s="53"/>
      <c r="AF1" s="53"/>
      <c r="AG1" s="53"/>
    </row>
    <row r="2" spans="1:33" s="24" customFormat="1" ht="15" x14ac:dyDescent="0.25">
      <c r="F2" s="25"/>
      <c r="G2" s="26"/>
      <c r="H2" s="49"/>
      <c r="K2" s="53"/>
      <c r="AB2" s="53"/>
      <c r="AC2" s="53"/>
      <c r="AD2" s="53"/>
      <c r="AE2" s="53"/>
      <c r="AF2" s="53"/>
      <c r="AG2" s="53"/>
    </row>
    <row r="3" spans="1:33" s="24" customFormat="1" ht="15" x14ac:dyDescent="0.25">
      <c r="F3" s="25"/>
      <c r="G3" s="26"/>
      <c r="H3" s="49"/>
      <c r="K3" s="53"/>
      <c r="AB3" s="53"/>
      <c r="AC3" s="53"/>
      <c r="AD3" s="53"/>
      <c r="AE3" s="53"/>
      <c r="AF3" s="53"/>
      <c r="AG3" s="53"/>
    </row>
    <row r="4" spans="1:33" s="24" customFormat="1" ht="15" x14ac:dyDescent="0.25">
      <c r="A4" s="26" t="s">
        <v>626</v>
      </c>
      <c r="F4" s="25"/>
      <c r="G4" s="26"/>
      <c r="H4" s="49"/>
      <c r="K4" s="53"/>
      <c r="AB4" s="53"/>
      <c r="AC4" s="53"/>
      <c r="AD4" s="53"/>
      <c r="AE4" s="53"/>
      <c r="AF4" s="53"/>
      <c r="AG4" s="53"/>
    </row>
    <row r="5" spans="1:33" s="24" customFormat="1" ht="15" x14ac:dyDescent="0.25">
      <c r="A5" s="26"/>
      <c r="F5" s="25"/>
      <c r="G5" s="26"/>
      <c r="H5" s="49"/>
      <c r="K5" s="53"/>
      <c r="AB5" s="53"/>
      <c r="AC5" s="53"/>
      <c r="AD5" s="53"/>
      <c r="AE5" s="53"/>
      <c r="AF5" s="53"/>
      <c r="AG5" s="53"/>
    </row>
    <row r="6" spans="1:33" s="24" customFormat="1" ht="15" x14ac:dyDescent="0.25">
      <c r="A6" s="26" t="s">
        <v>627</v>
      </c>
      <c r="F6" s="25"/>
      <c r="G6" s="26"/>
      <c r="H6" s="49"/>
      <c r="K6" s="53"/>
      <c r="AB6" s="53"/>
      <c r="AC6" s="53"/>
      <c r="AD6" s="53"/>
      <c r="AE6" s="53"/>
      <c r="AF6" s="53"/>
      <c r="AG6" s="53"/>
    </row>
    <row r="7" spans="1:33" s="24" customFormat="1" ht="15" x14ac:dyDescent="0.25">
      <c r="A7" s="24" t="s">
        <v>58</v>
      </c>
      <c r="F7" s="25"/>
      <c r="G7" s="26"/>
      <c r="H7" s="49"/>
      <c r="K7" s="53"/>
      <c r="AB7" s="53"/>
      <c r="AC7" s="53"/>
      <c r="AD7" s="53"/>
      <c r="AE7" s="53"/>
      <c r="AF7" s="53"/>
      <c r="AG7" s="53"/>
    </row>
    <row r="8" spans="1:33" s="24" customFormat="1" ht="15" x14ac:dyDescent="0.25">
      <c r="A8" s="24" t="s">
        <v>628</v>
      </c>
      <c r="F8" s="25"/>
      <c r="G8" s="26"/>
      <c r="H8" s="49"/>
      <c r="K8" s="53"/>
      <c r="AB8" s="53"/>
      <c r="AC8" s="53"/>
      <c r="AD8" s="53"/>
      <c r="AE8" s="53"/>
      <c r="AF8" s="53"/>
      <c r="AG8" s="53"/>
    </row>
    <row r="9" spans="1:33" s="24" customFormat="1" ht="15" x14ac:dyDescent="0.25">
      <c r="F9" s="25"/>
      <c r="G9" s="26"/>
      <c r="H9" s="49"/>
      <c r="K9" s="53"/>
      <c r="AB9" s="53"/>
      <c r="AC9" s="53"/>
      <c r="AD9" s="53"/>
      <c r="AE9" s="53"/>
      <c r="AF9" s="53"/>
      <c r="AG9" s="53"/>
    </row>
    <row r="10" spans="1:33" s="24" customFormat="1" ht="15" x14ac:dyDescent="0.25">
      <c r="A10" s="24" t="s">
        <v>629</v>
      </c>
      <c r="F10" s="25"/>
      <c r="G10" s="26"/>
      <c r="H10" s="49"/>
      <c r="K10" s="53"/>
      <c r="AB10" s="53"/>
      <c r="AC10" s="53"/>
      <c r="AD10" s="53"/>
      <c r="AE10" s="53"/>
      <c r="AF10" s="53"/>
      <c r="AG10" s="53"/>
    </row>
    <row r="11" spans="1:33" s="24" customFormat="1" ht="15" x14ac:dyDescent="0.25">
      <c r="A11" s="24" t="s">
        <v>630</v>
      </c>
      <c r="F11" s="25"/>
      <c r="G11" s="26"/>
      <c r="H11" s="49"/>
      <c r="K11" s="53"/>
      <c r="AB11" s="53"/>
      <c r="AC11" s="53"/>
      <c r="AD11" s="53"/>
      <c r="AE11" s="53"/>
      <c r="AF11" s="53"/>
      <c r="AG11" s="53"/>
    </row>
    <row r="12" spans="1:33" s="24" customFormat="1" ht="15" x14ac:dyDescent="0.25">
      <c r="F12" s="25"/>
      <c r="G12" s="26"/>
      <c r="H12" s="49"/>
      <c r="K12" s="53"/>
      <c r="AB12" s="53"/>
      <c r="AC12" s="53"/>
      <c r="AD12" s="53"/>
      <c r="AE12" s="53"/>
      <c r="AF12" s="53"/>
      <c r="AG12" s="53"/>
    </row>
    <row r="13" spans="1:33" s="24" customFormat="1" ht="15.75" thickBot="1" x14ac:dyDescent="0.3">
      <c r="A13" s="26" t="s">
        <v>190</v>
      </c>
      <c r="F13" s="25"/>
      <c r="G13" s="26"/>
      <c r="H13" s="49"/>
      <c r="K13" s="53"/>
      <c r="AB13" s="53"/>
      <c r="AC13" s="53"/>
      <c r="AD13" s="53"/>
      <c r="AE13" s="53"/>
      <c r="AF13" s="53"/>
      <c r="AG13" s="53"/>
    </row>
    <row r="14" spans="1:33" x14ac:dyDescent="0.25">
      <c r="A14" s="43" t="s">
        <v>51</v>
      </c>
      <c r="B14" s="44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9"/>
      <c r="AG14" s="60"/>
    </row>
    <row r="15" spans="1:33" x14ac:dyDescent="0.25">
      <c r="A15" s="45"/>
      <c r="B15" s="35"/>
      <c r="C15" s="35"/>
      <c r="D15" s="35"/>
      <c r="E15" s="35"/>
      <c r="F15" s="35"/>
      <c r="G15" s="35" t="s">
        <v>48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 t="s">
        <v>49</v>
      </c>
      <c r="U15" s="35"/>
      <c r="V15" s="35"/>
      <c r="W15" s="35"/>
      <c r="X15" s="35"/>
      <c r="Y15" s="35"/>
      <c r="Z15" s="35"/>
      <c r="AA15" s="35"/>
      <c r="AB15" s="35"/>
      <c r="AC15" s="35"/>
      <c r="AD15" s="61" t="s">
        <v>50</v>
      </c>
      <c r="AE15" s="61"/>
      <c r="AF15" s="31"/>
      <c r="AG15" s="62"/>
    </row>
    <row r="16" spans="1:33" ht="38.25" x14ac:dyDescent="0.25">
      <c r="A16" s="45"/>
      <c r="B16" s="4" t="s">
        <v>6</v>
      </c>
      <c r="C16" s="4" t="s">
        <v>7</v>
      </c>
      <c r="D16" s="4" t="s">
        <v>0</v>
      </c>
      <c r="E16" s="4" t="s">
        <v>1</v>
      </c>
      <c r="F16" s="4" t="s">
        <v>2</v>
      </c>
      <c r="G16" s="30" t="s">
        <v>8</v>
      </c>
      <c r="H16" s="4" t="s">
        <v>3</v>
      </c>
      <c r="I16" s="4" t="s">
        <v>19</v>
      </c>
      <c r="J16" s="4" t="s">
        <v>9</v>
      </c>
      <c r="K16" s="31" t="s">
        <v>46</v>
      </c>
      <c r="L16" s="4" t="s">
        <v>14</v>
      </c>
      <c r="M16" s="4" t="s">
        <v>13</v>
      </c>
      <c r="N16" s="4" t="s">
        <v>12</v>
      </c>
      <c r="O16" s="4" t="s">
        <v>4</v>
      </c>
      <c r="P16" s="4" t="s">
        <v>631</v>
      </c>
      <c r="Q16" s="4" t="s">
        <v>52</v>
      </c>
      <c r="R16" s="4" t="s">
        <v>53</v>
      </c>
      <c r="S16" s="4" t="s">
        <v>5</v>
      </c>
      <c r="T16" s="4" t="s">
        <v>10</v>
      </c>
      <c r="U16" s="4" t="s">
        <v>9</v>
      </c>
      <c r="V16" s="4" t="s">
        <v>14</v>
      </c>
      <c r="W16" s="4" t="s">
        <v>11</v>
      </c>
      <c r="X16" s="4" t="s">
        <v>13</v>
      </c>
      <c r="Y16" s="4" t="s">
        <v>12</v>
      </c>
      <c r="Z16" s="4" t="s">
        <v>15</v>
      </c>
      <c r="AA16" s="4" t="s">
        <v>16</v>
      </c>
      <c r="AB16" s="31" t="s">
        <v>17</v>
      </c>
      <c r="AC16" s="31" t="s">
        <v>18</v>
      </c>
      <c r="AD16" s="31" t="s">
        <v>21</v>
      </c>
      <c r="AE16" s="31" t="s">
        <v>632</v>
      </c>
      <c r="AF16" s="31" t="s">
        <v>608</v>
      </c>
      <c r="AG16" s="63" t="s">
        <v>192</v>
      </c>
    </row>
    <row r="17" spans="1:33" ht="13.5" thickBot="1" x14ac:dyDescent="0.3">
      <c r="A17" s="46"/>
      <c r="B17" s="47" t="s">
        <v>22</v>
      </c>
      <c r="C17" s="47" t="s">
        <v>23</v>
      </c>
      <c r="D17" s="48" t="s">
        <v>45</v>
      </c>
      <c r="E17" s="47" t="s">
        <v>24</v>
      </c>
      <c r="F17" s="47" t="s">
        <v>25</v>
      </c>
      <c r="G17" s="48" t="s">
        <v>26</v>
      </c>
      <c r="H17" s="47" t="s">
        <v>27</v>
      </c>
      <c r="I17" s="47" t="s">
        <v>28</v>
      </c>
      <c r="J17" s="47" t="s">
        <v>29</v>
      </c>
      <c r="K17" s="54" t="s">
        <v>30</v>
      </c>
      <c r="L17" s="47" t="s">
        <v>31</v>
      </c>
      <c r="M17" s="47" t="s">
        <v>32</v>
      </c>
      <c r="N17" s="47" t="s">
        <v>33</v>
      </c>
      <c r="O17" s="47" t="s">
        <v>34</v>
      </c>
      <c r="P17" s="47" t="s">
        <v>35</v>
      </c>
      <c r="Q17" s="47" t="s">
        <v>36</v>
      </c>
      <c r="R17" s="47" t="s">
        <v>47</v>
      </c>
      <c r="S17" s="47" t="s">
        <v>37</v>
      </c>
      <c r="T17" s="47" t="s">
        <v>54</v>
      </c>
      <c r="U17" s="47" t="s">
        <v>38</v>
      </c>
      <c r="V17" s="47" t="s">
        <v>39</v>
      </c>
      <c r="W17" s="47" t="s">
        <v>40</v>
      </c>
      <c r="X17" s="47" t="s">
        <v>41</v>
      </c>
      <c r="Y17" s="47" t="s">
        <v>42</v>
      </c>
      <c r="Z17" s="47" t="s">
        <v>43</v>
      </c>
      <c r="AA17" s="47" t="s">
        <v>55</v>
      </c>
      <c r="AB17" s="54" t="s">
        <v>44</v>
      </c>
      <c r="AC17" s="54" t="s">
        <v>56</v>
      </c>
      <c r="AD17" s="54" t="s">
        <v>57</v>
      </c>
      <c r="AE17" s="54" t="s">
        <v>193</v>
      </c>
      <c r="AF17" s="54" t="s">
        <v>194</v>
      </c>
      <c r="AG17" s="64" t="s">
        <v>195</v>
      </c>
    </row>
    <row r="18" spans="1:33" x14ac:dyDescent="0.25">
      <c r="A18" s="36" t="s">
        <v>310</v>
      </c>
      <c r="B18" s="37" t="s">
        <v>74</v>
      </c>
      <c r="C18" s="37" t="s">
        <v>65</v>
      </c>
      <c r="D18" s="38" t="s">
        <v>59</v>
      </c>
      <c r="E18" s="38" t="s">
        <v>63</v>
      </c>
      <c r="F18" s="39" t="s">
        <v>68</v>
      </c>
      <c r="G18" s="52" t="s">
        <v>73</v>
      </c>
      <c r="H18" s="50" t="s">
        <v>69</v>
      </c>
      <c r="I18" s="37" t="s">
        <v>67</v>
      </c>
      <c r="J18" s="40">
        <v>42368</v>
      </c>
      <c r="K18" s="41">
        <v>36000</v>
      </c>
      <c r="L18" s="42"/>
      <c r="M18" s="40">
        <v>42368</v>
      </c>
      <c r="N18" s="40">
        <v>42733</v>
      </c>
      <c r="O18" s="38">
        <v>101</v>
      </c>
      <c r="P18" s="37" t="s">
        <v>73</v>
      </c>
      <c r="Q18" s="37" t="s">
        <v>66</v>
      </c>
      <c r="R18" s="37" t="s">
        <v>106</v>
      </c>
      <c r="S18" s="37" t="s">
        <v>81</v>
      </c>
      <c r="T18" s="37">
        <v>8</v>
      </c>
      <c r="U18" s="40">
        <v>44923</v>
      </c>
      <c r="V18" s="42">
        <v>13452</v>
      </c>
      <c r="W18" s="37" t="s">
        <v>62</v>
      </c>
      <c r="X18" s="40">
        <v>44924</v>
      </c>
      <c r="Y18" s="40">
        <v>45288</v>
      </c>
      <c r="Z18" s="37" t="s">
        <v>106</v>
      </c>
      <c r="AA18" s="37" t="s">
        <v>106</v>
      </c>
      <c r="AB18" s="41" t="s">
        <v>106</v>
      </c>
      <c r="AC18" s="41" t="s">
        <v>106</v>
      </c>
      <c r="AD18" s="41" t="s">
        <v>106</v>
      </c>
      <c r="AE18" s="41">
        <v>0</v>
      </c>
      <c r="AF18" s="41">
        <v>0</v>
      </c>
      <c r="AG18" s="41">
        <f>AE18+AF18</f>
        <v>0</v>
      </c>
    </row>
    <row r="19" spans="1:33" x14ac:dyDescent="0.25">
      <c r="A19" s="14" t="s">
        <v>205</v>
      </c>
      <c r="B19" s="6" t="s">
        <v>74</v>
      </c>
      <c r="C19" s="6" t="s">
        <v>65</v>
      </c>
      <c r="D19" s="7" t="s">
        <v>59</v>
      </c>
      <c r="E19" s="7" t="s">
        <v>63</v>
      </c>
      <c r="F19" s="29" t="s">
        <v>70</v>
      </c>
      <c r="G19" s="30" t="s">
        <v>149</v>
      </c>
      <c r="H19" s="27" t="s">
        <v>71</v>
      </c>
      <c r="I19" s="6" t="s">
        <v>72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149</v>
      </c>
      <c r="Q19" s="6" t="s">
        <v>66</v>
      </c>
      <c r="R19" s="6" t="s">
        <v>106</v>
      </c>
      <c r="S19" s="6" t="s">
        <v>82</v>
      </c>
      <c r="T19" s="6">
        <v>6</v>
      </c>
      <c r="U19" s="9">
        <v>44925</v>
      </c>
      <c r="V19" s="11">
        <v>13450</v>
      </c>
      <c r="W19" s="6" t="s">
        <v>62</v>
      </c>
      <c r="X19" s="9">
        <v>44927</v>
      </c>
      <c r="Y19" s="9">
        <v>45291</v>
      </c>
      <c r="Z19" s="6" t="s">
        <v>106</v>
      </c>
      <c r="AA19" s="6" t="s">
        <v>106</v>
      </c>
      <c r="AB19" s="10">
        <v>1070.48</v>
      </c>
      <c r="AC19" s="10" t="s">
        <v>106</v>
      </c>
      <c r="AD19" s="10" t="s">
        <v>106</v>
      </c>
      <c r="AE19" s="10">
        <v>29390.880000000001</v>
      </c>
      <c r="AF19" s="10">
        <f>1224.62+1429.99</f>
        <v>2654.6099999999997</v>
      </c>
      <c r="AG19" s="41">
        <f t="shared" ref="AG19:AG82" si="0">AE19+AF19</f>
        <v>32045.49</v>
      </c>
    </row>
    <row r="20" spans="1:33" x14ac:dyDescent="0.25">
      <c r="A20" s="14" t="s">
        <v>206</v>
      </c>
      <c r="B20" s="6" t="s">
        <v>75</v>
      </c>
      <c r="C20" s="6" t="s">
        <v>76</v>
      </c>
      <c r="D20" s="7" t="s">
        <v>59</v>
      </c>
      <c r="E20" s="7" t="s">
        <v>63</v>
      </c>
      <c r="F20" s="29" t="s">
        <v>77</v>
      </c>
      <c r="G20" s="30" t="s">
        <v>78</v>
      </c>
      <c r="H20" s="27" t="s">
        <v>79</v>
      </c>
      <c r="I20" s="6" t="s">
        <v>80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78</v>
      </c>
      <c r="Q20" s="7" t="s">
        <v>66</v>
      </c>
      <c r="R20" s="6" t="s">
        <v>106</v>
      </c>
      <c r="S20" s="6" t="s">
        <v>81</v>
      </c>
      <c r="T20" s="6">
        <v>7</v>
      </c>
      <c r="U20" s="9">
        <v>44929</v>
      </c>
      <c r="V20" s="11">
        <v>13450</v>
      </c>
      <c r="W20" s="6" t="s">
        <v>62</v>
      </c>
      <c r="X20" s="9">
        <v>44932</v>
      </c>
      <c r="Y20" s="9">
        <v>45112</v>
      </c>
      <c r="Z20" s="13">
        <v>6.5100000000000005E-2</v>
      </c>
      <c r="AA20" s="6" t="s">
        <v>106</v>
      </c>
      <c r="AB20" s="10"/>
      <c r="AC20" s="10" t="s">
        <v>106</v>
      </c>
      <c r="AD20" s="10" t="s">
        <v>106</v>
      </c>
      <c r="AE20" s="10">
        <v>83850.539999999994</v>
      </c>
      <c r="AF20" s="10">
        <f>5488.02</f>
        <v>5488.02</v>
      </c>
      <c r="AG20" s="41">
        <f t="shared" si="0"/>
        <v>89338.559999999998</v>
      </c>
    </row>
    <row r="21" spans="1:33" x14ac:dyDescent="0.25">
      <c r="A21" s="14" t="s">
        <v>311</v>
      </c>
      <c r="B21" s="6" t="s">
        <v>94</v>
      </c>
      <c r="C21" s="6" t="s">
        <v>95</v>
      </c>
      <c r="D21" s="7" t="s">
        <v>59</v>
      </c>
      <c r="E21" s="7" t="s">
        <v>60</v>
      </c>
      <c r="F21" s="29" t="s">
        <v>87</v>
      </c>
      <c r="G21" s="30" t="s">
        <v>88</v>
      </c>
      <c r="H21" s="32" t="s">
        <v>86</v>
      </c>
      <c r="I21" s="14" t="s">
        <v>89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5" t="s">
        <v>105</v>
      </c>
      <c r="Q21" s="6" t="s">
        <v>66</v>
      </c>
      <c r="R21" s="6" t="s">
        <v>106</v>
      </c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106</v>
      </c>
      <c r="AA21" s="6" t="s">
        <v>106</v>
      </c>
      <c r="AB21" s="10" t="s">
        <v>106</v>
      </c>
      <c r="AC21" s="10" t="s">
        <v>106</v>
      </c>
      <c r="AD21" s="10" t="s">
        <v>106</v>
      </c>
      <c r="AE21" s="10">
        <v>156405.63</v>
      </c>
      <c r="AF21" s="10"/>
      <c r="AG21" s="41">
        <f t="shared" si="0"/>
        <v>156405.63</v>
      </c>
    </row>
    <row r="22" spans="1:33" x14ac:dyDescent="0.25">
      <c r="A22" s="14" t="s">
        <v>207</v>
      </c>
      <c r="B22" s="6" t="s">
        <v>94</v>
      </c>
      <c r="C22" s="6" t="s">
        <v>92</v>
      </c>
      <c r="D22" s="7" t="s">
        <v>59</v>
      </c>
      <c r="E22" s="7" t="s">
        <v>63</v>
      </c>
      <c r="F22" s="29" t="s">
        <v>87</v>
      </c>
      <c r="G22" s="30" t="s">
        <v>90</v>
      </c>
      <c r="H22" s="32" t="s">
        <v>93</v>
      </c>
      <c r="I22" s="14" t="s">
        <v>91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90</v>
      </c>
      <c r="Q22" s="6" t="s">
        <v>66</v>
      </c>
      <c r="R22" s="6" t="s">
        <v>106</v>
      </c>
      <c r="S22" s="6" t="s">
        <v>61</v>
      </c>
      <c r="T22" s="6">
        <v>5</v>
      </c>
      <c r="U22" s="9">
        <v>44764</v>
      </c>
      <c r="V22" s="11">
        <v>13343</v>
      </c>
      <c r="W22" s="6" t="s">
        <v>62</v>
      </c>
      <c r="X22" s="9">
        <v>44767</v>
      </c>
      <c r="Y22" s="9">
        <v>45131</v>
      </c>
      <c r="Z22" s="6" t="s">
        <v>106</v>
      </c>
      <c r="AA22" s="6" t="s">
        <v>106</v>
      </c>
      <c r="AB22" s="10" t="s">
        <v>106</v>
      </c>
      <c r="AC22" s="10" t="s">
        <v>106</v>
      </c>
      <c r="AD22" s="10" t="s">
        <v>106</v>
      </c>
      <c r="AE22" s="10">
        <v>285875.51</v>
      </c>
      <c r="AF22" s="10">
        <f>18112.01+17623.03</f>
        <v>35735.039999999994</v>
      </c>
      <c r="AG22" s="41">
        <f t="shared" si="0"/>
        <v>321610.55</v>
      </c>
    </row>
    <row r="23" spans="1:33" x14ac:dyDescent="0.25">
      <c r="A23" s="14" t="s">
        <v>312</v>
      </c>
      <c r="B23" s="6" t="s">
        <v>237</v>
      </c>
      <c r="C23" s="6" t="s">
        <v>236</v>
      </c>
      <c r="D23" s="7" t="s">
        <v>59</v>
      </c>
      <c r="E23" s="7" t="s">
        <v>63</v>
      </c>
      <c r="F23" s="29" t="s">
        <v>87</v>
      </c>
      <c r="G23" s="30" t="s">
        <v>188</v>
      </c>
      <c r="H23" s="32" t="s">
        <v>93</v>
      </c>
      <c r="I23" s="14" t="s">
        <v>91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155</v>
      </c>
      <c r="P23" s="6" t="s">
        <v>106</v>
      </c>
      <c r="Q23" s="6" t="s">
        <v>66</v>
      </c>
      <c r="R23" s="6" t="s">
        <v>106</v>
      </c>
      <c r="S23" s="6" t="s">
        <v>121</v>
      </c>
      <c r="T23" s="6">
        <v>4</v>
      </c>
      <c r="U23" s="9">
        <v>44967</v>
      </c>
      <c r="V23" s="11">
        <v>13473</v>
      </c>
      <c r="W23" s="6" t="s">
        <v>62</v>
      </c>
      <c r="X23" s="9">
        <v>44968</v>
      </c>
      <c r="Y23" s="9">
        <v>45332</v>
      </c>
      <c r="Z23" s="16">
        <v>0.05</v>
      </c>
      <c r="AA23" s="6"/>
      <c r="AB23" s="10"/>
      <c r="AC23" s="10"/>
      <c r="AD23" s="10"/>
      <c r="AE23" s="10">
        <v>1209222.3999999999</v>
      </c>
      <c r="AF23" s="10">
        <f>28980.63+7021.37+63308.75+28980.63+7021.37+55925.17</f>
        <v>191237.91999999998</v>
      </c>
      <c r="AG23" s="41">
        <f t="shared" si="0"/>
        <v>1400460.3199999998</v>
      </c>
    </row>
    <row r="24" spans="1:33" x14ac:dyDescent="0.25">
      <c r="A24" s="14" t="s">
        <v>313</v>
      </c>
      <c r="B24" s="6" t="s">
        <v>237</v>
      </c>
      <c r="C24" s="6" t="s">
        <v>236</v>
      </c>
      <c r="D24" s="7" t="s">
        <v>59</v>
      </c>
      <c r="E24" s="7" t="s">
        <v>63</v>
      </c>
      <c r="F24" s="29" t="s">
        <v>87</v>
      </c>
      <c r="G24" s="30" t="s">
        <v>164</v>
      </c>
      <c r="H24" s="32" t="s">
        <v>93</v>
      </c>
      <c r="I24" s="14" t="s">
        <v>235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155</v>
      </c>
      <c r="P24" s="6" t="s">
        <v>106</v>
      </c>
      <c r="Q24" s="6" t="s">
        <v>66</v>
      </c>
      <c r="R24" s="6" t="s">
        <v>106</v>
      </c>
      <c r="S24" s="6" t="s">
        <v>61</v>
      </c>
      <c r="T24" s="14">
        <v>2</v>
      </c>
      <c r="U24" s="17">
        <v>44546</v>
      </c>
      <c r="V24" s="18">
        <v>13189</v>
      </c>
      <c r="W24" s="14" t="s">
        <v>287</v>
      </c>
      <c r="X24" s="17">
        <v>44546</v>
      </c>
      <c r="Y24" s="17">
        <v>44910</v>
      </c>
      <c r="Z24" s="14">
        <v>25</v>
      </c>
      <c r="AA24" s="6"/>
      <c r="AB24" s="10"/>
      <c r="AC24" s="10"/>
      <c r="AD24" s="10"/>
      <c r="AE24" s="10">
        <v>613546.96</v>
      </c>
      <c r="AF24" s="10">
        <f>27315.51+10143.82+4793.31+3433.19</f>
        <v>45685.83</v>
      </c>
      <c r="AG24" s="41">
        <f t="shared" si="0"/>
        <v>659232.78999999992</v>
      </c>
    </row>
    <row r="25" spans="1:33" x14ac:dyDescent="0.25">
      <c r="A25" s="14" t="s">
        <v>208</v>
      </c>
      <c r="B25" s="6" t="s">
        <v>104</v>
      </c>
      <c r="C25" s="6" t="s">
        <v>103</v>
      </c>
      <c r="D25" s="7" t="s">
        <v>59</v>
      </c>
      <c r="E25" s="7" t="s">
        <v>63</v>
      </c>
      <c r="F25" s="29" t="s">
        <v>85</v>
      </c>
      <c r="G25" s="30" t="s">
        <v>98</v>
      </c>
      <c r="H25" s="32" t="s">
        <v>96</v>
      </c>
      <c r="I25" s="14" t="s">
        <v>99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98</v>
      </c>
      <c r="Q25" s="6" t="s">
        <v>101</v>
      </c>
      <c r="R25" s="6" t="s">
        <v>106</v>
      </c>
      <c r="S25" s="6" t="s">
        <v>61</v>
      </c>
      <c r="T25" s="6">
        <v>3</v>
      </c>
      <c r="U25" s="9">
        <v>44505</v>
      </c>
      <c r="V25" s="11">
        <v>13163</v>
      </c>
      <c r="W25" s="6" t="s">
        <v>191</v>
      </c>
      <c r="X25" s="9">
        <v>44509</v>
      </c>
      <c r="Y25" s="9">
        <v>44873</v>
      </c>
      <c r="Z25" s="6" t="s">
        <v>106</v>
      </c>
      <c r="AA25" s="13"/>
      <c r="AB25" s="10" t="s">
        <v>106</v>
      </c>
      <c r="AC25" s="10" t="s">
        <v>106</v>
      </c>
      <c r="AD25" s="10" t="s">
        <v>106</v>
      </c>
      <c r="AE25" s="10">
        <v>19807.59</v>
      </c>
      <c r="AF25" s="10"/>
      <c r="AG25" s="41">
        <f t="shared" si="0"/>
        <v>19807.59</v>
      </c>
    </row>
    <row r="26" spans="1:33" x14ac:dyDescent="0.25">
      <c r="A26" s="14" t="s">
        <v>209</v>
      </c>
      <c r="B26" s="6" t="s">
        <v>127</v>
      </c>
      <c r="C26" s="6" t="s">
        <v>128</v>
      </c>
      <c r="D26" s="7" t="s">
        <v>59</v>
      </c>
      <c r="E26" s="7" t="s">
        <v>63</v>
      </c>
      <c r="F26" s="29" t="s">
        <v>172</v>
      </c>
      <c r="G26" s="30" t="s">
        <v>187</v>
      </c>
      <c r="H26" s="32" t="s">
        <v>173</v>
      </c>
      <c r="I26" s="14" t="s">
        <v>174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107</v>
      </c>
      <c r="Q26" s="6" t="s">
        <v>101</v>
      </c>
      <c r="R26" s="6" t="s">
        <v>106</v>
      </c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106</v>
      </c>
      <c r="AA26" s="6" t="s">
        <v>106</v>
      </c>
      <c r="AB26" s="10" t="s">
        <v>106</v>
      </c>
      <c r="AC26" s="10" t="s">
        <v>106</v>
      </c>
      <c r="AD26" s="10" t="s">
        <v>106</v>
      </c>
      <c r="AE26" s="10">
        <v>15700.9</v>
      </c>
      <c r="AF26" s="10"/>
      <c r="AG26" s="41">
        <f t="shared" si="0"/>
        <v>15700.9</v>
      </c>
    </row>
    <row r="27" spans="1:33" ht="25.5" x14ac:dyDescent="0.25">
      <c r="A27" s="14" t="s">
        <v>210</v>
      </c>
      <c r="B27" s="6" t="s">
        <v>123</v>
      </c>
      <c r="C27" s="6" t="s">
        <v>124</v>
      </c>
      <c r="D27" s="7" t="s">
        <v>59</v>
      </c>
      <c r="E27" s="7" t="s">
        <v>63</v>
      </c>
      <c r="F27" s="29" t="s">
        <v>110</v>
      </c>
      <c r="G27" s="30" t="s">
        <v>126</v>
      </c>
      <c r="H27" s="27" t="s">
        <v>109</v>
      </c>
      <c r="I27" s="6" t="s">
        <v>125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126</v>
      </c>
      <c r="Q27" s="6" t="s">
        <v>101</v>
      </c>
      <c r="R27" s="6" t="s">
        <v>106</v>
      </c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106</v>
      </c>
      <c r="AA27" s="6" t="s">
        <v>106</v>
      </c>
      <c r="AB27" s="10" t="s">
        <v>106</v>
      </c>
      <c r="AC27" s="10" t="s">
        <v>106</v>
      </c>
      <c r="AD27" s="10" t="s">
        <v>106</v>
      </c>
      <c r="AE27" s="10">
        <v>4480</v>
      </c>
      <c r="AF27" s="10"/>
      <c r="AG27" s="41">
        <f t="shared" si="0"/>
        <v>4480</v>
      </c>
    </row>
    <row r="28" spans="1:33" x14ac:dyDescent="0.25">
      <c r="A28" s="14" t="s">
        <v>211</v>
      </c>
      <c r="B28" s="6" t="s">
        <v>119</v>
      </c>
      <c r="C28" s="6" t="s">
        <v>106</v>
      </c>
      <c r="D28" s="7" t="s">
        <v>59</v>
      </c>
      <c r="E28" s="7" t="s">
        <v>63</v>
      </c>
      <c r="F28" s="29" t="s">
        <v>120</v>
      </c>
      <c r="G28" s="30" t="s">
        <v>111</v>
      </c>
      <c r="H28" s="27" t="s">
        <v>112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111</v>
      </c>
      <c r="Q28" s="6" t="s">
        <v>101</v>
      </c>
      <c r="R28" s="6" t="s">
        <v>106</v>
      </c>
      <c r="S28" s="6" t="s">
        <v>376</v>
      </c>
      <c r="T28" s="14">
        <v>5</v>
      </c>
      <c r="U28" s="17">
        <v>44712</v>
      </c>
      <c r="V28" s="18">
        <v>13303</v>
      </c>
      <c r="W28" s="14" t="s">
        <v>62</v>
      </c>
      <c r="X28" s="17">
        <v>44713</v>
      </c>
      <c r="Y28" s="17">
        <v>45077</v>
      </c>
      <c r="Z28" s="6" t="s">
        <v>106</v>
      </c>
      <c r="AA28" s="6" t="s">
        <v>106</v>
      </c>
      <c r="AB28" s="10" t="s">
        <v>106</v>
      </c>
      <c r="AC28" s="10" t="s">
        <v>106</v>
      </c>
      <c r="AD28" s="10" t="s">
        <v>106</v>
      </c>
      <c r="AE28" s="10">
        <v>728422.36</v>
      </c>
      <c r="AF28" s="10">
        <f>19956.72+3326.12+6652.24+19956.72+3326.12+6652.24</f>
        <v>59870.16</v>
      </c>
      <c r="AG28" s="41">
        <f t="shared" si="0"/>
        <v>788292.52</v>
      </c>
    </row>
    <row r="29" spans="1:33" x14ac:dyDescent="0.25">
      <c r="A29" s="14" t="s">
        <v>314</v>
      </c>
      <c r="B29" s="6" t="s">
        <v>117</v>
      </c>
      <c r="C29" s="6" t="s">
        <v>106</v>
      </c>
      <c r="D29" s="7" t="s">
        <v>59</v>
      </c>
      <c r="E29" s="7" t="s">
        <v>63</v>
      </c>
      <c r="F29" s="29" t="s">
        <v>118</v>
      </c>
      <c r="G29" s="30" t="s">
        <v>114</v>
      </c>
      <c r="H29" s="27" t="s">
        <v>108</v>
      </c>
      <c r="I29" s="6" t="s">
        <v>116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114</v>
      </c>
      <c r="Q29" s="6" t="s">
        <v>101</v>
      </c>
      <c r="R29" s="6" t="s">
        <v>106</v>
      </c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7">
        <v>44293</v>
      </c>
      <c r="Y29" s="17">
        <v>44657</v>
      </c>
      <c r="Z29" s="9" t="s">
        <v>106</v>
      </c>
      <c r="AA29" s="9" t="s">
        <v>106</v>
      </c>
      <c r="AB29" s="10" t="s">
        <v>106</v>
      </c>
      <c r="AC29" s="10" t="s">
        <v>106</v>
      </c>
      <c r="AD29" s="10" t="s">
        <v>106</v>
      </c>
      <c r="AE29" s="10">
        <v>136226.94</v>
      </c>
      <c r="AF29" s="10"/>
      <c r="AG29" s="41">
        <f t="shared" si="0"/>
        <v>136226.94</v>
      </c>
    </row>
    <row r="30" spans="1:33" x14ac:dyDescent="0.25">
      <c r="A30" s="14" t="s">
        <v>315</v>
      </c>
      <c r="B30" s="6" t="s">
        <v>133</v>
      </c>
      <c r="C30" s="6" t="s">
        <v>134</v>
      </c>
      <c r="D30" s="7" t="s">
        <v>59</v>
      </c>
      <c r="E30" s="7" t="s">
        <v>63</v>
      </c>
      <c r="F30" s="29" t="s">
        <v>87</v>
      </c>
      <c r="G30" s="30" t="s">
        <v>131</v>
      </c>
      <c r="H30" s="27" t="s">
        <v>130</v>
      </c>
      <c r="I30" s="6" t="s">
        <v>132</v>
      </c>
      <c r="J30" s="9">
        <v>43662</v>
      </c>
      <c r="K30" s="10">
        <v>1073883.3600000001</v>
      </c>
      <c r="L30" s="11" t="s">
        <v>106</v>
      </c>
      <c r="M30" s="9">
        <v>43663</v>
      </c>
      <c r="N30" s="9">
        <v>44029</v>
      </c>
      <c r="O30" s="7" t="s">
        <v>140</v>
      </c>
      <c r="P30" s="8" t="s">
        <v>131</v>
      </c>
      <c r="Q30" s="6" t="s">
        <v>101</v>
      </c>
      <c r="R30" s="6" t="s">
        <v>106</v>
      </c>
      <c r="S30" s="6" t="s">
        <v>61</v>
      </c>
      <c r="T30" s="6">
        <v>4</v>
      </c>
      <c r="U30" s="9">
        <v>44841</v>
      </c>
      <c r="V30" s="11">
        <v>13388</v>
      </c>
      <c r="W30" s="9" t="s">
        <v>191</v>
      </c>
      <c r="X30" s="9">
        <v>44760</v>
      </c>
      <c r="Y30" s="9">
        <v>45124</v>
      </c>
      <c r="Z30" s="16">
        <v>0.05</v>
      </c>
      <c r="AA30" s="9" t="s">
        <v>106</v>
      </c>
      <c r="AB30" s="10" t="s">
        <v>106</v>
      </c>
      <c r="AC30" s="10" t="s">
        <v>106</v>
      </c>
      <c r="AD30" s="10" t="s">
        <v>106</v>
      </c>
      <c r="AE30" s="10">
        <v>1192872.17</v>
      </c>
      <c r="AF30" s="10">
        <f>80007.63+12869.86+77219.16+12869.86</f>
        <v>182966.51</v>
      </c>
      <c r="AG30" s="41">
        <f t="shared" si="0"/>
        <v>1375838.68</v>
      </c>
    </row>
    <row r="31" spans="1:33" x14ac:dyDescent="0.25">
      <c r="A31" s="14" t="s">
        <v>212</v>
      </c>
      <c r="B31" s="6" t="s">
        <v>106</v>
      </c>
      <c r="C31" s="6" t="s">
        <v>135</v>
      </c>
      <c r="D31" s="7" t="s">
        <v>59</v>
      </c>
      <c r="E31" s="7" t="s">
        <v>63</v>
      </c>
      <c r="F31" s="29" t="s">
        <v>87</v>
      </c>
      <c r="G31" s="30" t="s">
        <v>113</v>
      </c>
      <c r="H31" s="27" t="s">
        <v>129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113</v>
      </c>
      <c r="Q31" s="6" t="s">
        <v>101</v>
      </c>
      <c r="R31" s="6" t="s">
        <v>106</v>
      </c>
      <c r="S31" s="6" t="s">
        <v>61</v>
      </c>
      <c r="T31" s="14">
        <v>5</v>
      </c>
      <c r="U31" s="17">
        <v>44902</v>
      </c>
      <c r="V31" s="18">
        <v>13427</v>
      </c>
      <c r="W31" s="9" t="s">
        <v>191</v>
      </c>
      <c r="X31" s="17">
        <v>44758</v>
      </c>
      <c r="Y31" s="17">
        <v>45122</v>
      </c>
      <c r="Z31" s="6" t="s">
        <v>106</v>
      </c>
      <c r="AA31" s="6" t="s">
        <v>106</v>
      </c>
      <c r="AB31" s="10" t="s">
        <v>106</v>
      </c>
      <c r="AC31" s="10" t="s">
        <v>106</v>
      </c>
      <c r="AD31" s="10" t="s">
        <v>106</v>
      </c>
      <c r="AE31" s="10">
        <v>237987.28</v>
      </c>
      <c r="AF31" s="10">
        <f>6785.36+6785.36+6785.36+6785.36</f>
        <v>27141.439999999999</v>
      </c>
      <c r="AG31" s="41">
        <f t="shared" si="0"/>
        <v>265128.71999999997</v>
      </c>
    </row>
    <row r="32" spans="1:33" x14ac:dyDescent="0.25">
      <c r="A32" s="14" t="s">
        <v>213</v>
      </c>
      <c r="B32" s="6" t="s">
        <v>138</v>
      </c>
      <c r="C32" s="6" t="s">
        <v>139</v>
      </c>
      <c r="D32" s="7" t="s">
        <v>59</v>
      </c>
      <c r="E32" s="7" t="s">
        <v>63</v>
      </c>
      <c r="F32" s="29" t="s">
        <v>87</v>
      </c>
      <c r="G32" s="30" t="s">
        <v>136</v>
      </c>
      <c r="H32" s="27" t="s">
        <v>129</v>
      </c>
      <c r="I32" s="6" t="s">
        <v>137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136</v>
      </c>
      <c r="Q32" s="6" t="s">
        <v>101</v>
      </c>
      <c r="R32" s="6" t="s">
        <v>106</v>
      </c>
      <c r="S32" s="6" t="s">
        <v>61</v>
      </c>
      <c r="T32" s="14">
        <v>5</v>
      </c>
      <c r="U32" s="17">
        <v>44803</v>
      </c>
      <c r="V32" s="18">
        <v>13366</v>
      </c>
      <c r="W32" s="6" t="s">
        <v>62</v>
      </c>
      <c r="X32" s="17">
        <v>44804</v>
      </c>
      <c r="Y32" s="17">
        <v>45168</v>
      </c>
      <c r="Z32" s="6" t="s">
        <v>106</v>
      </c>
      <c r="AA32" s="6" t="s">
        <v>106</v>
      </c>
      <c r="AB32" s="10" t="s">
        <v>106</v>
      </c>
      <c r="AC32" s="10" t="s">
        <v>106</v>
      </c>
      <c r="AD32" s="10" t="s">
        <v>106</v>
      </c>
      <c r="AE32" s="10">
        <v>151316.70000000001</v>
      </c>
      <c r="AF32" s="10">
        <f>6665.34+6665.34</f>
        <v>13330.68</v>
      </c>
      <c r="AG32" s="41">
        <f t="shared" si="0"/>
        <v>164647.38</v>
      </c>
    </row>
    <row r="33" spans="1:33" x14ac:dyDescent="0.25">
      <c r="A33" s="14" t="s">
        <v>214</v>
      </c>
      <c r="B33" s="6" t="s">
        <v>145</v>
      </c>
      <c r="C33" s="6" t="s">
        <v>146</v>
      </c>
      <c r="D33" s="7" t="s">
        <v>59</v>
      </c>
      <c r="E33" s="7" t="s">
        <v>63</v>
      </c>
      <c r="F33" s="29" t="s">
        <v>143</v>
      </c>
      <c r="G33" s="30" t="s">
        <v>142</v>
      </c>
      <c r="H33" s="27" t="s">
        <v>141</v>
      </c>
      <c r="I33" s="6" t="s">
        <v>147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142</v>
      </c>
      <c r="Q33" s="6" t="s">
        <v>101</v>
      </c>
      <c r="R33" s="6" t="s">
        <v>148</v>
      </c>
      <c r="S33" s="6" t="s">
        <v>61</v>
      </c>
      <c r="T33" s="14">
        <v>4</v>
      </c>
      <c r="U33" s="17">
        <v>44770</v>
      </c>
      <c r="V33" s="18">
        <v>13381</v>
      </c>
      <c r="W33" s="17" t="s">
        <v>180</v>
      </c>
      <c r="X33" s="17">
        <v>44843</v>
      </c>
      <c r="Y33" s="17">
        <v>45207</v>
      </c>
      <c r="Z33" s="6" t="s">
        <v>106</v>
      </c>
      <c r="AA33" s="6" t="s">
        <v>106</v>
      </c>
      <c r="AB33" s="10" t="s">
        <v>106</v>
      </c>
      <c r="AC33" s="10" t="s">
        <v>106</v>
      </c>
      <c r="AD33" s="10" t="s">
        <v>106</v>
      </c>
      <c r="AE33" s="10">
        <v>481213.33</v>
      </c>
      <c r="AF33" s="10">
        <f>20789.2+8315.68+4157.84+20789.2+8315.68+4157.84</f>
        <v>66525.440000000002</v>
      </c>
      <c r="AG33" s="41">
        <f t="shared" si="0"/>
        <v>547738.77</v>
      </c>
    </row>
    <row r="34" spans="1:33" ht="25.5" x14ac:dyDescent="0.25">
      <c r="A34" s="14" t="s">
        <v>215</v>
      </c>
      <c r="B34" s="6" t="s">
        <v>153</v>
      </c>
      <c r="C34" s="6" t="s">
        <v>154</v>
      </c>
      <c r="D34" s="7" t="s">
        <v>59</v>
      </c>
      <c r="E34" s="7" t="s">
        <v>60</v>
      </c>
      <c r="F34" s="29" t="s">
        <v>122</v>
      </c>
      <c r="G34" s="33" t="s">
        <v>150</v>
      </c>
      <c r="H34" s="27" t="s">
        <v>151</v>
      </c>
      <c r="I34" s="14" t="s">
        <v>83</v>
      </c>
      <c r="J34" s="17">
        <v>43909</v>
      </c>
      <c r="K34" s="10">
        <v>1445904</v>
      </c>
      <c r="L34" s="18">
        <v>12777</v>
      </c>
      <c r="M34" s="17">
        <v>43909</v>
      </c>
      <c r="N34" s="17">
        <v>44273</v>
      </c>
      <c r="O34" s="19" t="s">
        <v>155</v>
      </c>
      <c r="P34" s="14" t="s">
        <v>150</v>
      </c>
      <c r="Q34" s="14" t="s">
        <v>156</v>
      </c>
      <c r="R34" s="6" t="s">
        <v>106</v>
      </c>
      <c r="S34" s="6" t="s">
        <v>61</v>
      </c>
      <c r="T34" s="14">
        <v>1</v>
      </c>
      <c r="U34" s="17">
        <v>44638</v>
      </c>
      <c r="V34" s="18">
        <v>13251</v>
      </c>
      <c r="W34" s="14" t="s">
        <v>62</v>
      </c>
      <c r="X34" s="17">
        <v>44639</v>
      </c>
      <c r="Y34" s="17">
        <v>45003</v>
      </c>
      <c r="Z34" s="6" t="s">
        <v>106</v>
      </c>
      <c r="AA34" s="6" t="s">
        <v>106</v>
      </c>
      <c r="AB34" s="10" t="s">
        <v>106</v>
      </c>
      <c r="AC34" s="10" t="s">
        <v>106</v>
      </c>
      <c r="AD34" s="10" t="s">
        <v>106</v>
      </c>
      <c r="AE34" s="10">
        <v>612941.15</v>
      </c>
      <c r="AF34" s="10">
        <f>36371.4+36862.8</f>
        <v>73234.200000000012</v>
      </c>
      <c r="AG34" s="41">
        <f t="shared" si="0"/>
        <v>686175.35000000009</v>
      </c>
    </row>
    <row r="35" spans="1:33" x14ac:dyDescent="0.25">
      <c r="A35" s="14" t="s">
        <v>316</v>
      </c>
      <c r="B35" s="6" t="s">
        <v>161</v>
      </c>
      <c r="C35" s="14" t="s">
        <v>162</v>
      </c>
      <c r="D35" s="7" t="s">
        <v>59</v>
      </c>
      <c r="E35" s="7" t="s">
        <v>60</v>
      </c>
      <c r="F35" s="29" t="s">
        <v>160</v>
      </c>
      <c r="G35" s="33" t="s">
        <v>159</v>
      </c>
      <c r="H35" s="27" t="s">
        <v>97</v>
      </c>
      <c r="I35" s="14" t="s">
        <v>163</v>
      </c>
      <c r="J35" s="17">
        <v>44144</v>
      </c>
      <c r="K35" s="10">
        <v>343653.68</v>
      </c>
      <c r="L35" s="18">
        <v>12927</v>
      </c>
      <c r="M35" s="17">
        <v>44144</v>
      </c>
      <c r="N35" s="17">
        <v>44508</v>
      </c>
      <c r="O35" s="19">
        <v>101</v>
      </c>
      <c r="P35" s="14" t="s">
        <v>159</v>
      </c>
      <c r="Q35" s="14" t="s">
        <v>156</v>
      </c>
      <c r="R35" s="6" t="s">
        <v>106</v>
      </c>
      <c r="S35" s="6" t="s">
        <v>102</v>
      </c>
      <c r="T35" s="6">
        <v>1</v>
      </c>
      <c r="U35" s="9">
        <v>44505</v>
      </c>
      <c r="V35" s="11">
        <v>13163</v>
      </c>
      <c r="W35" s="6" t="s">
        <v>180</v>
      </c>
      <c r="X35" s="9">
        <v>44509</v>
      </c>
      <c r="Y35" s="9">
        <v>44873</v>
      </c>
      <c r="Z35" s="6" t="s">
        <v>106</v>
      </c>
      <c r="AA35" s="6" t="s">
        <v>106</v>
      </c>
      <c r="AB35" s="10" t="s">
        <v>106</v>
      </c>
      <c r="AC35" s="10" t="s">
        <v>106</v>
      </c>
      <c r="AD35" s="10" t="s">
        <v>106</v>
      </c>
      <c r="AE35" s="10">
        <f>2546.8+7728.27+4724.93</f>
        <v>15000</v>
      </c>
      <c r="AF35" s="10"/>
      <c r="AG35" s="41">
        <f t="shared" si="0"/>
        <v>15000</v>
      </c>
    </row>
    <row r="36" spans="1:33" x14ac:dyDescent="0.25">
      <c r="A36" s="14" t="s">
        <v>216</v>
      </c>
      <c r="B36" s="6" t="s">
        <v>181</v>
      </c>
      <c r="C36" s="14" t="s">
        <v>183</v>
      </c>
      <c r="D36" s="7" t="s">
        <v>59</v>
      </c>
      <c r="E36" s="7" t="s">
        <v>60</v>
      </c>
      <c r="F36" s="3" t="s">
        <v>87</v>
      </c>
      <c r="G36" s="33" t="s">
        <v>165</v>
      </c>
      <c r="H36" s="27" t="s">
        <v>166</v>
      </c>
      <c r="I36" s="6" t="s">
        <v>175</v>
      </c>
      <c r="J36" s="17">
        <v>44053</v>
      </c>
      <c r="K36" s="10">
        <v>285426</v>
      </c>
      <c r="L36" s="18">
        <v>12863</v>
      </c>
      <c r="M36" s="17">
        <v>44053</v>
      </c>
      <c r="N36" s="17">
        <v>44418</v>
      </c>
      <c r="O36" s="19">
        <v>126</v>
      </c>
      <c r="P36" s="14" t="s">
        <v>165</v>
      </c>
      <c r="Q36" s="14" t="s">
        <v>156</v>
      </c>
      <c r="R36" s="14" t="s">
        <v>106</v>
      </c>
      <c r="S36" s="14" t="s">
        <v>61</v>
      </c>
      <c r="T36" s="14" t="s">
        <v>106</v>
      </c>
      <c r="U36" s="17">
        <v>44414</v>
      </c>
      <c r="V36" s="14" t="s">
        <v>106</v>
      </c>
      <c r="W36" s="6" t="s">
        <v>180</v>
      </c>
      <c r="X36" s="17">
        <v>44418</v>
      </c>
      <c r="Y36" s="9">
        <v>44782</v>
      </c>
      <c r="Z36" s="6" t="s">
        <v>106</v>
      </c>
      <c r="AA36" s="6" t="s">
        <v>106</v>
      </c>
      <c r="AB36" s="10" t="s">
        <v>106</v>
      </c>
      <c r="AC36" s="10" t="s">
        <v>106</v>
      </c>
      <c r="AD36" s="10" t="s">
        <v>106</v>
      </c>
      <c r="AE36" s="10">
        <v>346663.2</v>
      </c>
      <c r="AF36" s="10">
        <f>14399.08+14399.08</f>
        <v>28798.16</v>
      </c>
      <c r="AG36" s="41">
        <f t="shared" si="0"/>
        <v>375461.36</v>
      </c>
    </row>
    <row r="37" spans="1:33" x14ac:dyDescent="0.25">
      <c r="A37" s="14" t="s">
        <v>217</v>
      </c>
      <c r="B37" s="6" t="s">
        <v>181</v>
      </c>
      <c r="C37" s="14" t="s">
        <v>182</v>
      </c>
      <c r="D37" s="7" t="s">
        <v>59</v>
      </c>
      <c r="E37" s="7" t="s">
        <v>60</v>
      </c>
      <c r="F37" s="3" t="s">
        <v>87</v>
      </c>
      <c r="G37" s="33" t="s">
        <v>167</v>
      </c>
      <c r="H37" s="27" t="s">
        <v>168</v>
      </c>
      <c r="I37" s="6" t="s">
        <v>177</v>
      </c>
      <c r="J37" s="17">
        <v>44053</v>
      </c>
      <c r="K37" s="10">
        <v>285426</v>
      </c>
      <c r="L37" s="18">
        <v>12863</v>
      </c>
      <c r="M37" s="17">
        <v>44053</v>
      </c>
      <c r="N37" s="17">
        <v>44053</v>
      </c>
      <c r="O37" s="19" t="s">
        <v>178</v>
      </c>
      <c r="P37" s="14" t="s">
        <v>167</v>
      </c>
      <c r="Q37" s="14" t="s">
        <v>156</v>
      </c>
      <c r="R37" s="14" t="s">
        <v>106</v>
      </c>
      <c r="S37" s="14" t="s">
        <v>179</v>
      </c>
      <c r="T37" s="14">
        <v>4</v>
      </c>
      <c r="U37" s="17">
        <v>44967</v>
      </c>
      <c r="V37" s="18">
        <v>13473</v>
      </c>
      <c r="W37" s="6" t="s">
        <v>191</v>
      </c>
      <c r="X37" s="17">
        <v>44783</v>
      </c>
      <c r="Y37" s="9">
        <v>45147</v>
      </c>
      <c r="Z37" s="6" t="s">
        <v>106</v>
      </c>
      <c r="AA37" s="6" t="s">
        <v>106</v>
      </c>
      <c r="AB37" s="10" t="s">
        <v>106</v>
      </c>
      <c r="AC37" s="10" t="s">
        <v>106</v>
      </c>
      <c r="AD37" s="10" t="s">
        <v>106</v>
      </c>
      <c r="AE37" s="10">
        <v>265604.75</v>
      </c>
      <c r="AF37" s="10">
        <f>14271.3+20281.71</f>
        <v>34553.009999999995</v>
      </c>
      <c r="AG37" s="41">
        <f t="shared" si="0"/>
        <v>300157.76</v>
      </c>
    </row>
    <row r="38" spans="1:33" x14ac:dyDescent="0.25">
      <c r="A38" s="14" t="s">
        <v>218</v>
      </c>
      <c r="B38" s="6" t="s">
        <v>181</v>
      </c>
      <c r="C38" s="14" t="s">
        <v>182</v>
      </c>
      <c r="D38" s="7" t="s">
        <v>59</v>
      </c>
      <c r="E38" s="7" t="s">
        <v>60</v>
      </c>
      <c r="F38" s="3" t="s">
        <v>87</v>
      </c>
      <c r="G38" s="33" t="s">
        <v>301</v>
      </c>
      <c r="H38" s="27" t="s">
        <v>168</v>
      </c>
      <c r="I38" s="6" t="s">
        <v>242</v>
      </c>
      <c r="J38" s="17">
        <v>44237</v>
      </c>
      <c r="K38" s="10">
        <v>285426</v>
      </c>
      <c r="L38" s="18"/>
      <c r="M38" s="17">
        <v>44237</v>
      </c>
      <c r="N38" s="17">
        <v>44602</v>
      </c>
      <c r="O38" s="19" t="s">
        <v>155</v>
      </c>
      <c r="P38" s="14" t="s">
        <v>106</v>
      </c>
      <c r="Q38" s="14" t="s">
        <v>156</v>
      </c>
      <c r="R38" s="14" t="s">
        <v>106</v>
      </c>
      <c r="S38" s="14" t="s">
        <v>121</v>
      </c>
      <c r="T38" s="14">
        <v>3</v>
      </c>
      <c r="U38" s="17">
        <v>44966</v>
      </c>
      <c r="V38" s="18">
        <v>13477</v>
      </c>
      <c r="W38" s="6" t="s">
        <v>180</v>
      </c>
      <c r="X38" s="17">
        <v>44967</v>
      </c>
      <c r="Y38" s="9">
        <v>45331</v>
      </c>
      <c r="Z38" s="16">
        <v>0.05</v>
      </c>
      <c r="AA38" s="6" t="s">
        <v>106</v>
      </c>
      <c r="AB38" s="10" t="s">
        <v>106</v>
      </c>
      <c r="AC38" s="10" t="s">
        <v>106</v>
      </c>
      <c r="AD38" s="10"/>
      <c r="AE38" s="10">
        <v>106736.2</v>
      </c>
      <c r="AF38" s="10">
        <f>6760.57+6760.57</f>
        <v>13521.14</v>
      </c>
      <c r="AG38" s="41">
        <f t="shared" si="0"/>
        <v>120257.34</v>
      </c>
    </row>
    <row r="39" spans="1:33" x14ac:dyDescent="0.25">
      <c r="A39" s="14" t="s">
        <v>219</v>
      </c>
      <c r="B39" s="6" t="s">
        <v>230</v>
      </c>
      <c r="C39" s="14" t="s">
        <v>184</v>
      </c>
      <c r="D39" s="7" t="s">
        <v>59</v>
      </c>
      <c r="E39" s="7" t="s">
        <v>60</v>
      </c>
      <c r="F39" s="3" t="s">
        <v>85</v>
      </c>
      <c r="G39" s="33" t="s">
        <v>231</v>
      </c>
      <c r="H39" s="27" t="s">
        <v>169</v>
      </c>
      <c r="I39" s="14" t="s">
        <v>229</v>
      </c>
      <c r="J39" s="17">
        <v>44138</v>
      </c>
      <c r="K39" s="10">
        <v>149608</v>
      </c>
      <c r="L39" s="18">
        <v>12927</v>
      </c>
      <c r="M39" s="17">
        <v>44138</v>
      </c>
      <c r="N39" s="17">
        <v>44503</v>
      </c>
      <c r="O39" s="19" t="s">
        <v>178</v>
      </c>
      <c r="P39" s="14" t="s">
        <v>106</v>
      </c>
      <c r="Q39" s="14" t="s">
        <v>156</v>
      </c>
      <c r="R39" s="14" t="s">
        <v>106</v>
      </c>
      <c r="S39" s="14" t="s">
        <v>61</v>
      </c>
      <c r="T39" s="14">
        <v>6</v>
      </c>
      <c r="U39" s="17">
        <v>44910</v>
      </c>
      <c r="V39" s="18">
        <v>13440</v>
      </c>
      <c r="W39" s="6" t="s">
        <v>286</v>
      </c>
      <c r="X39" s="9">
        <v>44869</v>
      </c>
      <c r="Y39" s="9">
        <v>45233</v>
      </c>
      <c r="Z39" s="6" t="s">
        <v>106</v>
      </c>
      <c r="AA39" s="6" t="s">
        <v>106</v>
      </c>
      <c r="AB39" s="10" t="s">
        <v>106</v>
      </c>
      <c r="AC39" s="10" t="s">
        <v>106</v>
      </c>
      <c r="AD39" s="10" t="s">
        <v>106</v>
      </c>
      <c r="AE39" s="10">
        <v>15590</v>
      </c>
      <c r="AF39" s="10"/>
      <c r="AG39" s="41">
        <f t="shared" si="0"/>
        <v>15590</v>
      </c>
    </row>
    <row r="40" spans="1:33" x14ac:dyDescent="0.25">
      <c r="A40" s="14" t="s">
        <v>317</v>
      </c>
      <c r="B40" s="6" t="s">
        <v>230</v>
      </c>
      <c r="C40" s="14" t="s">
        <v>184</v>
      </c>
      <c r="D40" s="7" t="s">
        <v>59</v>
      </c>
      <c r="E40" s="7" t="s">
        <v>60</v>
      </c>
      <c r="F40" s="3" t="s">
        <v>85</v>
      </c>
      <c r="G40" s="33" t="s">
        <v>386</v>
      </c>
      <c r="H40" s="27" t="s">
        <v>169</v>
      </c>
      <c r="I40" s="14" t="s">
        <v>229</v>
      </c>
      <c r="J40" s="17">
        <v>43965</v>
      </c>
      <c r="K40" s="10">
        <v>222912</v>
      </c>
      <c r="L40" s="18">
        <v>12798</v>
      </c>
      <c r="M40" s="17">
        <v>43965</v>
      </c>
      <c r="N40" s="17">
        <v>44196</v>
      </c>
      <c r="O40" s="19">
        <v>117</v>
      </c>
      <c r="P40" s="14" t="s">
        <v>106</v>
      </c>
      <c r="Q40" s="14" t="s">
        <v>156</v>
      </c>
      <c r="R40" s="14" t="s">
        <v>106</v>
      </c>
      <c r="S40" s="14" t="s">
        <v>121</v>
      </c>
      <c r="T40" s="14">
        <v>7</v>
      </c>
      <c r="U40" s="17">
        <v>44967</v>
      </c>
      <c r="V40" s="18">
        <v>13473</v>
      </c>
      <c r="W40" s="6" t="s">
        <v>191</v>
      </c>
      <c r="X40" s="17">
        <v>44936</v>
      </c>
      <c r="Y40" s="17">
        <v>45291</v>
      </c>
      <c r="Z40" s="21">
        <v>6.5343999999999999E-2</v>
      </c>
      <c r="AA40" s="14" t="s">
        <v>106</v>
      </c>
      <c r="AB40" s="55" t="s">
        <v>106</v>
      </c>
      <c r="AC40" s="55" t="s">
        <v>106</v>
      </c>
      <c r="AD40" s="55" t="s">
        <v>106</v>
      </c>
      <c r="AE40" s="10">
        <f>2192.033+2630.44+2630.44+2630.44+2630.44+2630.44+2630.44+2630.44+2630.44</f>
        <v>23235.553</v>
      </c>
      <c r="AF40" s="10">
        <f>5260.88+5604.64</f>
        <v>10865.52</v>
      </c>
      <c r="AG40" s="41">
        <f t="shared" si="0"/>
        <v>34101.073000000004</v>
      </c>
    </row>
    <row r="41" spans="1:33" x14ac:dyDescent="0.25">
      <c r="A41" s="14" t="s">
        <v>318</v>
      </c>
      <c r="B41" s="6" t="s">
        <v>185</v>
      </c>
      <c r="C41" s="14" t="s">
        <v>184</v>
      </c>
      <c r="D41" s="7" t="s">
        <v>59</v>
      </c>
      <c r="E41" s="7" t="s">
        <v>60</v>
      </c>
      <c r="F41" s="3" t="s">
        <v>85</v>
      </c>
      <c r="G41" s="33" t="s">
        <v>170</v>
      </c>
      <c r="H41" s="27" t="s">
        <v>171</v>
      </c>
      <c r="I41" s="6" t="s">
        <v>176</v>
      </c>
      <c r="J41" s="17">
        <v>44174</v>
      </c>
      <c r="K41" s="10">
        <v>64788</v>
      </c>
      <c r="L41" s="18">
        <v>12927</v>
      </c>
      <c r="M41" s="17" t="s">
        <v>106</v>
      </c>
      <c r="N41" s="17" t="s">
        <v>106</v>
      </c>
      <c r="O41" s="19">
        <v>117</v>
      </c>
      <c r="P41" s="14" t="s">
        <v>170</v>
      </c>
      <c r="Q41" s="14" t="s">
        <v>156</v>
      </c>
      <c r="R41" s="14" t="s">
        <v>106</v>
      </c>
      <c r="S41" s="14" t="s">
        <v>61</v>
      </c>
      <c r="T41" s="6">
        <v>3</v>
      </c>
      <c r="U41" s="9">
        <v>44874</v>
      </c>
      <c r="V41" s="11">
        <v>13457</v>
      </c>
      <c r="W41" s="6" t="s">
        <v>191</v>
      </c>
      <c r="X41" s="9">
        <v>44875</v>
      </c>
      <c r="Y41" s="9">
        <v>45239</v>
      </c>
      <c r="Z41" s="22">
        <v>7.0113999999999996E-2</v>
      </c>
      <c r="AA41" s="6" t="s">
        <v>106</v>
      </c>
      <c r="AB41" s="10" t="s">
        <v>106</v>
      </c>
      <c r="AC41" s="10" t="s">
        <v>106</v>
      </c>
      <c r="AD41" s="10" t="s">
        <v>106</v>
      </c>
      <c r="AE41" s="10">
        <v>91783</v>
      </c>
      <c r="AF41" s="10">
        <f>5777.54+5777.54</f>
        <v>11555.08</v>
      </c>
      <c r="AG41" s="41">
        <f t="shared" si="0"/>
        <v>103338.08</v>
      </c>
    </row>
    <row r="42" spans="1:33" x14ac:dyDescent="0.25">
      <c r="A42" s="14" t="s">
        <v>220</v>
      </c>
      <c r="B42" s="6" t="s">
        <v>202</v>
      </c>
      <c r="C42" s="6" t="s">
        <v>106</v>
      </c>
      <c r="D42" s="7" t="s">
        <v>59</v>
      </c>
      <c r="E42" s="7" t="s">
        <v>60</v>
      </c>
      <c r="F42" s="3" t="s">
        <v>203</v>
      </c>
      <c r="G42" s="33" t="s">
        <v>150</v>
      </c>
      <c r="H42" s="27" t="s">
        <v>197</v>
      </c>
      <c r="I42" s="6" t="s">
        <v>83</v>
      </c>
      <c r="J42" s="17">
        <v>43909</v>
      </c>
      <c r="K42" s="10">
        <v>1445904</v>
      </c>
      <c r="L42" s="9" t="s">
        <v>106</v>
      </c>
      <c r="M42" s="17">
        <v>44274</v>
      </c>
      <c r="N42" s="17">
        <v>44638</v>
      </c>
      <c r="O42" s="19" t="s">
        <v>155</v>
      </c>
      <c r="P42" s="14" t="s">
        <v>150</v>
      </c>
      <c r="Q42" s="14" t="s">
        <v>156</v>
      </c>
      <c r="R42" s="6"/>
      <c r="S42" s="6" t="s">
        <v>61</v>
      </c>
      <c r="T42" s="9" t="s">
        <v>106</v>
      </c>
      <c r="U42" s="17">
        <v>44638</v>
      </c>
      <c r="V42" s="18">
        <v>13251</v>
      </c>
      <c r="W42" s="14" t="s">
        <v>62</v>
      </c>
      <c r="X42" s="17">
        <v>44639</v>
      </c>
      <c r="Y42" s="17">
        <v>45003</v>
      </c>
      <c r="Z42" s="6" t="s">
        <v>106</v>
      </c>
      <c r="AA42" s="6" t="s">
        <v>106</v>
      </c>
      <c r="AB42" s="10" t="s">
        <v>106</v>
      </c>
      <c r="AC42" s="10" t="s">
        <v>106</v>
      </c>
      <c r="AD42" s="10" t="s">
        <v>106</v>
      </c>
      <c r="AE42" s="10">
        <v>495593</v>
      </c>
      <c r="AF42" s="10"/>
      <c r="AG42" s="41">
        <f t="shared" si="0"/>
        <v>495593</v>
      </c>
    </row>
    <row r="43" spans="1:33" x14ac:dyDescent="0.25">
      <c r="A43" s="14" t="s">
        <v>221</v>
      </c>
      <c r="B43" s="6" t="s">
        <v>202</v>
      </c>
      <c r="C43" s="6" t="s">
        <v>106</v>
      </c>
      <c r="D43" s="7" t="s">
        <v>59</v>
      </c>
      <c r="E43" s="7" t="s">
        <v>60</v>
      </c>
      <c r="F43" s="3" t="s">
        <v>203</v>
      </c>
      <c r="G43" s="33" t="s">
        <v>152</v>
      </c>
      <c r="H43" s="27" t="s">
        <v>201</v>
      </c>
      <c r="I43" s="6" t="s">
        <v>115</v>
      </c>
      <c r="J43" s="17">
        <v>43910</v>
      </c>
      <c r="K43" s="10">
        <v>1445904</v>
      </c>
      <c r="L43" s="9" t="s">
        <v>106</v>
      </c>
      <c r="M43" s="17">
        <v>44276</v>
      </c>
      <c r="N43" s="17">
        <v>44640</v>
      </c>
      <c r="O43" s="19" t="s">
        <v>155</v>
      </c>
      <c r="P43" s="14" t="s">
        <v>152</v>
      </c>
      <c r="Q43" s="14" t="s">
        <v>156</v>
      </c>
      <c r="R43" s="6"/>
      <c r="S43" s="6" t="s">
        <v>61</v>
      </c>
      <c r="T43" s="9" t="s">
        <v>106</v>
      </c>
      <c r="U43" s="9">
        <v>44638</v>
      </c>
      <c r="V43" s="9">
        <v>13251</v>
      </c>
      <c r="W43" s="6" t="s">
        <v>180</v>
      </c>
      <c r="X43" s="9">
        <v>44641</v>
      </c>
      <c r="Y43" s="9">
        <v>45005</v>
      </c>
      <c r="Z43" s="6" t="s">
        <v>106</v>
      </c>
      <c r="AA43" s="6" t="s">
        <v>106</v>
      </c>
      <c r="AB43" s="10" t="s">
        <v>106</v>
      </c>
      <c r="AC43" s="10" t="s">
        <v>106</v>
      </c>
      <c r="AD43" s="10" t="s">
        <v>106</v>
      </c>
      <c r="AE43" s="10">
        <v>526034.56000000006</v>
      </c>
      <c r="AF43" s="10">
        <f>15624.6+17030.72</f>
        <v>32655.32</v>
      </c>
      <c r="AG43" s="41">
        <f t="shared" si="0"/>
        <v>558689.88</v>
      </c>
    </row>
    <row r="44" spans="1:33" x14ac:dyDescent="0.25">
      <c r="A44" s="14" t="s">
        <v>319</v>
      </c>
      <c r="B44" s="6" t="s">
        <v>185</v>
      </c>
      <c r="C44" s="14" t="s">
        <v>184</v>
      </c>
      <c r="D44" s="7" t="s">
        <v>59</v>
      </c>
      <c r="E44" s="7" t="s">
        <v>60</v>
      </c>
      <c r="F44" s="3" t="s">
        <v>87</v>
      </c>
      <c r="G44" s="33" t="s">
        <v>200</v>
      </c>
      <c r="H44" s="27" t="s">
        <v>198</v>
      </c>
      <c r="I44" s="6" t="s">
        <v>199</v>
      </c>
      <c r="J44" s="17">
        <v>44239</v>
      </c>
      <c r="K44" s="10">
        <v>31200</v>
      </c>
      <c r="L44" s="9" t="s">
        <v>106</v>
      </c>
      <c r="M44" s="17">
        <v>44239</v>
      </c>
      <c r="N44" s="17">
        <v>44604</v>
      </c>
      <c r="O44" s="19" t="s">
        <v>155</v>
      </c>
      <c r="P44" s="14" t="s">
        <v>200</v>
      </c>
      <c r="Q44" s="14" t="s">
        <v>156</v>
      </c>
      <c r="R44" s="6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106</v>
      </c>
      <c r="AA44" s="6" t="s">
        <v>106</v>
      </c>
      <c r="AB44" s="10" t="s">
        <v>106</v>
      </c>
      <c r="AC44" s="10" t="s">
        <v>106</v>
      </c>
      <c r="AD44" s="10" t="s">
        <v>106</v>
      </c>
      <c r="AE44" s="10">
        <v>57676.66</v>
      </c>
      <c r="AF44" s="10">
        <f>2600+476.67</f>
        <v>3076.67</v>
      </c>
      <c r="AG44" s="41">
        <f t="shared" si="0"/>
        <v>60753.33</v>
      </c>
    </row>
    <row r="45" spans="1:33" x14ac:dyDescent="0.25">
      <c r="A45" s="14" t="s">
        <v>320</v>
      </c>
      <c r="B45" s="6" t="s">
        <v>189</v>
      </c>
      <c r="C45" s="14" t="s">
        <v>182</v>
      </c>
      <c r="D45" s="7" t="s">
        <v>59</v>
      </c>
      <c r="E45" s="7" t="s">
        <v>60</v>
      </c>
      <c r="F45" s="3" t="s">
        <v>87</v>
      </c>
      <c r="G45" s="33" t="s">
        <v>164</v>
      </c>
      <c r="H45" s="27" t="s">
        <v>93</v>
      </c>
      <c r="I45" s="6" t="s">
        <v>91</v>
      </c>
      <c r="J45" s="17">
        <v>44053</v>
      </c>
      <c r="K45" s="10">
        <v>195597.36</v>
      </c>
      <c r="L45" s="9" t="s">
        <v>106</v>
      </c>
      <c r="M45" s="17">
        <v>44053</v>
      </c>
      <c r="N45" s="17">
        <v>44418</v>
      </c>
      <c r="O45" s="19" t="s">
        <v>178</v>
      </c>
      <c r="P45" s="14" t="s">
        <v>164</v>
      </c>
      <c r="Q45" s="14" t="s">
        <v>156</v>
      </c>
      <c r="R45" s="6"/>
      <c r="S45" s="6" t="s">
        <v>61</v>
      </c>
      <c r="T45" s="6">
        <v>1</v>
      </c>
      <c r="U45" s="9">
        <v>44414</v>
      </c>
      <c r="V45" s="9">
        <v>13111</v>
      </c>
      <c r="W45" s="9" t="s">
        <v>62</v>
      </c>
      <c r="X45" s="9">
        <v>44418</v>
      </c>
      <c r="Y45" s="9">
        <v>44782</v>
      </c>
      <c r="Z45" s="6" t="s">
        <v>106</v>
      </c>
      <c r="AA45" s="6" t="s">
        <v>106</v>
      </c>
      <c r="AB45" s="10" t="s">
        <v>106</v>
      </c>
      <c r="AC45" s="10" t="s">
        <v>106</v>
      </c>
      <c r="AD45" s="10" t="s">
        <v>106</v>
      </c>
      <c r="AE45" s="10">
        <v>163554.35999999999</v>
      </c>
      <c r="AF45" s="10">
        <f>3318.75+8381.49+27554.73+8226.5</f>
        <v>47481.47</v>
      </c>
      <c r="AG45" s="41">
        <f t="shared" si="0"/>
        <v>211035.83</v>
      </c>
    </row>
    <row r="46" spans="1:33" x14ac:dyDescent="0.25">
      <c r="A46" s="14" t="s">
        <v>222</v>
      </c>
      <c r="B46" s="6" t="s">
        <v>234</v>
      </c>
      <c r="C46" s="6" t="s">
        <v>106</v>
      </c>
      <c r="D46" s="7" t="s">
        <v>59</v>
      </c>
      <c r="E46" s="7" t="s">
        <v>60</v>
      </c>
      <c r="F46" s="3" t="s">
        <v>77</v>
      </c>
      <c r="G46" s="33" t="s">
        <v>78</v>
      </c>
      <c r="H46" s="27" t="s">
        <v>232</v>
      </c>
      <c r="I46" s="6" t="s">
        <v>233</v>
      </c>
      <c r="J46" s="9" t="s">
        <v>106</v>
      </c>
      <c r="K46" s="10">
        <v>42000</v>
      </c>
      <c r="L46" s="9" t="s">
        <v>106</v>
      </c>
      <c r="M46" s="17">
        <v>42921</v>
      </c>
      <c r="N46" s="17" t="s">
        <v>238</v>
      </c>
      <c r="O46" s="19" t="s">
        <v>155</v>
      </c>
      <c r="P46" s="14" t="s">
        <v>78</v>
      </c>
      <c r="Q46" s="14" t="s">
        <v>156</v>
      </c>
      <c r="R46" s="9" t="s">
        <v>106</v>
      </c>
      <c r="S46" s="6" t="s">
        <v>61</v>
      </c>
      <c r="T46" s="6">
        <v>6</v>
      </c>
      <c r="U46" s="9">
        <v>44746</v>
      </c>
      <c r="V46" s="11">
        <v>13340</v>
      </c>
      <c r="W46" s="6" t="s">
        <v>62</v>
      </c>
      <c r="X46" s="9">
        <v>44748</v>
      </c>
      <c r="Y46" s="9">
        <v>45112</v>
      </c>
      <c r="Z46" s="9" t="s">
        <v>106</v>
      </c>
      <c r="AA46" s="9" t="s">
        <v>106</v>
      </c>
      <c r="AB46" s="10" t="s">
        <v>106</v>
      </c>
      <c r="AC46" s="10" t="s">
        <v>106</v>
      </c>
      <c r="AD46" s="10" t="s">
        <v>106</v>
      </c>
      <c r="AE46" s="10">
        <v>39946.379999999997</v>
      </c>
      <c r="AF46" s="10"/>
      <c r="AG46" s="41">
        <f t="shared" si="0"/>
        <v>39946.379999999997</v>
      </c>
    </row>
    <row r="47" spans="1:33" x14ac:dyDescent="0.25">
      <c r="A47" s="14" t="s">
        <v>321</v>
      </c>
      <c r="B47" s="6" t="s">
        <v>241</v>
      </c>
      <c r="C47" s="14" t="s">
        <v>240</v>
      </c>
      <c r="D47" s="7" t="s">
        <v>59</v>
      </c>
      <c r="E47" s="7" t="s">
        <v>60</v>
      </c>
      <c r="F47" s="3" t="s">
        <v>87</v>
      </c>
      <c r="G47" s="33" t="s">
        <v>368</v>
      </c>
      <c r="H47" s="27" t="s">
        <v>377</v>
      </c>
      <c r="I47" s="11" t="s">
        <v>248</v>
      </c>
      <c r="J47" s="17">
        <v>44531</v>
      </c>
      <c r="K47" s="10">
        <v>68119.789999999994</v>
      </c>
      <c r="L47" s="9" t="s">
        <v>106</v>
      </c>
      <c r="M47" s="17">
        <v>44531</v>
      </c>
      <c r="N47" s="17">
        <v>44531</v>
      </c>
      <c r="O47" s="19" t="s">
        <v>155</v>
      </c>
      <c r="P47" s="14" t="s">
        <v>239</v>
      </c>
      <c r="Q47" s="14" t="s">
        <v>156</v>
      </c>
      <c r="R47" s="9" t="s">
        <v>106</v>
      </c>
      <c r="S47" s="6" t="s">
        <v>61</v>
      </c>
      <c r="T47" s="6">
        <v>3</v>
      </c>
      <c r="U47" s="9">
        <v>44863</v>
      </c>
      <c r="V47" s="11">
        <v>13421</v>
      </c>
      <c r="W47" s="6" t="s">
        <v>62</v>
      </c>
      <c r="X47" s="9">
        <v>44896</v>
      </c>
      <c r="Y47" s="9">
        <v>45260</v>
      </c>
      <c r="Z47" s="9" t="s">
        <v>106</v>
      </c>
      <c r="AA47" s="9" t="s">
        <v>106</v>
      </c>
      <c r="AB47" s="10" t="s">
        <v>106</v>
      </c>
      <c r="AC47" s="10" t="s">
        <v>106</v>
      </c>
      <c r="AD47" s="10" t="s">
        <v>106</v>
      </c>
      <c r="AE47" s="10">
        <v>19512057</v>
      </c>
      <c r="AF47" s="10">
        <f>16684.41+2961.73+2961.73+17770.38</f>
        <v>40378.25</v>
      </c>
      <c r="AG47" s="41">
        <f t="shared" si="0"/>
        <v>19552435.25</v>
      </c>
    </row>
    <row r="48" spans="1:33" ht="25.5" x14ac:dyDescent="0.25">
      <c r="A48" s="14" t="s">
        <v>322</v>
      </c>
      <c r="B48" s="6" t="s">
        <v>247</v>
      </c>
      <c r="C48" s="14" t="s">
        <v>246</v>
      </c>
      <c r="D48" s="7" t="s">
        <v>59</v>
      </c>
      <c r="E48" s="7" t="s">
        <v>60</v>
      </c>
      <c r="F48" s="3" t="s">
        <v>87</v>
      </c>
      <c r="G48" s="33" t="s">
        <v>243</v>
      </c>
      <c r="H48" s="27" t="s">
        <v>244</v>
      </c>
      <c r="I48" s="11" t="s">
        <v>245</v>
      </c>
      <c r="J48" s="17">
        <v>44319</v>
      </c>
      <c r="K48" s="10">
        <v>2521757.4</v>
      </c>
      <c r="L48" s="9" t="s">
        <v>106</v>
      </c>
      <c r="M48" s="17">
        <v>44319</v>
      </c>
      <c r="N48" s="17">
        <v>44684</v>
      </c>
      <c r="O48" s="19" t="s">
        <v>155</v>
      </c>
      <c r="P48" s="14" t="s">
        <v>243</v>
      </c>
      <c r="Q48" s="14" t="s">
        <v>156</v>
      </c>
      <c r="R48" s="9" t="s">
        <v>106</v>
      </c>
      <c r="S48" s="6" t="s">
        <v>61</v>
      </c>
      <c r="T48" s="6">
        <v>1</v>
      </c>
      <c r="U48" s="9">
        <v>44683</v>
      </c>
      <c r="V48" s="11">
        <v>13286</v>
      </c>
      <c r="W48" s="9" t="s">
        <v>191</v>
      </c>
      <c r="X48" s="9">
        <v>44685</v>
      </c>
      <c r="Y48" s="9">
        <v>45049</v>
      </c>
      <c r="Z48" s="9" t="s">
        <v>106</v>
      </c>
      <c r="AA48" s="16">
        <v>0.05</v>
      </c>
      <c r="AB48" s="10" t="s">
        <v>106</v>
      </c>
      <c r="AC48" s="10" t="s">
        <v>106</v>
      </c>
      <c r="AD48" s="10" t="s">
        <v>106</v>
      </c>
      <c r="AE48" s="10">
        <v>2364985.88</v>
      </c>
      <c r="AF48" s="10">
        <f>159797.34+11915.72+11915.72+155615.61</f>
        <v>339244.39</v>
      </c>
      <c r="AG48" s="41">
        <f t="shared" si="0"/>
        <v>2704230.27</v>
      </c>
    </row>
    <row r="49" spans="1:33" x14ac:dyDescent="0.25">
      <c r="A49" s="14" t="s">
        <v>323</v>
      </c>
      <c r="B49" s="6" t="s">
        <v>204</v>
      </c>
      <c r="C49" s="14" t="s">
        <v>250</v>
      </c>
      <c r="D49" s="7" t="s">
        <v>59</v>
      </c>
      <c r="E49" s="7" t="s">
        <v>60</v>
      </c>
      <c r="F49" s="3" t="s">
        <v>87</v>
      </c>
      <c r="G49" s="33" t="s">
        <v>249</v>
      </c>
      <c r="H49" s="27" t="s">
        <v>251</v>
      </c>
      <c r="I49" s="11" t="s">
        <v>252</v>
      </c>
      <c r="J49" s="17">
        <v>44231</v>
      </c>
      <c r="K49" s="10">
        <v>45800</v>
      </c>
      <c r="L49" s="9" t="s">
        <v>106</v>
      </c>
      <c r="M49" s="17">
        <v>44231</v>
      </c>
      <c r="N49" s="17">
        <v>44596</v>
      </c>
      <c r="O49" s="19" t="s">
        <v>155</v>
      </c>
      <c r="P49" s="14" t="s">
        <v>249</v>
      </c>
      <c r="Q49" s="14" t="s">
        <v>156</v>
      </c>
      <c r="R49" s="9" t="s">
        <v>106</v>
      </c>
      <c r="S49" s="6" t="s">
        <v>121</v>
      </c>
      <c r="T49" s="6" t="s">
        <v>106</v>
      </c>
      <c r="U49" s="9" t="s">
        <v>106</v>
      </c>
      <c r="V49" s="6" t="s">
        <v>106</v>
      </c>
      <c r="W49" s="9" t="s">
        <v>106</v>
      </c>
      <c r="X49" s="9" t="s">
        <v>106</v>
      </c>
      <c r="Y49" s="9" t="s">
        <v>106</v>
      </c>
      <c r="Z49" s="9" t="s">
        <v>106</v>
      </c>
      <c r="AA49" s="9" t="s">
        <v>106</v>
      </c>
      <c r="AB49" s="10" t="s">
        <v>106</v>
      </c>
      <c r="AC49" s="10" t="s">
        <v>106</v>
      </c>
      <c r="AD49" s="10" t="s">
        <v>106</v>
      </c>
      <c r="AE49" s="10">
        <v>6300</v>
      </c>
      <c r="AF49" s="10"/>
      <c r="AG49" s="41">
        <f t="shared" si="0"/>
        <v>6300</v>
      </c>
    </row>
    <row r="50" spans="1:33" x14ac:dyDescent="0.25">
      <c r="A50" s="14" t="s">
        <v>324</v>
      </c>
      <c r="B50" s="6" t="s">
        <v>256</v>
      </c>
      <c r="C50" s="14" t="s">
        <v>257</v>
      </c>
      <c r="D50" s="7" t="s">
        <v>59</v>
      </c>
      <c r="E50" s="7" t="s">
        <v>60</v>
      </c>
      <c r="F50" s="3" t="s">
        <v>87</v>
      </c>
      <c r="G50" s="4" t="s">
        <v>253</v>
      </c>
      <c r="H50" s="27" t="s">
        <v>255</v>
      </c>
      <c r="I50" s="6" t="s">
        <v>254</v>
      </c>
      <c r="J50" s="9">
        <v>44239</v>
      </c>
      <c r="K50" s="10">
        <v>517333.92</v>
      </c>
      <c r="L50" s="11">
        <v>12994</v>
      </c>
      <c r="M50" s="9">
        <v>44239</v>
      </c>
      <c r="N50" s="9">
        <v>44604</v>
      </c>
      <c r="O50" s="6" t="s">
        <v>155</v>
      </c>
      <c r="P50" s="6" t="s">
        <v>253</v>
      </c>
      <c r="Q50" s="14" t="s">
        <v>156</v>
      </c>
      <c r="R50" s="9" t="s">
        <v>106</v>
      </c>
      <c r="S50" s="6" t="s">
        <v>61</v>
      </c>
      <c r="T50" s="6">
        <v>4</v>
      </c>
      <c r="U50" s="9">
        <v>44967</v>
      </c>
      <c r="V50" s="11">
        <v>13477</v>
      </c>
      <c r="W50" s="6" t="s">
        <v>62</v>
      </c>
      <c r="X50" s="9">
        <v>44970</v>
      </c>
      <c r="Y50" s="9">
        <v>45334</v>
      </c>
      <c r="Z50" s="9" t="s">
        <v>106</v>
      </c>
      <c r="AA50" s="9" t="s">
        <v>106</v>
      </c>
      <c r="AB50" s="10" t="s">
        <v>106</v>
      </c>
      <c r="AC50" s="10" t="s">
        <v>106</v>
      </c>
      <c r="AD50" s="10" t="s">
        <v>106</v>
      </c>
      <c r="AE50" s="10">
        <v>547303.55000000005</v>
      </c>
      <c r="AF50" s="10">
        <f>32635.24</f>
        <v>32635.24</v>
      </c>
      <c r="AG50" s="41">
        <f t="shared" si="0"/>
        <v>579938.79</v>
      </c>
    </row>
    <row r="51" spans="1:33" x14ac:dyDescent="0.25">
      <c r="A51" s="14" t="s">
        <v>223</v>
      </c>
      <c r="B51" s="6" t="s">
        <v>260</v>
      </c>
      <c r="C51" s="14" t="s">
        <v>196</v>
      </c>
      <c r="D51" s="7" t="s">
        <v>59</v>
      </c>
      <c r="E51" s="7" t="s">
        <v>60</v>
      </c>
      <c r="F51" s="3" t="s">
        <v>77</v>
      </c>
      <c r="G51" s="4" t="s">
        <v>258</v>
      </c>
      <c r="H51" s="27" t="s">
        <v>259</v>
      </c>
      <c r="I51" s="6" t="s">
        <v>267</v>
      </c>
      <c r="J51" s="9">
        <v>44414</v>
      </c>
      <c r="K51" s="10">
        <v>29670.12</v>
      </c>
      <c r="L51" s="11">
        <v>13110</v>
      </c>
      <c r="M51" s="9">
        <v>44414</v>
      </c>
      <c r="N51" s="9">
        <v>44778</v>
      </c>
      <c r="O51" s="6">
        <v>101</v>
      </c>
      <c r="P51" s="9" t="s">
        <v>106</v>
      </c>
      <c r="Q51" s="14" t="s">
        <v>156</v>
      </c>
      <c r="R51" s="9" t="s">
        <v>106</v>
      </c>
      <c r="S51" s="6" t="s">
        <v>84</v>
      </c>
      <c r="T51" s="6" t="s">
        <v>106</v>
      </c>
      <c r="U51" s="9" t="s">
        <v>106</v>
      </c>
      <c r="V51" s="9" t="s">
        <v>106</v>
      </c>
      <c r="W51" s="9" t="s">
        <v>106</v>
      </c>
      <c r="X51" s="9" t="s">
        <v>106</v>
      </c>
      <c r="Y51" s="9" t="s">
        <v>106</v>
      </c>
      <c r="Z51" s="9" t="s">
        <v>106</v>
      </c>
      <c r="AA51" s="9" t="s">
        <v>106</v>
      </c>
      <c r="AB51" s="10" t="s">
        <v>106</v>
      </c>
      <c r="AC51" s="10" t="s">
        <v>106</v>
      </c>
      <c r="AD51" s="10" t="s">
        <v>106</v>
      </c>
      <c r="AE51" s="10">
        <v>43355.57</v>
      </c>
      <c r="AF51" s="10">
        <f>2737.09+2737.09</f>
        <v>5474.18</v>
      </c>
      <c r="AG51" s="41">
        <f t="shared" si="0"/>
        <v>48829.75</v>
      </c>
    </row>
    <row r="52" spans="1:33" x14ac:dyDescent="0.25">
      <c r="A52" s="14" t="s">
        <v>325</v>
      </c>
      <c r="B52" s="6" t="s">
        <v>262</v>
      </c>
      <c r="C52" s="14" t="s">
        <v>263</v>
      </c>
      <c r="D52" s="7" t="s">
        <v>59</v>
      </c>
      <c r="E52" s="7" t="s">
        <v>60</v>
      </c>
      <c r="F52" s="3" t="s">
        <v>85</v>
      </c>
      <c r="G52" s="4" t="s">
        <v>264</v>
      </c>
      <c r="H52" s="27" t="s">
        <v>265</v>
      </c>
      <c r="I52" s="6" t="s">
        <v>266</v>
      </c>
      <c r="J52" s="9">
        <v>44088</v>
      </c>
      <c r="K52" s="10">
        <v>86352</v>
      </c>
      <c r="L52" s="11">
        <v>12886</v>
      </c>
      <c r="M52" s="9">
        <v>44088</v>
      </c>
      <c r="N52" s="9">
        <v>44452</v>
      </c>
      <c r="O52" s="6" t="s">
        <v>155</v>
      </c>
      <c r="P52" s="9" t="s">
        <v>106</v>
      </c>
      <c r="Q52" s="14" t="s">
        <v>156</v>
      </c>
      <c r="R52" s="9" t="s">
        <v>106</v>
      </c>
      <c r="S52" s="6" t="s">
        <v>61</v>
      </c>
      <c r="T52" s="6">
        <v>2</v>
      </c>
      <c r="U52" s="9">
        <v>44799</v>
      </c>
      <c r="V52" s="11">
        <v>13367</v>
      </c>
      <c r="W52" s="6" t="s">
        <v>62</v>
      </c>
      <c r="X52" s="9">
        <v>44818</v>
      </c>
      <c r="Y52" s="9">
        <v>45182</v>
      </c>
      <c r="Z52" s="9" t="s">
        <v>106</v>
      </c>
      <c r="AA52" s="9" t="s">
        <v>106</v>
      </c>
      <c r="AB52" s="10" t="s">
        <v>106</v>
      </c>
      <c r="AC52" s="10" t="s">
        <v>106</v>
      </c>
      <c r="AD52" s="10" t="s">
        <v>106</v>
      </c>
      <c r="AE52" s="10">
        <v>61166</v>
      </c>
      <c r="AF52" s="10">
        <f>3598+3598</f>
        <v>7196</v>
      </c>
      <c r="AG52" s="41">
        <f t="shared" si="0"/>
        <v>68362</v>
      </c>
    </row>
    <row r="53" spans="1:33" x14ac:dyDescent="0.25">
      <c r="A53" s="14" t="s">
        <v>224</v>
      </c>
      <c r="B53" s="6" t="s">
        <v>185</v>
      </c>
      <c r="C53" s="14" t="s">
        <v>184</v>
      </c>
      <c r="D53" s="7" t="s">
        <v>59</v>
      </c>
      <c r="E53" s="7" t="s">
        <v>60</v>
      </c>
      <c r="F53" s="3" t="s">
        <v>85</v>
      </c>
      <c r="G53" s="4" t="s">
        <v>268</v>
      </c>
      <c r="H53" s="27" t="s">
        <v>269</v>
      </c>
      <c r="I53" s="6" t="s">
        <v>100</v>
      </c>
      <c r="J53" s="9">
        <v>44239</v>
      </c>
      <c r="K53" s="10">
        <v>90960</v>
      </c>
      <c r="L53" s="11">
        <v>12989</v>
      </c>
      <c r="M53" s="9">
        <v>44239</v>
      </c>
      <c r="N53" s="9">
        <v>44561</v>
      </c>
      <c r="O53" s="6" t="s">
        <v>155</v>
      </c>
      <c r="P53" s="9" t="s">
        <v>106</v>
      </c>
      <c r="Q53" s="14" t="s">
        <v>156</v>
      </c>
      <c r="R53" s="9" t="s">
        <v>106</v>
      </c>
      <c r="S53" s="6" t="s">
        <v>61</v>
      </c>
      <c r="T53" s="6">
        <v>4</v>
      </c>
      <c r="U53" s="9">
        <v>44967</v>
      </c>
      <c r="V53" s="11">
        <v>13473</v>
      </c>
      <c r="W53" s="6" t="s">
        <v>191</v>
      </c>
      <c r="X53" s="9">
        <v>44969</v>
      </c>
      <c r="Y53" s="9">
        <v>45333</v>
      </c>
      <c r="Z53" s="13">
        <v>0.14627899999999999</v>
      </c>
      <c r="AA53" s="9" t="s">
        <v>106</v>
      </c>
      <c r="AB53" s="10" t="s">
        <v>106</v>
      </c>
      <c r="AC53" s="10" t="s">
        <v>106</v>
      </c>
      <c r="AD53" s="10" t="s">
        <v>106</v>
      </c>
      <c r="AE53" s="10">
        <v>93821.8</v>
      </c>
      <c r="AF53" s="10">
        <f>8688.8+8688.8</f>
        <v>17377.599999999999</v>
      </c>
      <c r="AG53" s="41">
        <f t="shared" si="0"/>
        <v>111199.4</v>
      </c>
    </row>
    <row r="54" spans="1:33" x14ac:dyDescent="0.25">
      <c r="A54" s="14" t="s">
        <v>225</v>
      </c>
      <c r="B54" s="6" t="s">
        <v>270</v>
      </c>
      <c r="C54" s="14" t="s">
        <v>246</v>
      </c>
      <c r="D54" s="7" t="s">
        <v>59</v>
      </c>
      <c r="E54" s="7" t="s">
        <v>60</v>
      </c>
      <c r="F54" s="3" t="s">
        <v>271</v>
      </c>
      <c r="G54" s="4" t="s">
        <v>272</v>
      </c>
      <c r="H54" s="27" t="s">
        <v>273</v>
      </c>
      <c r="I54" s="6" t="s">
        <v>274</v>
      </c>
      <c r="J54" s="9">
        <v>44468</v>
      </c>
      <c r="K54" s="10">
        <v>2053695.6</v>
      </c>
      <c r="L54" s="6">
        <v>13140</v>
      </c>
      <c r="M54" s="9">
        <v>44468</v>
      </c>
      <c r="N54" s="9">
        <v>44832</v>
      </c>
      <c r="O54" s="6" t="s">
        <v>155</v>
      </c>
      <c r="P54" s="6" t="s">
        <v>106</v>
      </c>
      <c r="Q54" s="6" t="s">
        <v>156</v>
      </c>
      <c r="R54" s="6" t="s">
        <v>106</v>
      </c>
      <c r="S54" s="6" t="s">
        <v>61</v>
      </c>
      <c r="T54" s="6">
        <v>2</v>
      </c>
      <c r="U54" s="9">
        <v>44956</v>
      </c>
      <c r="V54" s="11">
        <v>13477</v>
      </c>
      <c r="W54" s="6" t="s">
        <v>191</v>
      </c>
      <c r="X54" s="9">
        <v>44834</v>
      </c>
      <c r="Y54" s="9">
        <v>45198</v>
      </c>
      <c r="Z54" s="9" t="s">
        <v>106</v>
      </c>
      <c r="AA54" s="9" t="s">
        <v>106</v>
      </c>
      <c r="AB54" s="10" t="s">
        <v>106</v>
      </c>
      <c r="AC54" s="10" t="s">
        <v>106</v>
      </c>
      <c r="AD54" s="10" t="s">
        <v>106</v>
      </c>
      <c r="AE54" s="10">
        <v>791214.63</v>
      </c>
      <c r="AF54" s="10">
        <f>68456.52+144404.55+76533.84</f>
        <v>289394.91000000003</v>
      </c>
      <c r="AG54" s="41">
        <f t="shared" si="0"/>
        <v>1080609.54</v>
      </c>
    </row>
    <row r="55" spans="1:33" x14ac:dyDescent="0.25">
      <c r="A55" s="14" t="s">
        <v>326</v>
      </c>
      <c r="B55" s="6" t="s">
        <v>285</v>
      </c>
      <c r="C55" s="14" t="s">
        <v>144</v>
      </c>
      <c r="D55" s="7" t="s">
        <v>59</v>
      </c>
      <c r="E55" s="7" t="s">
        <v>60</v>
      </c>
      <c r="F55" s="3" t="s">
        <v>279</v>
      </c>
      <c r="G55" s="4" t="s">
        <v>278</v>
      </c>
      <c r="H55" s="27" t="s">
        <v>275</v>
      </c>
      <c r="I55" s="6" t="s">
        <v>283</v>
      </c>
      <c r="J55" s="9">
        <v>44287</v>
      </c>
      <c r="K55" s="10">
        <v>15984</v>
      </c>
      <c r="L55" s="11">
        <v>11541</v>
      </c>
      <c r="M55" s="9">
        <v>44287</v>
      </c>
      <c r="N55" s="9">
        <v>44651</v>
      </c>
      <c r="O55" s="6">
        <v>117</v>
      </c>
      <c r="P55" s="6" t="s">
        <v>278</v>
      </c>
      <c r="Q55" s="6" t="s">
        <v>156</v>
      </c>
      <c r="R55" s="6" t="s">
        <v>106</v>
      </c>
      <c r="S55" s="6" t="s">
        <v>84</v>
      </c>
      <c r="T55" s="9" t="s">
        <v>106</v>
      </c>
      <c r="U55" s="9">
        <v>44286</v>
      </c>
      <c r="V55" s="11">
        <v>13014</v>
      </c>
      <c r="W55" s="9" t="s">
        <v>286</v>
      </c>
      <c r="X55" s="9">
        <v>44286</v>
      </c>
      <c r="Y55" s="9">
        <v>44652</v>
      </c>
      <c r="Z55" s="9" t="s">
        <v>106</v>
      </c>
      <c r="AA55" s="9" t="s">
        <v>106</v>
      </c>
      <c r="AB55" s="10" t="s">
        <v>106</v>
      </c>
      <c r="AC55" s="10" t="s">
        <v>106</v>
      </c>
      <c r="AD55" s="10" t="s">
        <v>106</v>
      </c>
      <c r="AE55" s="10">
        <v>6346.6</v>
      </c>
      <c r="AF55" s="10"/>
      <c r="AG55" s="41">
        <f t="shared" si="0"/>
        <v>6346.6</v>
      </c>
    </row>
    <row r="56" spans="1:33" x14ac:dyDescent="0.25">
      <c r="A56" s="14" t="s">
        <v>327</v>
      </c>
      <c r="B56" s="6" t="s">
        <v>288</v>
      </c>
      <c r="C56" s="14" t="s">
        <v>144</v>
      </c>
      <c r="D56" s="7" t="s">
        <v>59</v>
      </c>
      <c r="E56" s="7" t="s">
        <v>60</v>
      </c>
      <c r="F56" s="3" t="s">
        <v>280</v>
      </c>
      <c r="G56" s="4" t="s">
        <v>282</v>
      </c>
      <c r="H56" s="27" t="s">
        <v>276</v>
      </c>
      <c r="I56" s="6" t="s">
        <v>284</v>
      </c>
      <c r="J56" s="9">
        <v>44509</v>
      </c>
      <c r="K56" s="10">
        <v>25200</v>
      </c>
      <c r="L56" s="11">
        <v>13166</v>
      </c>
      <c r="M56" s="9">
        <v>44509</v>
      </c>
      <c r="N56" s="9">
        <v>44874</v>
      </c>
      <c r="O56" s="6">
        <v>101</v>
      </c>
      <c r="P56" s="6" t="s">
        <v>282</v>
      </c>
      <c r="Q56" s="6" t="s">
        <v>156</v>
      </c>
      <c r="R56" s="6" t="s">
        <v>106</v>
      </c>
      <c r="S56" s="6" t="s">
        <v>84</v>
      </c>
      <c r="T56" s="6">
        <v>2</v>
      </c>
      <c r="U56" s="9">
        <v>44902</v>
      </c>
      <c r="V56" s="11">
        <v>13427</v>
      </c>
      <c r="W56" s="9" t="s">
        <v>286</v>
      </c>
      <c r="X56" s="9">
        <v>44875</v>
      </c>
      <c r="Y56" s="9">
        <v>45239</v>
      </c>
      <c r="Z56" s="9" t="s">
        <v>106</v>
      </c>
      <c r="AA56" s="9" t="s">
        <v>106</v>
      </c>
      <c r="AB56" s="10" t="s">
        <v>106</v>
      </c>
      <c r="AC56" s="10" t="s">
        <v>106</v>
      </c>
      <c r="AD56" s="10" t="s">
        <v>106</v>
      </c>
      <c r="AE56" s="10">
        <v>37840</v>
      </c>
      <c r="AF56" s="10">
        <f>2273.22+2273.22</f>
        <v>4546.4399999999996</v>
      </c>
      <c r="AG56" s="41">
        <f t="shared" si="0"/>
        <v>42386.44</v>
      </c>
    </row>
    <row r="57" spans="1:33" x14ac:dyDescent="0.25">
      <c r="A57" s="14" t="s">
        <v>226</v>
      </c>
      <c r="B57" s="6" t="s">
        <v>291</v>
      </c>
      <c r="C57" s="14" t="s">
        <v>290</v>
      </c>
      <c r="D57" s="7" t="s">
        <v>59</v>
      </c>
      <c r="E57" s="7" t="s">
        <v>60</v>
      </c>
      <c r="F57" s="3" t="s">
        <v>281</v>
      </c>
      <c r="G57" s="4" t="s">
        <v>289</v>
      </c>
      <c r="H57" s="27" t="s">
        <v>277</v>
      </c>
      <c r="I57" s="6" t="s">
        <v>292</v>
      </c>
      <c r="J57" s="9">
        <v>44405</v>
      </c>
      <c r="K57" s="10">
        <v>85000</v>
      </c>
      <c r="L57" s="11">
        <v>13076</v>
      </c>
      <c r="M57" s="9">
        <v>44405</v>
      </c>
      <c r="N57" s="9">
        <v>44561</v>
      </c>
      <c r="O57" s="6" t="s">
        <v>178</v>
      </c>
      <c r="P57" s="6" t="s">
        <v>289</v>
      </c>
      <c r="Q57" s="6" t="s">
        <v>156</v>
      </c>
      <c r="R57" s="6" t="s">
        <v>106</v>
      </c>
      <c r="S57" s="6" t="s">
        <v>121</v>
      </c>
      <c r="T57" s="9" t="s">
        <v>106</v>
      </c>
      <c r="U57" s="9" t="s">
        <v>106</v>
      </c>
      <c r="V57" s="9" t="s">
        <v>106</v>
      </c>
      <c r="W57" s="9" t="s">
        <v>106</v>
      </c>
      <c r="X57" s="9" t="s">
        <v>106</v>
      </c>
      <c r="Y57" s="9" t="s">
        <v>106</v>
      </c>
      <c r="Z57" s="9" t="s">
        <v>106</v>
      </c>
      <c r="AA57" s="9" t="s">
        <v>106</v>
      </c>
      <c r="AB57" s="10" t="s">
        <v>106</v>
      </c>
      <c r="AC57" s="10" t="s">
        <v>106</v>
      </c>
      <c r="AD57" s="10" t="s">
        <v>106</v>
      </c>
      <c r="AE57" s="10">
        <v>22287.15</v>
      </c>
      <c r="AF57" s="10"/>
      <c r="AG57" s="41">
        <f t="shared" si="0"/>
        <v>22287.15</v>
      </c>
    </row>
    <row r="58" spans="1:33" ht="25.5" x14ac:dyDescent="0.25">
      <c r="A58" s="14" t="s">
        <v>227</v>
      </c>
      <c r="B58" s="6" t="s">
        <v>296</v>
      </c>
      <c r="C58" s="14" t="s">
        <v>295</v>
      </c>
      <c r="D58" s="7" t="s">
        <v>59</v>
      </c>
      <c r="E58" s="7" t="s">
        <v>60</v>
      </c>
      <c r="F58" s="3" t="s">
        <v>293</v>
      </c>
      <c r="G58" s="4" t="s">
        <v>294</v>
      </c>
      <c r="H58" s="27" t="s">
        <v>297</v>
      </c>
      <c r="I58" s="9" t="s">
        <v>298</v>
      </c>
      <c r="J58" s="9">
        <v>44508</v>
      </c>
      <c r="K58" s="10">
        <v>107562.5</v>
      </c>
      <c r="L58" s="9">
        <v>13162</v>
      </c>
      <c r="M58" s="9">
        <v>44508</v>
      </c>
      <c r="N58" s="9">
        <v>44873</v>
      </c>
      <c r="O58" s="9" t="s">
        <v>299</v>
      </c>
      <c r="P58" s="9" t="s">
        <v>106</v>
      </c>
      <c r="Q58" s="9" t="s">
        <v>156</v>
      </c>
      <c r="R58" s="9" t="s">
        <v>106</v>
      </c>
      <c r="S58" s="9" t="s">
        <v>300</v>
      </c>
      <c r="T58" s="6">
        <v>1</v>
      </c>
      <c r="U58" s="9">
        <v>44842</v>
      </c>
      <c r="V58" s="11">
        <v>13413</v>
      </c>
      <c r="W58" s="6" t="s">
        <v>62</v>
      </c>
      <c r="X58" s="9">
        <v>44843</v>
      </c>
      <c r="Y58" s="9">
        <v>45207</v>
      </c>
      <c r="Z58" s="6" t="s">
        <v>106</v>
      </c>
      <c r="AA58" s="6" t="s">
        <v>106</v>
      </c>
      <c r="AB58" s="10" t="s">
        <v>106</v>
      </c>
      <c r="AC58" s="10" t="s">
        <v>106</v>
      </c>
      <c r="AD58" s="10" t="s">
        <v>106</v>
      </c>
      <c r="AE58" s="10">
        <v>51452.9</v>
      </c>
      <c r="AF58" s="10"/>
      <c r="AG58" s="41">
        <f t="shared" si="0"/>
        <v>51452.9</v>
      </c>
    </row>
    <row r="59" spans="1:33" ht="38.25" x14ac:dyDescent="0.25">
      <c r="A59" s="14" t="s">
        <v>328</v>
      </c>
      <c r="B59" s="7" t="s">
        <v>306</v>
      </c>
      <c r="C59" s="7" t="s">
        <v>305</v>
      </c>
      <c r="D59" s="7" t="s">
        <v>59</v>
      </c>
      <c r="E59" s="7" t="s">
        <v>60</v>
      </c>
      <c r="F59" s="29" t="s">
        <v>302</v>
      </c>
      <c r="G59" s="4" t="s">
        <v>303</v>
      </c>
      <c r="H59" s="27" t="s">
        <v>304</v>
      </c>
      <c r="I59" s="6" t="s">
        <v>307</v>
      </c>
      <c r="J59" s="9">
        <v>44369</v>
      </c>
      <c r="K59" s="10">
        <v>180000</v>
      </c>
      <c r="L59" s="11">
        <v>13099</v>
      </c>
      <c r="M59" s="9">
        <v>44369</v>
      </c>
      <c r="N59" s="9">
        <v>44561</v>
      </c>
      <c r="O59" s="6" t="s">
        <v>308</v>
      </c>
      <c r="P59" s="6" t="s">
        <v>106</v>
      </c>
      <c r="Q59" s="6" t="s">
        <v>156</v>
      </c>
      <c r="R59" s="6" t="s">
        <v>106</v>
      </c>
      <c r="S59" s="6" t="s">
        <v>309</v>
      </c>
      <c r="T59" s="6" t="s">
        <v>106</v>
      </c>
      <c r="U59" s="6" t="s">
        <v>106</v>
      </c>
      <c r="V59" s="6" t="s">
        <v>106</v>
      </c>
      <c r="W59" s="6" t="s">
        <v>106</v>
      </c>
      <c r="X59" s="6" t="s">
        <v>106</v>
      </c>
      <c r="Y59" s="6" t="s">
        <v>106</v>
      </c>
      <c r="Z59" s="6" t="s">
        <v>106</v>
      </c>
      <c r="AA59" s="6" t="s">
        <v>106</v>
      </c>
      <c r="AB59" s="10" t="s">
        <v>106</v>
      </c>
      <c r="AC59" s="10" t="s">
        <v>106</v>
      </c>
      <c r="AD59" s="10" t="s">
        <v>106</v>
      </c>
      <c r="AE59" s="10">
        <f>179599.2+400.8</f>
        <v>180000</v>
      </c>
      <c r="AF59" s="10"/>
      <c r="AG59" s="41">
        <f t="shared" si="0"/>
        <v>180000</v>
      </c>
    </row>
    <row r="60" spans="1:33" ht="38.25" x14ac:dyDescent="0.25">
      <c r="A60" s="14" t="s">
        <v>329</v>
      </c>
      <c r="B60" s="7" t="s">
        <v>334</v>
      </c>
      <c r="C60" s="7" t="s">
        <v>333</v>
      </c>
      <c r="D60" s="7" t="s">
        <v>59</v>
      </c>
      <c r="E60" s="7" t="s">
        <v>60</v>
      </c>
      <c r="F60" s="29" t="s">
        <v>302</v>
      </c>
      <c r="G60" s="4" t="s">
        <v>330</v>
      </c>
      <c r="H60" s="27" t="s">
        <v>331</v>
      </c>
      <c r="I60" s="6" t="s">
        <v>332</v>
      </c>
      <c r="J60" s="9">
        <v>44603</v>
      </c>
      <c r="K60" s="10">
        <v>78099.899999999994</v>
      </c>
      <c r="L60" s="11" t="s">
        <v>374</v>
      </c>
      <c r="M60" s="9">
        <v>44603</v>
      </c>
      <c r="N60" s="9">
        <v>44926</v>
      </c>
      <c r="O60" s="6" t="s">
        <v>140</v>
      </c>
      <c r="P60" s="6" t="s">
        <v>106</v>
      </c>
      <c r="Q60" s="6" t="s">
        <v>156</v>
      </c>
      <c r="R60" s="6" t="s">
        <v>106</v>
      </c>
      <c r="S60" s="6" t="s">
        <v>309</v>
      </c>
      <c r="T60" s="6" t="s">
        <v>106</v>
      </c>
      <c r="U60" s="6" t="s">
        <v>106</v>
      </c>
      <c r="V60" s="6" t="s">
        <v>106</v>
      </c>
      <c r="W60" s="6" t="s">
        <v>106</v>
      </c>
      <c r="X60" s="6" t="s">
        <v>106</v>
      </c>
      <c r="Y60" s="6" t="s">
        <v>106</v>
      </c>
      <c r="Z60" s="6" t="s">
        <v>106</v>
      </c>
      <c r="AA60" s="6" t="s">
        <v>106</v>
      </c>
      <c r="AB60" s="10" t="s">
        <v>106</v>
      </c>
      <c r="AC60" s="10" t="s">
        <v>106</v>
      </c>
      <c r="AD60" s="10" t="s">
        <v>106</v>
      </c>
      <c r="AE60" s="10">
        <f>13925+8355+4233.32+2116.66+2116.66</f>
        <v>30746.639999999999</v>
      </c>
      <c r="AF60" s="10"/>
      <c r="AG60" s="41">
        <f t="shared" si="0"/>
        <v>30746.639999999999</v>
      </c>
    </row>
    <row r="61" spans="1:33" ht="38.25" x14ac:dyDescent="0.25">
      <c r="A61" s="14" t="s">
        <v>335</v>
      </c>
      <c r="B61" s="7" t="s">
        <v>339</v>
      </c>
      <c r="C61" s="7" t="s">
        <v>340</v>
      </c>
      <c r="D61" s="7" t="s">
        <v>59</v>
      </c>
      <c r="E61" s="7" t="s">
        <v>60</v>
      </c>
      <c r="F61" s="29" t="s">
        <v>302</v>
      </c>
      <c r="G61" s="4" t="s">
        <v>336</v>
      </c>
      <c r="H61" s="27" t="s">
        <v>337</v>
      </c>
      <c r="I61" s="6" t="s">
        <v>338</v>
      </c>
      <c r="J61" s="9">
        <v>44606</v>
      </c>
      <c r="K61" s="10">
        <v>72957.25</v>
      </c>
      <c r="L61" s="11">
        <v>13229</v>
      </c>
      <c r="M61" s="9">
        <v>44606</v>
      </c>
      <c r="N61" s="9">
        <v>44926</v>
      </c>
      <c r="O61" s="6" t="s">
        <v>299</v>
      </c>
      <c r="P61" s="6" t="s">
        <v>106</v>
      </c>
      <c r="Q61" s="6" t="s">
        <v>156</v>
      </c>
      <c r="R61" s="6" t="s">
        <v>106</v>
      </c>
      <c r="S61" s="6" t="s">
        <v>121</v>
      </c>
      <c r="T61" s="6" t="s">
        <v>106</v>
      </c>
      <c r="U61" s="6" t="s">
        <v>106</v>
      </c>
      <c r="V61" s="6" t="s">
        <v>106</v>
      </c>
      <c r="W61" s="6" t="s">
        <v>106</v>
      </c>
      <c r="X61" s="6" t="s">
        <v>106</v>
      </c>
      <c r="Y61" s="6" t="s">
        <v>106</v>
      </c>
      <c r="Z61" s="6" t="s">
        <v>106</v>
      </c>
      <c r="AA61" s="6" t="s">
        <v>106</v>
      </c>
      <c r="AB61" s="10" t="s">
        <v>106</v>
      </c>
      <c r="AC61" s="10" t="s">
        <v>106</v>
      </c>
      <c r="AD61" s="10" t="s">
        <v>106</v>
      </c>
      <c r="AE61" s="10">
        <f>3891.04+2499+532.4+485+2730.26+3721.5+293.4+562.35+2209.4+120+446.1+505.5+2150+1360+750+141.5+145+1231.65+877.6</f>
        <v>24651.7</v>
      </c>
      <c r="AF61" s="10"/>
      <c r="AG61" s="41">
        <f t="shared" si="0"/>
        <v>24651.7</v>
      </c>
    </row>
    <row r="62" spans="1:33" ht="38.25" x14ac:dyDescent="0.25">
      <c r="A62" s="14" t="s">
        <v>341</v>
      </c>
      <c r="B62" s="7" t="s">
        <v>343</v>
      </c>
      <c r="C62" s="7" t="s">
        <v>344</v>
      </c>
      <c r="D62" s="7" t="s">
        <v>59</v>
      </c>
      <c r="E62" s="7" t="s">
        <v>60</v>
      </c>
      <c r="F62" s="29" t="s">
        <v>302</v>
      </c>
      <c r="G62" s="4" t="s">
        <v>342</v>
      </c>
      <c r="H62" s="27" t="s">
        <v>277</v>
      </c>
      <c r="I62" s="6" t="s">
        <v>292</v>
      </c>
      <c r="J62" s="9">
        <v>44609</v>
      </c>
      <c r="K62" s="10">
        <v>136600</v>
      </c>
      <c r="L62" s="11">
        <v>13232</v>
      </c>
      <c r="M62" s="9">
        <v>44609</v>
      </c>
      <c r="N62" s="9">
        <v>44926</v>
      </c>
      <c r="O62" s="6" t="s">
        <v>299</v>
      </c>
      <c r="P62" s="6" t="s">
        <v>106</v>
      </c>
      <c r="Q62" s="6" t="s">
        <v>156</v>
      </c>
      <c r="R62" s="6" t="s">
        <v>106</v>
      </c>
      <c r="S62" s="6" t="s">
        <v>121</v>
      </c>
      <c r="T62" s="6" t="s">
        <v>106</v>
      </c>
      <c r="U62" s="6" t="s">
        <v>106</v>
      </c>
      <c r="V62" s="6" t="s">
        <v>106</v>
      </c>
      <c r="W62" s="6" t="s">
        <v>106</v>
      </c>
      <c r="X62" s="6" t="s">
        <v>106</v>
      </c>
      <c r="Y62" s="6" t="s">
        <v>106</v>
      </c>
      <c r="Z62" s="6" t="s">
        <v>106</v>
      </c>
      <c r="AA62" s="6" t="s">
        <v>106</v>
      </c>
      <c r="AB62" s="10" t="s">
        <v>106</v>
      </c>
      <c r="AC62" s="10" t="s">
        <v>106</v>
      </c>
      <c r="AD62" s="10" t="s">
        <v>106</v>
      </c>
      <c r="AE62" s="10">
        <f>13830.32+10000+10000+10000</f>
        <v>43830.32</v>
      </c>
      <c r="AF62" s="10"/>
      <c r="AG62" s="41">
        <f t="shared" si="0"/>
        <v>43830.32</v>
      </c>
    </row>
    <row r="63" spans="1:33" ht="38.25" x14ac:dyDescent="0.25">
      <c r="A63" s="14" t="s">
        <v>345</v>
      </c>
      <c r="B63" s="7" t="s">
        <v>349</v>
      </c>
      <c r="C63" s="7" t="s">
        <v>350</v>
      </c>
      <c r="D63" s="7" t="s">
        <v>59</v>
      </c>
      <c r="E63" s="7" t="s">
        <v>60</v>
      </c>
      <c r="F63" s="29" t="s">
        <v>302</v>
      </c>
      <c r="G63" s="4" t="s">
        <v>346</v>
      </c>
      <c r="H63" s="27" t="s">
        <v>347</v>
      </c>
      <c r="I63" s="6" t="s">
        <v>348</v>
      </c>
      <c r="J63" s="9">
        <v>44613</v>
      </c>
      <c r="K63" s="10">
        <v>506000</v>
      </c>
      <c r="L63" s="11">
        <v>13232</v>
      </c>
      <c r="M63" s="9">
        <v>44613</v>
      </c>
      <c r="N63" s="9">
        <v>44926</v>
      </c>
      <c r="O63" s="6" t="s">
        <v>299</v>
      </c>
      <c r="P63" s="6" t="s">
        <v>106</v>
      </c>
      <c r="Q63" s="6" t="s">
        <v>156</v>
      </c>
      <c r="R63" s="6" t="s">
        <v>106</v>
      </c>
      <c r="S63" s="6" t="s">
        <v>121</v>
      </c>
      <c r="T63" s="6" t="s">
        <v>106</v>
      </c>
      <c r="U63" s="6" t="s">
        <v>106</v>
      </c>
      <c r="V63" s="6" t="s">
        <v>106</v>
      </c>
      <c r="W63" s="6" t="s">
        <v>106</v>
      </c>
      <c r="X63" s="6" t="s">
        <v>106</v>
      </c>
      <c r="Y63" s="6" t="s">
        <v>106</v>
      </c>
      <c r="Z63" s="6" t="s">
        <v>106</v>
      </c>
      <c r="AA63" s="6" t="s">
        <v>106</v>
      </c>
      <c r="AB63" s="10" t="s">
        <v>106</v>
      </c>
      <c r="AC63" s="10" t="s">
        <v>106</v>
      </c>
      <c r="AD63" s="10" t="s">
        <v>106</v>
      </c>
      <c r="AE63" s="10">
        <f>4402.2+30423.25+1505.35+3795</f>
        <v>40125.799999999996</v>
      </c>
      <c r="AF63" s="10"/>
      <c r="AG63" s="41">
        <f t="shared" si="0"/>
        <v>40125.799999999996</v>
      </c>
    </row>
    <row r="64" spans="1:33" ht="38.25" x14ac:dyDescent="0.25">
      <c r="A64" s="14" t="s">
        <v>351</v>
      </c>
      <c r="B64" s="7" t="s">
        <v>355</v>
      </c>
      <c r="C64" s="7" t="s">
        <v>354</v>
      </c>
      <c r="D64" s="7" t="s">
        <v>59</v>
      </c>
      <c r="E64" s="7" t="s">
        <v>60</v>
      </c>
      <c r="F64" s="29" t="s">
        <v>302</v>
      </c>
      <c r="G64" s="4" t="s">
        <v>375</v>
      </c>
      <c r="H64" s="27" t="s">
        <v>352</v>
      </c>
      <c r="I64" s="6" t="s">
        <v>353</v>
      </c>
      <c r="J64" s="9">
        <v>44553</v>
      </c>
      <c r="K64" s="10">
        <v>869000</v>
      </c>
      <c r="L64" s="11">
        <v>13196</v>
      </c>
      <c r="M64" s="9">
        <v>44553</v>
      </c>
      <c r="N64" s="9">
        <v>44918</v>
      </c>
      <c r="O64" s="6" t="s">
        <v>155</v>
      </c>
      <c r="P64" s="6" t="s">
        <v>106</v>
      </c>
      <c r="Q64" s="6" t="s">
        <v>156</v>
      </c>
      <c r="R64" s="6" t="s">
        <v>106</v>
      </c>
      <c r="S64" s="6" t="s">
        <v>61</v>
      </c>
      <c r="T64" s="6">
        <v>1</v>
      </c>
      <c r="U64" s="9">
        <v>44914</v>
      </c>
      <c r="V64" s="11">
        <v>13435</v>
      </c>
      <c r="W64" s="6" t="s">
        <v>62</v>
      </c>
      <c r="X64" s="9">
        <v>44919</v>
      </c>
      <c r="Y64" s="9">
        <v>45283</v>
      </c>
      <c r="Z64" s="6" t="s">
        <v>106</v>
      </c>
      <c r="AA64" s="6" t="s">
        <v>106</v>
      </c>
      <c r="AB64" s="10" t="s">
        <v>106</v>
      </c>
      <c r="AC64" s="10" t="s">
        <v>106</v>
      </c>
      <c r="AD64" s="10" t="s">
        <v>106</v>
      </c>
      <c r="AE64" s="10">
        <f>3282.87+6790.86+15000+6167.47+4926.27+217.89+10000+3614.64+10000+6733.25+766.75+15409.17+266.52+8122.55+6201.76+6184.82+4147.05+3966.31+8618.2+9592.18+9802.51+4427.18+5658.88+1361.26+3915.73+4792.04</f>
        <v>159966.16000000003</v>
      </c>
      <c r="AF64" s="10">
        <f>8268.86+17159.29+13521.35</f>
        <v>38949.5</v>
      </c>
      <c r="AG64" s="41">
        <f t="shared" si="0"/>
        <v>198915.66000000003</v>
      </c>
    </row>
    <row r="65" spans="1:33" ht="38.25" x14ac:dyDescent="0.25">
      <c r="A65" s="14" t="s">
        <v>356</v>
      </c>
      <c r="B65" s="7" t="s">
        <v>426</v>
      </c>
      <c r="C65" s="7" t="s">
        <v>425</v>
      </c>
      <c r="D65" s="7" t="s">
        <v>59</v>
      </c>
      <c r="E65" s="7" t="s">
        <v>60</v>
      </c>
      <c r="F65" s="29" t="s">
        <v>302</v>
      </c>
      <c r="G65" s="4" t="s">
        <v>427</v>
      </c>
      <c r="H65" s="27" t="s">
        <v>352</v>
      </c>
      <c r="I65" s="6" t="s">
        <v>353</v>
      </c>
      <c r="J65" s="9">
        <v>44650</v>
      </c>
      <c r="K65" s="10">
        <v>319560</v>
      </c>
      <c r="L65" s="11">
        <v>13259</v>
      </c>
      <c r="M65" s="9">
        <v>44650</v>
      </c>
      <c r="N65" s="9">
        <v>45014</v>
      </c>
      <c r="O65" s="6" t="s">
        <v>155</v>
      </c>
      <c r="P65" s="6" t="s">
        <v>106</v>
      </c>
      <c r="Q65" s="6" t="s">
        <v>156</v>
      </c>
      <c r="R65" s="6" t="s">
        <v>106</v>
      </c>
      <c r="S65" s="6" t="s">
        <v>61</v>
      </c>
      <c r="T65" s="6" t="s">
        <v>106</v>
      </c>
      <c r="U65" s="6" t="s">
        <v>106</v>
      </c>
      <c r="V65" s="6" t="s">
        <v>106</v>
      </c>
      <c r="W65" s="6" t="s">
        <v>106</v>
      </c>
      <c r="X65" s="6" t="s">
        <v>106</v>
      </c>
      <c r="Y65" s="6" t="s">
        <v>106</v>
      </c>
      <c r="Z65" s="6" t="s">
        <v>106</v>
      </c>
      <c r="AA65" s="6" t="s">
        <v>106</v>
      </c>
      <c r="AB65" s="10" t="s">
        <v>106</v>
      </c>
      <c r="AC65" s="10" t="s">
        <v>106</v>
      </c>
      <c r="AD65" s="10" t="s">
        <v>106</v>
      </c>
      <c r="AE65" s="10">
        <f>6165.84+5831.97+1463.3+5029.08+2919.17+3604.5+4699.71</f>
        <v>29713.57</v>
      </c>
      <c r="AF65" s="10">
        <f>2252.66+1276.74+8581.67</f>
        <v>12111.07</v>
      </c>
      <c r="AG65" s="41">
        <f t="shared" si="0"/>
        <v>41824.639999999999</v>
      </c>
    </row>
    <row r="66" spans="1:33" ht="38.25" x14ac:dyDescent="0.25">
      <c r="A66" s="14" t="s">
        <v>362</v>
      </c>
      <c r="B66" s="7" t="s">
        <v>360</v>
      </c>
      <c r="C66" s="7" t="s">
        <v>361</v>
      </c>
      <c r="D66" s="7" t="s">
        <v>59</v>
      </c>
      <c r="E66" s="7" t="s">
        <v>60</v>
      </c>
      <c r="F66" s="29" t="s">
        <v>302</v>
      </c>
      <c r="G66" s="4" t="s">
        <v>357</v>
      </c>
      <c r="H66" s="27" t="s">
        <v>358</v>
      </c>
      <c r="I66" s="6" t="s">
        <v>359</v>
      </c>
      <c r="J66" s="9">
        <v>44627</v>
      </c>
      <c r="K66" s="10">
        <v>13080</v>
      </c>
      <c r="L66" s="11">
        <v>13244</v>
      </c>
      <c r="M66" s="9">
        <v>44627</v>
      </c>
      <c r="N66" s="9">
        <v>44926</v>
      </c>
      <c r="O66" s="6" t="s">
        <v>299</v>
      </c>
      <c r="P66" s="6" t="s">
        <v>106</v>
      </c>
      <c r="Q66" s="6" t="s">
        <v>156</v>
      </c>
      <c r="R66" s="6" t="s">
        <v>106</v>
      </c>
      <c r="S66" s="6" t="s">
        <v>121</v>
      </c>
      <c r="T66" s="6">
        <v>1</v>
      </c>
      <c r="U66" s="9">
        <v>44902</v>
      </c>
      <c r="V66" s="11">
        <v>13427</v>
      </c>
      <c r="W66" s="6" t="s">
        <v>287</v>
      </c>
      <c r="X66" s="6" t="s">
        <v>106</v>
      </c>
      <c r="Y66" s="6" t="s">
        <v>106</v>
      </c>
      <c r="Z66" s="16">
        <v>0.25</v>
      </c>
      <c r="AA66" s="6" t="s">
        <v>106</v>
      </c>
      <c r="AB66" s="10" t="s">
        <v>106</v>
      </c>
      <c r="AC66" s="10" t="s">
        <v>106</v>
      </c>
      <c r="AD66" s="10" t="s">
        <v>106</v>
      </c>
      <c r="AE66" s="10">
        <f>950+6660+4440+1030</f>
        <v>13080</v>
      </c>
      <c r="AF66" s="10"/>
      <c r="AG66" s="41">
        <f t="shared" si="0"/>
        <v>13080</v>
      </c>
    </row>
    <row r="67" spans="1:33" ht="38.25" x14ac:dyDescent="0.25">
      <c r="A67" s="14" t="s">
        <v>369</v>
      </c>
      <c r="B67" s="7" t="s">
        <v>367</v>
      </c>
      <c r="C67" s="7" t="s">
        <v>366</v>
      </c>
      <c r="D67" s="7" t="s">
        <v>59</v>
      </c>
      <c r="E67" s="7" t="s">
        <v>60</v>
      </c>
      <c r="F67" s="29" t="s">
        <v>302</v>
      </c>
      <c r="G67" s="4" t="s">
        <v>363</v>
      </c>
      <c r="H67" s="27" t="s">
        <v>364</v>
      </c>
      <c r="I67" s="6" t="s">
        <v>365</v>
      </c>
      <c r="J67" s="9">
        <v>44603</v>
      </c>
      <c r="K67" s="10">
        <v>60877.7</v>
      </c>
      <c r="L67" s="11">
        <v>13229</v>
      </c>
      <c r="M67" s="9">
        <v>44603</v>
      </c>
      <c r="N67" s="9">
        <v>44926</v>
      </c>
      <c r="O67" s="6" t="s">
        <v>299</v>
      </c>
      <c r="P67" s="6" t="s">
        <v>106</v>
      </c>
      <c r="Q67" s="6" t="s">
        <v>156</v>
      </c>
      <c r="R67" s="6" t="s">
        <v>106</v>
      </c>
      <c r="S67" s="6" t="s">
        <v>121</v>
      </c>
      <c r="T67" s="6" t="s">
        <v>106</v>
      </c>
      <c r="U67" s="6" t="s">
        <v>106</v>
      </c>
      <c r="V67" s="6" t="s">
        <v>106</v>
      </c>
      <c r="W67" s="6" t="s">
        <v>106</v>
      </c>
      <c r="X67" s="6" t="s">
        <v>106</v>
      </c>
      <c r="Y67" s="6" t="s">
        <v>106</v>
      </c>
      <c r="Z67" s="6" t="s">
        <v>106</v>
      </c>
      <c r="AA67" s="6" t="s">
        <v>106</v>
      </c>
      <c r="AB67" s="10" t="s">
        <v>106</v>
      </c>
      <c r="AC67" s="10" t="s">
        <v>106</v>
      </c>
      <c r="AD67" s="10" t="s">
        <v>106</v>
      </c>
      <c r="AE67" s="10">
        <f>7901+140</f>
        <v>8041</v>
      </c>
      <c r="AF67" s="10"/>
      <c r="AG67" s="41">
        <f t="shared" si="0"/>
        <v>8041</v>
      </c>
    </row>
    <row r="68" spans="1:33" ht="38.25" x14ac:dyDescent="0.25">
      <c r="A68" s="14" t="s">
        <v>378</v>
      </c>
      <c r="B68" s="7" t="s">
        <v>372</v>
      </c>
      <c r="C68" s="7" t="s">
        <v>350</v>
      </c>
      <c r="D68" s="7" t="s">
        <v>59</v>
      </c>
      <c r="E68" s="7" t="s">
        <v>60</v>
      </c>
      <c r="F68" s="29" t="s">
        <v>302</v>
      </c>
      <c r="G68" s="4" t="s">
        <v>370</v>
      </c>
      <c r="H68" s="27" t="s">
        <v>373</v>
      </c>
      <c r="I68" s="6" t="s">
        <v>371</v>
      </c>
      <c r="J68" s="9">
        <v>44613</v>
      </c>
      <c r="K68" s="10">
        <v>195000</v>
      </c>
      <c r="L68" s="11">
        <v>13245</v>
      </c>
      <c r="M68" s="9">
        <v>44613</v>
      </c>
      <c r="N68" s="9">
        <v>44926</v>
      </c>
      <c r="O68" s="6" t="s">
        <v>299</v>
      </c>
      <c r="P68" s="6" t="s">
        <v>106</v>
      </c>
      <c r="Q68" s="6" t="s">
        <v>156</v>
      </c>
      <c r="R68" s="6" t="s">
        <v>106</v>
      </c>
      <c r="S68" s="6" t="s">
        <v>121</v>
      </c>
      <c r="T68" s="6">
        <v>1</v>
      </c>
      <c r="U68" s="9">
        <v>44910</v>
      </c>
      <c r="V68" s="11">
        <v>13433</v>
      </c>
      <c r="W68" s="6" t="s">
        <v>287</v>
      </c>
      <c r="X68" s="6" t="s">
        <v>106</v>
      </c>
      <c r="Y68" s="6" t="s">
        <v>106</v>
      </c>
      <c r="Z68" s="16">
        <v>0.25</v>
      </c>
      <c r="AA68" s="6" t="s">
        <v>106</v>
      </c>
      <c r="AB68" s="10" t="s">
        <v>106</v>
      </c>
      <c r="AC68" s="10" t="s">
        <v>106</v>
      </c>
      <c r="AD68" s="10" t="s">
        <v>106</v>
      </c>
      <c r="AE68" s="10">
        <v>4464.5</v>
      </c>
      <c r="AF68" s="10"/>
      <c r="AG68" s="41">
        <f t="shared" si="0"/>
        <v>4464.5</v>
      </c>
    </row>
    <row r="69" spans="1:33" ht="38.25" x14ac:dyDescent="0.25">
      <c r="A69" s="14" t="s">
        <v>385</v>
      </c>
      <c r="B69" s="7" t="s">
        <v>381</v>
      </c>
      <c r="C69" s="7" t="s">
        <v>382</v>
      </c>
      <c r="D69" s="7" t="s">
        <v>59</v>
      </c>
      <c r="E69" s="7" t="s">
        <v>60</v>
      </c>
      <c r="F69" s="29" t="s">
        <v>302</v>
      </c>
      <c r="G69" s="4" t="s">
        <v>379</v>
      </c>
      <c r="H69" s="27" t="s">
        <v>380</v>
      </c>
      <c r="I69" s="6" t="s">
        <v>383</v>
      </c>
      <c r="J69" s="9">
        <v>44167</v>
      </c>
      <c r="K69" s="10">
        <v>39200</v>
      </c>
      <c r="L69" s="11">
        <v>12944</v>
      </c>
      <c r="M69" s="9">
        <v>44167</v>
      </c>
      <c r="N69" s="9">
        <v>44531</v>
      </c>
      <c r="O69" s="6">
        <v>117</v>
      </c>
      <c r="P69" s="6" t="s">
        <v>106</v>
      </c>
      <c r="Q69" s="6" t="s">
        <v>156</v>
      </c>
      <c r="R69" s="6" t="s">
        <v>106</v>
      </c>
      <c r="S69" s="6" t="s">
        <v>384</v>
      </c>
      <c r="T69" s="6">
        <v>2</v>
      </c>
      <c r="U69" s="9">
        <v>44863</v>
      </c>
      <c r="V69" s="11">
        <v>13421</v>
      </c>
      <c r="W69" s="6" t="s">
        <v>62</v>
      </c>
      <c r="X69" s="9">
        <v>44897</v>
      </c>
      <c r="Y69" s="9">
        <v>45261</v>
      </c>
      <c r="Z69" s="6" t="s">
        <v>106</v>
      </c>
      <c r="AA69" s="6" t="s">
        <v>106</v>
      </c>
      <c r="AB69" s="10" t="s">
        <v>106</v>
      </c>
      <c r="AC69" s="10" t="s">
        <v>106</v>
      </c>
      <c r="AD69" s="10" t="s">
        <v>106</v>
      </c>
      <c r="AE69" s="10">
        <f>80+205.87+240+320+240+9680+3557.95+2162.4+800</f>
        <v>17286.22</v>
      </c>
      <c r="AF69" s="10"/>
      <c r="AG69" s="41">
        <f t="shared" si="0"/>
        <v>17286.22</v>
      </c>
    </row>
    <row r="70" spans="1:33" ht="38.25" x14ac:dyDescent="0.25">
      <c r="A70" s="14" t="s">
        <v>387</v>
      </c>
      <c r="B70" s="7" t="s">
        <v>339</v>
      </c>
      <c r="C70" s="7" t="s">
        <v>340</v>
      </c>
      <c r="D70" s="7" t="s">
        <v>59</v>
      </c>
      <c r="E70" s="7" t="s">
        <v>60</v>
      </c>
      <c r="F70" s="29" t="s">
        <v>302</v>
      </c>
      <c r="G70" s="4" t="s">
        <v>388</v>
      </c>
      <c r="H70" s="27" t="s">
        <v>389</v>
      </c>
      <c r="I70" s="6" t="s">
        <v>390</v>
      </c>
      <c r="J70" s="9">
        <v>44606</v>
      </c>
      <c r="K70" s="10">
        <v>16971</v>
      </c>
      <c r="L70" s="11">
        <v>13229</v>
      </c>
      <c r="M70" s="9">
        <v>44606</v>
      </c>
      <c r="N70" s="9">
        <v>44926</v>
      </c>
      <c r="O70" s="6" t="s">
        <v>299</v>
      </c>
      <c r="P70" s="6" t="s">
        <v>106</v>
      </c>
      <c r="Q70" s="6" t="s">
        <v>156</v>
      </c>
      <c r="R70" s="6" t="s">
        <v>106</v>
      </c>
      <c r="S70" s="6" t="s">
        <v>121</v>
      </c>
      <c r="T70" s="6" t="s">
        <v>106</v>
      </c>
      <c r="U70" s="6" t="s">
        <v>106</v>
      </c>
      <c r="V70" s="6" t="s">
        <v>106</v>
      </c>
      <c r="W70" s="6" t="s">
        <v>106</v>
      </c>
      <c r="X70" s="6" t="s">
        <v>106</v>
      </c>
      <c r="Y70" s="6" t="s">
        <v>106</v>
      </c>
      <c r="Z70" s="6" t="s">
        <v>106</v>
      </c>
      <c r="AA70" s="6" t="s">
        <v>106</v>
      </c>
      <c r="AB70" s="10" t="s">
        <v>106</v>
      </c>
      <c r="AC70" s="10" t="s">
        <v>106</v>
      </c>
      <c r="AD70" s="10" t="s">
        <v>106</v>
      </c>
      <c r="AE70" s="10">
        <f>2370+600+3594+425</f>
        <v>6989</v>
      </c>
      <c r="AF70" s="10"/>
      <c r="AG70" s="41">
        <f t="shared" si="0"/>
        <v>6989</v>
      </c>
    </row>
    <row r="71" spans="1:33" ht="38.25" x14ac:dyDescent="0.25">
      <c r="A71" s="14" t="s">
        <v>391</v>
      </c>
      <c r="B71" s="7" t="s">
        <v>392</v>
      </c>
      <c r="C71" s="7" t="s">
        <v>366</v>
      </c>
      <c r="D71" s="7" t="s">
        <v>59</v>
      </c>
      <c r="E71" s="7" t="s">
        <v>60</v>
      </c>
      <c r="F71" s="29" t="s">
        <v>302</v>
      </c>
      <c r="G71" s="4" t="s">
        <v>393</v>
      </c>
      <c r="H71" s="27" t="s">
        <v>394</v>
      </c>
      <c r="I71" s="6" t="s">
        <v>395</v>
      </c>
      <c r="J71" s="9">
        <v>44603</v>
      </c>
      <c r="K71" s="10">
        <v>56125.2</v>
      </c>
      <c r="L71" s="11">
        <v>13229</v>
      </c>
      <c r="M71" s="9">
        <v>44603</v>
      </c>
      <c r="N71" s="9">
        <v>44927</v>
      </c>
      <c r="O71" s="6" t="s">
        <v>299</v>
      </c>
      <c r="P71" s="6" t="s">
        <v>106</v>
      </c>
      <c r="Q71" s="6" t="s">
        <v>156</v>
      </c>
      <c r="R71" s="6" t="s">
        <v>106</v>
      </c>
      <c r="S71" s="6" t="s">
        <v>121</v>
      </c>
      <c r="T71" s="6" t="s">
        <v>106</v>
      </c>
      <c r="U71" s="6" t="s">
        <v>106</v>
      </c>
      <c r="V71" s="6" t="s">
        <v>106</v>
      </c>
      <c r="W71" s="6" t="s">
        <v>106</v>
      </c>
      <c r="X71" s="6" t="s">
        <v>106</v>
      </c>
      <c r="Y71" s="6" t="s">
        <v>106</v>
      </c>
      <c r="Z71" s="6" t="s">
        <v>106</v>
      </c>
      <c r="AA71" s="6" t="s">
        <v>106</v>
      </c>
      <c r="AB71" s="10" t="s">
        <v>106</v>
      </c>
      <c r="AC71" s="10" t="s">
        <v>106</v>
      </c>
      <c r="AD71" s="10" t="s">
        <v>106</v>
      </c>
      <c r="AE71" s="10">
        <v>6897.3</v>
      </c>
      <c r="AF71" s="10"/>
      <c r="AG71" s="41">
        <f t="shared" si="0"/>
        <v>6897.3</v>
      </c>
    </row>
    <row r="72" spans="1:33" ht="38.25" x14ac:dyDescent="0.25">
      <c r="A72" s="14" t="s">
        <v>396</v>
      </c>
      <c r="B72" s="7" t="s">
        <v>399</v>
      </c>
      <c r="C72" s="7" t="s">
        <v>398</v>
      </c>
      <c r="D72" s="7" t="s">
        <v>59</v>
      </c>
      <c r="E72" s="7" t="s">
        <v>60</v>
      </c>
      <c r="F72" s="29" t="s">
        <v>302</v>
      </c>
      <c r="G72" s="4" t="s">
        <v>397</v>
      </c>
      <c r="H72" s="27" t="s">
        <v>261</v>
      </c>
      <c r="I72" s="6" t="s">
        <v>400</v>
      </c>
      <c r="J72" s="9">
        <v>44656</v>
      </c>
      <c r="K72" s="10">
        <v>121100</v>
      </c>
      <c r="L72" s="11">
        <v>13272</v>
      </c>
      <c r="M72" s="9">
        <v>44656</v>
      </c>
      <c r="N72" s="9">
        <v>44925</v>
      </c>
      <c r="O72" s="6" t="s">
        <v>299</v>
      </c>
      <c r="P72" s="6" t="s">
        <v>106</v>
      </c>
      <c r="Q72" s="6" t="s">
        <v>156</v>
      </c>
      <c r="R72" s="6" t="s">
        <v>106</v>
      </c>
      <c r="S72" s="6" t="s">
        <v>121</v>
      </c>
      <c r="T72" s="6" t="s">
        <v>106</v>
      </c>
      <c r="U72" s="6" t="s">
        <v>106</v>
      </c>
      <c r="V72" s="6" t="s">
        <v>106</v>
      </c>
      <c r="W72" s="6" t="s">
        <v>106</v>
      </c>
      <c r="X72" s="6" t="s">
        <v>106</v>
      </c>
      <c r="Y72" s="6" t="s">
        <v>106</v>
      </c>
      <c r="Z72" s="6" t="s">
        <v>106</v>
      </c>
      <c r="AA72" s="6" t="s">
        <v>106</v>
      </c>
      <c r="AB72" s="10" t="s">
        <v>106</v>
      </c>
      <c r="AC72" s="10" t="s">
        <v>106</v>
      </c>
      <c r="AD72" s="10" t="s">
        <v>106</v>
      </c>
      <c r="AE72" s="10">
        <f>1720+5325+4582.5+4395+5242.5</f>
        <v>21265</v>
      </c>
      <c r="AF72" s="10"/>
      <c r="AG72" s="41">
        <f t="shared" si="0"/>
        <v>21265</v>
      </c>
    </row>
    <row r="73" spans="1:33" ht="38.25" x14ac:dyDescent="0.25">
      <c r="A73" s="14" t="s">
        <v>401</v>
      </c>
      <c r="B73" s="7" t="s">
        <v>404</v>
      </c>
      <c r="C73" s="7" t="s">
        <v>405</v>
      </c>
      <c r="D73" s="7" t="s">
        <v>59</v>
      </c>
      <c r="E73" s="7" t="s">
        <v>60</v>
      </c>
      <c r="F73" s="29" t="s">
        <v>302</v>
      </c>
      <c r="G73" s="4" t="s">
        <v>402</v>
      </c>
      <c r="H73" s="27" t="s">
        <v>403</v>
      </c>
      <c r="I73" s="6" t="s">
        <v>406</v>
      </c>
      <c r="J73" s="9">
        <v>44628</v>
      </c>
      <c r="K73" s="10">
        <v>84172.5</v>
      </c>
      <c r="L73" s="11">
        <v>13250</v>
      </c>
      <c r="M73" s="9">
        <v>44628</v>
      </c>
      <c r="N73" s="9">
        <v>44925</v>
      </c>
      <c r="O73" s="6" t="s">
        <v>299</v>
      </c>
      <c r="P73" s="6" t="s">
        <v>106</v>
      </c>
      <c r="Q73" s="6" t="s">
        <v>156</v>
      </c>
      <c r="R73" s="6" t="s">
        <v>106</v>
      </c>
      <c r="S73" s="6" t="s">
        <v>121</v>
      </c>
      <c r="T73" s="6" t="s">
        <v>106</v>
      </c>
      <c r="U73" s="6" t="s">
        <v>106</v>
      </c>
      <c r="V73" s="6" t="s">
        <v>106</v>
      </c>
      <c r="W73" s="6" t="s">
        <v>106</v>
      </c>
      <c r="X73" s="6" t="s">
        <v>106</v>
      </c>
      <c r="Y73" s="6" t="s">
        <v>106</v>
      </c>
      <c r="Z73" s="6" t="s">
        <v>106</v>
      </c>
      <c r="AA73" s="6" t="s">
        <v>106</v>
      </c>
      <c r="AB73" s="10" t="s">
        <v>106</v>
      </c>
      <c r="AC73" s="10" t="s">
        <v>106</v>
      </c>
      <c r="AD73" s="10" t="s">
        <v>106</v>
      </c>
      <c r="AE73" s="10">
        <f>2055.09+2721.22</f>
        <v>4776.3099999999995</v>
      </c>
      <c r="AF73" s="10"/>
      <c r="AG73" s="41">
        <f t="shared" si="0"/>
        <v>4776.3099999999995</v>
      </c>
    </row>
    <row r="74" spans="1:33" ht="38.25" x14ac:dyDescent="0.25">
      <c r="A74" s="14" t="s">
        <v>407</v>
      </c>
      <c r="B74" s="7" t="s">
        <v>339</v>
      </c>
      <c r="C74" s="7" t="s">
        <v>340</v>
      </c>
      <c r="D74" s="7" t="s">
        <v>59</v>
      </c>
      <c r="E74" s="7" t="s">
        <v>60</v>
      </c>
      <c r="F74" s="29" t="s">
        <v>302</v>
      </c>
      <c r="G74" s="4" t="s">
        <v>408</v>
      </c>
      <c r="H74" s="27" t="s">
        <v>409</v>
      </c>
      <c r="I74" s="6" t="s">
        <v>410</v>
      </c>
      <c r="J74" s="9">
        <v>44606</v>
      </c>
      <c r="K74" s="10">
        <v>31648.1</v>
      </c>
      <c r="L74" s="11">
        <v>13229</v>
      </c>
      <c r="M74" s="9">
        <v>44606</v>
      </c>
      <c r="N74" s="9">
        <v>44925</v>
      </c>
      <c r="O74" s="6" t="s">
        <v>299</v>
      </c>
      <c r="P74" s="6" t="s">
        <v>106</v>
      </c>
      <c r="Q74" s="6" t="s">
        <v>156</v>
      </c>
      <c r="R74" s="6" t="s">
        <v>106</v>
      </c>
      <c r="S74" s="6" t="s">
        <v>121</v>
      </c>
      <c r="T74" s="6" t="s">
        <v>106</v>
      </c>
      <c r="U74" s="6" t="s">
        <v>106</v>
      </c>
      <c r="V74" s="6" t="s">
        <v>106</v>
      </c>
      <c r="W74" s="6" t="s">
        <v>106</v>
      </c>
      <c r="X74" s="6" t="s">
        <v>106</v>
      </c>
      <c r="Y74" s="6" t="s">
        <v>106</v>
      </c>
      <c r="Z74" s="6" t="s">
        <v>106</v>
      </c>
      <c r="AA74" s="6" t="s">
        <v>106</v>
      </c>
      <c r="AB74" s="10" t="s">
        <v>106</v>
      </c>
      <c r="AC74" s="10" t="s">
        <v>106</v>
      </c>
      <c r="AD74" s="10" t="s">
        <v>106</v>
      </c>
      <c r="AE74" s="10">
        <f>214.8+13530.2+1554</f>
        <v>15299</v>
      </c>
      <c r="AF74" s="10"/>
      <c r="AG74" s="41">
        <f t="shared" si="0"/>
        <v>15299</v>
      </c>
    </row>
    <row r="75" spans="1:33" ht="38.25" x14ac:dyDescent="0.25">
      <c r="A75" s="14" t="s">
        <v>411</v>
      </c>
      <c r="B75" s="7" t="s">
        <v>360</v>
      </c>
      <c r="C75" s="7" t="s">
        <v>361</v>
      </c>
      <c r="D75" s="7" t="s">
        <v>59</v>
      </c>
      <c r="E75" s="7" t="s">
        <v>60</v>
      </c>
      <c r="F75" s="29" t="s">
        <v>302</v>
      </c>
      <c r="G75" s="4" t="s">
        <v>412</v>
      </c>
      <c r="H75" s="27" t="s">
        <v>403</v>
      </c>
      <c r="I75" s="6" t="s">
        <v>406</v>
      </c>
      <c r="J75" s="9">
        <v>44627</v>
      </c>
      <c r="K75" s="10">
        <v>33309</v>
      </c>
      <c r="L75" s="11">
        <v>13247</v>
      </c>
      <c r="M75" s="9">
        <v>44627</v>
      </c>
      <c r="N75" s="9">
        <v>44925</v>
      </c>
      <c r="O75" s="6" t="s">
        <v>299</v>
      </c>
      <c r="P75" s="6" t="s">
        <v>106</v>
      </c>
      <c r="Q75" s="6" t="s">
        <v>156</v>
      </c>
      <c r="R75" s="6" t="s">
        <v>106</v>
      </c>
      <c r="S75" s="6" t="s">
        <v>121</v>
      </c>
      <c r="T75" s="6">
        <v>1</v>
      </c>
      <c r="U75" s="9">
        <v>44902</v>
      </c>
      <c r="V75" s="11">
        <v>13427</v>
      </c>
      <c r="W75" s="6" t="s">
        <v>287</v>
      </c>
      <c r="X75" s="6" t="s">
        <v>106</v>
      </c>
      <c r="Y75" s="6" t="s">
        <v>106</v>
      </c>
      <c r="Z75" s="16">
        <v>0.25</v>
      </c>
      <c r="AA75" s="6" t="s">
        <v>106</v>
      </c>
      <c r="AB75" s="10" t="s">
        <v>106</v>
      </c>
      <c r="AC75" s="10" t="s">
        <v>106</v>
      </c>
      <c r="AD75" s="10" t="s">
        <v>106</v>
      </c>
      <c r="AE75" s="10">
        <f>112+210+1460+2619.89+10748.8+3545</f>
        <v>18695.689999999999</v>
      </c>
      <c r="AF75" s="10"/>
      <c r="AG75" s="41">
        <f t="shared" si="0"/>
        <v>18695.689999999999</v>
      </c>
    </row>
    <row r="76" spans="1:33" ht="38.25" x14ac:dyDescent="0.25">
      <c r="A76" s="14" t="s">
        <v>413</v>
      </c>
      <c r="B76" s="7" t="s">
        <v>417</v>
      </c>
      <c r="C76" s="7" t="s">
        <v>366</v>
      </c>
      <c r="D76" s="7" t="s">
        <v>59</v>
      </c>
      <c r="E76" s="7" t="s">
        <v>60</v>
      </c>
      <c r="F76" s="29" t="s">
        <v>302</v>
      </c>
      <c r="G76" s="4" t="s">
        <v>414</v>
      </c>
      <c r="H76" s="27" t="s">
        <v>415</v>
      </c>
      <c r="I76" s="6" t="s">
        <v>416</v>
      </c>
      <c r="J76" s="9">
        <v>44603</v>
      </c>
      <c r="K76" s="10">
        <v>12000</v>
      </c>
      <c r="L76" s="11">
        <v>13229</v>
      </c>
      <c r="M76" s="9">
        <v>44603</v>
      </c>
      <c r="N76" s="9">
        <v>44925</v>
      </c>
      <c r="O76" s="6" t="s">
        <v>299</v>
      </c>
      <c r="P76" s="6" t="s">
        <v>106</v>
      </c>
      <c r="Q76" s="6" t="s">
        <v>156</v>
      </c>
      <c r="R76" s="6" t="s">
        <v>106</v>
      </c>
      <c r="S76" s="6" t="s">
        <v>121</v>
      </c>
      <c r="T76" s="6" t="s">
        <v>106</v>
      </c>
      <c r="U76" s="6" t="s">
        <v>106</v>
      </c>
      <c r="V76" s="6" t="s">
        <v>106</v>
      </c>
      <c r="W76" s="6" t="s">
        <v>106</v>
      </c>
      <c r="X76" s="6" t="s">
        <v>106</v>
      </c>
      <c r="Y76" s="6" t="s">
        <v>106</v>
      </c>
      <c r="Z76" s="6" t="s">
        <v>106</v>
      </c>
      <c r="AA76" s="6" t="s">
        <v>106</v>
      </c>
      <c r="AB76" s="10" t="s">
        <v>106</v>
      </c>
      <c r="AC76" s="10" t="s">
        <v>106</v>
      </c>
      <c r="AD76" s="10" t="s">
        <v>106</v>
      </c>
      <c r="AE76" s="10">
        <v>6000</v>
      </c>
      <c r="AF76" s="10"/>
      <c r="AG76" s="41">
        <f t="shared" si="0"/>
        <v>6000</v>
      </c>
    </row>
    <row r="77" spans="1:33" ht="38.25" x14ac:dyDescent="0.25">
      <c r="A77" s="14" t="s">
        <v>418</v>
      </c>
      <c r="B77" s="7" t="s">
        <v>422</v>
      </c>
      <c r="C77" s="7" t="s">
        <v>423</v>
      </c>
      <c r="D77" s="7" t="s">
        <v>59</v>
      </c>
      <c r="E77" s="7" t="s">
        <v>60</v>
      </c>
      <c r="F77" s="29" t="s">
        <v>302</v>
      </c>
      <c r="G77" s="4" t="s">
        <v>419</v>
      </c>
      <c r="H77" s="27" t="s">
        <v>420</v>
      </c>
      <c r="I77" s="6" t="s">
        <v>421</v>
      </c>
      <c r="J77" s="9">
        <v>43950</v>
      </c>
      <c r="K77" s="10">
        <v>39000</v>
      </c>
      <c r="L77" s="11">
        <v>12797</v>
      </c>
      <c r="M77" s="9">
        <v>43950</v>
      </c>
      <c r="N77" s="9">
        <v>44195</v>
      </c>
      <c r="O77" s="6" t="s">
        <v>155</v>
      </c>
      <c r="P77" s="6" t="s">
        <v>106</v>
      </c>
      <c r="Q77" s="6" t="s">
        <v>156</v>
      </c>
      <c r="R77" s="6" t="s">
        <v>106</v>
      </c>
      <c r="S77" s="6" t="s">
        <v>61</v>
      </c>
      <c r="T77" s="6">
        <v>3</v>
      </c>
      <c r="U77" s="9">
        <v>44921</v>
      </c>
      <c r="V77" s="11">
        <v>13440</v>
      </c>
      <c r="W77" s="6" t="s">
        <v>62</v>
      </c>
      <c r="X77" s="9">
        <v>44927</v>
      </c>
      <c r="Y77" s="9">
        <v>45291</v>
      </c>
      <c r="Z77" s="6" t="s">
        <v>106</v>
      </c>
      <c r="AA77" s="6" t="s">
        <v>106</v>
      </c>
      <c r="AB77" s="10" t="s">
        <v>106</v>
      </c>
      <c r="AC77" s="10" t="s">
        <v>106</v>
      </c>
      <c r="AD77" s="10" t="s">
        <v>106</v>
      </c>
      <c r="AE77" s="10">
        <v>3880.5</v>
      </c>
      <c r="AF77" s="10"/>
      <c r="AG77" s="41">
        <f t="shared" si="0"/>
        <v>3880.5</v>
      </c>
    </row>
    <row r="78" spans="1:33" ht="38.25" x14ac:dyDescent="0.25">
      <c r="A78" s="14" t="s">
        <v>424</v>
      </c>
      <c r="B78" s="7" t="s">
        <v>422</v>
      </c>
      <c r="C78" s="7" t="s">
        <v>423</v>
      </c>
      <c r="D78" s="7" t="s">
        <v>59</v>
      </c>
      <c r="E78" s="7" t="s">
        <v>60</v>
      </c>
      <c r="F78" s="29" t="s">
        <v>302</v>
      </c>
      <c r="G78" s="4" t="s">
        <v>430</v>
      </c>
      <c r="H78" s="27" t="s">
        <v>429</v>
      </c>
      <c r="I78" s="6" t="s">
        <v>463</v>
      </c>
      <c r="J78" s="9">
        <v>43940</v>
      </c>
      <c r="K78" s="10">
        <v>59010</v>
      </c>
      <c r="L78" s="11">
        <v>12797</v>
      </c>
      <c r="M78" s="9">
        <v>43940</v>
      </c>
      <c r="N78" s="9">
        <v>44196</v>
      </c>
      <c r="O78" s="6" t="s">
        <v>462</v>
      </c>
      <c r="P78" s="6" t="s">
        <v>106</v>
      </c>
      <c r="Q78" s="6" t="s">
        <v>156</v>
      </c>
      <c r="R78" s="6" t="s">
        <v>106</v>
      </c>
      <c r="S78" s="6" t="s">
        <v>61</v>
      </c>
      <c r="T78" s="6">
        <v>3</v>
      </c>
      <c r="U78" s="9">
        <v>44925</v>
      </c>
      <c r="V78" s="11">
        <v>13450</v>
      </c>
      <c r="W78" s="6" t="s">
        <v>62</v>
      </c>
      <c r="X78" s="9">
        <v>44927</v>
      </c>
      <c r="Y78" s="9">
        <v>45291</v>
      </c>
      <c r="Z78" s="6" t="s">
        <v>106</v>
      </c>
      <c r="AA78" s="6" t="s">
        <v>106</v>
      </c>
      <c r="AB78" s="10" t="s">
        <v>106</v>
      </c>
      <c r="AC78" s="10" t="s">
        <v>106</v>
      </c>
      <c r="AD78" s="10" t="s">
        <v>106</v>
      </c>
      <c r="AE78" s="10">
        <v>1916</v>
      </c>
      <c r="AF78" s="10"/>
      <c r="AG78" s="41">
        <f t="shared" si="0"/>
        <v>1916</v>
      </c>
    </row>
    <row r="79" spans="1:33" ht="38.25" x14ac:dyDescent="0.25">
      <c r="A79" s="14" t="s">
        <v>428</v>
      </c>
      <c r="B79" s="7" t="s">
        <v>339</v>
      </c>
      <c r="C79" s="7" t="s">
        <v>340</v>
      </c>
      <c r="D79" s="7" t="s">
        <v>59</v>
      </c>
      <c r="E79" s="7" t="s">
        <v>60</v>
      </c>
      <c r="F79" s="29" t="s">
        <v>302</v>
      </c>
      <c r="G79" s="4" t="s">
        <v>432</v>
      </c>
      <c r="H79" s="27" t="s">
        <v>433</v>
      </c>
      <c r="I79" s="6" t="s">
        <v>464</v>
      </c>
      <c r="J79" s="9">
        <v>44606</v>
      </c>
      <c r="K79" s="10">
        <v>122209.54</v>
      </c>
      <c r="L79" s="11">
        <v>13230</v>
      </c>
      <c r="M79" s="9">
        <v>44606</v>
      </c>
      <c r="N79" s="9">
        <v>44926</v>
      </c>
      <c r="O79" s="6" t="s">
        <v>299</v>
      </c>
      <c r="P79" s="6" t="s">
        <v>106</v>
      </c>
      <c r="Q79" s="6" t="s">
        <v>156</v>
      </c>
      <c r="R79" s="6" t="s">
        <v>106</v>
      </c>
      <c r="S79" s="6" t="s">
        <v>121</v>
      </c>
      <c r="T79" s="6" t="s">
        <v>106</v>
      </c>
      <c r="U79" s="6" t="s">
        <v>106</v>
      </c>
      <c r="V79" s="6" t="s">
        <v>106</v>
      </c>
      <c r="W79" s="6" t="s">
        <v>106</v>
      </c>
      <c r="X79" s="6" t="s">
        <v>106</v>
      </c>
      <c r="Y79" s="6" t="s">
        <v>106</v>
      </c>
      <c r="Z79" s="6" t="s">
        <v>106</v>
      </c>
      <c r="AA79" s="6" t="s">
        <v>106</v>
      </c>
      <c r="AB79" s="10" t="s">
        <v>106</v>
      </c>
      <c r="AC79" s="10" t="s">
        <v>106</v>
      </c>
      <c r="AD79" s="10" t="s">
        <v>106</v>
      </c>
      <c r="AE79" s="10">
        <f>1650+209.98+216+28617.4</f>
        <v>30693.38</v>
      </c>
      <c r="AF79" s="10"/>
      <c r="AG79" s="41">
        <f t="shared" si="0"/>
        <v>30693.38</v>
      </c>
    </row>
    <row r="80" spans="1:33" ht="38.25" x14ac:dyDescent="0.25">
      <c r="A80" s="14" t="s">
        <v>431</v>
      </c>
      <c r="B80" s="7" t="s">
        <v>438</v>
      </c>
      <c r="C80" s="7" t="s">
        <v>437</v>
      </c>
      <c r="D80" s="7" t="s">
        <v>59</v>
      </c>
      <c r="E80" s="7" t="s">
        <v>60</v>
      </c>
      <c r="F80" s="29" t="s">
        <v>302</v>
      </c>
      <c r="G80" s="4" t="s">
        <v>435</v>
      </c>
      <c r="H80" s="27" t="s">
        <v>436</v>
      </c>
      <c r="I80" s="6" t="s">
        <v>465</v>
      </c>
      <c r="J80" s="9">
        <v>43644</v>
      </c>
      <c r="K80" s="10">
        <v>250000</v>
      </c>
      <c r="L80" s="11">
        <v>12587</v>
      </c>
      <c r="M80" s="9">
        <v>43644</v>
      </c>
      <c r="N80" s="9">
        <v>44010</v>
      </c>
      <c r="O80" s="6" t="s">
        <v>155</v>
      </c>
      <c r="P80" s="6" t="s">
        <v>106</v>
      </c>
      <c r="Q80" s="6" t="s">
        <v>156</v>
      </c>
      <c r="R80" s="6" t="s">
        <v>106</v>
      </c>
      <c r="S80" s="6" t="s">
        <v>384</v>
      </c>
      <c r="T80" s="6">
        <v>3</v>
      </c>
      <c r="U80" s="9">
        <v>44739</v>
      </c>
      <c r="V80" s="11">
        <v>13322</v>
      </c>
      <c r="W80" s="6" t="s">
        <v>62</v>
      </c>
      <c r="X80" s="9">
        <v>44741</v>
      </c>
      <c r="Y80" s="9">
        <v>44801</v>
      </c>
      <c r="Z80" s="6" t="s">
        <v>106</v>
      </c>
      <c r="AA80" s="6" t="s">
        <v>106</v>
      </c>
      <c r="AB80" s="10" t="s">
        <v>106</v>
      </c>
      <c r="AC80" s="10" t="s">
        <v>106</v>
      </c>
      <c r="AD80" s="10" t="s">
        <v>106</v>
      </c>
      <c r="AE80" s="10">
        <f>121435.32+48031.87+27930.8</f>
        <v>197397.99</v>
      </c>
      <c r="AF80" s="10"/>
      <c r="AG80" s="41">
        <f t="shared" si="0"/>
        <v>197397.99</v>
      </c>
    </row>
    <row r="81" spans="1:33" ht="38.25" x14ac:dyDescent="0.25">
      <c r="A81" s="14" t="s">
        <v>434</v>
      </c>
      <c r="B81" s="7" t="s">
        <v>442</v>
      </c>
      <c r="C81" s="7" t="s">
        <v>443</v>
      </c>
      <c r="D81" s="7" t="s">
        <v>59</v>
      </c>
      <c r="E81" s="7" t="s">
        <v>60</v>
      </c>
      <c r="F81" s="29" t="s">
        <v>302</v>
      </c>
      <c r="G81" s="4" t="s">
        <v>440</v>
      </c>
      <c r="H81" s="27" t="s">
        <v>441</v>
      </c>
      <c r="I81" s="6" t="s">
        <v>466</v>
      </c>
      <c r="J81" s="9">
        <v>44676</v>
      </c>
      <c r="K81" s="10">
        <v>69057</v>
      </c>
      <c r="L81" s="11">
        <v>13274</v>
      </c>
      <c r="M81" s="9">
        <v>44676</v>
      </c>
      <c r="N81" s="9">
        <v>44926</v>
      </c>
      <c r="O81" s="6" t="s">
        <v>299</v>
      </c>
      <c r="P81" s="6" t="s">
        <v>106</v>
      </c>
      <c r="Q81" s="6" t="s">
        <v>156</v>
      </c>
      <c r="R81" s="6" t="s">
        <v>106</v>
      </c>
      <c r="S81" s="6" t="s">
        <v>121</v>
      </c>
      <c r="T81" s="6" t="s">
        <v>106</v>
      </c>
      <c r="U81" s="6" t="s">
        <v>106</v>
      </c>
      <c r="V81" s="6" t="s">
        <v>106</v>
      </c>
      <c r="W81" s="6" t="s">
        <v>106</v>
      </c>
      <c r="X81" s="6" t="s">
        <v>106</v>
      </c>
      <c r="Y81" s="6" t="s">
        <v>106</v>
      </c>
      <c r="Z81" s="6" t="s">
        <v>106</v>
      </c>
      <c r="AA81" s="6" t="s">
        <v>106</v>
      </c>
      <c r="AB81" s="10" t="s">
        <v>106</v>
      </c>
      <c r="AC81" s="10" t="s">
        <v>106</v>
      </c>
      <c r="AD81" s="10" t="s">
        <v>106</v>
      </c>
      <c r="AE81" s="10">
        <f>660+346+660+1793+1700</f>
        <v>5159</v>
      </c>
      <c r="AF81" s="10"/>
      <c r="AG81" s="41">
        <f t="shared" si="0"/>
        <v>5159</v>
      </c>
    </row>
    <row r="82" spans="1:33" ht="38.25" x14ac:dyDescent="0.25">
      <c r="A82" s="14" t="s">
        <v>439</v>
      </c>
      <c r="B82" s="7" t="s">
        <v>447</v>
      </c>
      <c r="C82" s="7" t="s">
        <v>448</v>
      </c>
      <c r="D82" s="7" t="s">
        <v>59</v>
      </c>
      <c r="E82" s="7" t="s">
        <v>60</v>
      </c>
      <c r="F82" s="29" t="s">
        <v>302</v>
      </c>
      <c r="G82" s="4" t="s">
        <v>445</v>
      </c>
      <c r="H82" s="27" t="s">
        <v>446</v>
      </c>
      <c r="I82" s="6" t="s">
        <v>467</v>
      </c>
      <c r="J82" s="9">
        <v>44627</v>
      </c>
      <c r="K82" s="10">
        <v>1412720</v>
      </c>
      <c r="L82" s="11">
        <v>13244</v>
      </c>
      <c r="M82" s="9">
        <v>44627</v>
      </c>
      <c r="N82" s="9">
        <v>44926</v>
      </c>
      <c r="O82" s="6" t="s">
        <v>299</v>
      </c>
      <c r="P82" s="6" t="s">
        <v>106</v>
      </c>
      <c r="Q82" s="6" t="s">
        <v>156</v>
      </c>
      <c r="R82" s="6" t="s">
        <v>106</v>
      </c>
      <c r="S82" s="6" t="s">
        <v>121</v>
      </c>
      <c r="T82" s="6" t="s">
        <v>106</v>
      </c>
      <c r="U82" s="6" t="s">
        <v>106</v>
      </c>
      <c r="V82" s="6" t="s">
        <v>106</v>
      </c>
      <c r="W82" s="6" t="s">
        <v>106</v>
      </c>
      <c r="X82" s="6" t="s">
        <v>106</v>
      </c>
      <c r="Y82" s="6" t="s">
        <v>106</v>
      </c>
      <c r="Z82" s="6" t="s">
        <v>106</v>
      </c>
      <c r="AA82" s="6" t="s">
        <v>106</v>
      </c>
      <c r="AB82" s="10" t="s">
        <v>106</v>
      </c>
      <c r="AC82" s="10" t="s">
        <v>106</v>
      </c>
      <c r="AD82" s="10" t="s">
        <v>106</v>
      </c>
      <c r="AE82" s="10">
        <f>34459.68+32068+32895+16425+10422+14210+14914.53+17216.2+22375.85+18653.25+310</f>
        <v>213949.51</v>
      </c>
      <c r="AF82" s="10">
        <f>47449.8</f>
        <v>47449.8</v>
      </c>
      <c r="AG82" s="41">
        <f t="shared" si="0"/>
        <v>261399.31</v>
      </c>
    </row>
    <row r="83" spans="1:33" ht="38.25" x14ac:dyDescent="0.25">
      <c r="A83" s="14" t="s">
        <v>444</v>
      </c>
      <c r="B83" s="7" t="s">
        <v>453</v>
      </c>
      <c r="C83" s="7" t="s">
        <v>452</v>
      </c>
      <c r="D83" s="7" t="s">
        <v>59</v>
      </c>
      <c r="E83" s="7" t="s">
        <v>60</v>
      </c>
      <c r="F83" s="29" t="s">
        <v>302</v>
      </c>
      <c r="G83" s="4" t="s">
        <v>450</v>
      </c>
      <c r="H83" s="27" t="s">
        <v>451</v>
      </c>
      <c r="I83" s="6" t="s">
        <v>468</v>
      </c>
      <c r="J83" s="9">
        <v>44655</v>
      </c>
      <c r="K83" s="10">
        <v>265028</v>
      </c>
      <c r="L83" s="11">
        <v>12262</v>
      </c>
      <c r="M83" s="9">
        <v>44655</v>
      </c>
      <c r="N83" s="9">
        <v>44926</v>
      </c>
      <c r="O83" s="6" t="s">
        <v>299</v>
      </c>
      <c r="P83" s="6" t="s">
        <v>106</v>
      </c>
      <c r="Q83" s="6" t="s">
        <v>156</v>
      </c>
      <c r="R83" s="6" t="s">
        <v>106</v>
      </c>
      <c r="S83" s="6" t="s">
        <v>121</v>
      </c>
      <c r="T83" s="6" t="s">
        <v>106</v>
      </c>
      <c r="U83" s="6" t="s">
        <v>106</v>
      </c>
      <c r="V83" s="6" t="s">
        <v>106</v>
      </c>
      <c r="W83" s="6" t="s">
        <v>106</v>
      </c>
      <c r="X83" s="6" t="s">
        <v>106</v>
      </c>
      <c r="Y83" s="6" t="s">
        <v>106</v>
      </c>
      <c r="Z83" s="6" t="s">
        <v>106</v>
      </c>
      <c r="AA83" s="6" t="s">
        <v>106</v>
      </c>
      <c r="AB83" s="10" t="s">
        <v>106</v>
      </c>
      <c r="AC83" s="10" t="s">
        <v>106</v>
      </c>
      <c r="AD83" s="10" t="s">
        <v>106</v>
      </c>
      <c r="AE83" s="10">
        <f>636</f>
        <v>636</v>
      </c>
      <c r="AF83" s="10"/>
      <c r="AG83" s="41">
        <f t="shared" ref="AG83:AG118" si="1">AE83+AF83</f>
        <v>636</v>
      </c>
    </row>
    <row r="84" spans="1:33" ht="38.25" x14ac:dyDescent="0.25">
      <c r="A84" s="14" t="s">
        <v>449</v>
      </c>
      <c r="B84" s="7" t="s">
        <v>457</v>
      </c>
      <c r="C84" s="7" t="s">
        <v>456</v>
      </c>
      <c r="D84" s="7" t="s">
        <v>59</v>
      </c>
      <c r="E84" s="7" t="s">
        <v>60</v>
      </c>
      <c r="F84" s="29" t="s">
        <v>302</v>
      </c>
      <c r="G84" s="4" t="s">
        <v>455</v>
      </c>
      <c r="H84" s="27" t="s">
        <v>451</v>
      </c>
      <c r="I84" s="6" t="s">
        <v>468</v>
      </c>
      <c r="J84" s="9">
        <v>44659</v>
      </c>
      <c r="K84" s="10">
        <v>352445</v>
      </c>
      <c r="L84" s="11">
        <v>13244</v>
      </c>
      <c r="M84" s="9">
        <v>44659</v>
      </c>
      <c r="N84" s="9">
        <v>44926</v>
      </c>
      <c r="O84" s="6" t="s">
        <v>299</v>
      </c>
      <c r="P84" s="6" t="s">
        <v>106</v>
      </c>
      <c r="Q84" s="6" t="s">
        <v>156</v>
      </c>
      <c r="R84" s="6" t="s">
        <v>106</v>
      </c>
      <c r="S84" s="6" t="s">
        <v>121</v>
      </c>
      <c r="T84" s="6" t="s">
        <v>106</v>
      </c>
      <c r="U84" s="6" t="s">
        <v>106</v>
      </c>
      <c r="V84" s="6" t="s">
        <v>106</v>
      </c>
      <c r="W84" s="6" t="s">
        <v>106</v>
      </c>
      <c r="X84" s="6" t="s">
        <v>106</v>
      </c>
      <c r="Y84" s="6" t="s">
        <v>106</v>
      </c>
      <c r="Z84" s="6" t="s">
        <v>106</v>
      </c>
      <c r="AA84" s="6" t="s">
        <v>106</v>
      </c>
      <c r="AB84" s="10" t="s">
        <v>106</v>
      </c>
      <c r="AC84" s="10" t="s">
        <v>106</v>
      </c>
      <c r="AD84" s="10" t="s">
        <v>106</v>
      </c>
      <c r="AE84" s="10">
        <f>6390.3+1003.95+923.25+2285.3+892+1675.8+1675.8+220.88+1675.8+2694.75+2248.75+1790.1+336.05+804.7+2285.3+2502.5+1458+2066.9+1360.55+1141.75+632.5+316.25+2143.3</f>
        <v>38524.480000000003</v>
      </c>
      <c r="AF84" s="10">
        <f>316.25+295.4+1880+1612.65</f>
        <v>4104.3</v>
      </c>
      <c r="AG84" s="41">
        <f t="shared" si="1"/>
        <v>42628.780000000006</v>
      </c>
    </row>
    <row r="85" spans="1:33" ht="38.25" x14ac:dyDescent="0.25">
      <c r="A85" s="14" t="s">
        <v>454</v>
      </c>
      <c r="B85" s="7" t="s">
        <v>461</v>
      </c>
      <c r="C85" s="7" t="s">
        <v>460</v>
      </c>
      <c r="D85" s="7" t="s">
        <v>59</v>
      </c>
      <c r="E85" s="7" t="s">
        <v>60</v>
      </c>
      <c r="F85" s="29" t="s">
        <v>302</v>
      </c>
      <c r="G85" s="4" t="s">
        <v>459</v>
      </c>
      <c r="H85" s="27" t="s">
        <v>331</v>
      </c>
      <c r="I85" s="6" t="s">
        <v>332</v>
      </c>
      <c r="J85" s="9">
        <v>44740</v>
      </c>
      <c r="K85" s="10">
        <v>82666.009999999995</v>
      </c>
      <c r="L85" s="11">
        <v>13318</v>
      </c>
      <c r="M85" s="9">
        <v>44740</v>
      </c>
      <c r="N85" s="9">
        <v>44926</v>
      </c>
      <c r="O85" s="6" t="s">
        <v>299</v>
      </c>
      <c r="P85" s="6" t="s">
        <v>106</v>
      </c>
      <c r="Q85" s="6" t="s">
        <v>156</v>
      </c>
      <c r="R85" s="6" t="s">
        <v>106</v>
      </c>
      <c r="S85" s="6" t="s">
        <v>469</v>
      </c>
      <c r="T85" s="6" t="s">
        <v>106</v>
      </c>
      <c r="U85" s="6" t="s">
        <v>106</v>
      </c>
      <c r="V85" s="6" t="s">
        <v>106</v>
      </c>
      <c r="W85" s="6" t="s">
        <v>106</v>
      </c>
      <c r="X85" s="6" t="s">
        <v>106</v>
      </c>
      <c r="Y85" s="6" t="s">
        <v>106</v>
      </c>
      <c r="Z85" s="6" t="s">
        <v>106</v>
      </c>
      <c r="AA85" s="6" t="s">
        <v>106</v>
      </c>
      <c r="AB85" s="10" t="s">
        <v>106</v>
      </c>
      <c r="AC85" s="10" t="s">
        <v>106</v>
      </c>
      <c r="AD85" s="10" t="s">
        <v>106</v>
      </c>
      <c r="AE85" s="10">
        <f>21980+12000+16990+4830+4990</f>
        <v>60790</v>
      </c>
      <c r="AF85" s="10"/>
      <c r="AG85" s="41">
        <f t="shared" si="1"/>
        <v>60790</v>
      </c>
    </row>
    <row r="86" spans="1:33" ht="38.25" x14ac:dyDescent="0.25">
      <c r="A86" s="14" t="s">
        <v>458</v>
      </c>
      <c r="B86" s="7" t="s">
        <v>453</v>
      </c>
      <c r="C86" s="7" t="s">
        <v>470</v>
      </c>
      <c r="D86" s="7" t="s">
        <v>59</v>
      </c>
      <c r="E86" s="7" t="s">
        <v>60</v>
      </c>
      <c r="F86" s="29" t="s">
        <v>302</v>
      </c>
      <c r="G86" s="4" t="s">
        <v>473</v>
      </c>
      <c r="H86" s="27" t="s">
        <v>446</v>
      </c>
      <c r="I86" s="6" t="s">
        <v>467</v>
      </c>
      <c r="J86" s="9">
        <v>44655</v>
      </c>
      <c r="K86" s="10">
        <v>138500</v>
      </c>
      <c r="L86" s="11">
        <v>13260</v>
      </c>
      <c r="M86" s="9">
        <v>44655</v>
      </c>
      <c r="N86" s="9">
        <v>44926</v>
      </c>
      <c r="O86" s="6" t="s">
        <v>299</v>
      </c>
      <c r="P86" s="6" t="s">
        <v>106</v>
      </c>
      <c r="Q86" s="6" t="s">
        <v>156</v>
      </c>
      <c r="R86" s="6" t="s">
        <v>106</v>
      </c>
      <c r="S86" s="6" t="s">
        <v>121</v>
      </c>
      <c r="T86" s="6" t="s">
        <v>106</v>
      </c>
      <c r="U86" s="6" t="s">
        <v>106</v>
      </c>
      <c r="V86" s="6" t="s">
        <v>106</v>
      </c>
      <c r="W86" s="6" t="s">
        <v>106</v>
      </c>
      <c r="X86" s="6" t="s">
        <v>106</v>
      </c>
      <c r="Y86" s="6" t="s">
        <v>106</v>
      </c>
      <c r="Z86" s="6" t="s">
        <v>106</v>
      </c>
      <c r="AA86" s="6" t="s">
        <v>106</v>
      </c>
      <c r="AB86" s="10" t="s">
        <v>106</v>
      </c>
      <c r="AC86" s="10" t="s">
        <v>106</v>
      </c>
      <c r="AD86" s="10" t="s">
        <v>106</v>
      </c>
      <c r="AE86" s="10">
        <f>1782</f>
        <v>1782</v>
      </c>
      <c r="AF86" s="10"/>
      <c r="AG86" s="41">
        <f t="shared" si="1"/>
        <v>1782</v>
      </c>
    </row>
    <row r="87" spans="1:33" ht="38.25" x14ac:dyDescent="0.25">
      <c r="A87" s="14" t="s">
        <v>471</v>
      </c>
      <c r="B87" s="7" t="s">
        <v>399</v>
      </c>
      <c r="C87" s="7" t="s">
        <v>476</v>
      </c>
      <c r="D87" s="7" t="s">
        <v>59</v>
      </c>
      <c r="E87" s="7" t="s">
        <v>60</v>
      </c>
      <c r="F87" s="29" t="s">
        <v>302</v>
      </c>
      <c r="G87" s="4" t="s">
        <v>474</v>
      </c>
      <c r="H87" s="27" t="s">
        <v>409</v>
      </c>
      <c r="I87" s="6" t="s">
        <v>475</v>
      </c>
      <c r="J87" s="9">
        <v>44656</v>
      </c>
      <c r="K87" s="10">
        <v>124990</v>
      </c>
      <c r="L87" s="11">
        <v>13274</v>
      </c>
      <c r="M87" s="9">
        <v>44656</v>
      </c>
      <c r="N87" s="9">
        <v>44926</v>
      </c>
      <c r="O87" s="6" t="s">
        <v>299</v>
      </c>
      <c r="P87" s="6" t="s">
        <v>106</v>
      </c>
      <c r="Q87" s="6" t="s">
        <v>156</v>
      </c>
      <c r="R87" s="6" t="s">
        <v>106</v>
      </c>
      <c r="S87" s="6" t="s">
        <v>121</v>
      </c>
      <c r="T87" s="6" t="s">
        <v>106</v>
      </c>
      <c r="U87" s="6" t="s">
        <v>106</v>
      </c>
      <c r="V87" s="6" t="s">
        <v>106</v>
      </c>
      <c r="W87" s="6" t="s">
        <v>106</v>
      </c>
      <c r="X87" s="6" t="s">
        <v>106</v>
      </c>
      <c r="Y87" s="6" t="s">
        <v>106</v>
      </c>
      <c r="Z87" s="6" t="s">
        <v>106</v>
      </c>
      <c r="AA87" s="6" t="s">
        <v>106</v>
      </c>
      <c r="AB87" s="10" t="s">
        <v>106</v>
      </c>
      <c r="AC87" s="10" t="s">
        <v>106</v>
      </c>
      <c r="AD87" s="10" t="s">
        <v>106</v>
      </c>
      <c r="AE87" s="10">
        <f>5999.52</f>
        <v>5999.52</v>
      </c>
      <c r="AF87" s="10">
        <f>2874.77+2999.76</f>
        <v>5874.5300000000007</v>
      </c>
      <c r="AG87" s="41">
        <f t="shared" si="1"/>
        <v>11874.050000000001</v>
      </c>
    </row>
    <row r="88" spans="1:33" ht="38.25" x14ac:dyDescent="0.25">
      <c r="A88" s="14" t="s">
        <v>472</v>
      </c>
      <c r="B88" s="7" t="s">
        <v>480</v>
      </c>
      <c r="C88" s="7" t="s">
        <v>470</v>
      </c>
      <c r="D88" s="7" t="s">
        <v>59</v>
      </c>
      <c r="E88" s="7" t="s">
        <v>60</v>
      </c>
      <c r="F88" s="29" t="s">
        <v>302</v>
      </c>
      <c r="G88" s="4" t="s">
        <v>478</v>
      </c>
      <c r="H88" s="27" t="s">
        <v>244</v>
      </c>
      <c r="I88" s="6" t="s">
        <v>479</v>
      </c>
      <c r="J88" s="9">
        <v>44650</v>
      </c>
      <c r="K88" s="10">
        <v>539064.9</v>
      </c>
      <c r="L88" s="11">
        <v>13260</v>
      </c>
      <c r="M88" s="9">
        <v>44650</v>
      </c>
      <c r="N88" s="9">
        <v>44926</v>
      </c>
      <c r="O88" s="6" t="s">
        <v>299</v>
      </c>
      <c r="P88" s="6" t="s">
        <v>106</v>
      </c>
      <c r="Q88" s="6" t="s">
        <v>156</v>
      </c>
      <c r="R88" s="6" t="s">
        <v>106</v>
      </c>
      <c r="S88" s="6" t="s">
        <v>121</v>
      </c>
      <c r="T88" s="6" t="s">
        <v>106</v>
      </c>
      <c r="U88" s="6" t="s">
        <v>106</v>
      </c>
      <c r="V88" s="6" t="s">
        <v>106</v>
      </c>
      <c r="W88" s="6" t="s">
        <v>106</v>
      </c>
      <c r="X88" s="6" t="s">
        <v>106</v>
      </c>
      <c r="Y88" s="6" t="s">
        <v>106</v>
      </c>
      <c r="Z88" s="6" t="s">
        <v>106</v>
      </c>
      <c r="AA88" s="6" t="s">
        <v>106</v>
      </c>
      <c r="AB88" s="10" t="s">
        <v>106</v>
      </c>
      <c r="AC88" s="10" t="s">
        <v>106</v>
      </c>
      <c r="AD88" s="10" t="s">
        <v>106</v>
      </c>
      <c r="AE88" s="10">
        <f>1568+17474.6+16228.8+1888+29944.84</f>
        <v>67104.239999999991</v>
      </c>
      <c r="AF88" s="10"/>
      <c r="AG88" s="41">
        <f t="shared" si="1"/>
        <v>67104.239999999991</v>
      </c>
    </row>
    <row r="89" spans="1:33" ht="38.25" x14ac:dyDescent="0.25">
      <c r="A89" s="14" t="s">
        <v>477</v>
      </c>
      <c r="B89" s="7" t="s">
        <v>484</v>
      </c>
      <c r="C89" s="7" t="s">
        <v>483</v>
      </c>
      <c r="D89" s="7" t="s">
        <v>59</v>
      </c>
      <c r="E89" s="7" t="s">
        <v>60</v>
      </c>
      <c r="F89" s="29" t="s">
        <v>302</v>
      </c>
      <c r="G89" s="4" t="s">
        <v>482</v>
      </c>
      <c r="H89" s="27" t="s">
        <v>485</v>
      </c>
      <c r="I89" s="6" t="s">
        <v>486</v>
      </c>
      <c r="J89" s="9">
        <v>44593</v>
      </c>
      <c r="K89" s="10">
        <v>30918.44</v>
      </c>
      <c r="L89" s="11">
        <v>13233</v>
      </c>
      <c r="M89" s="9">
        <v>44593</v>
      </c>
      <c r="N89" s="9">
        <v>44926</v>
      </c>
      <c r="O89" s="6" t="s">
        <v>299</v>
      </c>
      <c r="P89" s="6" t="s">
        <v>106</v>
      </c>
      <c r="Q89" s="6" t="s">
        <v>156</v>
      </c>
      <c r="R89" s="6" t="s">
        <v>106</v>
      </c>
      <c r="S89" s="6" t="s">
        <v>121</v>
      </c>
      <c r="T89" s="6" t="s">
        <v>106</v>
      </c>
      <c r="U89" s="6" t="s">
        <v>106</v>
      </c>
      <c r="V89" s="6" t="s">
        <v>106</v>
      </c>
      <c r="W89" s="6" t="s">
        <v>106</v>
      </c>
      <c r="X89" s="6" t="s">
        <v>106</v>
      </c>
      <c r="Y89" s="6" t="s">
        <v>106</v>
      </c>
      <c r="Z89" s="6" t="s">
        <v>106</v>
      </c>
      <c r="AA89" s="6" t="s">
        <v>106</v>
      </c>
      <c r="AB89" s="10" t="s">
        <v>106</v>
      </c>
      <c r="AC89" s="10" t="s">
        <v>106</v>
      </c>
      <c r="AD89" s="10" t="s">
        <v>106</v>
      </c>
      <c r="AE89" s="10">
        <f>9210.6</f>
        <v>9210.6</v>
      </c>
      <c r="AF89" s="10"/>
      <c r="AG89" s="41">
        <f t="shared" si="1"/>
        <v>9210.6</v>
      </c>
    </row>
    <row r="90" spans="1:33" ht="38.25" x14ac:dyDescent="0.25">
      <c r="A90" s="14" t="s">
        <v>481</v>
      </c>
      <c r="B90" s="7" t="s">
        <v>484</v>
      </c>
      <c r="C90" s="7" t="s">
        <v>489</v>
      </c>
      <c r="D90" s="7" t="s">
        <v>59</v>
      </c>
      <c r="E90" s="7" t="s">
        <v>60</v>
      </c>
      <c r="F90" s="29" t="s">
        <v>302</v>
      </c>
      <c r="G90" s="4" t="s">
        <v>488</v>
      </c>
      <c r="H90" s="27" t="s">
        <v>251</v>
      </c>
      <c r="I90" s="6" t="s">
        <v>252</v>
      </c>
      <c r="J90" s="9">
        <v>44592</v>
      </c>
      <c r="K90" s="10">
        <v>217674</v>
      </c>
      <c r="L90" s="11">
        <v>13222</v>
      </c>
      <c r="M90" s="9">
        <v>44592</v>
      </c>
      <c r="N90" s="9">
        <v>44926</v>
      </c>
      <c r="O90" s="6" t="s">
        <v>299</v>
      </c>
      <c r="P90" s="6" t="s">
        <v>106</v>
      </c>
      <c r="Q90" s="6" t="s">
        <v>156</v>
      </c>
      <c r="R90" s="6" t="s">
        <v>106</v>
      </c>
      <c r="S90" s="6" t="s">
        <v>121</v>
      </c>
      <c r="T90" s="6"/>
      <c r="U90" s="6" t="s">
        <v>106</v>
      </c>
      <c r="V90" s="6" t="s">
        <v>106</v>
      </c>
      <c r="W90" s="6" t="s">
        <v>106</v>
      </c>
      <c r="X90" s="6" t="s">
        <v>106</v>
      </c>
      <c r="Y90" s="6" t="s">
        <v>106</v>
      </c>
      <c r="Z90" s="6" t="s">
        <v>106</v>
      </c>
      <c r="AA90" s="6" t="s">
        <v>106</v>
      </c>
      <c r="AB90" s="10" t="s">
        <v>106</v>
      </c>
      <c r="AC90" s="10" t="s">
        <v>106</v>
      </c>
      <c r="AD90" s="10" t="s">
        <v>106</v>
      </c>
      <c r="AE90" s="10">
        <f>10440+10440+3132+3132+10440</f>
        <v>37584</v>
      </c>
      <c r="AF90" s="10"/>
      <c r="AG90" s="41">
        <f t="shared" si="1"/>
        <v>37584</v>
      </c>
    </row>
    <row r="91" spans="1:33" ht="38.25" x14ac:dyDescent="0.25">
      <c r="A91" s="14" t="s">
        <v>487</v>
      </c>
      <c r="B91" s="7" t="s">
        <v>493</v>
      </c>
      <c r="C91" s="7" t="s">
        <v>492</v>
      </c>
      <c r="D91" s="7" t="s">
        <v>59</v>
      </c>
      <c r="E91" s="7" t="s">
        <v>60</v>
      </c>
      <c r="F91" s="29" t="s">
        <v>302</v>
      </c>
      <c r="G91" s="4" t="s">
        <v>490</v>
      </c>
      <c r="H91" s="27" t="s">
        <v>491</v>
      </c>
      <c r="I91" s="6" t="s">
        <v>468</v>
      </c>
      <c r="J91" s="9">
        <v>44771</v>
      </c>
      <c r="K91" s="10">
        <v>12498.75</v>
      </c>
      <c r="L91" s="11">
        <v>13341</v>
      </c>
      <c r="M91" s="9">
        <v>44771</v>
      </c>
      <c r="N91" s="9">
        <v>44926</v>
      </c>
      <c r="O91" s="6" t="s">
        <v>299</v>
      </c>
      <c r="P91" s="6" t="s">
        <v>106</v>
      </c>
      <c r="Q91" s="6" t="s">
        <v>156</v>
      </c>
      <c r="R91" s="6" t="s">
        <v>106</v>
      </c>
      <c r="S91" s="6" t="s">
        <v>121</v>
      </c>
      <c r="T91" s="6" t="s">
        <v>106</v>
      </c>
      <c r="U91" s="6" t="s">
        <v>106</v>
      </c>
      <c r="V91" s="6" t="s">
        <v>106</v>
      </c>
      <c r="W91" s="6" t="s">
        <v>106</v>
      </c>
      <c r="X91" s="6" t="s">
        <v>106</v>
      </c>
      <c r="Y91" s="6" t="s">
        <v>106</v>
      </c>
      <c r="Z91" s="6" t="s">
        <v>106</v>
      </c>
      <c r="AA91" s="6" t="s">
        <v>106</v>
      </c>
      <c r="AB91" s="10" t="s">
        <v>106</v>
      </c>
      <c r="AC91" s="10" t="s">
        <v>106</v>
      </c>
      <c r="AD91" s="10" t="s">
        <v>106</v>
      </c>
      <c r="AE91" s="10">
        <f>5499.45+5332.8</f>
        <v>10832.25</v>
      </c>
      <c r="AF91" s="10"/>
      <c r="AG91" s="41">
        <f t="shared" si="1"/>
        <v>10832.25</v>
      </c>
    </row>
    <row r="92" spans="1:33" ht="38.25" x14ac:dyDescent="0.25">
      <c r="A92" s="14" t="s">
        <v>494</v>
      </c>
      <c r="B92" s="7" t="s">
        <v>496</v>
      </c>
      <c r="C92" s="7" t="s">
        <v>497</v>
      </c>
      <c r="D92" s="7" t="s">
        <v>59</v>
      </c>
      <c r="E92" s="7" t="s">
        <v>60</v>
      </c>
      <c r="F92" s="29" t="s">
        <v>302</v>
      </c>
      <c r="G92" s="4" t="s">
        <v>498</v>
      </c>
      <c r="H92" s="27" t="s">
        <v>499</v>
      </c>
      <c r="I92" s="6" t="s">
        <v>500</v>
      </c>
      <c r="J92" s="9">
        <v>44606</v>
      </c>
      <c r="K92" s="10">
        <v>77330.649999999994</v>
      </c>
      <c r="L92" s="11">
        <v>13247</v>
      </c>
      <c r="M92" s="9">
        <v>44606</v>
      </c>
      <c r="N92" s="9">
        <v>44926</v>
      </c>
      <c r="O92" s="6" t="s">
        <v>299</v>
      </c>
      <c r="P92" s="6" t="s">
        <v>106</v>
      </c>
      <c r="Q92" s="6" t="s">
        <v>156</v>
      </c>
      <c r="R92" s="6" t="s">
        <v>106</v>
      </c>
      <c r="S92" s="6" t="s">
        <v>309</v>
      </c>
      <c r="T92" s="6" t="s">
        <v>106</v>
      </c>
      <c r="U92" s="6" t="s">
        <v>106</v>
      </c>
      <c r="V92" s="6" t="s">
        <v>106</v>
      </c>
      <c r="W92" s="6" t="s">
        <v>106</v>
      </c>
      <c r="X92" s="6" t="s">
        <v>106</v>
      </c>
      <c r="Y92" s="6" t="s">
        <v>106</v>
      </c>
      <c r="Z92" s="6" t="s">
        <v>106</v>
      </c>
      <c r="AA92" s="6" t="s">
        <v>106</v>
      </c>
      <c r="AB92" s="10" t="s">
        <v>106</v>
      </c>
      <c r="AC92" s="10" t="s">
        <v>106</v>
      </c>
      <c r="AD92" s="10" t="s">
        <v>106</v>
      </c>
      <c r="AE92" s="10">
        <f>2791.98+1069.99</f>
        <v>3861.9700000000003</v>
      </c>
      <c r="AF92" s="10"/>
      <c r="AG92" s="41">
        <f t="shared" si="1"/>
        <v>3861.9700000000003</v>
      </c>
    </row>
    <row r="93" spans="1:33" ht="38.25" x14ac:dyDescent="0.25">
      <c r="A93" s="14" t="s">
        <v>495</v>
      </c>
      <c r="B93" s="7" t="s">
        <v>447</v>
      </c>
      <c r="C93" s="7" t="s">
        <v>448</v>
      </c>
      <c r="D93" s="7" t="s">
        <v>59</v>
      </c>
      <c r="E93" s="7" t="s">
        <v>60</v>
      </c>
      <c r="F93" s="29" t="s">
        <v>302</v>
      </c>
      <c r="G93" s="4" t="s">
        <v>502</v>
      </c>
      <c r="H93" s="27" t="s">
        <v>503</v>
      </c>
      <c r="I93" s="6" t="s">
        <v>228</v>
      </c>
      <c r="J93" s="9">
        <v>44627</v>
      </c>
      <c r="K93" s="10">
        <v>689400</v>
      </c>
      <c r="L93" s="11">
        <v>13244</v>
      </c>
      <c r="M93" s="9">
        <v>44627</v>
      </c>
      <c r="N93" s="9">
        <v>44926</v>
      </c>
      <c r="O93" s="6" t="s">
        <v>299</v>
      </c>
      <c r="P93" s="6" t="s">
        <v>106</v>
      </c>
      <c r="Q93" s="6" t="s">
        <v>156</v>
      </c>
      <c r="R93" s="6" t="s">
        <v>106</v>
      </c>
      <c r="S93" s="6" t="s">
        <v>121</v>
      </c>
      <c r="T93" s="6" t="s">
        <v>106</v>
      </c>
      <c r="U93" s="6" t="s">
        <v>106</v>
      </c>
      <c r="V93" s="6" t="s">
        <v>106</v>
      </c>
      <c r="W93" s="6" t="s">
        <v>106</v>
      </c>
      <c r="X93" s="6" t="s">
        <v>106</v>
      </c>
      <c r="Y93" s="6" t="s">
        <v>106</v>
      </c>
      <c r="Z93" s="6" t="s">
        <v>106</v>
      </c>
      <c r="AA93" s="6" t="s">
        <v>106</v>
      </c>
      <c r="AB93" s="10" t="s">
        <v>106</v>
      </c>
      <c r="AC93" s="10" t="s">
        <v>106</v>
      </c>
      <c r="AD93" s="10" t="s">
        <v>106</v>
      </c>
      <c r="AE93" s="10">
        <f>22563.6+38784.1+18095.9+23344.9</f>
        <v>102788.5</v>
      </c>
      <c r="AF93" s="10"/>
      <c r="AG93" s="41">
        <f t="shared" si="1"/>
        <v>102788.5</v>
      </c>
    </row>
    <row r="94" spans="1:33" ht="38.25" x14ac:dyDescent="0.25">
      <c r="A94" s="14" t="s">
        <v>501</v>
      </c>
      <c r="B94" s="7" t="s">
        <v>457</v>
      </c>
      <c r="C94" s="7" t="s">
        <v>506</v>
      </c>
      <c r="D94" s="7" t="s">
        <v>59</v>
      </c>
      <c r="E94" s="7" t="s">
        <v>60</v>
      </c>
      <c r="F94" s="29" t="s">
        <v>302</v>
      </c>
      <c r="G94" s="4" t="s">
        <v>505</v>
      </c>
      <c r="H94" s="27" t="s">
        <v>503</v>
      </c>
      <c r="I94" s="6" t="s">
        <v>228</v>
      </c>
      <c r="J94" s="9">
        <v>44628</v>
      </c>
      <c r="K94" s="10">
        <v>76180</v>
      </c>
      <c r="L94" s="11">
        <v>13244</v>
      </c>
      <c r="M94" s="9">
        <v>44628</v>
      </c>
      <c r="N94" s="9">
        <v>44926</v>
      </c>
      <c r="O94" s="6" t="s">
        <v>544</v>
      </c>
      <c r="P94" s="6" t="s">
        <v>106</v>
      </c>
      <c r="Q94" s="6" t="s">
        <v>156</v>
      </c>
      <c r="R94" s="6" t="s">
        <v>106</v>
      </c>
      <c r="S94" s="6" t="s">
        <v>121</v>
      </c>
      <c r="T94" s="6"/>
      <c r="U94" s="6"/>
      <c r="V94" s="6"/>
      <c r="W94" s="6"/>
      <c r="X94" s="6"/>
      <c r="Y94" s="6"/>
      <c r="Z94" s="6"/>
      <c r="AA94" s="6"/>
      <c r="AB94" s="10"/>
      <c r="AC94" s="10"/>
      <c r="AD94" s="10"/>
      <c r="AE94" s="10">
        <f>3309.6+7606.5</f>
        <v>10916.1</v>
      </c>
      <c r="AF94" s="10"/>
      <c r="AG94" s="41">
        <f t="shared" si="1"/>
        <v>10916.1</v>
      </c>
    </row>
    <row r="95" spans="1:33" ht="38.25" x14ac:dyDescent="0.25">
      <c r="A95" s="14" t="s">
        <v>504</v>
      </c>
      <c r="B95" s="7" t="s">
        <v>339</v>
      </c>
      <c r="C95" s="7" t="s">
        <v>508</v>
      </c>
      <c r="D95" s="7" t="s">
        <v>59</v>
      </c>
      <c r="E95" s="7" t="s">
        <v>60</v>
      </c>
      <c r="F95" s="29" t="s">
        <v>302</v>
      </c>
      <c r="G95" s="4" t="s">
        <v>509</v>
      </c>
      <c r="H95" s="27" t="s">
        <v>510</v>
      </c>
      <c r="I95" s="6" t="s">
        <v>511</v>
      </c>
      <c r="J95" s="9">
        <v>44606</v>
      </c>
      <c r="K95" s="10">
        <v>90780</v>
      </c>
      <c r="L95" s="11">
        <v>13232</v>
      </c>
      <c r="M95" s="9">
        <v>44606</v>
      </c>
      <c r="N95" s="9">
        <v>44970</v>
      </c>
      <c r="O95" s="6" t="s">
        <v>299</v>
      </c>
      <c r="P95" s="6" t="s">
        <v>106</v>
      </c>
      <c r="Q95" s="6" t="s">
        <v>156</v>
      </c>
      <c r="R95" s="6" t="s">
        <v>106</v>
      </c>
      <c r="S95" s="6" t="s">
        <v>121</v>
      </c>
      <c r="T95" s="6"/>
      <c r="U95" s="6"/>
      <c r="V95" s="6"/>
      <c r="W95" s="6"/>
      <c r="X95" s="6"/>
      <c r="Y95" s="6"/>
      <c r="Z95" s="6"/>
      <c r="AA95" s="6"/>
      <c r="AB95" s="10"/>
      <c r="AC95" s="10"/>
      <c r="AD95" s="10"/>
      <c r="AE95" s="10">
        <f>15130</f>
        <v>15130</v>
      </c>
      <c r="AF95" s="10"/>
      <c r="AG95" s="41">
        <f t="shared" si="1"/>
        <v>15130</v>
      </c>
    </row>
    <row r="96" spans="1:33" ht="38.25" x14ac:dyDescent="0.25">
      <c r="A96" s="14" t="s">
        <v>507</v>
      </c>
      <c r="B96" s="7" t="s">
        <v>442</v>
      </c>
      <c r="C96" s="7" t="s">
        <v>513</v>
      </c>
      <c r="D96" s="7" t="s">
        <v>59</v>
      </c>
      <c r="E96" s="7" t="s">
        <v>60</v>
      </c>
      <c r="F96" s="29" t="s">
        <v>302</v>
      </c>
      <c r="G96" s="4" t="s">
        <v>514</v>
      </c>
      <c r="H96" s="27" t="s">
        <v>515</v>
      </c>
      <c r="I96" s="6" t="s">
        <v>516</v>
      </c>
      <c r="J96" s="9">
        <v>44671</v>
      </c>
      <c r="K96" s="10">
        <v>83590</v>
      </c>
      <c r="L96" s="11">
        <v>13274</v>
      </c>
      <c r="M96" s="9">
        <v>44671</v>
      </c>
      <c r="N96" s="9">
        <v>44926</v>
      </c>
      <c r="O96" s="6" t="s">
        <v>299</v>
      </c>
      <c r="P96" s="6" t="s">
        <v>106</v>
      </c>
      <c r="Q96" s="6" t="s">
        <v>156</v>
      </c>
      <c r="R96" s="6" t="s">
        <v>106</v>
      </c>
      <c r="S96" s="6" t="s">
        <v>121</v>
      </c>
      <c r="T96" s="6"/>
      <c r="U96" s="6"/>
      <c r="V96" s="6"/>
      <c r="W96" s="6"/>
      <c r="X96" s="6"/>
      <c r="Y96" s="6"/>
      <c r="Z96" s="6"/>
      <c r="AA96" s="6"/>
      <c r="AB96" s="10"/>
      <c r="AC96" s="10"/>
      <c r="AD96" s="10"/>
      <c r="AE96" s="10">
        <f>4537+79.2</f>
        <v>4616.2</v>
      </c>
      <c r="AF96" s="10">
        <f>6929</f>
        <v>6929</v>
      </c>
      <c r="AG96" s="41">
        <f t="shared" si="1"/>
        <v>11545.2</v>
      </c>
    </row>
    <row r="97" spans="1:33" ht="38.25" x14ac:dyDescent="0.25">
      <c r="A97" s="14" t="s">
        <v>512</v>
      </c>
      <c r="B97" s="7" t="s">
        <v>518</v>
      </c>
      <c r="C97" s="7" t="s">
        <v>519</v>
      </c>
      <c r="D97" s="7" t="s">
        <v>59</v>
      </c>
      <c r="E97" s="7" t="s">
        <v>60</v>
      </c>
      <c r="F97" s="29" t="s">
        <v>302</v>
      </c>
      <c r="G97" s="4" t="s">
        <v>520</v>
      </c>
      <c r="H97" s="27" t="s">
        <v>521</v>
      </c>
      <c r="I97" s="6" t="s">
        <v>522</v>
      </c>
      <c r="J97" s="9">
        <v>44664</v>
      </c>
      <c r="K97" s="10">
        <v>180000</v>
      </c>
      <c r="L97" s="11">
        <v>13271</v>
      </c>
      <c r="M97" s="9">
        <v>44664</v>
      </c>
      <c r="N97" s="9">
        <v>44663</v>
      </c>
      <c r="O97" s="6" t="s">
        <v>155</v>
      </c>
      <c r="P97" s="6" t="s">
        <v>106</v>
      </c>
      <c r="Q97" s="6" t="s">
        <v>156</v>
      </c>
      <c r="R97" s="6" t="s">
        <v>106</v>
      </c>
      <c r="S97" s="6" t="s">
        <v>61</v>
      </c>
      <c r="T97" s="6"/>
      <c r="U97" s="6"/>
      <c r="V97" s="6"/>
      <c r="W97" s="6"/>
      <c r="X97" s="6"/>
      <c r="Y97" s="6"/>
      <c r="Z97" s="6"/>
      <c r="AA97" s="6"/>
      <c r="AB97" s="10"/>
      <c r="AC97" s="10"/>
      <c r="AD97" s="10"/>
      <c r="AE97" s="10">
        <f>1000+1000+3000+3000+3000+3000</f>
        <v>14000</v>
      </c>
      <c r="AF97" s="10">
        <f>3000</f>
        <v>3000</v>
      </c>
      <c r="AG97" s="41">
        <f t="shared" si="1"/>
        <v>17000</v>
      </c>
    </row>
    <row r="98" spans="1:33" ht="38.25" x14ac:dyDescent="0.25">
      <c r="A98" s="14" t="s">
        <v>517</v>
      </c>
      <c r="B98" s="7" t="s">
        <v>453</v>
      </c>
      <c r="C98" s="7" t="s">
        <v>528</v>
      </c>
      <c r="D98" s="7" t="s">
        <v>59</v>
      </c>
      <c r="E98" s="7" t="s">
        <v>60</v>
      </c>
      <c r="F98" s="29" t="s">
        <v>302</v>
      </c>
      <c r="G98" s="4" t="s">
        <v>524</v>
      </c>
      <c r="H98" s="27" t="s">
        <v>525</v>
      </c>
      <c r="I98" s="6" t="s">
        <v>526</v>
      </c>
      <c r="J98" s="9">
        <v>44655</v>
      </c>
      <c r="K98" s="10">
        <v>261965</v>
      </c>
      <c r="L98" s="11">
        <v>13260</v>
      </c>
      <c r="M98" s="9">
        <v>44655</v>
      </c>
      <c r="N98" s="9">
        <v>44926</v>
      </c>
      <c r="O98" s="6" t="s">
        <v>544</v>
      </c>
      <c r="P98" s="6" t="s">
        <v>106</v>
      </c>
      <c r="Q98" s="6" t="s">
        <v>156</v>
      </c>
      <c r="R98" s="6" t="s">
        <v>106</v>
      </c>
      <c r="S98" s="6" t="s">
        <v>121</v>
      </c>
      <c r="T98" s="6"/>
      <c r="U98" s="6"/>
      <c r="V98" s="6"/>
      <c r="W98" s="6"/>
      <c r="X98" s="6"/>
      <c r="Y98" s="6"/>
      <c r="Z98" s="6"/>
      <c r="AA98" s="6"/>
      <c r="AB98" s="10"/>
      <c r="AC98" s="10"/>
      <c r="AD98" s="10"/>
      <c r="AE98" s="10">
        <f>5823</f>
        <v>5823</v>
      </c>
      <c r="AF98" s="10"/>
      <c r="AG98" s="41">
        <f t="shared" si="1"/>
        <v>5823</v>
      </c>
    </row>
    <row r="99" spans="1:33" ht="38.25" x14ac:dyDescent="0.25">
      <c r="A99" s="14" t="s">
        <v>523</v>
      </c>
      <c r="B99" s="7" t="s">
        <v>360</v>
      </c>
      <c r="C99" s="7" t="s">
        <v>529</v>
      </c>
      <c r="D99" s="7" t="s">
        <v>59</v>
      </c>
      <c r="E99" s="7" t="s">
        <v>60</v>
      </c>
      <c r="F99" s="29" t="s">
        <v>302</v>
      </c>
      <c r="G99" s="4" t="s">
        <v>530</v>
      </c>
      <c r="H99" s="27" t="s">
        <v>531</v>
      </c>
      <c r="I99" s="6" t="s">
        <v>532</v>
      </c>
      <c r="J99" s="9">
        <v>44627</v>
      </c>
      <c r="K99" s="10">
        <v>11600</v>
      </c>
      <c r="L99" s="11">
        <v>13245</v>
      </c>
      <c r="M99" s="9">
        <v>44627</v>
      </c>
      <c r="N99" s="9">
        <v>44926</v>
      </c>
      <c r="O99" s="6" t="s">
        <v>544</v>
      </c>
      <c r="P99" s="6" t="s">
        <v>106</v>
      </c>
      <c r="Q99" s="6" t="s">
        <v>156</v>
      </c>
      <c r="R99" s="6" t="s">
        <v>106</v>
      </c>
      <c r="S99" s="6" t="s">
        <v>121</v>
      </c>
      <c r="T99" s="6"/>
      <c r="U99" s="6"/>
      <c r="V99" s="6"/>
      <c r="W99" s="6"/>
      <c r="X99" s="6"/>
      <c r="Y99" s="6"/>
      <c r="Z99" s="6"/>
      <c r="AA99" s="6"/>
      <c r="AB99" s="10"/>
      <c r="AC99" s="10"/>
      <c r="AD99" s="10"/>
      <c r="AE99" s="10">
        <f>288+134.85+680.34+96+641.65+200+48</f>
        <v>2088.84</v>
      </c>
      <c r="AF99" s="10"/>
      <c r="AG99" s="41">
        <f t="shared" si="1"/>
        <v>2088.84</v>
      </c>
    </row>
    <row r="100" spans="1:33" ht="38.25" x14ac:dyDescent="0.25">
      <c r="A100" s="14" t="s">
        <v>527</v>
      </c>
      <c r="B100" s="7" t="s">
        <v>496</v>
      </c>
      <c r="C100" s="7" t="s">
        <v>534</v>
      </c>
      <c r="D100" s="7" t="s">
        <v>59</v>
      </c>
      <c r="E100" s="7" t="s">
        <v>60</v>
      </c>
      <c r="F100" s="29" t="s">
        <v>302</v>
      </c>
      <c r="G100" s="4" t="s">
        <v>535</v>
      </c>
      <c r="H100" s="27" t="s">
        <v>536</v>
      </c>
      <c r="I100" s="6" t="s">
        <v>537</v>
      </c>
      <c r="J100" s="9">
        <v>44606</v>
      </c>
      <c r="K100" s="10">
        <v>73045.600000000006</v>
      </c>
      <c r="L100" s="11">
        <v>13245</v>
      </c>
      <c r="M100" s="9">
        <v>44606</v>
      </c>
      <c r="N100" s="9">
        <v>44926</v>
      </c>
      <c r="O100" s="6" t="s">
        <v>299</v>
      </c>
      <c r="P100" s="6" t="s">
        <v>106</v>
      </c>
      <c r="Q100" s="6" t="s">
        <v>156</v>
      </c>
      <c r="R100" s="6" t="s">
        <v>106</v>
      </c>
      <c r="S100" s="6" t="s">
        <v>309</v>
      </c>
      <c r="T100" s="6"/>
      <c r="U100" s="6"/>
      <c r="V100" s="6"/>
      <c r="W100" s="6"/>
      <c r="X100" s="6"/>
      <c r="Y100" s="6"/>
      <c r="Z100" s="6"/>
      <c r="AA100" s="6"/>
      <c r="AB100" s="10"/>
      <c r="AC100" s="10"/>
      <c r="AD100" s="10"/>
      <c r="AE100" s="10">
        <f>1431+1945.02</f>
        <v>3376.02</v>
      </c>
      <c r="AF100" s="10"/>
      <c r="AG100" s="41">
        <f t="shared" si="1"/>
        <v>3376.02</v>
      </c>
    </row>
    <row r="101" spans="1:33" ht="38.25" x14ac:dyDescent="0.25">
      <c r="A101" s="14" t="s">
        <v>533</v>
      </c>
      <c r="B101" s="7" t="s">
        <v>539</v>
      </c>
      <c r="C101" s="7" t="s">
        <v>540</v>
      </c>
      <c r="D101" s="7" t="s">
        <v>59</v>
      </c>
      <c r="E101" s="7" t="s">
        <v>60</v>
      </c>
      <c r="F101" s="29" t="s">
        <v>302</v>
      </c>
      <c r="G101" s="4" t="s">
        <v>541</v>
      </c>
      <c r="H101" s="27" t="s">
        <v>542</v>
      </c>
      <c r="I101" s="6" t="s">
        <v>266</v>
      </c>
      <c r="J101" s="9">
        <v>44239</v>
      </c>
      <c r="K101" s="10">
        <v>129528</v>
      </c>
      <c r="L101" s="11">
        <v>12991</v>
      </c>
      <c r="M101" s="9">
        <v>44239</v>
      </c>
      <c r="N101" s="9">
        <v>44603</v>
      </c>
      <c r="O101" s="6" t="s">
        <v>543</v>
      </c>
      <c r="P101" s="6" t="s">
        <v>106</v>
      </c>
      <c r="Q101" s="6" t="s">
        <v>156</v>
      </c>
      <c r="R101" s="6" t="s">
        <v>106</v>
      </c>
      <c r="S101" s="6" t="s">
        <v>61</v>
      </c>
      <c r="T101" s="6">
        <v>2</v>
      </c>
      <c r="U101" s="9">
        <v>44967</v>
      </c>
      <c r="V101" s="11">
        <v>13484</v>
      </c>
      <c r="W101" s="6" t="s">
        <v>62</v>
      </c>
      <c r="X101" s="9">
        <v>44970</v>
      </c>
      <c r="Y101" s="9">
        <v>45334</v>
      </c>
      <c r="Z101" s="6"/>
      <c r="AA101" s="6"/>
      <c r="AB101" s="10"/>
      <c r="AC101" s="10"/>
      <c r="AD101" s="10"/>
      <c r="AE101" s="10">
        <f>2278.74+3598+3598+3598</f>
        <v>13072.74</v>
      </c>
      <c r="AF101" s="10">
        <f>3598+3598</f>
        <v>7196</v>
      </c>
      <c r="AG101" s="41">
        <f t="shared" si="1"/>
        <v>20268.739999999998</v>
      </c>
    </row>
    <row r="102" spans="1:33" ht="38.25" x14ac:dyDescent="0.25">
      <c r="A102" s="14" t="s">
        <v>538</v>
      </c>
      <c r="B102" s="7" t="s">
        <v>349</v>
      </c>
      <c r="C102" s="7" t="s">
        <v>550</v>
      </c>
      <c r="D102" s="7" t="s">
        <v>59</v>
      </c>
      <c r="E102" s="7" t="s">
        <v>60</v>
      </c>
      <c r="F102" s="29" t="s">
        <v>302</v>
      </c>
      <c r="G102" s="4" t="s">
        <v>548</v>
      </c>
      <c r="H102" s="27" t="s">
        <v>347</v>
      </c>
      <c r="I102" s="6" t="s">
        <v>549</v>
      </c>
      <c r="J102" s="9">
        <v>44757</v>
      </c>
      <c r="K102" s="10">
        <v>506000</v>
      </c>
      <c r="L102" s="11">
        <v>13331</v>
      </c>
      <c r="M102" s="9">
        <v>44757</v>
      </c>
      <c r="N102" s="9">
        <v>44926</v>
      </c>
      <c r="O102" s="6" t="s">
        <v>565</v>
      </c>
      <c r="P102" s="6" t="s">
        <v>106</v>
      </c>
      <c r="Q102" s="6" t="s">
        <v>156</v>
      </c>
      <c r="R102" s="6" t="s">
        <v>106</v>
      </c>
      <c r="S102" s="6" t="s">
        <v>121</v>
      </c>
      <c r="T102" s="6"/>
      <c r="U102" s="6"/>
      <c r="V102" s="6"/>
      <c r="W102" s="6"/>
      <c r="X102" s="6"/>
      <c r="Y102" s="6"/>
      <c r="Z102" s="6"/>
      <c r="AA102" s="6"/>
      <c r="AB102" s="10"/>
      <c r="AC102" s="10"/>
      <c r="AD102" s="10"/>
      <c r="AE102" s="10">
        <f>632.5</f>
        <v>632.5</v>
      </c>
      <c r="AF102" s="10"/>
      <c r="AG102" s="41">
        <f t="shared" si="1"/>
        <v>632.5</v>
      </c>
    </row>
    <row r="103" spans="1:33" ht="38.25" x14ac:dyDescent="0.25">
      <c r="A103" s="14" t="s">
        <v>545</v>
      </c>
      <c r="B103" s="7" t="s">
        <v>553</v>
      </c>
      <c r="C103" s="7" t="s">
        <v>554</v>
      </c>
      <c r="D103" s="7" t="s">
        <v>59</v>
      </c>
      <c r="E103" s="7" t="s">
        <v>60</v>
      </c>
      <c r="F103" s="29" t="s">
        <v>302</v>
      </c>
      <c r="G103" s="4" t="s">
        <v>555</v>
      </c>
      <c r="H103" s="27" t="s">
        <v>556</v>
      </c>
      <c r="I103" s="12" t="s">
        <v>557</v>
      </c>
      <c r="J103" s="9">
        <v>44784</v>
      </c>
      <c r="K103" s="10">
        <v>133500</v>
      </c>
      <c r="L103" s="11">
        <v>13350</v>
      </c>
      <c r="M103" s="9">
        <v>44784</v>
      </c>
      <c r="N103" s="9">
        <v>44926</v>
      </c>
      <c r="O103" s="6" t="s">
        <v>155</v>
      </c>
      <c r="P103" s="6" t="s">
        <v>106</v>
      </c>
      <c r="Q103" s="6" t="s">
        <v>156</v>
      </c>
      <c r="R103" s="6" t="s">
        <v>106</v>
      </c>
      <c r="S103" s="6" t="s">
        <v>61</v>
      </c>
      <c r="T103" s="6"/>
      <c r="U103" s="6"/>
      <c r="V103" s="6"/>
      <c r="W103" s="6"/>
      <c r="X103" s="6"/>
      <c r="Y103" s="6"/>
      <c r="Z103" s="6"/>
      <c r="AA103" s="6"/>
      <c r="AB103" s="10"/>
      <c r="AC103" s="10"/>
      <c r="AD103" s="10"/>
      <c r="AE103" s="10">
        <f>489.5+4450+8410.5</f>
        <v>13350</v>
      </c>
      <c r="AF103" s="10"/>
      <c r="AG103" s="41">
        <f t="shared" si="1"/>
        <v>13350</v>
      </c>
    </row>
    <row r="104" spans="1:33" ht="38.25" x14ac:dyDescent="0.25">
      <c r="A104" s="14" t="s">
        <v>551</v>
      </c>
      <c r="B104" s="7" t="s">
        <v>547</v>
      </c>
      <c r="C104" s="7" t="s">
        <v>546</v>
      </c>
      <c r="D104" s="7" t="s">
        <v>59</v>
      </c>
      <c r="E104" s="7" t="s">
        <v>60</v>
      </c>
      <c r="F104" s="29" t="s">
        <v>302</v>
      </c>
      <c r="G104" s="4" t="s">
        <v>559</v>
      </c>
      <c r="H104" s="27" t="s">
        <v>560</v>
      </c>
      <c r="I104" s="12" t="s">
        <v>561</v>
      </c>
      <c r="J104" s="9">
        <v>43663</v>
      </c>
      <c r="K104" s="10">
        <v>199200</v>
      </c>
      <c r="L104" s="11">
        <v>12600</v>
      </c>
      <c r="M104" s="9">
        <v>43663</v>
      </c>
      <c r="N104" s="9">
        <v>43830</v>
      </c>
      <c r="O104" s="6">
        <v>106</v>
      </c>
      <c r="P104" s="6" t="s">
        <v>106</v>
      </c>
      <c r="Q104" s="6" t="s">
        <v>156</v>
      </c>
      <c r="R104" s="6" t="s">
        <v>106</v>
      </c>
      <c r="S104" s="6" t="s">
        <v>566</v>
      </c>
      <c r="T104" s="6">
        <v>7</v>
      </c>
      <c r="U104" s="9">
        <v>44764</v>
      </c>
      <c r="V104" s="11">
        <v>13341</v>
      </c>
      <c r="W104" s="6" t="s">
        <v>62</v>
      </c>
      <c r="X104" s="9">
        <v>44767</v>
      </c>
      <c r="Y104" s="9">
        <v>44950</v>
      </c>
      <c r="Z104" s="6"/>
      <c r="AA104" s="6"/>
      <c r="AB104" s="10"/>
      <c r="AC104" s="10"/>
      <c r="AD104" s="10"/>
      <c r="AE104" s="10">
        <f>64000</f>
        <v>64000</v>
      </c>
      <c r="AF104" s="10"/>
      <c r="AG104" s="41">
        <f t="shared" si="1"/>
        <v>64000</v>
      </c>
    </row>
    <row r="105" spans="1:33" ht="38.25" x14ac:dyDescent="0.25">
      <c r="A105" s="14" t="s">
        <v>552</v>
      </c>
      <c r="B105" s="7" t="s">
        <v>547</v>
      </c>
      <c r="C105" s="7" t="s">
        <v>546</v>
      </c>
      <c r="D105" s="7" t="s">
        <v>59</v>
      </c>
      <c r="E105" s="7" t="s">
        <v>60</v>
      </c>
      <c r="F105" s="29" t="s">
        <v>302</v>
      </c>
      <c r="G105" s="4" t="s">
        <v>563</v>
      </c>
      <c r="H105" s="27" t="s">
        <v>560</v>
      </c>
      <c r="I105" s="12" t="s">
        <v>561</v>
      </c>
      <c r="J105" s="9">
        <v>43663</v>
      </c>
      <c r="K105" s="10">
        <v>119200</v>
      </c>
      <c r="L105" s="11">
        <v>12600</v>
      </c>
      <c r="M105" s="9">
        <v>43663</v>
      </c>
      <c r="N105" s="9">
        <v>43830</v>
      </c>
      <c r="O105" s="6">
        <v>106</v>
      </c>
      <c r="P105" s="6" t="s">
        <v>106</v>
      </c>
      <c r="Q105" s="6" t="s">
        <v>156</v>
      </c>
      <c r="R105" s="6" t="s">
        <v>106</v>
      </c>
      <c r="S105" s="6" t="s">
        <v>566</v>
      </c>
      <c r="T105" s="6">
        <v>6</v>
      </c>
      <c r="U105" s="9">
        <v>44770</v>
      </c>
      <c r="V105" s="11">
        <v>13341</v>
      </c>
      <c r="W105" s="6" t="s">
        <v>62</v>
      </c>
      <c r="X105" s="9">
        <v>44774</v>
      </c>
      <c r="Y105" s="9">
        <v>44958</v>
      </c>
      <c r="Z105" s="6"/>
      <c r="AA105" s="6"/>
      <c r="AB105" s="10"/>
      <c r="AC105" s="10"/>
      <c r="AD105" s="10"/>
      <c r="AE105" s="10">
        <f>29800</f>
        <v>29800</v>
      </c>
      <c r="AF105" s="10"/>
      <c r="AG105" s="41">
        <f t="shared" si="1"/>
        <v>29800</v>
      </c>
    </row>
    <row r="106" spans="1:33" ht="38.25" x14ac:dyDescent="0.25">
      <c r="A106" s="14" t="s">
        <v>558</v>
      </c>
      <c r="B106" s="7" t="s">
        <v>547</v>
      </c>
      <c r="C106" s="7" t="s">
        <v>546</v>
      </c>
      <c r="D106" s="7" t="s">
        <v>59</v>
      </c>
      <c r="E106" s="7" t="s">
        <v>60</v>
      </c>
      <c r="F106" s="29" t="s">
        <v>302</v>
      </c>
      <c r="G106" s="4" t="s">
        <v>564</v>
      </c>
      <c r="H106" s="27" t="s">
        <v>560</v>
      </c>
      <c r="I106" s="12" t="s">
        <v>561</v>
      </c>
      <c r="J106" s="9">
        <v>43663</v>
      </c>
      <c r="K106" s="10">
        <v>76600</v>
      </c>
      <c r="L106" s="11">
        <v>12600</v>
      </c>
      <c r="M106" s="9">
        <v>43663</v>
      </c>
      <c r="N106" s="9">
        <v>43830</v>
      </c>
      <c r="O106" s="6">
        <v>106</v>
      </c>
      <c r="P106" s="6" t="s">
        <v>106</v>
      </c>
      <c r="Q106" s="6" t="s">
        <v>156</v>
      </c>
      <c r="R106" s="6" t="s">
        <v>106</v>
      </c>
      <c r="S106" s="6" t="s">
        <v>566</v>
      </c>
      <c r="T106" s="6">
        <v>7</v>
      </c>
      <c r="U106" s="9">
        <v>44767</v>
      </c>
      <c r="V106" s="11">
        <v>13341</v>
      </c>
      <c r="W106" s="6" t="s">
        <v>62</v>
      </c>
      <c r="X106" s="9">
        <v>44774</v>
      </c>
      <c r="Y106" s="9">
        <v>44958</v>
      </c>
      <c r="Z106" s="6"/>
      <c r="AA106" s="6"/>
      <c r="AB106" s="10"/>
      <c r="AC106" s="10"/>
      <c r="AD106" s="10"/>
      <c r="AE106" s="10">
        <v>12599</v>
      </c>
      <c r="AF106" s="10"/>
      <c r="AG106" s="41">
        <f t="shared" si="1"/>
        <v>12599</v>
      </c>
    </row>
    <row r="107" spans="1:33" ht="38.25" x14ac:dyDescent="0.25">
      <c r="A107" s="14" t="s">
        <v>562</v>
      </c>
      <c r="B107" s="7" t="s">
        <v>569</v>
      </c>
      <c r="C107" s="7" t="s">
        <v>570</v>
      </c>
      <c r="D107" s="7" t="s">
        <v>59</v>
      </c>
      <c r="E107" s="7" t="s">
        <v>60</v>
      </c>
      <c r="F107" s="29" t="s">
        <v>302</v>
      </c>
      <c r="G107" s="4" t="s">
        <v>571</v>
      </c>
      <c r="H107" s="27" t="s">
        <v>525</v>
      </c>
      <c r="I107" s="12" t="s">
        <v>526</v>
      </c>
      <c r="J107" s="9">
        <v>44603</v>
      </c>
      <c r="K107" s="10">
        <v>12940.2</v>
      </c>
      <c r="L107" s="11">
        <v>13250</v>
      </c>
      <c r="M107" s="9">
        <v>44603</v>
      </c>
      <c r="N107" s="9">
        <v>44926</v>
      </c>
      <c r="O107" s="6" t="s">
        <v>299</v>
      </c>
      <c r="P107" s="6" t="s">
        <v>106</v>
      </c>
      <c r="Q107" s="6" t="s">
        <v>156</v>
      </c>
      <c r="R107" s="6" t="s">
        <v>106</v>
      </c>
      <c r="S107" s="6" t="s">
        <v>121</v>
      </c>
      <c r="T107" s="6"/>
      <c r="U107" s="9"/>
      <c r="V107" s="11"/>
      <c r="W107" s="6"/>
      <c r="X107" s="9"/>
      <c r="Y107" s="9"/>
      <c r="Z107" s="6"/>
      <c r="AA107" s="6"/>
      <c r="AB107" s="10"/>
      <c r="AC107" s="10"/>
      <c r="AD107" s="10"/>
      <c r="AE107" s="10">
        <f>7963.2</f>
        <v>7963.2</v>
      </c>
      <c r="AF107" s="10"/>
      <c r="AG107" s="41">
        <f t="shared" si="1"/>
        <v>7963.2</v>
      </c>
    </row>
    <row r="108" spans="1:33" ht="38.25" x14ac:dyDescent="0.25">
      <c r="A108" s="14" t="s">
        <v>567</v>
      </c>
      <c r="B108" s="7" t="s">
        <v>573</v>
      </c>
      <c r="C108" s="7" t="s">
        <v>574</v>
      </c>
      <c r="D108" s="7" t="s">
        <v>59</v>
      </c>
      <c r="E108" s="7" t="s">
        <v>60</v>
      </c>
      <c r="F108" s="29" t="s">
        <v>302</v>
      </c>
      <c r="G108" s="4" t="s">
        <v>575</v>
      </c>
      <c r="H108" s="27" t="s">
        <v>576</v>
      </c>
      <c r="I108" s="12" t="s">
        <v>577</v>
      </c>
      <c r="J108" s="9">
        <v>44698</v>
      </c>
      <c r="K108" s="10">
        <v>51500.5</v>
      </c>
      <c r="L108" s="11">
        <v>13393</v>
      </c>
      <c r="M108" s="9">
        <v>44698</v>
      </c>
      <c r="N108" s="9">
        <v>44926</v>
      </c>
      <c r="O108" s="6" t="s">
        <v>580</v>
      </c>
      <c r="P108" s="6" t="s">
        <v>106</v>
      </c>
      <c r="Q108" s="6" t="s">
        <v>156</v>
      </c>
      <c r="R108" s="6" t="s">
        <v>106</v>
      </c>
      <c r="S108" s="6" t="s">
        <v>102</v>
      </c>
      <c r="T108" s="6"/>
      <c r="U108" s="9"/>
      <c r="V108" s="11"/>
      <c r="W108" s="6"/>
      <c r="X108" s="9"/>
      <c r="Y108" s="9"/>
      <c r="Z108" s="6"/>
      <c r="AA108" s="6"/>
      <c r="AB108" s="10"/>
      <c r="AC108" s="10"/>
      <c r="AD108" s="10"/>
      <c r="AE108" s="10">
        <f>11970.18+6351.63</f>
        <v>18321.810000000001</v>
      </c>
      <c r="AF108" s="10">
        <f>6722.63</f>
        <v>6722.63</v>
      </c>
      <c r="AG108" s="41">
        <f t="shared" si="1"/>
        <v>25044.440000000002</v>
      </c>
    </row>
    <row r="109" spans="1:33" ht="38.25" x14ac:dyDescent="0.25">
      <c r="A109" s="14" t="s">
        <v>568</v>
      </c>
      <c r="B109" s="7" t="s">
        <v>569</v>
      </c>
      <c r="C109" s="7" t="s">
        <v>570</v>
      </c>
      <c r="D109" s="7" t="s">
        <v>59</v>
      </c>
      <c r="E109" s="7" t="s">
        <v>60</v>
      </c>
      <c r="F109" s="29" t="s">
        <v>302</v>
      </c>
      <c r="G109" s="4" t="s">
        <v>579</v>
      </c>
      <c r="H109" s="27" t="s">
        <v>485</v>
      </c>
      <c r="I109" s="12" t="s">
        <v>486</v>
      </c>
      <c r="J109" s="9">
        <v>44603</v>
      </c>
      <c r="K109" s="10">
        <v>53254.5</v>
      </c>
      <c r="L109" s="11">
        <v>13233</v>
      </c>
      <c r="M109" s="9">
        <v>44603</v>
      </c>
      <c r="N109" s="9">
        <v>44926</v>
      </c>
      <c r="O109" s="6" t="s">
        <v>299</v>
      </c>
      <c r="P109" s="6" t="s">
        <v>106</v>
      </c>
      <c r="Q109" s="6" t="s">
        <v>156</v>
      </c>
      <c r="R109" s="6" t="s">
        <v>106</v>
      </c>
      <c r="S109" s="6" t="s">
        <v>121</v>
      </c>
      <c r="T109" s="6"/>
      <c r="U109" s="9"/>
      <c r="V109" s="11"/>
      <c r="W109" s="6"/>
      <c r="X109" s="9"/>
      <c r="Y109" s="9"/>
      <c r="Z109" s="6"/>
      <c r="AA109" s="6"/>
      <c r="AB109" s="10"/>
      <c r="AC109" s="10"/>
      <c r="AD109" s="10"/>
      <c r="AE109" s="10">
        <f>1650+1958.5</f>
        <v>3608.5</v>
      </c>
      <c r="AF109" s="10"/>
      <c r="AG109" s="41">
        <f t="shared" si="1"/>
        <v>3608.5</v>
      </c>
    </row>
    <row r="110" spans="1:33" ht="38.25" x14ac:dyDescent="0.25">
      <c r="A110" s="14" t="s">
        <v>572</v>
      </c>
      <c r="B110" s="7" t="s">
        <v>569</v>
      </c>
      <c r="C110" s="7" t="s">
        <v>570</v>
      </c>
      <c r="D110" s="7" t="s">
        <v>59</v>
      </c>
      <c r="E110" s="7" t="s">
        <v>60</v>
      </c>
      <c r="F110" s="29" t="s">
        <v>302</v>
      </c>
      <c r="G110" s="4" t="s">
        <v>582</v>
      </c>
      <c r="H110" s="27" t="s">
        <v>583</v>
      </c>
      <c r="I110" s="12" t="s">
        <v>584</v>
      </c>
      <c r="J110" s="9">
        <v>44603</v>
      </c>
      <c r="K110" s="10">
        <v>136600</v>
      </c>
      <c r="L110" s="11">
        <v>13232</v>
      </c>
      <c r="M110" s="9">
        <v>44603</v>
      </c>
      <c r="N110" s="9">
        <v>44926</v>
      </c>
      <c r="O110" s="6" t="s">
        <v>299</v>
      </c>
      <c r="P110" s="6" t="s">
        <v>106</v>
      </c>
      <c r="Q110" s="6" t="s">
        <v>156</v>
      </c>
      <c r="R110" s="6" t="s">
        <v>106</v>
      </c>
      <c r="S110" s="6" t="s">
        <v>121</v>
      </c>
      <c r="T110" s="6"/>
      <c r="U110" s="9"/>
      <c r="V110" s="11"/>
      <c r="W110" s="6"/>
      <c r="X110" s="9"/>
      <c r="Y110" s="9"/>
      <c r="Z110" s="6"/>
      <c r="AA110" s="6"/>
      <c r="AB110" s="10"/>
      <c r="AC110" s="10"/>
      <c r="AD110" s="10"/>
      <c r="AE110" s="10">
        <f>33388.8</f>
        <v>33388.800000000003</v>
      </c>
      <c r="AF110" s="10"/>
      <c r="AG110" s="41">
        <f t="shared" si="1"/>
        <v>33388.800000000003</v>
      </c>
    </row>
    <row r="111" spans="1:33" ht="38.25" x14ac:dyDescent="0.25">
      <c r="A111" s="14" t="s">
        <v>578</v>
      </c>
      <c r="B111" s="7" t="s">
        <v>597</v>
      </c>
      <c r="C111" s="7" t="s">
        <v>598</v>
      </c>
      <c r="D111" s="7" t="s">
        <v>59</v>
      </c>
      <c r="E111" s="7" t="s">
        <v>60</v>
      </c>
      <c r="F111" s="29" t="s">
        <v>302</v>
      </c>
      <c r="G111" s="4" t="s">
        <v>596</v>
      </c>
      <c r="H111" s="27" t="s">
        <v>525</v>
      </c>
      <c r="I111" s="12" t="s">
        <v>526</v>
      </c>
      <c r="J111" s="9">
        <v>44263</v>
      </c>
      <c r="K111" s="10">
        <v>36000</v>
      </c>
      <c r="L111" s="11">
        <v>13244</v>
      </c>
      <c r="M111" s="9">
        <v>44628</v>
      </c>
      <c r="N111" s="9">
        <v>44926</v>
      </c>
      <c r="O111" s="6" t="s">
        <v>299</v>
      </c>
      <c r="P111" s="6" t="s">
        <v>106</v>
      </c>
      <c r="Q111" s="6" t="s">
        <v>156</v>
      </c>
      <c r="R111" s="6" t="s">
        <v>106</v>
      </c>
      <c r="S111" s="6" t="s">
        <v>121</v>
      </c>
      <c r="T111" s="6"/>
      <c r="U111" s="9"/>
      <c r="V111" s="11"/>
      <c r="W111" s="6"/>
      <c r="X111" s="9"/>
      <c r="Y111" s="9"/>
      <c r="Z111" s="6"/>
      <c r="AA111" s="6"/>
      <c r="AB111" s="10"/>
      <c r="AC111" s="10"/>
      <c r="AD111" s="10"/>
      <c r="AE111" s="10">
        <f>2240</f>
        <v>2240</v>
      </c>
      <c r="AF111" s="10"/>
      <c r="AG111" s="41">
        <f t="shared" si="1"/>
        <v>2240</v>
      </c>
    </row>
    <row r="112" spans="1:33" ht="38.25" x14ac:dyDescent="0.25">
      <c r="A112" s="14" t="s">
        <v>581</v>
      </c>
      <c r="B112" s="7" t="s">
        <v>599</v>
      </c>
      <c r="C112" s="7" t="s">
        <v>600</v>
      </c>
      <c r="D112" s="7" t="s">
        <v>59</v>
      </c>
      <c r="E112" s="7" t="s">
        <v>60</v>
      </c>
      <c r="F112" s="29" t="s">
        <v>302</v>
      </c>
      <c r="G112" s="4" t="s">
        <v>587</v>
      </c>
      <c r="H112" s="27" t="s">
        <v>588</v>
      </c>
      <c r="I112" s="12" t="s">
        <v>589</v>
      </c>
      <c r="J112" s="9">
        <v>44795</v>
      </c>
      <c r="K112" s="10">
        <v>16790</v>
      </c>
      <c r="L112" s="11">
        <v>13365</v>
      </c>
      <c r="M112" s="9">
        <v>44795</v>
      </c>
      <c r="N112" s="9">
        <v>44926</v>
      </c>
      <c r="O112" s="6" t="s">
        <v>565</v>
      </c>
      <c r="P112" s="6" t="s">
        <v>106</v>
      </c>
      <c r="Q112" s="6" t="s">
        <v>156</v>
      </c>
      <c r="R112" s="6" t="s">
        <v>106</v>
      </c>
      <c r="S112" s="6" t="s">
        <v>601</v>
      </c>
      <c r="T112" s="6"/>
      <c r="U112" s="9"/>
      <c r="V112" s="11"/>
      <c r="W112" s="6"/>
      <c r="X112" s="9"/>
      <c r="Y112" s="9"/>
      <c r="Z112" s="6"/>
      <c r="AA112" s="6"/>
      <c r="AB112" s="10"/>
      <c r="AC112" s="10"/>
      <c r="AD112" s="10"/>
      <c r="AE112" s="10">
        <f>1460</f>
        <v>1460</v>
      </c>
      <c r="AF112" s="10"/>
      <c r="AG112" s="41">
        <f t="shared" si="1"/>
        <v>1460</v>
      </c>
    </row>
    <row r="113" spans="1:33" ht="38.25" x14ac:dyDescent="0.25">
      <c r="A113" s="14" t="s">
        <v>585</v>
      </c>
      <c r="B113" s="7" t="s">
        <v>602</v>
      </c>
      <c r="C113" s="7" t="s">
        <v>603</v>
      </c>
      <c r="D113" s="7" t="s">
        <v>59</v>
      </c>
      <c r="E113" s="7" t="s">
        <v>60</v>
      </c>
      <c r="F113" s="29" t="s">
        <v>302</v>
      </c>
      <c r="G113" s="4" t="s">
        <v>591</v>
      </c>
      <c r="H113" s="27" t="s">
        <v>592</v>
      </c>
      <c r="I113" s="12" t="s">
        <v>593</v>
      </c>
      <c r="J113" s="9">
        <v>44861</v>
      </c>
      <c r="K113" s="10">
        <v>572000</v>
      </c>
      <c r="L113" s="11">
        <v>13407</v>
      </c>
      <c r="M113" s="9">
        <v>44861</v>
      </c>
      <c r="N113" s="9">
        <v>45225</v>
      </c>
      <c r="O113" s="6" t="s">
        <v>299</v>
      </c>
      <c r="P113" s="6" t="s">
        <v>106</v>
      </c>
      <c r="Q113" s="6" t="s">
        <v>156</v>
      </c>
      <c r="R113" s="6" t="s">
        <v>106</v>
      </c>
      <c r="S113" s="6" t="s">
        <v>61</v>
      </c>
      <c r="T113" s="6"/>
      <c r="U113" s="9"/>
      <c r="V113" s="11"/>
      <c r="W113" s="6"/>
      <c r="X113" s="9"/>
      <c r="Y113" s="9"/>
      <c r="Z113" s="6"/>
      <c r="AA113" s="6"/>
      <c r="AB113" s="10"/>
      <c r="AC113" s="10"/>
      <c r="AD113" s="10"/>
      <c r="AE113" s="10">
        <f>98715.08</f>
        <v>98715.08</v>
      </c>
      <c r="AF113" s="10"/>
      <c r="AG113" s="41">
        <f t="shared" si="1"/>
        <v>98715.08</v>
      </c>
    </row>
    <row r="114" spans="1:33" ht="38.25" x14ac:dyDescent="0.25">
      <c r="A114" s="14" t="s">
        <v>586</v>
      </c>
      <c r="B114" s="7" t="s">
        <v>604</v>
      </c>
      <c r="C114" s="7" t="s">
        <v>605</v>
      </c>
      <c r="D114" s="7" t="s">
        <v>59</v>
      </c>
      <c r="E114" s="7" t="s">
        <v>60</v>
      </c>
      <c r="F114" s="29" t="s">
        <v>302</v>
      </c>
      <c r="G114" s="4" t="s">
        <v>595</v>
      </c>
      <c r="H114" s="27" t="s">
        <v>485</v>
      </c>
      <c r="I114" s="12" t="s">
        <v>486</v>
      </c>
      <c r="J114" s="9">
        <v>44903</v>
      </c>
      <c r="K114" s="10">
        <v>14749.5</v>
      </c>
      <c r="L114" s="11">
        <v>13429</v>
      </c>
      <c r="M114" s="9">
        <v>44903</v>
      </c>
      <c r="N114" s="9">
        <v>45267</v>
      </c>
      <c r="O114" s="6" t="s">
        <v>606</v>
      </c>
      <c r="P114" s="6" t="s">
        <v>106</v>
      </c>
      <c r="Q114" s="6" t="s">
        <v>156</v>
      </c>
      <c r="R114" s="6" t="s">
        <v>106</v>
      </c>
      <c r="S114" s="6" t="s">
        <v>121</v>
      </c>
      <c r="T114" s="6"/>
      <c r="U114" s="9"/>
      <c r="V114" s="11"/>
      <c r="W114" s="6"/>
      <c r="X114" s="9"/>
      <c r="Y114" s="9"/>
      <c r="Z114" s="6"/>
      <c r="AA114" s="6"/>
      <c r="AB114" s="10"/>
      <c r="AC114" s="10"/>
      <c r="AD114" s="10"/>
      <c r="AE114" s="10">
        <f>4500+10249.5</f>
        <v>14749.5</v>
      </c>
      <c r="AF114" s="10"/>
      <c r="AG114" s="41">
        <f t="shared" si="1"/>
        <v>14749.5</v>
      </c>
    </row>
    <row r="115" spans="1:33" ht="38.25" x14ac:dyDescent="0.25">
      <c r="A115" s="14" t="s">
        <v>590</v>
      </c>
      <c r="B115" s="7" t="s">
        <v>613</v>
      </c>
      <c r="C115" s="7" t="s">
        <v>612</v>
      </c>
      <c r="D115" s="7" t="s">
        <v>59</v>
      </c>
      <c r="E115" s="7" t="s">
        <v>60</v>
      </c>
      <c r="F115" s="29" t="s">
        <v>302</v>
      </c>
      <c r="G115" s="4" t="s">
        <v>609</v>
      </c>
      <c r="H115" s="27" t="s">
        <v>610</v>
      </c>
      <c r="I115" s="12" t="s">
        <v>611</v>
      </c>
      <c r="J115" s="9">
        <v>44903</v>
      </c>
      <c r="K115" s="10">
        <v>30000</v>
      </c>
      <c r="L115" s="11">
        <v>13429</v>
      </c>
      <c r="M115" s="9">
        <v>44903</v>
      </c>
      <c r="N115" s="9">
        <v>45267</v>
      </c>
      <c r="O115" s="6" t="s">
        <v>624</v>
      </c>
      <c r="P115" s="6" t="s">
        <v>106</v>
      </c>
      <c r="Q115" s="6" t="s">
        <v>156</v>
      </c>
      <c r="R115" s="6" t="s">
        <v>106</v>
      </c>
      <c r="S115" s="6" t="s">
        <v>84</v>
      </c>
      <c r="T115" s="6"/>
      <c r="U115" s="9"/>
      <c r="V115" s="11"/>
      <c r="W115" s="6"/>
      <c r="X115" s="9"/>
      <c r="Y115" s="9"/>
      <c r="Z115" s="6"/>
      <c r="AA115" s="6"/>
      <c r="AB115" s="10"/>
      <c r="AC115" s="10"/>
      <c r="AD115" s="10"/>
      <c r="AE115" s="10"/>
      <c r="AF115" s="10">
        <f>2500+1083.34+2500</f>
        <v>6083.34</v>
      </c>
      <c r="AG115" s="41">
        <f t="shared" si="1"/>
        <v>6083.34</v>
      </c>
    </row>
    <row r="116" spans="1:33" ht="38.25" x14ac:dyDescent="0.25">
      <c r="A116" s="14" t="s">
        <v>594</v>
      </c>
      <c r="B116" s="7" t="s">
        <v>613</v>
      </c>
      <c r="C116" s="7" t="s">
        <v>612</v>
      </c>
      <c r="D116" s="7" t="s">
        <v>59</v>
      </c>
      <c r="E116" s="7" t="s">
        <v>60</v>
      </c>
      <c r="F116" s="29" t="s">
        <v>302</v>
      </c>
      <c r="G116" s="4" t="s">
        <v>615</v>
      </c>
      <c r="H116" s="27" t="s">
        <v>616</v>
      </c>
      <c r="I116" s="12" t="s">
        <v>617</v>
      </c>
      <c r="J116" s="9">
        <v>44903</v>
      </c>
      <c r="K116" s="10">
        <v>31347</v>
      </c>
      <c r="L116" s="11">
        <v>13429</v>
      </c>
      <c r="M116" s="9">
        <v>44903</v>
      </c>
      <c r="N116" s="9">
        <v>45267</v>
      </c>
      <c r="O116" s="6" t="s">
        <v>625</v>
      </c>
      <c r="P116" s="6" t="s">
        <v>106</v>
      </c>
      <c r="Q116" s="6" t="s">
        <v>156</v>
      </c>
      <c r="R116" s="6" t="s">
        <v>106</v>
      </c>
      <c r="S116" s="6" t="s">
        <v>84</v>
      </c>
      <c r="T116" s="6"/>
      <c r="U116" s="9"/>
      <c r="V116" s="11"/>
      <c r="W116" s="6"/>
      <c r="X116" s="9"/>
      <c r="Y116" s="9"/>
      <c r="Z116" s="6"/>
      <c r="AA116" s="6"/>
      <c r="AB116" s="10"/>
      <c r="AC116" s="10"/>
      <c r="AD116" s="10"/>
      <c r="AE116" s="10"/>
      <c r="AF116" s="10">
        <f>1828.57</f>
        <v>1828.57</v>
      </c>
      <c r="AG116" s="41">
        <f t="shared" si="1"/>
        <v>1828.57</v>
      </c>
    </row>
    <row r="117" spans="1:33" ht="38.25" x14ac:dyDescent="0.25">
      <c r="A117" s="14" t="s">
        <v>614</v>
      </c>
      <c r="B117" s="7" t="s">
        <v>619</v>
      </c>
      <c r="C117" s="7" t="s">
        <v>622</v>
      </c>
      <c r="D117" s="7" t="s">
        <v>59</v>
      </c>
      <c r="E117" s="7" t="s">
        <v>60</v>
      </c>
      <c r="F117" s="29" t="s">
        <v>302</v>
      </c>
      <c r="G117" s="4" t="s">
        <v>620</v>
      </c>
      <c r="H117" s="27" t="s">
        <v>621</v>
      </c>
      <c r="I117" s="12" t="s">
        <v>623</v>
      </c>
      <c r="J117" s="9">
        <v>44957</v>
      </c>
      <c r="K117" s="10">
        <v>10865</v>
      </c>
      <c r="L117" s="11">
        <v>13470</v>
      </c>
      <c r="M117" s="9">
        <v>44957</v>
      </c>
      <c r="N117" s="9">
        <v>45321</v>
      </c>
      <c r="O117" s="6">
        <v>101</v>
      </c>
      <c r="P117" s="6" t="s">
        <v>106</v>
      </c>
      <c r="Q117" s="6" t="s">
        <v>156</v>
      </c>
      <c r="R117" s="6" t="s">
        <v>106</v>
      </c>
      <c r="S117" s="6" t="s">
        <v>61</v>
      </c>
      <c r="T117" s="6"/>
      <c r="U117" s="9"/>
      <c r="V117" s="11"/>
      <c r="W117" s="6"/>
      <c r="X117" s="9"/>
      <c r="Y117" s="9"/>
      <c r="Z117" s="6"/>
      <c r="AA117" s="6"/>
      <c r="AB117" s="10"/>
      <c r="AC117" s="10"/>
      <c r="AD117" s="10"/>
      <c r="AE117" s="10"/>
      <c r="AF117" s="10">
        <f>10865</f>
        <v>10865</v>
      </c>
      <c r="AG117" s="41">
        <f t="shared" si="1"/>
        <v>10865</v>
      </c>
    </row>
    <row r="118" spans="1:33" ht="39" thickBot="1" x14ac:dyDescent="0.3">
      <c r="A118" s="20" t="s">
        <v>618</v>
      </c>
      <c r="B118" s="5"/>
      <c r="C118" s="20"/>
      <c r="D118" s="65"/>
      <c r="E118" s="65"/>
      <c r="F118" s="28"/>
      <c r="G118" s="34"/>
      <c r="H118" s="66" t="s">
        <v>186</v>
      </c>
      <c r="I118" s="20"/>
      <c r="J118" s="67"/>
      <c r="K118" s="68"/>
      <c r="L118" s="69"/>
      <c r="M118" s="67"/>
      <c r="N118" s="67"/>
      <c r="O118" s="70"/>
      <c r="P118" s="20"/>
      <c r="Q118" s="20"/>
      <c r="R118" s="5"/>
      <c r="S118" s="5"/>
      <c r="T118" s="5"/>
      <c r="U118" s="71"/>
      <c r="V118" s="72"/>
      <c r="W118" s="5"/>
      <c r="X118" s="71"/>
      <c r="Y118" s="71"/>
      <c r="Z118" s="5"/>
      <c r="AA118" s="5"/>
      <c r="AB118" s="73"/>
      <c r="AC118" s="73"/>
      <c r="AD118" s="73"/>
      <c r="AE118" s="73">
        <v>1550103.42</v>
      </c>
      <c r="AF118" s="73">
        <f>950.04+1865.16+2100+101.81+975.11+132.87+50725.71+268.94+229.22+3106.24+1865.16+2100+1861.47+1447.81</f>
        <v>67729.539999999994</v>
      </c>
      <c r="AG118" s="74">
        <f t="shared" si="1"/>
        <v>1617832.96</v>
      </c>
    </row>
    <row r="119" spans="1:33" ht="13.5" thickBot="1" x14ac:dyDescent="0.3">
      <c r="A119" s="75" t="s">
        <v>633</v>
      </c>
      <c r="B119" s="76"/>
      <c r="C119" s="76"/>
      <c r="D119" s="77"/>
      <c r="E119" s="78"/>
      <c r="F119" s="79"/>
      <c r="G119" s="80"/>
      <c r="H119" s="79"/>
      <c r="I119" s="81"/>
      <c r="J119" s="82"/>
      <c r="K119" s="83">
        <f>SUM(K18:K118)</f>
        <v>28739675.199999999</v>
      </c>
      <c r="L119" s="84"/>
      <c r="M119" s="82"/>
      <c r="N119" s="82"/>
      <c r="O119" s="78"/>
      <c r="P119" s="81"/>
      <c r="Q119" s="78"/>
      <c r="R119" s="81"/>
      <c r="S119" s="81"/>
      <c r="T119" s="81"/>
      <c r="U119" s="81"/>
      <c r="V119" s="81"/>
      <c r="W119" s="81"/>
      <c r="X119" s="81"/>
      <c r="Y119" s="83"/>
      <c r="Z119" s="83"/>
      <c r="AA119" s="83"/>
      <c r="AB119" s="83">
        <f>SUM(AB18:AB118)</f>
        <v>1070.48</v>
      </c>
      <c r="AC119" s="83">
        <f>SUM(AC18:AC118)</f>
        <v>0</v>
      </c>
      <c r="AD119" s="83">
        <f>SUM(AD18:AD118)</f>
        <v>0</v>
      </c>
      <c r="AE119" s="83">
        <f>SUM(AE18:AE118)</f>
        <v>34988701.942999989</v>
      </c>
      <c r="AF119" s="83">
        <f>SUM(AF18:AF118)</f>
        <v>1841466.5100000002</v>
      </c>
      <c r="AG119" s="85">
        <f>SUM(AG18:AG118)</f>
        <v>36830168.453000009</v>
      </c>
    </row>
    <row r="120" spans="1:33" s="1" customFormat="1" x14ac:dyDescent="0.25">
      <c r="A120" s="86"/>
      <c r="B120" s="86"/>
      <c r="C120" s="86"/>
      <c r="D120" s="86"/>
      <c r="E120" s="87"/>
      <c r="F120" s="88"/>
      <c r="G120" s="89"/>
      <c r="H120" s="88"/>
      <c r="I120" s="88"/>
      <c r="J120" s="90"/>
      <c r="K120" s="91"/>
      <c r="L120" s="92"/>
      <c r="M120" s="90"/>
      <c r="N120" s="90"/>
      <c r="O120" s="87"/>
      <c r="P120" s="88"/>
      <c r="Q120" s="87"/>
      <c r="R120" s="88"/>
      <c r="S120" s="88"/>
      <c r="T120" s="88"/>
      <c r="U120" s="88"/>
      <c r="V120" s="88"/>
      <c r="W120" s="88"/>
      <c r="X120" s="88"/>
      <c r="Y120" s="91"/>
      <c r="Z120" s="91"/>
      <c r="AA120" s="91"/>
      <c r="AB120" s="91"/>
      <c r="AC120" s="91"/>
      <c r="AD120" s="91"/>
      <c r="AE120" s="91"/>
      <c r="AF120" s="91"/>
      <c r="AG120" s="91"/>
    </row>
    <row r="121" spans="1:33" s="1" customFormat="1" x14ac:dyDescent="0.25">
      <c r="A121" s="93" t="s">
        <v>607</v>
      </c>
      <c r="G121" s="93"/>
      <c r="H121" s="93"/>
      <c r="K121" s="57"/>
      <c r="U121" s="1" t="s">
        <v>157</v>
      </c>
      <c r="AB121" s="57"/>
      <c r="AC121" s="57"/>
      <c r="AD121" s="57"/>
      <c r="AE121" s="57"/>
      <c r="AF121" s="57"/>
      <c r="AG121" s="57"/>
    </row>
    <row r="122" spans="1:33" s="1" customFormat="1" x14ac:dyDescent="0.25">
      <c r="A122" s="93" t="s">
        <v>634</v>
      </c>
      <c r="G122" s="93"/>
      <c r="H122" s="93"/>
      <c r="K122" s="57"/>
      <c r="AB122" s="57"/>
      <c r="AC122" s="57"/>
      <c r="AD122" s="57"/>
      <c r="AE122" s="57"/>
      <c r="AF122" s="57"/>
      <c r="AG122" s="57"/>
    </row>
    <row r="123" spans="1:33" s="1" customFormat="1" x14ac:dyDescent="0.25">
      <c r="A123" s="93" t="s">
        <v>635</v>
      </c>
      <c r="G123" s="93"/>
      <c r="H123" s="93"/>
      <c r="K123" s="57"/>
      <c r="AB123" s="57"/>
      <c r="AC123" s="57"/>
      <c r="AD123" s="57"/>
      <c r="AE123" s="57"/>
      <c r="AF123" s="57"/>
      <c r="AG123" s="57"/>
    </row>
    <row r="124" spans="1:33" s="1" customFormat="1" x14ac:dyDescent="0.25">
      <c r="G124" s="93"/>
      <c r="H124" s="93"/>
      <c r="K124" s="57"/>
      <c r="AB124" s="57"/>
      <c r="AC124" s="57"/>
      <c r="AD124" s="57"/>
      <c r="AE124" s="57"/>
      <c r="AF124" s="57"/>
      <c r="AG124" s="57"/>
    </row>
    <row r="125" spans="1:33" s="1" customFormat="1" x14ac:dyDescent="0.25">
      <c r="G125" s="93"/>
      <c r="H125" s="93"/>
      <c r="K125" s="57"/>
      <c r="AB125" s="57"/>
      <c r="AC125" s="57"/>
      <c r="AD125" s="57"/>
      <c r="AE125" s="57"/>
      <c r="AF125" s="57"/>
      <c r="AG125" s="57"/>
    </row>
    <row r="126" spans="1:33" s="1" customFormat="1" x14ac:dyDescent="0.25">
      <c r="G126" s="93"/>
      <c r="H126" s="93"/>
      <c r="K126" s="57"/>
      <c r="AB126" s="57"/>
      <c r="AC126" s="57"/>
      <c r="AD126" s="57"/>
      <c r="AE126" s="57"/>
      <c r="AF126" s="57"/>
      <c r="AG126" s="57"/>
    </row>
    <row r="127" spans="1:33" s="1" customFormat="1" x14ac:dyDescent="0.25">
      <c r="G127" s="93"/>
      <c r="H127" s="93"/>
      <c r="K127" s="57"/>
      <c r="AB127" s="57"/>
      <c r="AC127" s="57"/>
      <c r="AD127" s="57"/>
      <c r="AE127" s="57"/>
      <c r="AF127" s="57"/>
      <c r="AG127" s="57"/>
    </row>
    <row r="128" spans="1:33" s="1" customFormat="1" x14ac:dyDescent="0.25">
      <c r="G128" s="93"/>
      <c r="H128" s="93"/>
      <c r="K128" s="57"/>
      <c r="Q128" s="1" t="s">
        <v>158</v>
      </c>
      <c r="AB128" s="57"/>
      <c r="AC128" s="57"/>
      <c r="AD128" s="57"/>
      <c r="AE128" s="57"/>
      <c r="AF128" s="57"/>
      <c r="AG128" s="57"/>
    </row>
    <row r="129" spans="7:33" s="1" customFormat="1" x14ac:dyDescent="0.25">
      <c r="G129" s="93"/>
      <c r="H129" s="93"/>
      <c r="K129" s="57"/>
      <c r="AB129" s="57"/>
      <c r="AC129" s="57"/>
      <c r="AD129" s="57"/>
      <c r="AE129" s="57"/>
      <c r="AF129" s="57"/>
      <c r="AG129" s="57"/>
    </row>
    <row r="130" spans="7:33" s="1" customFormat="1" x14ac:dyDescent="0.25">
      <c r="G130" s="93"/>
      <c r="H130" s="93"/>
      <c r="K130" s="57"/>
      <c r="AB130" s="57"/>
      <c r="AC130" s="57"/>
      <c r="AD130" s="57"/>
      <c r="AE130" s="57"/>
      <c r="AF130" s="57"/>
      <c r="AG130" s="57"/>
    </row>
    <row r="131" spans="7:33" s="1" customFormat="1" x14ac:dyDescent="0.25">
      <c r="G131" s="93"/>
      <c r="H131" s="93"/>
      <c r="K131" s="57"/>
      <c r="AB131" s="57"/>
      <c r="AC131" s="57"/>
      <c r="AD131" s="57"/>
      <c r="AE131" s="57"/>
      <c r="AF131" s="57"/>
      <c r="AG131" s="57"/>
    </row>
    <row r="132" spans="7:33" s="1" customFormat="1" x14ac:dyDescent="0.25">
      <c r="G132" s="93"/>
      <c r="H132" s="93"/>
      <c r="K132" s="57"/>
      <c r="AB132" s="57"/>
      <c r="AC132" s="57"/>
      <c r="AD132" s="57"/>
      <c r="AE132" s="57"/>
      <c r="AF132" s="57"/>
      <c r="AG132" s="57"/>
    </row>
    <row r="133" spans="7:33" s="1" customFormat="1" x14ac:dyDescent="0.25">
      <c r="G133" s="93"/>
      <c r="H133" s="93"/>
      <c r="K133" s="57"/>
      <c r="AB133" s="57"/>
      <c r="AC133" s="57"/>
      <c r="AD133" s="57"/>
      <c r="AE133" s="57"/>
      <c r="AF133" s="57"/>
      <c r="AG133" s="57"/>
    </row>
    <row r="134" spans="7:33" s="1" customFormat="1" x14ac:dyDescent="0.25">
      <c r="G134" s="93"/>
      <c r="H134" s="93"/>
      <c r="K134" s="57"/>
      <c r="AB134" s="57"/>
      <c r="AC134" s="57"/>
      <c r="AD134" s="57"/>
      <c r="AE134" s="57"/>
      <c r="AF134" s="57"/>
      <c r="AG134" s="57"/>
    </row>
    <row r="135" spans="7:33" s="1" customFormat="1" x14ac:dyDescent="0.25">
      <c r="G135" s="93"/>
      <c r="H135" s="93"/>
      <c r="K135" s="57"/>
      <c r="AB135" s="57"/>
      <c r="AC135" s="57"/>
      <c r="AD135" s="57"/>
      <c r="AE135" s="57"/>
      <c r="AF135" s="57"/>
      <c r="AG135" s="57"/>
    </row>
    <row r="136" spans="7:33" s="1" customFormat="1" x14ac:dyDescent="0.25">
      <c r="G136" s="93"/>
      <c r="H136" s="93"/>
      <c r="K136" s="57"/>
      <c r="AB136" s="57"/>
      <c r="AC136" s="57"/>
      <c r="AD136" s="57"/>
      <c r="AE136" s="57"/>
      <c r="AF136" s="57"/>
      <c r="AG136" s="57"/>
    </row>
    <row r="137" spans="7:33" s="1" customFormat="1" x14ac:dyDescent="0.25">
      <c r="G137" s="93"/>
      <c r="H137" s="93"/>
      <c r="K137" s="57"/>
      <c r="AB137" s="57"/>
      <c r="AC137" s="57"/>
      <c r="AD137" s="57"/>
      <c r="AE137" s="57"/>
      <c r="AF137" s="57"/>
      <c r="AG137" s="57"/>
    </row>
    <row r="138" spans="7:33" s="1" customFormat="1" x14ac:dyDescent="0.25">
      <c r="G138" s="93"/>
      <c r="H138" s="93"/>
      <c r="K138" s="57"/>
      <c r="AB138" s="57"/>
      <c r="AC138" s="57"/>
      <c r="AD138" s="57"/>
      <c r="AE138" s="57"/>
      <c r="AF138" s="57"/>
      <c r="AG138" s="57"/>
    </row>
    <row r="139" spans="7:33" s="1" customFormat="1" x14ac:dyDescent="0.25">
      <c r="G139" s="93"/>
      <c r="H139" s="93"/>
      <c r="K139" s="57"/>
      <c r="AB139" s="57"/>
      <c r="AC139" s="57"/>
      <c r="AD139" s="57"/>
      <c r="AE139" s="57"/>
      <c r="AF139" s="57"/>
      <c r="AG139" s="57"/>
    </row>
    <row r="140" spans="7:33" s="1" customFormat="1" x14ac:dyDescent="0.25">
      <c r="G140" s="93"/>
      <c r="H140" s="93"/>
      <c r="K140" s="57"/>
      <c r="AB140" s="57"/>
      <c r="AC140" s="57"/>
      <c r="AD140" s="57"/>
      <c r="AE140" s="57"/>
      <c r="AF140" s="57"/>
      <c r="AG140" s="57"/>
    </row>
    <row r="141" spans="7:33" s="1" customFormat="1" x14ac:dyDescent="0.25">
      <c r="G141" s="93"/>
      <c r="H141" s="93"/>
      <c r="K141" s="57"/>
      <c r="AB141" s="57"/>
      <c r="AC141" s="57"/>
      <c r="AD141" s="57"/>
      <c r="AE141" s="57"/>
      <c r="AF141" s="57"/>
      <c r="AG141" s="57"/>
    </row>
    <row r="142" spans="7:33" s="1" customFormat="1" x14ac:dyDescent="0.25">
      <c r="G142" s="93"/>
      <c r="H142" s="93"/>
      <c r="K142" s="57"/>
      <c r="AB142" s="57"/>
      <c r="AC142" s="57"/>
      <c r="AD142" s="57"/>
      <c r="AE142" s="57"/>
      <c r="AF142" s="57"/>
      <c r="AG142" s="57"/>
    </row>
    <row r="143" spans="7:33" s="1" customFormat="1" x14ac:dyDescent="0.25">
      <c r="G143" s="93"/>
      <c r="H143" s="93"/>
      <c r="K143" s="57"/>
      <c r="AB143" s="57"/>
      <c r="AC143" s="57"/>
      <c r="AD143" s="57"/>
      <c r="AE143" s="57"/>
      <c r="AF143" s="57"/>
      <c r="AG143" s="57"/>
    </row>
    <row r="144" spans="7:33" s="1" customFormat="1" x14ac:dyDescent="0.25">
      <c r="G144" s="93"/>
      <c r="H144" s="93"/>
      <c r="K144" s="57"/>
      <c r="AB144" s="57"/>
      <c r="AC144" s="57"/>
      <c r="AD144" s="57"/>
      <c r="AE144" s="57"/>
      <c r="AF144" s="57"/>
      <c r="AG144" s="57"/>
    </row>
    <row r="145" spans="7:33" s="1" customFormat="1" x14ac:dyDescent="0.25">
      <c r="G145" s="93"/>
      <c r="H145" s="93"/>
      <c r="K145" s="57"/>
      <c r="AB145" s="57"/>
      <c r="AC145" s="57"/>
      <c r="AD145" s="57"/>
      <c r="AE145" s="57"/>
      <c r="AF145" s="57"/>
      <c r="AG145" s="57"/>
    </row>
    <row r="146" spans="7:33" x14ac:dyDescent="0.25">
      <c r="R146" s="23"/>
      <c r="AB146" s="56"/>
    </row>
    <row r="147" spans="7:33" x14ac:dyDescent="0.25">
      <c r="R147" s="23"/>
      <c r="AB147" s="56"/>
    </row>
    <row r="148" spans="7:33" x14ac:dyDescent="0.25">
      <c r="R148" s="23"/>
      <c r="AB148" s="56"/>
    </row>
    <row r="149" spans="7:33" x14ac:dyDescent="0.25">
      <c r="R149" s="23"/>
      <c r="AB149" s="56"/>
    </row>
    <row r="150" spans="7:33" x14ac:dyDescent="0.25">
      <c r="R150" s="23"/>
      <c r="AB150" s="56"/>
    </row>
    <row r="151" spans="7:33" x14ac:dyDescent="0.25">
      <c r="R151" s="23"/>
      <c r="AB151" s="56"/>
    </row>
    <row r="152" spans="7:33" x14ac:dyDescent="0.25">
      <c r="R152" s="23"/>
      <c r="AB152" s="56"/>
    </row>
    <row r="153" spans="7:33" x14ac:dyDescent="0.25">
      <c r="AB153" s="56"/>
    </row>
    <row r="154" spans="7:33" x14ac:dyDescent="0.25">
      <c r="AB154" s="56"/>
    </row>
    <row r="155" spans="7:33" x14ac:dyDescent="0.25">
      <c r="AB155" s="56"/>
    </row>
    <row r="156" spans="7:33" x14ac:dyDescent="0.25">
      <c r="AB156" s="56"/>
    </row>
    <row r="157" spans="7:33" x14ac:dyDescent="0.25">
      <c r="I157" s="2"/>
      <c r="K157" s="58"/>
      <c r="AB157" s="56"/>
    </row>
    <row r="158" spans="7:33" x14ac:dyDescent="0.25">
      <c r="I158" s="2"/>
      <c r="K158" s="58"/>
      <c r="AB158" s="56"/>
    </row>
    <row r="159" spans="7:33" x14ac:dyDescent="0.25">
      <c r="I159" s="2"/>
      <c r="K159" s="58"/>
      <c r="AB159" s="56"/>
    </row>
    <row r="160" spans="7:33" x14ac:dyDescent="0.25">
      <c r="I160" s="2"/>
      <c r="K160" s="58"/>
      <c r="AB160" s="56"/>
    </row>
    <row r="161" spans="9:28" x14ac:dyDescent="0.25">
      <c r="I161" s="2"/>
      <c r="K161" s="58"/>
      <c r="AB161" s="56"/>
    </row>
    <row r="162" spans="9:28" x14ac:dyDescent="0.25">
      <c r="I162" s="2"/>
      <c r="K162" s="58"/>
      <c r="AB162" s="56"/>
    </row>
    <row r="163" spans="9:28" x14ac:dyDescent="0.25">
      <c r="I163" s="2"/>
      <c r="K163" s="58"/>
      <c r="AB163" s="56"/>
    </row>
    <row r="164" spans="9:28" x14ac:dyDescent="0.25">
      <c r="I164" s="2"/>
      <c r="K164" s="58"/>
      <c r="AB164" s="56"/>
    </row>
    <row r="165" spans="9:28" x14ac:dyDescent="0.25">
      <c r="I165" s="2"/>
      <c r="K165" s="58"/>
      <c r="AB165" s="56"/>
    </row>
    <row r="166" spans="9:28" x14ac:dyDescent="0.25">
      <c r="I166" s="2"/>
      <c r="K166" s="58"/>
      <c r="AB166" s="56"/>
    </row>
    <row r="167" spans="9:28" x14ac:dyDescent="0.25">
      <c r="I167" s="2"/>
      <c r="K167" s="58"/>
      <c r="AB167" s="56"/>
    </row>
    <row r="168" spans="9:28" x14ac:dyDescent="0.25">
      <c r="I168" s="2"/>
      <c r="K168" s="58"/>
      <c r="AB168" s="56"/>
    </row>
    <row r="169" spans="9:28" x14ac:dyDescent="0.25">
      <c r="I169" s="2"/>
      <c r="K169" s="58"/>
      <c r="AB169" s="56"/>
    </row>
    <row r="170" spans="9:28" x14ac:dyDescent="0.25">
      <c r="I170" s="2"/>
      <c r="K170" s="58"/>
      <c r="AB170" s="56"/>
    </row>
    <row r="171" spans="9:28" x14ac:dyDescent="0.25">
      <c r="I171" s="2"/>
      <c r="K171" s="58"/>
      <c r="AB171" s="56"/>
    </row>
    <row r="172" spans="9:28" x14ac:dyDescent="0.25">
      <c r="I172" s="2"/>
      <c r="K172" s="58"/>
      <c r="AB172" s="56"/>
    </row>
  </sheetData>
  <mergeCells count="7">
    <mergeCell ref="A119:D119"/>
    <mergeCell ref="A14:A17"/>
    <mergeCell ref="B14:F15"/>
    <mergeCell ref="G14:AE14"/>
    <mergeCell ref="G15:S15"/>
    <mergeCell ref="T15:AC15"/>
    <mergeCell ref="AD15:AE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2023-03-16T15:31:19Z</dcterms:modified>
</cp:coreProperties>
</file>