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9440" windowHeight="7995" tabRatio="819"/>
  </bookViews>
  <sheets>
    <sheet name="SEMSA-FMS - LICITAÇÕES NOV" sheetId="67" r:id="rId1"/>
  </sheets>
  <definedNames>
    <definedName name="_xlnm._FilterDatabase" localSheetId="0" hidden="1">'SEMSA-FMS - LICITAÇÕES NOV'!$A$19:$BM$19</definedName>
  </definedNames>
  <calcPr calcId="145621"/>
</workbook>
</file>

<file path=xl/calcChain.xml><?xml version="1.0" encoding="utf-8"?>
<calcChain xmlns="http://schemas.openxmlformats.org/spreadsheetml/2006/main">
  <c r="BE543" i="67" l="1"/>
  <c r="AN537" i="67"/>
  <c r="AN535" i="67"/>
  <c r="AN514" i="67"/>
  <c r="AN513" i="67"/>
  <c r="AN512" i="67"/>
  <c r="AN507" i="67"/>
  <c r="AN506" i="67"/>
  <c r="AN505" i="67"/>
  <c r="AN503" i="67" l="1"/>
  <c r="AN502" i="67"/>
  <c r="AN496" i="67"/>
  <c r="AN494" i="67"/>
  <c r="AN493" i="67"/>
  <c r="AN492" i="67"/>
  <c r="AN489" i="67"/>
  <c r="AN488" i="67"/>
  <c r="AN484" i="67"/>
  <c r="AN483" i="67"/>
  <c r="AN479" i="67"/>
  <c r="AN476" i="67"/>
  <c r="AN475" i="67"/>
  <c r="AN473" i="67"/>
  <c r="AN472" i="67"/>
  <c r="AN471" i="67"/>
  <c r="AN470" i="67"/>
  <c r="AN466" i="67"/>
  <c r="AN462" i="67"/>
  <c r="AN461" i="67"/>
  <c r="AN454" i="67"/>
  <c r="AN446" i="67"/>
  <c r="AN445" i="67"/>
  <c r="AN444" i="67"/>
  <c r="AN442" i="67"/>
  <c r="AN437" i="67"/>
  <c r="AN436" i="67"/>
  <c r="AN435" i="67"/>
  <c r="AN431" i="67"/>
  <c r="AN400" i="67"/>
  <c r="AN397" i="67"/>
  <c r="AN396" i="67"/>
  <c r="AN395" i="67"/>
  <c r="AN393" i="67"/>
  <c r="AN390" i="67"/>
  <c r="AN386" i="67"/>
  <c r="AN382" i="67"/>
  <c r="AN378" i="67"/>
  <c r="AN377" i="67"/>
  <c r="AN356" i="67"/>
  <c r="AN352" i="67"/>
  <c r="AN348" i="67"/>
  <c r="AN347" i="67"/>
  <c r="AN345" i="67"/>
  <c r="AN338" i="67"/>
  <c r="AN335" i="67"/>
  <c r="AN333" i="67"/>
  <c r="AN332" i="67"/>
  <c r="AN331" i="67"/>
  <c r="AN327" i="67"/>
  <c r="AN326" i="67"/>
  <c r="AN321" i="67"/>
  <c r="AN320" i="67"/>
  <c r="AN316" i="67"/>
  <c r="AN311" i="67"/>
  <c r="AN303" i="67"/>
  <c r="AN298" i="67"/>
  <c r="AN297" i="67"/>
  <c r="AN295" i="67"/>
  <c r="AN293" i="67"/>
  <c r="AN285" i="67"/>
  <c r="AN284" i="67"/>
  <c r="AN277" i="67"/>
  <c r="AN274" i="67"/>
  <c r="AN271" i="67"/>
  <c r="AN263" i="67"/>
  <c r="AN261" i="67"/>
  <c r="AN259" i="67"/>
  <c r="AN258" i="67"/>
  <c r="AN250" i="67"/>
  <c r="AN249" i="67"/>
  <c r="AN248" i="67"/>
  <c r="AM245" i="67"/>
  <c r="AN242" i="67"/>
  <c r="AN239" i="67"/>
  <c r="AN236" i="67"/>
  <c r="AN230" i="67"/>
  <c r="AN220" i="67"/>
  <c r="AN218" i="67"/>
  <c r="AN216" i="67"/>
  <c r="AN214" i="67"/>
  <c r="AN211" i="67"/>
  <c r="AN209" i="67"/>
  <c r="AN202" i="67"/>
  <c r="AN199" i="67"/>
  <c r="AN188" i="67"/>
  <c r="AN183" i="67"/>
  <c r="AN181" i="67"/>
  <c r="AN178" i="67"/>
  <c r="AN176" i="67"/>
  <c r="AN174" i="67"/>
  <c r="AN160" i="67"/>
  <c r="AN155" i="67"/>
  <c r="AN93" i="67"/>
  <c r="AN90" i="67"/>
  <c r="AN82" i="67"/>
  <c r="AN79" i="67"/>
  <c r="AN75" i="67"/>
  <c r="AN66" i="67"/>
  <c r="AN57" i="67"/>
  <c r="AM53" i="67"/>
  <c r="AN49" i="67"/>
  <c r="AN45" i="67"/>
  <c r="AN41" i="67"/>
  <c r="AN37" i="67"/>
  <c r="AN33" i="67"/>
  <c r="AN29" i="67"/>
  <c r="AN25" i="67"/>
  <c r="AN20" i="67"/>
  <c r="AN664" i="67"/>
  <c r="AN637" i="67"/>
  <c r="AN660" i="67"/>
  <c r="AN653" i="67"/>
  <c r="AN632" i="67" l="1"/>
  <c r="AN626" i="67"/>
  <c r="AN612" i="67"/>
  <c r="AN607" i="67"/>
  <c r="AN602" i="67"/>
  <c r="AN617" i="67"/>
  <c r="AN597" i="67"/>
  <c r="AN591" i="67"/>
  <c r="AN585" i="67"/>
  <c r="AN578" i="67"/>
  <c r="AN569" i="67"/>
  <c r="AN561" i="67"/>
  <c r="AN552" i="67"/>
  <c r="AO517" i="67"/>
  <c r="AO518" i="67"/>
  <c r="AO519" i="67"/>
  <c r="AO520" i="67"/>
  <c r="AO521" i="67"/>
  <c r="AO522" i="67"/>
  <c r="AO523" i="67"/>
  <c r="AO524" i="67"/>
  <c r="AO525" i="67"/>
  <c r="AO526" i="67"/>
  <c r="AO527" i="67"/>
  <c r="AO528" i="67"/>
  <c r="AO529" i="67"/>
  <c r="AO530" i="67"/>
  <c r="AO531" i="67"/>
  <c r="AO532" i="67"/>
  <c r="AO533" i="67"/>
  <c r="AO534" i="67"/>
  <c r="AO535" i="67"/>
  <c r="AO536" i="67"/>
  <c r="AO537" i="67"/>
  <c r="AO538" i="67"/>
  <c r="AO539" i="67"/>
  <c r="AO540" i="67"/>
  <c r="AO541" i="67"/>
  <c r="AO542" i="67"/>
  <c r="AO543" i="67"/>
  <c r="AO544" i="67"/>
  <c r="AO545" i="67"/>
  <c r="AO546" i="67"/>
  <c r="AO547" i="67"/>
  <c r="AO548" i="67"/>
  <c r="AO549" i="67"/>
  <c r="AO550" i="67"/>
  <c r="AO551" i="67"/>
  <c r="AL542" i="67"/>
  <c r="AL543" i="67"/>
  <c r="AL544" i="67"/>
  <c r="AL545" i="67"/>
  <c r="AL546" i="67"/>
  <c r="AL547" i="67"/>
  <c r="AL548" i="67"/>
  <c r="AL549" i="67"/>
  <c r="AL550" i="67"/>
  <c r="AL551" i="67"/>
  <c r="AL466" i="67" l="1"/>
  <c r="AL442" i="67"/>
  <c r="AL271" i="67"/>
  <c r="BE502" i="67" l="1"/>
  <c r="AL183" i="67"/>
  <c r="BE192" i="67" l="1"/>
  <c r="BE146" i="67"/>
  <c r="O672" i="67"/>
  <c r="AL517" i="67"/>
  <c r="AL518" i="67"/>
  <c r="AL519" i="67"/>
  <c r="AL520" i="67"/>
  <c r="AL521" i="67"/>
  <c r="AL522" i="67"/>
  <c r="AL523" i="67"/>
  <c r="AL524" i="67"/>
  <c r="AL525" i="67"/>
  <c r="AL526" i="67"/>
  <c r="AL527" i="67"/>
  <c r="AL528" i="67"/>
  <c r="AL529" i="67"/>
  <c r="AL530" i="67"/>
  <c r="AL531" i="67"/>
  <c r="AL532" i="67"/>
  <c r="AL533" i="67"/>
  <c r="AL534" i="67"/>
  <c r="AL535" i="67"/>
  <c r="AL536" i="67"/>
  <c r="AL537" i="67"/>
  <c r="AL538" i="67"/>
  <c r="AL539" i="67"/>
  <c r="AL540" i="67"/>
  <c r="AL541" i="67"/>
  <c r="AN510" i="67"/>
  <c r="AN497" i="67"/>
  <c r="AN490" i="67"/>
  <c r="AN487" i="67"/>
  <c r="AN485" i="67"/>
  <c r="AN469" i="67"/>
  <c r="AN458" i="67"/>
  <c r="AN432" i="67"/>
  <c r="AN428" i="67"/>
  <c r="AN406" i="67"/>
  <c r="AN401" i="67"/>
  <c r="AN389" i="67"/>
  <c r="AN380" i="67"/>
  <c r="AN355" i="67"/>
  <c r="AN349" i="67"/>
  <c r="AN341" i="67"/>
  <c r="AN308" i="67"/>
  <c r="AN302" i="67"/>
  <c r="AN288" i="67"/>
  <c r="AN287" i="67"/>
  <c r="AN278" i="67"/>
  <c r="AN275" i="67"/>
  <c r="AN251" i="67"/>
  <c r="AN234" i="67"/>
  <c r="AN223" i="67"/>
  <c r="AN166" i="67"/>
  <c r="AN123" i="67"/>
  <c r="AN112" i="67"/>
  <c r="AN61" i="67"/>
  <c r="AN53" i="67"/>
  <c r="AN650" i="67"/>
  <c r="AL303" i="67" l="1"/>
  <c r="AL236" i="67"/>
  <c r="AN668" i="67" l="1"/>
  <c r="AM668" i="67"/>
  <c r="AL668" i="67"/>
  <c r="AM664" i="67"/>
  <c r="AO664" i="67" s="1"/>
  <c r="AL664" i="67"/>
  <c r="AM660" i="67"/>
  <c r="AL660" i="67"/>
  <c r="AM653" i="67"/>
  <c r="AL653" i="67"/>
  <c r="AM650" i="67"/>
  <c r="AL650" i="67"/>
  <c r="AN643" i="67"/>
  <c r="AM643" i="67"/>
  <c r="AL643" i="67"/>
  <c r="AM637" i="67"/>
  <c r="AO637" i="67" s="1"/>
  <c r="AL637" i="67"/>
  <c r="AM632" i="67"/>
  <c r="AL632" i="67"/>
  <c r="AM626" i="67"/>
  <c r="AL626" i="67"/>
  <c r="AM617" i="67"/>
  <c r="AL617" i="67"/>
  <c r="AM612" i="67"/>
  <c r="AO612" i="67" s="1"/>
  <c r="AL612" i="67"/>
  <c r="AM607" i="67"/>
  <c r="AL607" i="67"/>
  <c r="AM602" i="67"/>
  <c r="AO602" i="67" s="1"/>
  <c r="AL602" i="67"/>
  <c r="AM597" i="67"/>
  <c r="AL597" i="67"/>
  <c r="AM591" i="67"/>
  <c r="AL591" i="67"/>
  <c r="AM585" i="67"/>
  <c r="AL585" i="67"/>
  <c r="AM578" i="67"/>
  <c r="AL578" i="67"/>
  <c r="AM569" i="67"/>
  <c r="AL569" i="67"/>
  <c r="AM561" i="67"/>
  <c r="AL561" i="67"/>
  <c r="AM552" i="67"/>
  <c r="AL552" i="67"/>
  <c r="AO516" i="67"/>
  <c r="AL516" i="67"/>
  <c r="AO515" i="67"/>
  <c r="AL515" i="67"/>
  <c r="AO514" i="67"/>
  <c r="AL514" i="67"/>
  <c r="AO513" i="67"/>
  <c r="AL513" i="67"/>
  <c r="AO512" i="67"/>
  <c r="AL512" i="67"/>
  <c r="AO511" i="67"/>
  <c r="AL511" i="67"/>
  <c r="AO510" i="67"/>
  <c r="AL510" i="67"/>
  <c r="AO509" i="67"/>
  <c r="AL509" i="67"/>
  <c r="AO508" i="67"/>
  <c r="AL508" i="67"/>
  <c r="AO507" i="67"/>
  <c r="AL507" i="67"/>
  <c r="AO506" i="67"/>
  <c r="AL506" i="67"/>
  <c r="AO505" i="67"/>
  <c r="AL505" i="67"/>
  <c r="AO504" i="67"/>
  <c r="AL504" i="67"/>
  <c r="AO503" i="67"/>
  <c r="AL503" i="67"/>
  <c r="AO502" i="67"/>
  <c r="AL502" i="67"/>
  <c r="AO501" i="67"/>
  <c r="AL501" i="67"/>
  <c r="AO500" i="67"/>
  <c r="AL500" i="67"/>
  <c r="AO499" i="67"/>
  <c r="AL499" i="67"/>
  <c r="AO498" i="67"/>
  <c r="AL498" i="67"/>
  <c r="AO497" i="67"/>
  <c r="AL497" i="67"/>
  <c r="AO496" i="67"/>
  <c r="AL496" i="67"/>
  <c r="AO495" i="67"/>
  <c r="AL495" i="67"/>
  <c r="AO494" i="67"/>
  <c r="AL494" i="67"/>
  <c r="AO493" i="67"/>
  <c r="AL493" i="67"/>
  <c r="AO492" i="67"/>
  <c r="AL492" i="67"/>
  <c r="AO491" i="67"/>
  <c r="AL491" i="67"/>
  <c r="AO490" i="67"/>
  <c r="AL490" i="67"/>
  <c r="AO489" i="67"/>
  <c r="AL489" i="67"/>
  <c r="AO488" i="67"/>
  <c r="AL488" i="67"/>
  <c r="AO487" i="67"/>
  <c r="AL487" i="67"/>
  <c r="AO486" i="67"/>
  <c r="AL486" i="67"/>
  <c r="AO485" i="67"/>
  <c r="AL485" i="67"/>
  <c r="AO484" i="67"/>
  <c r="AL484" i="67"/>
  <c r="AO483" i="67"/>
  <c r="AL483" i="67"/>
  <c r="AO578" i="67" l="1"/>
  <c r="AO650" i="67"/>
  <c r="AO668" i="67"/>
  <c r="AO653" i="67"/>
  <c r="AO561" i="67"/>
  <c r="AO660" i="67"/>
  <c r="AO552" i="67"/>
  <c r="AO569" i="67"/>
  <c r="AO591" i="67"/>
  <c r="AO607" i="67"/>
  <c r="AO626" i="67"/>
  <c r="AO617" i="67"/>
  <c r="AO585" i="67"/>
  <c r="AO632" i="67"/>
  <c r="AO597" i="67"/>
  <c r="AO643" i="67"/>
  <c r="AN482" i="67"/>
  <c r="AO482" i="67" s="1"/>
  <c r="AL482" i="67"/>
  <c r="AO481" i="67"/>
  <c r="AL481" i="67"/>
  <c r="AN480" i="67"/>
  <c r="AL480" i="67"/>
  <c r="AO479" i="67"/>
  <c r="AL479" i="67"/>
  <c r="AN478" i="67"/>
  <c r="AO478" i="67" s="1"/>
  <c r="AL478" i="67"/>
  <c r="AN477" i="67"/>
  <c r="AO477" i="67" s="1"/>
  <c r="AL477" i="67"/>
  <c r="AO476" i="67"/>
  <c r="AL476" i="67"/>
  <c r="AO475" i="67"/>
  <c r="AL475" i="67"/>
  <c r="AN474" i="67"/>
  <c r="AO474" i="67" s="1"/>
  <c r="AL474" i="67"/>
  <c r="AO473" i="67"/>
  <c r="AL473" i="67"/>
  <c r="AO472" i="67"/>
  <c r="AL472" i="67"/>
  <c r="AO471" i="67"/>
  <c r="AL471" i="67"/>
  <c r="AO470" i="67"/>
  <c r="AL470" i="67"/>
  <c r="AO469" i="67"/>
  <c r="AL469" i="67"/>
  <c r="AO468" i="67"/>
  <c r="AL468" i="67"/>
  <c r="AO467" i="67"/>
  <c r="AL467" i="67"/>
  <c r="AO466" i="67"/>
  <c r="AO465" i="67"/>
  <c r="AL465" i="67"/>
  <c r="AO464" i="67"/>
  <c r="AL464" i="67"/>
  <c r="AO463" i="67"/>
  <c r="AL463" i="67"/>
  <c r="AO462" i="67"/>
  <c r="AL462" i="67"/>
  <c r="AO461" i="67"/>
  <c r="AL461" i="67"/>
  <c r="AO460" i="67"/>
  <c r="AL460" i="67"/>
  <c r="AN459" i="67"/>
  <c r="AO459" i="67" s="1"/>
  <c r="AL459" i="67"/>
  <c r="AO458" i="67"/>
  <c r="AL458" i="67"/>
  <c r="AN457" i="67"/>
  <c r="AO457" i="67" s="1"/>
  <c r="AL457" i="67"/>
  <c r="AN456" i="67"/>
  <c r="AO456" i="67" s="1"/>
  <c r="AL456" i="67"/>
  <c r="AO455" i="67"/>
  <c r="AL455" i="67"/>
  <c r="AO454" i="67"/>
  <c r="AL454" i="67"/>
  <c r="AO453" i="67"/>
  <c r="AL453" i="67"/>
  <c r="AO452" i="67"/>
  <c r="AL452" i="67"/>
  <c r="AO451" i="67"/>
  <c r="AL451" i="67"/>
  <c r="AO450" i="67"/>
  <c r="AL450" i="67"/>
  <c r="AO449" i="67"/>
  <c r="AL449" i="67"/>
  <c r="AO448" i="67"/>
  <c r="AL448" i="67"/>
  <c r="AO447" i="67"/>
  <c r="AL447" i="67"/>
  <c r="AO446" i="67"/>
  <c r="AL446" i="67"/>
  <c r="AO445" i="67"/>
  <c r="AL445" i="67"/>
  <c r="AO444" i="67"/>
  <c r="AL444" i="67"/>
  <c r="AN443" i="67"/>
  <c r="AO443" i="67" s="1"/>
  <c r="AL443" i="67"/>
  <c r="AO442" i="67"/>
  <c r="AN441" i="67"/>
  <c r="AO441" i="67" s="1"/>
  <c r="AL441" i="67"/>
  <c r="AO440" i="67"/>
  <c r="AL440" i="67"/>
  <c r="AO439" i="67"/>
  <c r="AL439" i="67"/>
  <c r="AO438" i="67"/>
  <c r="AL438" i="67"/>
  <c r="AO437" i="67"/>
  <c r="AL437" i="67"/>
  <c r="AO436" i="67"/>
  <c r="AL436" i="67"/>
  <c r="AO435" i="67"/>
  <c r="AL435" i="67"/>
  <c r="AO434" i="67"/>
  <c r="AL434" i="67"/>
  <c r="AN433" i="67"/>
  <c r="AO433" i="67" s="1"/>
  <c r="AL433" i="67"/>
  <c r="AO432" i="67"/>
  <c r="AL432" i="67"/>
  <c r="AO431" i="67"/>
  <c r="AL431" i="67"/>
  <c r="AN430" i="67"/>
  <c r="AO430" i="67" s="1"/>
  <c r="AL430" i="67"/>
  <c r="AN429" i="67"/>
  <c r="AL429" i="67"/>
  <c r="AO428" i="67"/>
  <c r="AL428" i="67"/>
  <c r="AN427" i="67"/>
  <c r="AO427" i="67" s="1"/>
  <c r="AL427" i="67"/>
  <c r="AN426" i="67"/>
  <c r="AO426" i="67" s="1"/>
  <c r="AL426" i="67"/>
  <c r="AN425" i="67"/>
  <c r="AL425" i="67"/>
  <c r="AO424" i="67"/>
  <c r="AL424" i="67"/>
  <c r="AN422" i="67"/>
  <c r="AO422" i="67" s="1"/>
  <c r="AL422" i="67"/>
  <c r="AO421" i="67"/>
  <c r="AL421" i="67"/>
  <c r="AN420" i="67"/>
  <c r="AO420" i="67" s="1"/>
  <c r="AL420" i="67"/>
  <c r="AO419" i="67"/>
  <c r="AL419" i="67"/>
  <c r="AO418" i="67"/>
  <c r="AL418" i="67"/>
  <c r="AO417" i="67"/>
  <c r="AL417" i="67"/>
  <c r="AO416" i="67"/>
  <c r="AL416" i="67"/>
  <c r="AN415" i="67"/>
  <c r="AO415" i="67" s="1"/>
  <c r="AL415" i="67"/>
  <c r="AN414" i="67"/>
  <c r="AO414" i="67" s="1"/>
  <c r="AL414" i="67"/>
  <c r="AN413" i="67"/>
  <c r="AO413" i="67" s="1"/>
  <c r="AL413" i="67"/>
  <c r="AN412" i="67"/>
  <c r="AO412" i="67" s="1"/>
  <c r="AL412" i="67"/>
  <c r="AO411" i="67"/>
  <c r="AL411" i="67"/>
  <c r="AN410" i="67"/>
  <c r="AO410" i="67" s="1"/>
  <c r="AL410" i="67"/>
  <c r="AO429" i="67" l="1"/>
  <c r="AO480" i="67"/>
  <c r="AO425" i="67"/>
  <c r="AN409" i="67"/>
  <c r="AO409" i="67" s="1"/>
  <c r="AL409" i="67"/>
  <c r="AN408" i="67"/>
  <c r="AO408" i="67" s="1"/>
  <c r="AL408" i="67"/>
  <c r="AN407" i="67"/>
  <c r="AO407" i="67" s="1"/>
  <c r="AL407" i="67"/>
  <c r="AO406" i="67"/>
  <c r="AL406" i="67"/>
  <c r="AN405" i="67"/>
  <c r="AO405" i="67" s="1"/>
  <c r="AL405" i="67"/>
  <c r="AN404" i="67"/>
  <c r="AO404" i="67" s="1"/>
  <c r="AL404" i="67"/>
  <c r="AN403" i="67"/>
  <c r="AO403" i="67" s="1"/>
  <c r="AL403" i="67"/>
  <c r="AN402" i="67"/>
  <c r="AO402" i="67" s="1"/>
  <c r="AL402" i="67"/>
  <c r="AO401" i="67"/>
  <c r="AL401" i="67"/>
  <c r="AO400" i="67"/>
  <c r="AL400" i="67"/>
  <c r="AN399" i="67"/>
  <c r="AO399" i="67" s="1"/>
  <c r="AL399" i="67"/>
  <c r="AN398" i="67" l="1"/>
  <c r="AO398" i="67" s="1"/>
  <c r="AL398" i="67"/>
  <c r="AO397" i="67"/>
  <c r="AL397" i="67"/>
  <c r="AO396" i="67"/>
  <c r="AL396" i="67"/>
  <c r="AO395" i="67"/>
  <c r="AL395" i="67"/>
  <c r="AN394" i="67"/>
  <c r="AO394" i="67" s="1"/>
  <c r="AL394" i="67"/>
  <c r="AO393" i="67"/>
  <c r="AL393" i="67"/>
  <c r="AN392" i="67"/>
  <c r="AO392" i="67" s="1"/>
  <c r="AL392" i="67"/>
  <c r="AN391" i="67"/>
  <c r="AO391" i="67" s="1"/>
  <c r="AL391" i="67"/>
  <c r="AO390" i="67"/>
  <c r="AL390" i="67"/>
  <c r="AO389" i="67"/>
  <c r="AL389" i="67"/>
  <c r="AN388" i="67"/>
  <c r="AO388" i="67" s="1"/>
  <c r="AL388" i="67"/>
  <c r="AN387" i="67"/>
  <c r="AO387" i="67" s="1"/>
  <c r="AL387" i="67"/>
  <c r="AO386" i="67"/>
  <c r="AL386" i="67"/>
  <c r="AN385" i="67"/>
  <c r="AO385" i="67" s="1"/>
  <c r="AL385" i="67"/>
  <c r="AN384" i="67"/>
  <c r="AO384" i="67" s="1"/>
  <c r="AL384" i="67"/>
  <c r="AN383" i="67"/>
  <c r="AO383" i="67" s="1"/>
  <c r="AL383" i="67"/>
  <c r="AO382" i="67"/>
  <c r="AL382" i="67"/>
  <c r="AN381" i="67"/>
  <c r="AO381" i="67" s="1"/>
  <c r="AL381" i="67"/>
  <c r="AO380" i="67"/>
  <c r="AL380" i="67"/>
  <c r="AN379" i="67"/>
  <c r="AO379" i="67" s="1"/>
  <c r="AL379" i="67"/>
  <c r="AO378" i="67"/>
  <c r="AL378" i="67"/>
  <c r="AO377" i="67"/>
  <c r="AL377" i="67"/>
  <c r="AN376" i="67"/>
  <c r="AO376" i="67" s="1"/>
  <c r="AL376" i="67"/>
  <c r="AN375" i="67"/>
  <c r="AO375" i="67" s="1"/>
  <c r="AL375" i="67"/>
  <c r="AN374" i="67"/>
  <c r="AO374" i="67" s="1"/>
  <c r="AL374" i="67"/>
  <c r="AN373" i="67"/>
  <c r="AO373" i="67" s="1"/>
  <c r="AL373" i="67"/>
  <c r="AN372" i="67"/>
  <c r="AO372" i="67" s="1"/>
  <c r="AL372" i="67"/>
  <c r="AN371" i="67"/>
  <c r="AO371" i="67" s="1"/>
  <c r="AL371" i="67"/>
  <c r="AN370" i="67"/>
  <c r="AO370" i="67" s="1"/>
  <c r="AL370" i="67"/>
  <c r="AN369" i="67"/>
  <c r="AL369" i="67"/>
  <c r="AN368" i="67"/>
  <c r="AO368" i="67" s="1"/>
  <c r="AL368" i="67"/>
  <c r="AN367" i="67"/>
  <c r="AO367" i="67" s="1"/>
  <c r="AL367" i="67"/>
  <c r="AN366" i="67"/>
  <c r="AL366" i="67"/>
  <c r="AN365" i="67"/>
  <c r="AL365" i="67"/>
  <c r="AN364" i="67"/>
  <c r="AL364" i="67"/>
  <c r="AN363" i="67"/>
  <c r="AL363" i="67"/>
  <c r="AN362" i="67"/>
  <c r="AO362" i="67" s="1"/>
  <c r="AL362" i="67"/>
  <c r="AN361" i="67"/>
  <c r="AO361" i="67" s="1"/>
  <c r="AL361" i="67"/>
  <c r="AN360" i="67"/>
  <c r="AL360" i="67"/>
  <c r="AN359" i="67"/>
  <c r="AL359" i="67"/>
  <c r="AN358" i="67"/>
  <c r="AL358" i="67"/>
  <c r="AN357" i="67"/>
  <c r="AL357" i="67"/>
  <c r="AO356" i="67"/>
  <c r="AL356" i="67"/>
  <c r="AO355" i="67"/>
  <c r="AL355" i="67"/>
  <c r="AN354" i="67"/>
  <c r="AO354" i="67" s="1"/>
  <c r="AL354" i="67"/>
  <c r="AN353" i="67"/>
  <c r="AL353" i="67"/>
  <c r="AO352" i="67"/>
  <c r="AL352" i="67"/>
  <c r="AN351" i="67"/>
  <c r="AL351" i="67"/>
  <c r="AN350" i="67"/>
  <c r="AL350" i="67"/>
  <c r="AO349" i="67"/>
  <c r="AL349" i="67"/>
  <c r="AO348" i="67"/>
  <c r="AL348" i="67"/>
  <c r="AO347" i="67"/>
  <c r="AL347" i="67"/>
  <c r="AN346" i="67"/>
  <c r="AL346" i="67"/>
  <c r="AO345" i="67"/>
  <c r="AL345" i="67"/>
  <c r="AN344" i="67"/>
  <c r="AO344" i="67" s="1"/>
  <c r="AL344" i="67"/>
  <c r="AN343" i="67"/>
  <c r="AO343" i="67" s="1"/>
  <c r="AL343" i="67"/>
  <c r="AN342" i="67"/>
  <c r="AO342" i="67" s="1"/>
  <c r="AL342" i="67"/>
  <c r="AO341" i="67"/>
  <c r="AL341" i="67"/>
  <c r="AN340" i="67"/>
  <c r="AL340" i="67"/>
  <c r="AN339" i="67"/>
  <c r="AL339" i="67"/>
  <c r="AL338" i="67"/>
  <c r="AN337" i="67"/>
  <c r="AO337" i="67" s="1"/>
  <c r="AL337" i="67"/>
  <c r="AN336" i="67"/>
  <c r="AL336" i="67"/>
  <c r="AO335" i="67"/>
  <c r="AL335" i="67"/>
  <c r="AN334" i="67"/>
  <c r="AO334" i="67" s="1"/>
  <c r="AL334" i="67"/>
  <c r="AO333" i="67"/>
  <c r="AL333" i="67"/>
  <c r="AL332" i="67"/>
  <c r="AO331" i="67"/>
  <c r="AL331" i="67"/>
  <c r="AN330" i="67"/>
  <c r="AO330" i="67" s="1"/>
  <c r="AL330" i="67"/>
  <c r="AN329" i="67"/>
  <c r="AO329" i="67" s="1"/>
  <c r="AL329" i="67"/>
  <c r="AO327" i="67"/>
  <c r="AL327" i="67"/>
  <c r="AO326" i="67"/>
  <c r="AL326" i="67"/>
  <c r="AN325" i="67"/>
  <c r="AL325" i="67"/>
  <c r="AN324" i="67"/>
  <c r="AL324" i="67"/>
  <c r="AN323" i="67"/>
  <c r="AO323" i="67" s="1"/>
  <c r="AL323" i="67"/>
  <c r="AN322" i="67"/>
  <c r="AO322" i="67" s="1"/>
  <c r="AL322" i="67"/>
  <c r="AL321" i="67"/>
  <c r="AO320" i="67"/>
  <c r="AL320" i="67"/>
  <c r="AN319" i="67"/>
  <c r="AO319" i="67" s="1"/>
  <c r="AL319" i="67"/>
  <c r="AN318" i="67"/>
  <c r="AL318" i="67"/>
  <c r="AN317" i="67"/>
  <c r="AO317" i="67" s="1"/>
  <c r="AL317" i="67"/>
  <c r="AO316" i="67"/>
  <c r="AL316" i="67"/>
  <c r="AN315" i="67"/>
  <c r="AO315" i="67" s="1"/>
  <c r="AL315" i="67"/>
  <c r="AO311" i="67"/>
  <c r="AL311" i="67"/>
  <c r="AO308" i="67"/>
  <c r="AL308" i="67"/>
  <c r="AO303" i="67"/>
  <c r="AO302" i="67"/>
  <c r="AL302" i="67"/>
  <c r="AO298" i="67"/>
  <c r="AL298" i="67"/>
  <c r="AO297" i="67"/>
  <c r="AL297" i="67"/>
  <c r="AN296" i="67"/>
  <c r="AO296" i="67" s="1"/>
  <c r="AL296" i="67"/>
  <c r="AO295" i="67"/>
  <c r="AL295" i="67"/>
  <c r="AN294" i="67"/>
  <c r="AO294" i="67" s="1"/>
  <c r="AL294" i="67"/>
  <c r="AO293" i="67"/>
  <c r="AL293" i="67"/>
  <c r="AN292" i="67"/>
  <c r="AL292" i="67"/>
  <c r="AN290" i="67"/>
  <c r="AO290" i="67" s="1"/>
  <c r="AL290" i="67"/>
  <c r="AO288" i="67"/>
  <c r="AL288" i="67"/>
  <c r="AO287" i="67"/>
  <c r="AL287" i="67"/>
  <c r="AN286" i="67"/>
  <c r="AL286" i="67"/>
  <c r="AO285" i="67"/>
  <c r="AL285" i="67"/>
  <c r="AO284" i="67"/>
  <c r="AL284" i="67"/>
  <c r="AN283" i="67"/>
  <c r="AO283" i="67" s="1"/>
  <c r="AL283" i="67"/>
  <c r="AN282" i="67"/>
  <c r="AO282" i="67" s="1"/>
  <c r="AL282" i="67"/>
  <c r="AN281" i="67"/>
  <c r="AO281" i="67" s="1"/>
  <c r="AL281" i="67"/>
  <c r="AN280" i="67"/>
  <c r="AO280" i="67" s="1"/>
  <c r="AL280" i="67"/>
  <c r="AN279" i="67"/>
  <c r="AO279" i="67" s="1"/>
  <c r="AL279" i="67"/>
  <c r="AO278" i="67"/>
  <c r="AL278" i="67"/>
  <c r="AO277" i="67"/>
  <c r="AL277" i="67"/>
  <c r="AN276" i="67"/>
  <c r="AO276" i="67" s="1"/>
  <c r="AL276" i="67"/>
  <c r="AO275" i="67"/>
  <c r="AL275" i="67"/>
  <c r="AO274" i="67"/>
  <c r="AL274" i="67"/>
  <c r="AN273" i="67"/>
  <c r="AO273" i="67" s="1"/>
  <c r="AL273" i="67"/>
  <c r="AM271" i="67"/>
  <c r="AO351" i="67" l="1"/>
  <c r="AO369" i="67"/>
  <c r="AO271" i="67"/>
  <c r="AO292" i="67"/>
  <c r="AO358" i="67"/>
  <c r="AO360" i="67"/>
  <c r="AO363" i="67"/>
  <c r="AO365" i="67"/>
  <c r="AO332" i="67"/>
  <c r="AO339" i="67"/>
  <c r="AO338" i="67"/>
  <c r="AO340" i="67"/>
  <c r="AO350" i="67"/>
  <c r="AO357" i="67"/>
  <c r="AO359" i="67"/>
  <c r="AO364" i="67"/>
  <c r="AO366" i="67"/>
  <c r="AO325" i="67"/>
  <c r="AO336" i="67"/>
  <c r="AO353" i="67"/>
  <c r="AO286" i="67"/>
  <c r="AO318" i="67"/>
  <c r="AO321" i="67"/>
  <c r="AO324" i="67"/>
  <c r="AO346" i="67"/>
  <c r="AN270" i="67"/>
  <c r="AM270" i="67"/>
  <c r="AL270" i="67"/>
  <c r="AN269" i="67"/>
  <c r="AM269" i="67"/>
  <c r="AL269" i="67"/>
  <c r="AN268" i="67"/>
  <c r="AM268" i="67"/>
  <c r="AL268" i="67"/>
  <c r="AN267" i="67"/>
  <c r="AM267" i="67"/>
  <c r="AL267" i="67"/>
  <c r="AN266" i="67"/>
  <c r="AM266" i="67"/>
  <c r="AL266" i="67"/>
  <c r="AN265" i="67"/>
  <c r="AM265" i="67"/>
  <c r="AL265" i="67"/>
  <c r="AN264" i="67"/>
  <c r="AM264" i="67"/>
  <c r="AL264" i="67"/>
  <c r="AM263" i="67"/>
  <c r="AL263" i="67"/>
  <c r="AM261" i="67"/>
  <c r="AL261" i="67"/>
  <c r="AN260" i="67"/>
  <c r="AM260" i="67"/>
  <c r="AL260" i="67"/>
  <c r="AM259" i="67"/>
  <c r="AO266" i="67" l="1"/>
  <c r="AO260" i="67"/>
  <c r="AO259" i="67"/>
  <c r="AO261" i="67"/>
  <c r="AO263" i="67"/>
  <c r="AO269" i="67"/>
  <c r="AO267" i="67"/>
  <c r="AO270" i="67"/>
  <c r="AO264" i="67"/>
  <c r="AO268" i="67"/>
  <c r="AO265" i="67"/>
  <c r="AL259" i="67"/>
  <c r="AM258" i="67"/>
  <c r="AL258" i="67"/>
  <c r="BE251" i="67"/>
  <c r="AM251" i="67"/>
  <c r="AO251" i="67" l="1"/>
  <c r="AO258" i="67"/>
  <c r="AL251" i="67"/>
  <c r="R251" i="67"/>
  <c r="AM250" i="67"/>
  <c r="AL250" i="67"/>
  <c r="AM249" i="67"/>
  <c r="AO249" i="67" l="1"/>
  <c r="AO250" i="67"/>
  <c r="AL249" i="67"/>
  <c r="AM248" i="67"/>
  <c r="AL248" i="67"/>
  <c r="BE246" i="67"/>
  <c r="AN246" i="67"/>
  <c r="AM246" i="67"/>
  <c r="AL246" i="67"/>
  <c r="AL245" i="67"/>
  <c r="AM242" i="67"/>
  <c r="AO245" i="67" l="1"/>
  <c r="AO242" i="67"/>
  <c r="AO248" i="67"/>
  <c r="AO246" i="67"/>
  <c r="AH242" i="67"/>
  <c r="AG242" i="67"/>
  <c r="AN241" i="67"/>
  <c r="AM241" i="67"/>
  <c r="AL241" i="67"/>
  <c r="AN240" i="67"/>
  <c r="AM240" i="67"/>
  <c r="AL240" i="67"/>
  <c r="AM239" i="67"/>
  <c r="AL239" i="67"/>
  <c r="AM236" i="67"/>
  <c r="AO239" i="67" l="1"/>
  <c r="AL242" i="67"/>
  <c r="AO241" i="67"/>
  <c r="AO240" i="67"/>
  <c r="AO236" i="67"/>
  <c r="AM234" i="67"/>
  <c r="AL234" i="67"/>
  <c r="AM230" i="67"/>
  <c r="AH230" i="67"/>
  <c r="AH672" i="67" s="1"/>
  <c r="AG230" i="67"/>
  <c r="AG672" i="67" s="1"/>
  <c r="BE223" i="67"/>
  <c r="AM223" i="67"/>
  <c r="AL223" i="67"/>
  <c r="R223" i="67"/>
  <c r="AN222" i="67"/>
  <c r="AM222" i="67"/>
  <c r="AL222" i="67"/>
  <c r="AM220" i="67"/>
  <c r="AL220" i="67"/>
  <c r="AM218" i="67"/>
  <c r="AL218" i="67"/>
  <c r="AM216" i="67"/>
  <c r="AL216" i="67"/>
  <c r="AM214" i="67"/>
  <c r="AL214" i="67"/>
  <c r="AN213" i="67"/>
  <c r="AM213" i="67"/>
  <c r="AL213" i="67"/>
  <c r="AM211" i="67"/>
  <c r="AO222" i="67" l="1"/>
  <c r="AO230" i="67"/>
  <c r="AO223" i="67"/>
  <c r="AO234" i="67"/>
  <c r="AO211" i="67"/>
  <c r="AO218" i="67"/>
  <c r="AO214" i="67"/>
  <c r="AO220" i="67"/>
  <c r="AL230" i="67"/>
  <c r="AO213" i="67"/>
  <c r="AO216" i="67"/>
  <c r="AL211" i="67"/>
  <c r="AM209" i="67"/>
  <c r="AL209" i="67"/>
  <c r="AN206" i="67"/>
  <c r="AM206" i="67"/>
  <c r="AL206" i="67"/>
  <c r="AM202" i="67"/>
  <c r="AO206" i="67" l="1"/>
  <c r="AO202" i="67"/>
  <c r="AO209" i="67"/>
  <c r="AL202" i="67"/>
  <c r="AM199" i="67"/>
  <c r="AL199" i="67"/>
  <c r="AO199" i="67" l="1"/>
  <c r="AN192" i="67" l="1"/>
  <c r="AM192" i="67" l="1"/>
  <c r="AO192" i="67" s="1"/>
  <c r="AL192" i="67"/>
  <c r="R192" i="67"/>
  <c r="AM188" i="67"/>
  <c r="AL188" i="67"/>
  <c r="AM183" i="67"/>
  <c r="AM181" i="67"/>
  <c r="AO181" i="67" s="1"/>
  <c r="AL181" i="67"/>
  <c r="AM178" i="67"/>
  <c r="AO178" i="67" s="1"/>
  <c r="AL178" i="67"/>
  <c r="AM176" i="67"/>
  <c r="AL176" i="67"/>
  <c r="AM174" i="67"/>
  <c r="AO174" i="67" s="1"/>
  <c r="AL174" i="67"/>
  <c r="BE167" i="67"/>
  <c r="BE166" i="67"/>
  <c r="AM166" i="67"/>
  <c r="AL166" i="67"/>
  <c r="R166" i="67"/>
  <c r="AM160" i="67"/>
  <c r="AO166" i="67" l="1"/>
  <c r="AO176" i="67"/>
  <c r="AO183" i="67"/>
  <c r="AO160" i="67"/>
  <c r="AO188" i="67"/>
  <c r="AL160" i="67"/>
  <c r="AM155" i="67"/>
  <c r="AL155" i="67"/>
  <c r="AN146" i="67"/>
  <c r="AM146" i="67"/>
  <c r="AL146" i="67"/>
  <c r="AO155" i="67" l="1"/>
  <c r="AO146" i="67"/>
  <c r="R146" i="67"/>
  <c r="AN135" i="67"/>
  <c r="AM135" i="67"/>
  <c r="AL135" i="67"/>
  <c r="AO123" i="67" s="1"/>
  <c r="AM123" i="67"/>
  <c r="AO135" i="67" l="1"/>
  <c r="AL123" i="67"/>
  <c r="AM112" i="67"/>
  <c r="AL112" i="67"/>
  <c r="AF102" i="67"/>
  <c r="BE101" i="67"/>
  <c r="AN101" i="67"/>
  <c r="AM101" i="67"/>
  <c r="AL101" i="67"/>
  <c r="AF101" i="67"/>
  <c r="AE101" i="67"/>
  <c r="AN97" i="67"/>
  <c r="AM97" i="67"/>
  <c r="AL97" i="67"/>
  <c r="AM93" i="67"/>
  <c r="AO93" i="67" s="1"/>
  <c r="AL93" i="67"/>
  <c r="AE93" i="67"/>
  <c r="AM90" i="67"/>
  <c r="AO90" i="67" s="1"/>
  <c r="AL90" i="67"/>
  <c r="AN86" i="67"/>
  <c r="AM86" i="67"/>
  <c r="AL86" i="67"/>
  <c r="AM82" i="67"/>
  <c r="AL82" i="67"/>
  <c r="AE82" i="67"/>
  <c r="AM79" i="67"/>
  <c r="AL79" i="67"/>
  <c r="AM75" i="67"/>
  <c r="AL75" i="67"/>
  <c r="AM66" i="67"/>
  <c r="AO66" i="67" s="1"/>
  <c r="AL66" i="67"/>
  <c r="AE66" i="67"/>
  <c r="AM61" i="67"/>
  <c r="AL61" i="67"/>
  <c r="AE61" i="67"/>
  <c r="AM57" i="67"/>
  <c r="AO57" i="67" s="1"/>
  <c r="AL57" i="67"/>
  <c r="AL53" i="67"/>
  <c r="AM49" i="67"/>
  <c r="AL49" i="67"/>
  <c r="AM45" i="67"/>
  <c r="AL45" i="67"/>
  <c r="AM41" i="67"/>
  <c r="AL41" i="67"/>
  <c r="AM37" i="67"/>
  <c r="AL37" i="67"/>
  <c r="AM33" i="67"/>
  <c r="AL33" i="67"/>
  <c r="AM29" i="67"/>
  <c r="AL29" i="67"/>
  <c r="AM25" i="67"/>
  <c r="AL25" i="67"/>
  <c r="AM20" i="67"/>
  <c r="AL20" i="67"/>
  <c r="AO101" i="67" l="1"/>
  <c r="AO33" i="67"/>
  <c r="AO25" i="67"/>
  <c r="AO37" i="67"/>
  <c r="AO49" i="67"/>
  <c r="AO82" i="67"/>
  <c r="AO41" i="67"/>
  <c r="AO86" i="67"/>
  <c r="AO112" i="67"/>
  <c r="AM672" i="67"/>
  <c r="AO20" i="67"/>
  <c r="AO53" i="67"/>
  <c r="AO61" i="67"/>
  <c r="AO75" i="67"/>
  <c r="AO97" i="67"/>
  <c r="AN672" i="67"/>
  <c r="AO29" i="67"/>
  <c r="AO79" i="67"/>
  <c r="AL672" i="67"/>
  <c r="AO45" i="67"/>
  <c r="AO672" i="67" l="1"/>
</calcChain>
</file>

<file path=xl/sharedStrings.xml><?xml version="1.0" encoding="utf-8"?>
<sst xmlns="http://schemas.openxmlformats.org/spreadsheetml/2006/main" count="5564" uniqueCount="2062">
  <si>
    <t xml:space="preserve">Modalidade </t>
  </si>
  <si>
    <t>Tipo</t>
  </si>
  <si>
    <t>Objeto</t>
  </si>
  <si>
    <t>Parte Contratada</t>
  </si>
  <si>
    <t>Fonte de Recursos</t>
  </si>
  <si>
    <t>Elemento de Despesa</t>
  </si>
  <si>
    <t>Nº Processo Administrativo</t>
  </si>
  <si>
    <t>Nº da Licitação</t>
  </si>
  <si>
    <t>Nº DOE da publicação do Edital</t>
  </si>
  <si>
    <t>Nº Contrato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</si>
  <si>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</si>
  <si>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</si>
  <si>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</si>
  <si>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</si>
  <si>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</si>
  <si>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</si>
  <si>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</si>
  <si>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</si>
  <si>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</si>
  <si>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</si>
  <si>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</si>
  <si>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</si>
  <si>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</si>
  <si>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</si>
  <si>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</si>
  <si>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</si>
  <si>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</si>
  <si>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</si>
  <si>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</si>
  <si>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</si>
  <si>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</si>
  <si>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</si>
  <si>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</si>
  <si>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</si>
  <si>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</si>
  <si>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</si>
  <si>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</si>
  <si>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</si>
  <si>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</si>
  <si>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</si>
  <si>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</si>
  <si>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</si>
  <si>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</si>
  <si>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</si>
  <si>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</si>
  <si>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</si>
  <si>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</si>
  <si>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Valor contratado</t>
  </si>
  <si>
    <t>(r )</t>
  </si>
  <si>
    <t>PODER EXECUTIVO MUNICIPAL</t>
  </si>
  <si>
    <t>Especificações do Contrato</t>
  </si>
  <si>
    <t xml:space="preserve">Execução Financeira </t>
  </si>
  <si>
    <t>Seq</t>
  </si>
  <si>
    <t>Parte Concedente</t>
  </si>
  <si>
    <t>Contrapartida</t>
  </si>
  <si>
    <t>(ab)</t>
  </si>
  <si>
    <t>(af)</t>
  </si>
  <si>
    <t>Forma de execução</t>
  </si>
  <si>
    <t>Início</t>
  </si>
  <si>
    <t>Término</t>
  </si>
  <si>
    <t>%</t>
  </si>
  <si>
    <t>Prazo de execução</t>
  </si>
  <si>
    <t>Nº</t>
  </si>
  <si>
    <t>Data ciência</t>
  </si>
  <si>
    <t>Ordem de Serviço</t>
  </si>
  <si>
    <t>Motivo</t>
  </si>
  <si>
    <t>Reinício</t>
  </si>
  <si>
    <t>Paralisações</t>
  </si>
  <si>
    <t>(ai)</t>
  </si>
  <si>
    <t>(aj)</t>
  </si>
  <si>
    <t>(ak)</t>
  </si>
  <si>
    <t>(am)</t>
  </si>
  <si>
    <t>(an)</t>
  </si>
  <si>
    <t>(ap)</t>
  </si>
  <si>
    <t>(aq)</t>
  </si>
  <si>
    <t>(ar)</t>
  </si>
  <si>
    <t>(as)</t>
  </si>
  <si>
    <t xml:space="preserve"> DEMONSTRATIVO DE LICITAÇÕES, CONTRATOS  E OBRAS CONTRATADAS</t>
  </si>
  <si>
    <t>Contrato e Termo Aditivo</t>
  </si>
  <si>
    <t>Especificação de obras e serviços de engenharia</t>
  </si>
  <si>
    <t>(at)</t>
  </si>
  <si>
    <t>Manual de Referência - Anexos IV, VI, VII e VIII</t>
  </si>
  <si>
    <t>(t)</t>
  </si>
  <si>
    <t>(ad)</t>
  </si>
  <si>
    <t>(ae)</t>
  </si>
  <si>
    <t>Nº do Convênio/Contrato</t>
  </si>
  <si>
    <t>(ag)</t>
  </si>
  <si>
    <t>(ah)</t>
  </si>
  <si>
    <t>Adesão a Registro de Preços</t>
  </si>
  <si>
    <t>Órgão Gerenciador</t>
  </si>
  <si>
    <t>Nº da Ata</t>
  </si>
  <si>
    <t>Nº do DOE de publicação da Ata</t>
  </si>
  <si>
    <t>Nº do DOE de publicação do extrato da Ata</t>
  </si>
  <si>
    <t>(au)</t>
  </si>
  <si>
    <t>(av)</t>
  </si>
  <si>
    <t>(ax)</t>
  </si>
  <si>
    <t>(az)</t>
  </si>
  <si>
    <t>Enquadramento</t>
  </si>
  <si>
    <t>Fundamentação Legal</t>
  </si>
  <si>
    <t>Nº do DOE de publicação da autorização</t>
  </si>
  <si>
    <t>Nº do DOE de publicação da ratificação</t>
  </si>
  <si>
    <t>Data do DOE</t>
  </si>
  <si>
    <t>(ay)</t>
  </si>
  <si>
    <t>(ba)</t>
  </si>
  <si>
    <t>(bb)</t>
  </si>
  <si>
    <t>(bc)</t>
  </si>
  <si>
    <t>(bd)</t>
  </si>
  <si>
    <t>(be)</t>
  </si>
  <si>
    <t>Dispensa ou Inexigibilidade de Licitação</t>
  </si>
  <si>
    <t>RESOLUÇÃO Nº 87, DE 28 DE NOVEMBRO DE 2013 - TRIBUNAL DE CONTAS DO ESTADO DO ACRE</t>
  </si>
  <si>
    <t>015/2008</t>
  </si>
  <si>
    <t>HENRIQUE DA COSTA FERREIRA</t>
  </si>
  <si>
    <t>005.718.222-15</t>
  </si>
  <si>
    <t>31.12.2014</t>
  </si>
  <si>
    <t>31.12.2013</t>
  </si>
  <si>
    <t>18.09.2008</t>
  </si>
  <si>
    <t>31.12.2008</t>
  </si>
  <si>
    <t>3.3.90.36.00</t>
  </si>
  <si>
    <t>VI</t>
  </si>
  <si>
    <t>VIII</t>
  </si>
  <si>
    <t>Art.24,  da Lei 8666/93 e suas alterações</t>
  </si>
  <si>
    <t>VII</t>
  </si>
  <si>
    <t>D</t>
  </si>
  <si>
    <t>123350114/2012</t>
  </si>
  <si>
    <t>004/2012</t>
  </si>
  <si>
    <t>03.587.444/0001-63</t>
  </si>
  <si>
    <t>Menor Preço</t>
  </si>
  <si>
    <t>069/2013</t>
  </si>
  <si>
    <t>130360050/2013</t>
  </si>
  <si>
    <t>016/2013</t>
  </si>
  <si>
    <t xml:space="preserve">PREGÃO SRP </t>
  </si>
  <si>
    <t>Contratação de Prestação de Serviço de Segurança Eletrônica com Monitoramento Remoto de Sistemas de Alarmes e Monitoramento Digital com Câmeras em Circuito Fechado com acesso remoto via Internet IP 24 (vinte e quatro) horas por dia, 07 (sete) dias por semana, com locação de equipamentos a título de comodato, destinada a Segurança Patrimonial dos imóveis, instalações físicas e bens diversos da Secretaria de Saúde do Município de Rio Branco/AC</t>
  </si>
  <si>
    <t>Estação Vip Segurança Privada Ltda</t>
  </si>
  <si>
    <t>09.228.233/0001-10</t>
  </si>
  <si>
    <t>25.03.2013</t>
  </si>
  <si>
    <t>1 (RP) e 14 (SUS)</t>
  </si>
  <si>
    <t>1 (RP)</t>
  </si>
  <si>
    <t>3.3.90.39.00</t>
  </si>
  <si>
    <t>I</t>
  </si>
  <si>
    <t>24.03.2014</t>
  </si>
  <si>
    <t>25.03.2014</t>
  </si>
  <si>
    <t>25.03.2015</t>
  </si>
  <si>
    <t>Dispensa de Licitação</t>
  </si>
  <si>
    <t>Artigo 24, inciso X da Lei nº. 8.666/1994</t>
  </si>
  <si>
    <t>II</t>
  </si>
  <si>
    <t xml:space="preserve">I </t>
  </si>
  <si>
    <t>01 (RP)</t>
  </si>
  <si>
    <t>Pregão SRP</t>
  </si>
  <si>
    <t>Menor Preço por Item</t>
  </si>
  <si>
    <t>011/2013</t>
  </si>
  <si>
    <t>Contratação do serviço de transporte com condutor, veículo tipo passeio (item 18)</t>
  </si>
  <si>
    <t>080/2013</t>
  </si>
  <si>
    <t>563.842.382-68</t>
  </si>
  <si>
    <t>Contratação do serviço de transporte com condutor, veículo tipo passeio (item 15)</t>
  </si>
  <si>
    <t>Contratação do serviço de transporte com condutor, veículo tipo passeio (item 17)</t>
  </si>
  <si>
    <t>Contratação do serviço de transporte com condutor, veículo tipo passeio (item 16)</t>
  </si>
  <si>
    <t>Contratação do serviço de transporte com condutor, veículo tipo pick-up (item 2)</t>
  </si>
  <si>
    <t>083/2013</t>
  </si>
  <si>
    <t>Leane Costa da Silva Santos</t>
  </si>
  <si>
    <t>084/2013</t>
  </si>
  <si>
    <t>Luzivan Silva Piauhy</t>
  </si>
  <si>
    <t>086/2013</t>
  </si>
  <si>
    <t>Sammir José da Silva Damasceno</t>
  </si>
  <si>
    <t>087/2013</t>
  </si>
  <si>
    <t>Antônio Arialdo Vieira de Barros</t>
  </si>
  <si>
    <t>770.146.262-72</t>
  </si>
  <si>
    <t xml:space="preserve">648.646.262-00 </t>
  </si>
  <si>
    <t>670.971.032-72</t>
  </si>
  <si>
    <t>630.325.112-91</t>
  </si>
  <si>
    <t>Wendson de Lima Israel</t>
  </si>
  <si>
    <t>Telmo Pinho da Costa Filho</t>
  </si>
  <si>
    <t>101/2013</t>
  </si>
  <si>
    <t>103/2013</t>
  </si>
  <si>
    <t>Contratação do serviço de transporte com condutor, veículo tipo pick-up</t>
  </si>
  <si>
    <t>Contratação do serviço de transporte com condutor, veículo tipo passeio</t>
  </si>
  <si>
    <t>725.315.682-04</t>
  </si>
  <si>
    <t>876.778.902-10</t>
  </si>
  <si>
    <t>104/2013</t>
  </si>
  <si>
    <t>Maria de Nazaré Lima Nogueira</t>
  </si>
  <si>
    <t>443.938.902-30</t>
  </si>
  <si>
    <t>113/2013</t>
  </si>
  <si>
    <t>E. A. de Carvalho - Me</t>
  </si>
  <si>
    <t>02.521.188/0001-49</t>
  </si>
  <si>
    <t>Tomada de Preços</t>
  </si>
  <si>
    <t>Empreitada por preço unitário</t>
  </si>
  <si>
    <t>020/2013</t>
  </si>
  <si>
    <t>05.531.473/0001-39</t>
  </si>
  <si>
    <t>138/2013</t>
  </si>
  <si>
    <t>Acretec Com. e Rep. Ltda</t>
  </si>
  <si>
    <t>022/2013</t>
  </si>
  <si>
    <t>Contratação de empresa especializada em distribuição de Água Potável através de carros pipa ou caminhões tanque</t>
  </si>
  <si>
    <t xml:space="preserve">04.475.329/0001-60 </t>
  </si>
  <si>
    <t>3.3.90.30.00</t>
  </si>
  <si>
    <t>III</t>
  </si>
  <si>
    <t>IV</t>
  </si>
  <si>
    <t>V</t>
  </si>
  <si>
    <t xml:space="preserve">TERMO DE ADESÃO </t>
  </si>
  <si>
    <t>156/2013</t>
  </si>
  <si>
    <t>Vieira e Gomes Ltda</t>
  </si>
  <si>
    <t>Contratação de empresa para prestação de serviços administrativos de digitador e recepcionista</t>
  </si>
  <si>
    <t>120-DOU</t>
  </si>
  <si>
    <t>3.3.90.37.00</t>
  </si>
  <si>
    <t>9080/2013</t>
  </si>
  <si>
    <t>163/2013</t>
  </si>
  <si>
    <t>Adauto Alves Bandeira</t>
  </si>
  <si>
    <t>020.598.782-68</t>
  </si>
  <si>
    <t>01 (RP) e 14 (SUS)</t>
  </si>
  <si>
    <t>012/2013</t>
  </si>
  <si>
    <t>001/2014</t>
  </si>
  <si>
    <t>002/2014</t>
  </si>
  <si>
    <t>003/2014</t>
  </si>
  <si>
    <t>004/2014</t>
  </si>
  <si>
    <t>007/2014</t>
  </si>
  <si>
    <t>010/2014</t>
  </si>
  <si>
    <t>012/2014</t>
  </si>
  <si>
    <t>014/2014</t>
  </si>
  <si>
    <t>015/2014</t>
  </si>
  <si>
    <t>008/2013</t>
  </si>
  <si>
    <t>PREGÃO SRP</t>
  </si>
  <si>
    <t>Contratação de empresa especializada em lavagem de automóveis e serviço de borracharia e outros serviços com fornecimento de materiais, equipamentos, pessoal e instalações próprias</t>
  </si>
  <si>
    <t>R. FERREIRA DE ALBUQUERQUE - ME</t>
  </si>
  <si>
    <t>09.072.288/0001-84</t>
  </si>
  <si>
    <t>33.90.39.00</t>
  </si>
  <si>
    <t>PIT STOP COMÉRCIO E SERVIÇOS LTDA</t>
  </si>
  <si>
    <t>02.132.510/0001 – 48</t>
  </si>
  <si>
    <t>5031/2013</t>
  </si>
  <si>
    <t>Contratação de empresa para a prestação de serviços continuados de limpeza, asseio e conservação predial, visando a obtenção  de  adequadas  condições  de  salubridade  e  higiene, com a disponibilização de mão-de-obra, saneantes domissanitários, materiais e equipamentos, sob inteira responsabilidade da contratada, para atender as Unidades da Secretaria Municipal de Saúde</t>
  </si>
  <si>
    <t>33.90.37.00</t>
  </si>
  <si>
    <t>02.596.872/0001-90</t>
  </si>
  <si>
    <t>4.4.90.52.00</t>
  </si>
  <si>
    <t>07.190.927/0001-80</t>
  </si>
  <si>
    <t>022/2014</t>
  </si>
  <si>
    <t>133/2014</t>
  </si>
  <si>
    <t>113/2014</t>
  </si>
  <si>
    <t>090/2014</t>
  </si>
  <si>
    <t>085/2014</t>
  </si>
  <si>
    <t>070/2014</t>
  </si>
  <si>
    <t>065/2014</t>
  </si>
  <si>
    <t>058/2014</t>
  </si>
  <si>
    <t>056/2014</t>
  </si>
  <si>
    <t>039/2014</t>
  </si>
  <si>
    <t>029/2014</t>
  </si>
  <si>
    <t>Aquisição de Medicamentos</t>
  </si>
  <si>
    <t>04.598.413/0001-70</t>
  </si>
  <si>
    <t>J. S. NUNES - ME</t>
  </si>
  <si>
    <t>40.802.993/0001-30</t>
  </si>
  <si>
    <t>06.987.995/0001-02</t>
  </si>
  <si>
    <t>02.787.053/0001-20</t>
  </si>
  <si>
    <t xml:space="preserve">TOMADA DE PREÇOS </t>
  </si>
  <si>
    <t>034/2013</t>
  </si>
  <si>
    <t>05.687.069/0001-59</t>
  </si>
  <si>
    <t>4.4.90.51.00</t>
  </si>
  <si>
    <t>33.90.30.00</t>
  </si>
  <si>
    <t>03.033.345/0001-30</t>
  </si>
  <si>
    <t>3871/2014</t>
  </si>
  <si>
    <t>EMPRESA BRASILEIRA DE TELECOMUNICAÇÕES S/A - EMBRATEL</t>
  </si>
  <si>
    <t>33.530.486/0001-29</t>
  </si>
  <si>
    <t>TERMO DE ADESÃO PREGÃO SRP Nº 015/2013 – TRE/AC</t>
  </si>
  <si>
    <t>Prestação de Serviços de Internet na área urbana de Rio Branco-AC</t>
  </si>
  <si>
    <t>LUIZ R. S. D'AVILA</t>
  </si>
  <si>
    <t>15.243.115/0001-84</t>
  </si>
  <si>
    <t>29042/2013</t>
  </si>
  <si>
    <t>Contratação de empresa especializada na prestação de serviços de manutenção e reposição de peças de condicionadores de ar, tipo janela e split</t>
  </si>
  <si>
    <t>WAGNER E SILVA LTDA</t>
  </si>
  <si>
    <t xml:space="preserve">84.312.602/0001-74 </t>
  </si>
  <si>
    <t>774/2014</t>
  </si>
  <si>
    <t>Contratação de Serviço especializado em manutenção de equipamentos médico-hospitalares, incluindo manutenção preventiva, corretiva, calibração e gestão da manutenção através de sistema informatizado</t>
  </si>
  <si>
    <t>CONSTRUTORA CONCRETO LTDA</t>
  </si>
  <si>
    <t xml:space="preserve">14.349.591/0001-11 </t>
  </si>
  <si>
    <t>MEDPLUS COMÉRCIO E REPRESENTAÇÃO LTDA</t>
  </si>
  <si>
    <t>10.193.608/0001-33</t>
  </si>
  <si>
    <t>1779/2014</t>
  </si>
  <si>
    <t xml:space="preserve">DISPENSA DE LICITAÇÃO </t>
  </si>
  <si>
    <t>ANA PAULA DE SOUZA SOBRINHO</t>
  </si>
  <si>
    <t>523.804.912-91</t>
  </si>
  <si>
    <t xml:space="preserve">3.3.90.36.00 </t>
  </si>
  <si>
    <t>01.973.242/0001-24</t>
  </si>
  <si>
    <t>2221/2014</t>
  </si>
  <si>
    <t>CONCORRÊNCIA</t>
  </si>
  <si>
    <t>LOGUS ARQUITETURA E CONSTRUÇÕES LTDA</t>
  </si>
  <si>
    <t>06.072.344/0001-92</t>
  </si>
  <si>
    <t>14 (SUS)</t>
  </si>
  <si>
    <t>CONSTRUTORA MOREIRA DA COSTA LTDA</t>
  </si>
  <si>
    <t xml:space="preserve">84.326.628/0001-71 </t>
  </si>
  <si>
    <t>10582/2014</t>
  </si>
  <si>
    <t>Contratação De Empresa De Engenharia Para A Execução De Serviços De Construção De Unidade Básica De Saúde Porte I Na Rua Caxias, Nº 57, Bairro Quinze, Rio Branco – Acre</t>
  </si>
  <si>
    <t>01 (RP) e 14 (SUS – Proposta nº 84317.205000/1130-02)</t>
  </si>
  <si>
    <t>LIFE PRODUTOS E EQUIPAMENTOS DE LIMPEZA E HOSPITALARES LTDA</t>
  </si>
  <si>
    <t>05.580.502/0001-52</t>
  </si>
  <si>
    <t>M &amp; Z INDÚSTRIA E COMÉRCIO LTDA</t>
  </si>
  <si>
    <t>63.601.116/0001-04</t>
  </si>
  <si>
    <t>10587/2014</t>
  </si>
  <si>
    <t>Contratação De Empresa De Engenharia Para A Execução De Serviços De Construção De Unidade Básica De Saúde Porte I Na Rua Domingos De Medeiros, S/N, Bairro Placido De Castro, Rio Branco – Acre</t>
  </si>
  <si>
    <t>11.346.090/0001-93</t>
  </si>
  <si>
    <t>01 (RP) e 14 (SUS – Proposta nº 84317.205000/1130-06)</t>
  </si>
  <si>
    <t>CENTERDATA ANÁLISE DE SISTEMAS E SERVIÇOS LTDA</t>
  </si>
  <si>
    <t>D. L. RAMOS - ME</t>
  </si>
  <si>
    <t>05.146.814/0001-52</t>
  </si>
  <si>
    <t>S &amp; S COMÉRCIO E REPRESENTAÇÃO DE TINTAS LTDA</t>
  </si>
  <si>
    <t>27576/2013</t>
  </si>
  <si>
    <t>AUTO POSTO TREVO LTDA</t>
  </si>
  <si>
    <t>84.322.932/0001-40</t>
  </si>
  <si>
    <t xml:space="preserve">33.90.39.00 </t>
  </si>
  <si>
    <t>023/2009</t>
  </si>
  <si>
    <t>001/2009</t>
  </si>
  <si>
    <t>001/2010</t>
  </si>
  <si>
    <t>006/2011</t>
  </si>
  <si>
    <t>007/2011</t>
  </si>
  <si>
    <t>002/2012</t>
  </si>
  <si>
    <t>001/2012</t>
  </si>
  <si>
    <t>005/2012</t>
  </si>
  <si>
    <t>003/2012</t>
  </si>
  <si>
    <t>010/2011</t>
  </si>
  <si>
    <t>055/2012</t>
  </si>
  <si>
    <t>313/2012</t>
  </si>
  <si>
    <t>033/2013</t>
  </si>
  <si>
    <t>051/2013</t>
  </si>
  <si>
    <t>003/2013</t>
  </si>
  <si>
    <t>067/2013</t>
  </si>
  <si>
    <t>004/2013</t>
  </si>
  <si>
    <t>068/2013</t>
  </si>
  <si>
    <t>Rita Maria Mansour de Araújo</t>
  </si>
  <si>
    <t>Francisco Ubiratan de Vasconcelos</t>
  </si>
  <si>
    <t>ELY ASSEM DE CARVALHO</t>
  </si>
  <si>
    <t>GRÁFICA GLOBO LTDA</t>
  </si>
  <si>
    <t>33.90.36.00</t>
  </si>
  <si>
    <t>JOSÉ ALBERTO PAZ EPP</t>
  </si>
  <si>
    <t>84.327.105/0001-40</t>
  </si>
  <si>
    <t>ADAUTO ALVES BANDEIRA</t>
  </si>
  <si>
    <t>SILDO BARBOSA GOMES DE FREITAS</t>
  </si>
  <si>
    <t>020.425.762-04</t>
  </si>
  <si>
    <t>FRANCISCO AFONSO GONÇALVES DE FREITAS</t>
  </si>
  <si>
    <t>138.144.862-34</t>
  </si>
  <si>
    <t>040.745.212-53</t>
  </si>
  <si>
    <t>04.521.035/0001-27</t>
  </si>
  <si>
    <t>LUCIVÂNIA DE OLIVEIRA CHAVES VIANA</t>
  </si>
  <si>
    <t>665.383.432-87</t>
  </si>
  <si>
    <t>112900141/2011</t>
  </si>
  <si>
    <t>102/2011</t>
  </si>
  <si>
    <t>JOSÉ MOREIRA LINS</t>
  </si>
  <si>
    <t>905.153.908-87</t>
  </si>
  <si>
    <t>183.093.722-72</t>
  </si>
  <si>
    <t>005.644.272-68</t>
  </si>
  <si>
    <t>BRAUMAG LTDA</t>
  </si>
  <si>
    <t>02.485.501/0001-30</t>
  </si>
  <si>
    <t>1 (RP), 6 (Convênio Federal),7 (Convênio Estadual), 14 (SUS) e 15 (SUS Estadual)</t>
  </si>
  <si>
    <t>120880225/2012</t>
  </si>
  <si>
    <t>028/2012</t>
  </si>
  <si>
    <t xml:space="preserve"> 008/2013</t>
  </si>
  <si>
    <t>Contratação de empresa especializada em Centrais de Atendimento (Call Center) para oferecer serviço de tele atendimento na Ouvidoria Municipal de Saúde - SEMSA</t>
  </si>
  <si>
    <t>A. S. B. COMÉRCIO E SERVIÇOS LTDA</t>
  </si>
  <si>
    <t xml:space="preserve">14.288.275/0001-87 </t>
  </si>
  <si>
    <t>123490034/2013</t>
  </si>
  <si>
    <t>Contratação de empresa para prestação de serviços de Manutenção preventiva e corretiva em veículos (Tipo Motocicleta)</t>
  </si>
  <si>
    <t xml:space="preserve">04.035.754/0001-38 </t>
  </si>
  <si>
    <t>01 (RP), 06 (Convênio Federal), 07 (Convênio Estadual) e 14 (SUS)</t>
  </si>
  <si>
    <t>122480179/2012</t>
  </si>
  <si>
    <t xml:space="preserve">PREGÃO PRESENCIAL </t>
  </si>
  <si>
    <t>Contratação de Empresa Especializada em Manutenção corretiva e preventiva em Consultórios odontológicos, com reposição de peças e montagem e desmontagem dos mesmos, destinado a atender às necessidades das Unidades de Saúde da Secretaria Municipal de Saúde - SEMSA</t>
  </si>
  <si>
    <t>SERTEC ODONTO COM. REPRESENTAÇÕES LTDA</t>
  </si>
  <si>
    <t>123620097/2012</t>
  </si>
  <si>
    <t>009/2013</t>
  </si>
  <si>
    <t>Contratação de empresa para fornecimento de passagens aéreas e terrestres em território nacional (estaduais e interestaduais) com prestação se serviços de reserva</t>
  </si>
  <si>
    <t>1(RP) e 14 (SUS)</t>
  </si>
  <si>
    <t>KAMPA VIAGENS SERVIÇOS E EVENTOS LTDA</t>
  </si>
  <si>
    <t>03.383.410/0001-57</t>
  </si>
  <si>
    <t>01 (RP), 06 (Convênio Federal), 07 (Convênio Estadual), 14 (SUS) e 15 (SUS Estadual)</t>
  </si>
  <si>
    <t>-</t>
  </si>
  <si>
    <t>FEV./2014</t>
  </si>
  <si>
    <t>010/2013</t>
  </si>
  <si>
    <t>131 DOU</t>
  </si>
  <si>
    <t>TRIBUNAL REGIONAL ELEITORAL DO ACRE</t>
  </si>
  <si>
    <t xml:space="preserve">Menor Preço </t>
  </si>
  <si>
    <t>CONSTRUÇÃO</t>
  </si>
  <si>
    <t>IX</t>
  </si>
  <si>
    <t>Artigo 24, inciso X da Lei nº. 8.666/1993</t>
  </si>
  <si>
    <t>Art.24,  inciso X  da Lei 8666/93 e suas alterações</t>
  </si>
  <si>
    <t>Art.24,   inciso X  da Lei 8666/93 e suas alterações</t>
  </si>
  <si>
    <t>Alteração das Cláusulas segunda - PRAZO, terceira - VALOR MENSALe décima-sexta - VALOR GLOBAL, do contrato original</t>
  </si>
  <si>
    <t xml:space="preserve">Alteração da cláusula quarta -  prazo de vigência do registro de preços e do contrato original </t>
  </si>
  <si>
    <t>Alteração das Cláusulas segunda - PRAZO, terceira - VALOR MENSAL e décima-sexta - VALOR GLOBAL, do contrato original</t>
  </si>
  <si>
    <t>Alterar a Cláusula Décima Sexta  - Valor Gobal do Contrato original</t>
  </si>
  <si>
    <t>Alterar a Cláusula  Décima Sexta - VALOR GLOBAL do Contrato original</t>
  </si>
  <si>
    <t xml:space="preserve">Alteração da CLÁUSULA QUARTA - PRAZO DE VIGÊNCIA DO REGISTRO DE PREÇOS e  do contrato original   </t>
  </si>
  <si>
    <t>Alterar a Cláusula QUARTA PRAZO DE VIGÊNCIA DO REGISTRO DE PREÇOS E DO CONTRATO original</t>
  </si>
  <si>
    <t>Alterar a Cláusula TERCEIRA  DO PREÇO E CONDIÇÕES DE PAGAMENTO do Contrato original</t>
  </si>
  <si>
    <t>Alterar a Cláusula QUARTA  PRAZO DE VIGÊNCIA DO REGISTRO DE PREÇOS E do Contrato original</t>
  </si>
  <si>
    <t>Alterar a Cláusula QUARTA  PRAZO DE VIGÊNCIA DO REGISTRO DE PREÇOS E DO CONTRATO  original</t>
  </si>
  <si>
    <t>Alterar a Cláusula QUARTA PRAZO DE VIGÊNCIA DO REGISTRO DE PREÇOS E DO CONTRATO  original</t>
  </si>
  <si>
    <t>Alteração das CLÁUSULAS SEGUNDA - PRAZO, TERCEIRA - VALOR MENSAL E DÉCIMA SEXTA - VALOR GLOBAL ADITADO, do contrato original</t>
  </si>
  <si>
    <t>162/2014</t>
  </si>
  <si>
    <t>178/2014</t>
  </si>
  <si>
    <t xml:space="preserve">01 (RP) </t>
  </si>
  <si>
    <t>3.3.90.32.00</t>
  </si>
  <si>
    <t>643.965.172-20</t>
  </si>
  <si>
    <t xml:space="preserve">Tomada de Preços </t>
  </si>
  <si>
    <t>Construção</t>
  </si>
  <si>
    <t>13.614/2014</t>
  </si>
  <si>
    <t>Contratação de Empresa Especializada na Prestação de Serviços de Carregador</t>
  </si>
  <si>
    <t>14.287.122/0001–15</t>
  </si>
  <si>
    <t>02.520.829/0001-40</t>
  </si>
  <si>
    <t>23738/2014</t>
  </si>
  <si>
    <t>Contratação de Empresa para Prestação de Serviços Terceirizados de Segurança e Vigilância Patrimonial Armada</t>
  </si>
  <si>
    <t xml:space="preserve">3.3.90.39.00 </t>
  </si>
  <si>
    <t>Menor preço</t>
  </si>
  <si>
    <t>180/2014</t>
  </si>
  <si>
    <t>28047/2014</t>
  </si>
  <si>
    <t>Bela Vista Construções Comércio E Representações Ltda</t>
  </si>
  <si>
    <t>Contratação de empresa de engenharia para a execução de serviços de construção de unidade de acolhimento, no Bairro Vila Acre, Rio Branco – Acre</t>
  </si>
  <si>
    <t>01 (RP) e 14 (SUS – Proposta nº 84317.205000/1130-26)</t>
  </si>
  <si>
    <t>Alteração da CLÁUSULA QUARTA –DO PRAZO DE  VIGÊNCIA DO CONTRATO</t>
  </si>
  <si>
    <t>132/2014</t>
  </si>
  <si>
    <t>14027/2014</t>
  </si>
  <si>
    <t>LIDER CONSTRUÇÕES LTDA</t>
  </si>
  <si>
    <t xml:space="preserve">07.622.497/0001-29 </t>
  </si>
  <si>
    <t>01 (Recurso Próprio) e 14 (SUS – Proposta nº 84317.205000/1130-04)</t>
  </si>
  <si>
    <t>Contratação De Empresa De Engenharia Para A Execução De Serviços De Construção De Unidade Básica De Saúde Porte II Na Avenida Epaminondas Jácome Esquina Com A Rua Santa Catarina, Bairro Cadeia Velha, Rio Branco – Acre</t>
  </si>
  <si>
    <t>Euro Construções Ltda</t>
  </si>
  <si>
    <t xml:space="preserve">   </t>
  </si>
  <si>
    <t xml:space="preserve"> </t>
  </si>
  <si>
    <t xml:space="preserve">      </t>
  </si>
  <si>
    <t>33.90.33.00</t>
  </si>
  <si>
    <t>Alteração das CLÁUSULAS SEGUNDA, TERCEIRA E DÉCIMA SEXTA, prorrogando a vigência do contrato por mais 12 (doze) meses e reajustando o valor mensal que passará a ser R$ 1.187,82 (um mil cento e oitenta e sete reais e oitenta e dois centavos), perfazendo a diferença mensal de R$ 87,82 (oitenta e sete reais e oitenta e dois centavos) e totalizando o valor global aditado R$ 14.253,84 (quatorze mil duzentos e cinquenta e três reais e oitenta e quatro centavos), até o término da vigência contratual</t>
  </si>
  <si>
    <t>Alteração das CLÁUSULAS SEGUNDA, TERCEIRA E DÉCIMA SEXTA, prorrogando a vigência do contrato por mais 12 (doze) meses e reajustando o valor mensal que passará a ser R$ 11.878,21 (onze mil oitocentos e setenta e oito reais e vinte e um centavos), perfazendo a diferença mensal de R$ 878,21 (oitocentos e setenta e oito reais e vinte e um centavos) e totalizando o valor global aditado R$ 142.538,52 (cento e quarenta e dois mil quinhentos e trinta e oito reais e cinquenta e dois centavos), até o término da vigência contratual</t>
  </si>
  <si>
    <t>Alteração da CLÁUSULA SEGUNDA  DO PREÇO E CONDIÇÕES DE PAGAMENTO do contrato original</t>
  </si>
  <si>
    <t>Alteração da CLÁUSULA TERCEIRA  PRAZO DE VIGÊNCIA DO REGISTRO DE PREÇOS E DO CONTRATO do contrato original</t>
  </si>
  <si>
    <t xml:space="preserve">Alterar a CLÁUSULA QUARTA -PRAZO DE VIGÊNCIA DO REGISTRO DE PREÇOS E DO CONTRATO, prorrogando o contrato original </t>
  </si>
  <si>
    <t>Alteração daCLÁUSULA QUINTA– DO VALOR DO CONTRATO – EMPENHO E DOTAÇÃO,suprimindodo valor originalmente contratado a importância de R$ 812,53 (oitocentos e doze reais e cinquenta e três centavos), conforme adequação solicitada pela Secretaria Municipal de Obras Públicas.</t>
  </si>
  <si>
    <t xml:space="preserve">Alteração da CLÁUSULA TERCEIRA – DO PREÇO E CONDIÇÕES DE PAGAMENTO, acrescendo em 25% (vinte e cinco por cento) perfazendo um valor total de 8.400 m2  nas áreas insalubres </t>
  </si>
  <si>
    <t>Alteração da CLÁUSULA TERCEIRA - DO PREÇO E CONDIÇÕES DE PAGAMENTO, acrescendo ao valor contratado 25% (vinte e cinco por cento), que perfaz a quantia de R$ 20.499,99 (vinte mil quatrocentos e noventa e nove reais e noventa e nove centavos), devendo o mesmo ser somado ao valor inicialmente contratado.</t>
  </si>
  <si>
    <t xml:space="preserve">CONCORRÊNCIA SRP </t>
  </si>
  <si>
    <t>DIGICÓPIAS LTDA</t>
  </si>
  <si>
    <t>06.234.024/0001-91</t>
  </si>
  <si>
    <t>01 (R P) e 06 (Convênio Federal – Contrato de Repasse nº 389.578-97/2012)MS</t>
  </si>
  <si>
    <t xml:space="preserve"> 06 (Convênio Federal – Contrato de Repasse nº 389.578-97/2012)MS</t>
  </si>
  <si>
    <t xml:space="preserve">Alteração da CLÁUSULA QUINTA– DO VALOR DO CONTRATO – EMPENHO E DOTAÇÃO,acrescendo serviços no valor de R$329.007,28 (trezentos e vinte e nove mil e sete reais e vinte e oito centavos), e, suprindo serviços no valor de R$ 45.290,87(quarenta e cinco mil duzentos e noventa reais e  oitenta e sete centavos), perfazendo a diferença de R$ 283.716,41 (duzentos e oitenta e três mil setecentos e dezesseis reais e quarenta e um centavos) a ser acrescido do valor originalmente contratado, conforme adequação apresentada através do oficio nº 2.77./GAB/SEOP. </t>
  </si>
  <si>
    <t>Até que seja identificada e regularizada nova área para ser implantada a Unidade Básica de Saúde, e que não haja prejuizo na execução do cronograma contratual e início da obra.</t>
  </si>
  <si>
    <t>Alteração das CLÁUSULAS SEGUNDA, TERCEIRA E DÉCIMA SEXTA, prorrogando a vigência do contrato por mais 12 (doze) meses e reajustando o valor mensal que passará a ser R$ 11.494,23 (onze mil quatrocentos e noventa e quatro reais e vinte e três centavos), totalizando o valor global aditado R$
137.930,76 (cento e trinta e sete mil novecentos e trinta reais e setenta e seis centavos).</t>
  </si>
  <si>
    <t>Alteração das CLÁUSULAS SEGUNDA, TERCEIRA E DÉCIMA SEXTA, prorrogando a vigência do contrato por mais 12 (doze) meses e reajustando o valor mensal que passará a ser R$ 6.581,01 (seis mil quinhentos e oitenta e um reais e um centavo), totalizando o valor global aditado R$ 78.972,12 (setenta e oito mil novecentos e setenta e dois reais e doze centavos).</t>
  </si>
  <si>
    <t>Alteração das CLÁUSULAS SEGUNDA, TERCEIRA E DÉCIMA SEXTA, prorrogando a vigência do contrato por mais 12 (doze) meses e reajustando o valor mensal que passará a ser R$ 7.114,83 (sete mil cento e quatorze reais e oitenta e três centavos), totalizando o valor global aditado R$ 85.377,96 (oitenta e cinco mil trezentos e setenta e sete reais e noventa e seis centavos).</t>
  </si>
  <si>
    <t>Alterar a CLÁUSULA DÉCIMA SEXTA (DO VALOR
DO CONTRATO) reajustando o valor mensal que passará a ser R$ 1.268,00 (um mil duzentos e sessenta e oito reais), com efeito financeiro
a partir de fevereiro/2014, referente ao reajuste contratual, com amparo legal previsto na Cláusula Quinta – Do Reajuste do Aluguel. Valor Mensal Reajustado: R$ 1.268,00 (um mil duzentos e sessenta e oito reais).</t>
  </si>
  <si>
    <t>Alteração da CLÁUSULA SEGUNDA – DO PRAZO DE VIGÊNCIA, prorrogando a vigência do contrato por mais 12 (doze) meses, tendo como valor mensal a importância de R$ 1.268,00 (um mil duzentos e sessenta e oito reais), totalizando o valor global de
R$ 15.216,00 (quinze mil duzentos e dezesseis reais).</t>
  </si>
  <si>
    <t>Alteração das CLÁUSULAS SEGUNDA, TERCEIRA
E DÉCIMA SEXTA, prorrogando a vigência do contrato por mais 12 (doze) meses e reajustando o valor mensal que passará a ser R$ 984,72 (novecentos e oitenta e quatro reais e setenta e dois centavos),
totalizando o valor global aditado R$ 11.816,64 (onze mil oitocentos e dezesseis reais e sessenta e quatro centavos).</t>
  </si>
  <si>
    <t xml:space="preserve">  </t>
  </si>
  <si>
    <t>Alteração das CLÁUSULAS SEGUNDA, TERCEIRA E DÉCIMA SEXTA, prorrogando a vigência do contrato por mais 12 (doze) meses e reajustando o valor mensal que passará a ser R$ 5.830,55 (cinco mil oitocentos e trinta reais e cinquenta e cinco centavos), totalizando o valor global aditado R$ 69.966,60 (sessenta e nove mil novecentos e sessenta e seis reais e sessenta centavos).</t>
  </si>
  <si>
    <t xml:space="preserve">Alteração das CLÁUSULAS SEGUNDA, TERCEIRA
E DÉCIMA SEXTA, prorrogando a vigência do contrato por mais 12 (doze) meses e reajustando o valor mensal que passará a ser R$ 6.425,36 (seis mil quatrocentos e vinte e cinco reais e trinta e seis centavos), totalizando o valor global aditado R$ 77.104,32 (setenta e sete mil cento e quatro reais e trinta e dois centavos). </t>
  </si>
  <si>
    <t>alteração da CLÁUSULA QUARTA – DO PRAZO DE VIGENCIA DO REGISTRO DE PREÇO E DO CONTRATO, prorrogando o contrato original por mais 12 (doze) meses</t>
  </si>
  <si>
    <t xml:space="preserve">               </t>
  </si>
  <si>
    <t>001/2015</t>
  </si>
  <si>
    <t>002/2015</t>
  </si>
  <si>
    <t>006/2015</t>
  </si>
  <si>
    <t>008/2015</t>
  </si>
  <si>
    <t>009/2015</t>
  </si>
  <si>
    <t>016/2015</t>
  </si>
  <si>
    <t>044/2015</t>
  </si>
  <si>
    <t>045/2015</t>
  </si>
  <si>
    <t>Contratação de empresa especializada em fornecimento de combustível (álcool, diesel comum S-10 e gasolina comum), para atender as demandas da Secretaria Municipal de Saúde</t>
  </si>
  <si>
    <t>01 (R P) e 14 (SUS).</t>
  </si>
  <si>
    <t>Eliazar Silva Machado</t>
  </si>
  <si>
    <t>030.519.432-15</t>
  </si>
  <si>
    <t>54938/2014</t>
  </si>
  <si>
    <t>3.3.90.39.00 e 3.3.90.30.00</t>
  </si>
  <si>
    <t>13614/2014</t>
  </si>
  <si>
    <t>ALPHA PRESTAÇÃO DE SERVIÇOS LTDA</t>
  </si>
  <si>
    <t>14.287.122/0001 - 15</t>
  </si>
  <si>
    <t>41934/2014</t>
  </si>
  <si>
    <t xml:space="preserve">Termo de Adesão Nº 001/2015
Pregão Srp Nº 002/2014 
</t>
  </si>
  <si>
    <t>LUIZ CARLOS VIANA FONTENELE</t>
  </si>
  <si>
    <t>483.751.792-72</t>
  </si>
  <si>
    <t>Contratação de pessoa física para prestação de serviços com caminhão carga seca</t>
  </si>
  <si>
    <t>10.940.181/0001-90</t>
  </si>
  <si>
    <t>07.886.006/0001-57</t>
  </si>
  <si>
    <t>SECRETARIA MUNICIPAL DE SERVIÇOS URBANOS - SEMSUR</t>
  </si>
  <si>
    <t>074/2015</t>
  </si>
  <si>
    <t>926/2015</t>
  </si>
  <si>
    <t>M. R. C. DE LIMA - ME</t>
  </si>
  <si>
    <t>34.713.321/0001-55</t>
  </si>
  <si>
    <t>076/2015</t>
  </si>
  <si>
    <t>Alteraçãoda CLÁUSULA SEXTA - PRAZO DE VIGÊNCIA E EXECUÇÃO, prorrogando o contrato original por mais 12 (doze) meses</t>
  </si>
  <si>
    <t>SUPERINTENDÊNCIA MUNICIPAL DE TRANSPORTES E TRÂNSITO - RBTRANS</t>
  </si>
  <si>
    <t xml:space="preserve">Termo de Adesão Nº 002/2015
Pregão Srp Nº 085/2014 
</t>
  </si>
  <si>
    <t>Contratação de Empresa para Prestação de Serviços de Transporte, para atender as necessidades da Secretaria Municipal de Saúde</t>
  </si>
  <si>
    <t>Alteração da CLÁUSULA TERCEIRA E DÉCIMA SEXTA, reajustando o valor mensal que passará a ser R$ 1.228,85 (um mil duzentos e vinte e oito reais e oitenta e cinco centavos), com efeito financeiro a partir de fevereiro/2015, perfazendo a diferença mensal de R$ 46,85 (quarenta e seis reais e oitenta e cinco centavos) e totalizando a diferença de R$ 515,35 (quinhentos e quinze reais e trinta e cinco
centavos), até o término da vigência contratual.</t>
  </si>
  <si>
    <t>Alteração da CLÁUSULA QUARTA - PRAZO DE VIGÊNCIA DO CONTRATO, prorrogando o contrato original por mais 12 (doze) meses, com amparo legal previsto no inciso II do art. 57 da Lei nº 8.666/93, passando a mesma a figurar com a seguinte redação: CLÁUSULA QUARTA - PRAZO DE VIGÊNCIA DO CONTRATO; O presente Termo Aditivo terá vigência de 12 (doze) meses, contados de 17/02/2015 a 17/02/2016.</t>
  </si>
  <si>
    <t>Alteração das CLÁUSULAS SEGUNDA, TERCEIRA E DÉCIMA SEXTA, prorrogando a vigência do contrato por mais 12 (doze) meses e reajustando o valor mensal que passará a ser R$ 1.350,05 (um mil trezentos e cinquenta reais e cinco centavos), totalizando o valor global aditado R$ 16.200,60 (dezesseis mil duzentos reais e sessenta centavos).</t>
  </si>
  <si>
    <t>078/2015</t>
  </si>
  <si>
    <t>13616/2014</t>
  </si>
  <si>
    <t>14.287.122/0001-15</t>
  </si>
  <si>
    <t>Contratação de Empresa para Prestação dos Serviços de Videofonista/Operador de Sistema/Agendador, para atender as necessidades da Secretaria Municipal de Saúde no município de Rio Branco – AC.</t>
  </si>
  <si>
    <t>Alteração da CLÁUSULA TERCEIRA – PRAZO DE VIGÊNCIA DO CONTRATO, prorrogando o contrato original por mais 12 (doze) meses.</t>
  </si>
  <si>
    <t xml:space="preserve"> 30/03/2015</t>
  </si>
  <si>
    <t>O Presente Termo Aditivo tem por objeto o reajuste
de valores a partir de 01/04/2015, com redução de 10% (dez por cento) dos valores contratados, alterando a CLÁUSULA TERCEIRA - DO PREÇO, CONDIÇÕES DE PAGAMENTO E REAJUSTE e o Anexo I do Contrato nº. 076/2015, conforme  OF/GAB/SEMSA/Nº. 324/2015, Decreto Municipal nº. 277, de 23 de março de 2015, e resposta oficial favorável da Contratada.</t>
  </si>
  <si>
    <t>LABNORTE CIRÚRGICA E DIAGNÓSTICA LTDA</t>
  </si>
  <si>
    <t>J. S. CORDEIRO</t>
  </si>
  <si>
    <t>18.255.882/0001-00</t>
  </si>
  <si>
    <t xml:space="preserve"> Alteração da CLÁUSULA QUARTA – DO PRAZO DE VIGÊNCIA DO CONTRATO, prorrogando o contrato original por mais 12 (doze) meses.</t>
  </si>
  <si>
    <t>Alteração da CLÁUSULA QUARTA – DO PRAZO DE VIGÊNCIA DO CONTRATO, prorrogando o contrato original por mais 12 (doze) meses.</t>
  </si>
  <si>
    <t>123530009/2013</t>
  </si>
  <si>
    <t>VALOR</t>
  </si>
  <si>
    <t>Alteração da CLÁUSULA SEXTA – DA VIGÊNCIA DO CONTRATO, prorrogando a vigência do contrato original por mais 5 (cinco) meses, e prorrogando o prazo de execução dos serviços por mais 5 (cinco) meses, conforme justificativa apresentada através do Ofício nº 002/DECON/SEOP.</t>
  </si>
  <si>
    <t>Alteração da CLÁUSULA SEXTA – DA VIGÊNCIA DO CONTRATO, prorrogando o contrato original por mais 180 (cento e oitenta) dias, e prorrogando o prazo de execução dos serviços por mais 120 (cento e vinte) dias, conforme justificativa solicitada através do Ofício nº 019/DECON/SEOP.</t>
  </si>
  <si>
    <t>Alteração da CLÁUSULA SEXTA – DA VIGÊNCIA DO CONTRATO, prorrogando a vigência do contrato por mais 360 (trezentos e sessenta) dias, e prorrogando o prazo de execução dos serviços por mais 360 (trezentos e sessenta) dias, conforme justificativa
apresentada através do Ofício nº 026/DECON/SEOP.</t>
  </si>
  <si>
    <t>Alteração da CLÁUSULA QUINTA– DO VALOR DO CONTRATO – EMPENHO E  DOTAÇÃO,acrescendo ao valor originalmente contratado a importância de R$ 3.173,52 (três mil cento e setenta e três reais e cinquenta e dois  entavos),correspondentea0,09% (zero vírgula zero nove por cento), e, suprimindodo valor originalmente contratado a importância de R$ 2.828,44 (dois mil oitocentos e vinte e oito reais e quarenta e quatro centavos), correspondente a0,08% (zero vírgula zero oito por cento), perfazendo a diferença de R$ 345,08(trezentos e quarenta e cinco reais e oito centavos) a ser acrescidodo valor contratado conforme adequação solicitada através do Ofício nº 1.397/GAB/SEOP.</t>
  </si>
  <si>
    <t xml:space="preserve">03.033.345/0001-30 </t>
  </si>
  <si>
    <t>Alteração das CLÁUSULAS SEGUNDA, TERCEIRA E DÉCIMA SEXTA, prorrogando a vigência do contrato por mais 12 (doze) meses e reajustando o valor mensal que passará a ser R$
1.229,92 (um mil duzentos e vinte e nove reais e noventa e dois centavos), perfazendo a diferença mensal de R$ 42,10 (quarenta e dois centavos) e totalizando o valor global aditado R$ 14.759,04 (quatorze mil setecentos e cinquenta e nove reais e quatro centavos), até o término da vigência contratual.</t>
  </si>
  <si>
    <t>146/2015</t>
  </si>
  <si>
    <t>147/2015</t>
  </si>
  <si>
    <t>01 (RP) e 14 (SUS).</t>
  </si>
  <si>
    <t>Alteração das CLÁUSULAS SEGUNDA, TERCEIRA E DÉCIMA SEXTA, prorrogando a vigência do contrato por mais 12 (doze) meses e reajustando o valor mensal que passará a ser R$
12.299,20 (doze mil duzentos e noventa e nove reais e vinte centavos), perfazendo a diferença mensal de R$ 420,99 (quatrocentos e vinte reais e noventa e nove centavos) e totalizando o valor global aditado R$ 147.590,40 (cento e quarenta e sete mil quinhentos e noventa reais e quarenta centavos), até o término da vigência contratual.</t>
  </si>
  <si>
    <t>Alteração da CLÁUSULA TERCEIRA – DO PREÇO E CONDIÇÕES DE PAGAMENTO, repactuando o contrato original em 3,50% (três vírgula cinquenta por cento), perfazendo a diferença
mensal no valor de R$ 825,42 (oitocentos e vinte e cinco reais e quarenta e dois centavos), totalizando o valor total aditado R$ 8.254,20 (oito mil duzentos e cinquenta e quatro reais e vinte centavos), com efeito financeiro a partir de março/2015, conforme convenção coletiva de trabalho 2015/2016, com amparo legal previsto no Art. 65, inciso II, alínea “d”, da Lei nº 8.666/93.</t>
  </si>
  <si>
    <t>4786/2015</t>
  </si>
  <si>
    <t>Contratação de Empresa para a Prestação de Serviços Continuados de Auxiliar de Serviços Diversos e Encarregados, para auxiliar nas Unidades da Secretaria Municipal de Saúde</t>
  </si>
  <si>
    <t>153/2015</t>
  </si>
  <si>
    <t>Alteração da CLÁUSULA SEXTA – DA VIGÊNCIA DO CONTRATO, prorrogando a vigência do contrato original por mais 180 (cento e oitenta) dias, conforme justificativa apresentada através do Ofício nº 029/DECON/SEOP.</t>
  </si>
  <si>
    <t>3.3.90.30.00 e 4.4.90.52.00</t>
  </si>
  <si>
    <t>Geycy Anne de Lima Pereira</t>
  </si>
  <si>
    <t>DIMASTER COMÉRCIO DE PRODUTOS HOSPITALARES LTDA</t>
  </si>
  <si>
    <t>Alteração da CLÁUSULA SEXTA – DA VIGÊNCIA DO CONTRATO, prorrogando a vigência do contrato original por mais 3 (três) meses, e prorrogando o prazo de execução dos serviços por mais 3 (três) meses, conforme justificativa apresentada através do Ofício nº
034DECON/SEOP.</t>
  </si>
  <si>
    <t>X</t>
  </si>
  <si>
    <t>05.437.468/0001-61</t>
  </si>
  <si>
    <t>SOLUMED DISTRIBUIDORA DE MEDICAMENTOS E PRODUTOS PARA SAÚDE LTDA</t>
  </si>
  <si>
    <t>11.896.538/0001-42</t>
  </si>
  <si>
    <t>RECOL DISTRIBUIDORA E COMÉRCIO LTDA</t>
  </si>
  <si>
    <t>CIRURGICA MS LTDA</t>
  </si>
  <si>
    <t>10.656.587/0001-45</t>
  </si>
  <si>
    <t>STOCK COMERCIAL HOSPITALAR LTDA</t>
  </si>
  <si>
    <t>00.995.371/0001-50</t>
  </si>
  <si>
    <t>Alteração das CLÁUSULAS TERCEIRA E DÉCIMA SEXTA, reajustando o valor mensal que passará a ser R$ 55.366,59 (cinquenta e cinco mil trezentos e sessenta e seis reais e cinquenta e nove centavos), com efeito financeiro a partir de junho/2015, perfazendo
a diferença mensal de R$ 2.182,72 (dois mil cento e oitenta e dois reais e setenta e dois centavos) e totalizando a diferença de R$ 15.279,04 (quinze mil duzentos e setenta e nove reais e quatro centavos), até o término da vigência contratual, devendo o referido valor ser somado ao valor do contrato.</t>
  </si>
  <si>
    <t>177/2015</t>
  </si>
  <si>
    <t xml:space="preserve">05.687.069/0001-59 </t>
  </si>
  <si>
    <t>MEDIC VET LTDA ME</t>
  </si>
  <si>
    <t>Aquisição de Material Médico Hospitalar</t>
  </si>
  <si>
    <t>Alteração da CLÁUSULA TERCEIRA - PRAZO DE VIGÊNCIA DO CONTRATO, prorrogando o contrato original por mais 12 (doze) meses.</t>
  </si>
  <si>
    <t>192/2015</t>
  </si>
  <si>
    <t>193/2015</t>
  </si>
  <si>
    <t>194/2015</t>
  </si>
  <si>
    <t>197/2015</t>
  </si>
  <si>
    <t>4787/2015</t>
  </si>
  <si>
    <t>Sermatec Comércio e Serviços Importação e Exportação Ltda</t>
  </si>
  <si>
    <t>04.439.665/0001-57</t>
  </si>
  <si>
    <t>Contratação de umaempresa especializada na locação de impressoras multifuncionais a laser, jato de tinta com sistema bulk ink e fotocopiadoras</t>
  </si>
  <si>
    <t>R. S. FREITAS JUCÁ</t>
  </si>
  <si>
    <t>DOU Nº 51 DOE Nº 11.515</t>
  </si>
  <si>
    <t>Alteração da Cláusula-Terceira, repactuação de preço, com efeitos retroativos a 10/04/2014</t>
  </si>
  <si>
    <t>Alteração da CLÁUSULA TERCEIRA – DO PREÇO E CONDIÇÕES DE PAGAMENTO, acrescendo ao valor contratado 25% (onze vírgula noventa e um por cento), que perfaz o valor de R$ 90.753,69 (noventa mil setecentos e cinquenta e três reais e sessenta e nove centavos), referente a quantidade acrescida de 3 Digitadores (item 1) e 1 Recepcionista (item 2), com efeito financeiro a partir do dia 08/12/2014, com amparo legal previsto no § 1º do Art. 65 da Lei nº 8.666/93.</t>
  </si>
  <si>
    <t>20621/2015</t>
  </si>
  <si>
    <t>Denis Carlos Paulino Solon</t>
  </si>
  <si>
    <t>Dux Comércio Representações Importação e Exportação Ltda</t>
  </si>
  <si>
    <t>05.502.105/0001-62</t>
  </si>
  <si>
    <t>Contratação de uma empresa especializada na locação de impressoras multifuncionais a laser, jato de tinta com sistema bulk ink e fotocopiadoras</t>
  </si>
  <si>
    <t>DOU Nº 121 DOE Nº 11.583</t>
  </si>
  <si>
    <t>Contratação de Serviço de Transporte (Caminhão tipo Baú), para atender as necessidades a Secretaria Municipal de Saúde.</t>
  </si>
  <si>
    <t>204/2015</t>
  </si>
  <si>
    <t>205/2015</t>
  </si>
  <si>
    <t>VIDAL CATAR PAES DAVILA</t>
  </si>
  <si>
    <t>014.491.862-54</t>
  </si>
  <si>
    <t xml:space="preserve">Contratação de Serviço de Transporte (veículo tipo Pick-Up), para atender as necessidades a Secretaria Municipal de Saúde, </t>
  </si>
  <si>
    <t>WELLITON LIMA DE OLIVEIRA</t>
  </si>
  <si>
    <t>661.971.982-15</t>
  </si>
  <si>
    <t>Contratação de Serviço de Transporte (veículo tipo Pick-Up), para atender as necessidades a Secretaria Municipal de Saúde</t>
  </si>
  <si>
    <t>Cooperativa de Proprietários de Veículos do Estado do Acre - Coopervel</t>
  </si>
  <si>
    <t>13.052.004/0001-65</t>
  </si>
  <si>
    <t>206/2015</t>
  </si>
  <si>
    <t>Alteração da CLÁUSULA SEXTA – DA VIGÊNCIA DO CONTRATO, prorrogando o contrato original por mais 180 (cento e oitenta) dias, e prorrogando o prazo de execução dos serviços por mais 120 (cento e vinte) dias, conforme justificativa solicitada através do Ofício nº 040/DECON/SEOP.</t>
  </si>
  <si>
    <t>Contratação de empresa de engenharia para execução de serviços de construção da policlínica Barral Y Barral, no bairro estação experimental, município de Rio Branco – Acre</t>
  </si>
  <si>
    <t>Alteração da CLÁUSULA QUINTA – DO VALOR DO CONTRATO – EMPENHO E DOTAÇÃO, acrescendo serviços no valor de R$ 201.344,75 (duzentos e um mil trezentos e quarenta e quatro reais e setenta e cinco centavos), e, suprimindo serviços no valor de R$ 88.046,17 (oitenta e oito mil quarenta e seis reais e dezessete centavos), perfazendo a diferença de R$ 113.298,58 (cento e treze mil duzentos e noventa e oito reais e cinquenta e oito centavos) a ser acrescido do valor originalmente contratado, conforme adequação apresentada através do Ofício nº 1.492/GAB/SEOP.</t>
  </si>
  <si>
    <t>Alteração da CLÁUSULA QUARTA – DO PRAZO DE VIGÊNCIA, prorrogando o contrato original por mais 12 (doze) meses. Fundamentação Legal: inciso II do art. 57 da Lei Federal nº. 8.666/1993.</t>
  </si>
  <si>
    <t>11.223.797/0001-02</t>
  </si>
  <si>
    <t>Alteração da CLÁUSULA QUARTA - PRAZO DE VIGÊNCIA DO CONTRATO, prorrogando o contrato original por mais 12 (doze) meses.</t>
  </si>
  <si>
    <t>71.505.564/0001-24</t>
  </si>
  <si>
    <t>84.312.669/0001-09</t>
  </si>
  <si>
    <t>55.979.736/0001-45</t>
  </si>
  <si>
    <t>Alteração da CLÁUSULA SEXTA – DA VIGÊNCIA DO CONTRATO, prorrogando a vigência do contrato original por mais 5 (cinco) meses, conforme justificativa apresentada através do Ofício nº 041/DECON/SEOP.</t>
  </si>
  <si>
    <t>Contratação de umaempresa especializada na locação de impressoras multifuncionais a laser, jato de tinta com sistema bulk ink e fotocopiadoras, com manutenção preventiva, corretiva e insumos para atender as necessidades da Secretaria Municipal de Saúde, no município de Rio Branco – AC</t>
  </si>
  <si>
    <t>229/2015</t>
  </si>
  <si>
    <t>Alteração das: CLÁUSULA SEGUNDA: O prazo de locação será de 12 (doze) meses, com vigência de 01/09/2015 até 01/09/2016, podendo ser prorrogado por iguais e sucessivos períodos, se as partes assim acordarem. CLÁUSULA TERCEIRA: O valor do aluguel mensal é de R$ 1.692,11 (um mil e seiscentos e noventa e dois reais e onze centavos)</t>
  </si>
  <si>
    <t>I APOSTILAMENTO</t>
  </si>
  <si>
    <t>O Presente Termo de Apostilamento tem por objeto a alteração da CLÁUSULA QUINTA – DO VALOR DO CONTRATO – EMPENHO E DOTAÇÃO, para realização do reajuste contratual com base no Índice Nacional da Construção Civil – INCC, que perfaz o valor de R$ 214.201,43 (duzentos e quatorze mil duzentos e um reais e quarenta e três centavos), conforme cálculos apresentados pela Secretaria Municipal de Obras Públicas e Parecer da Procuradoria Geral do Município, passando referida cláusula a vigorar com a seguinte redação</t>
  </si>
  <si>
    <t>237/2015</t>
  </si>
  <si>
    <t>238/2015</t>
  </si>
  <si>
    <t>25057/2015</t>
  </si>
  <si>
    <t>EURO CONSTRUÇÕES LTDA</t>
  </si>
  <si>
    <t>Contratação de empresa para a execução de Serviços de Construção de Unidade Básica de Saúde – Porte II, na Rua Uatumã, s/n - Loteamento Rui Lino III, no Município de Rio Branco Acre.</t>
  </si>
  <si>
    <t>01 (R P) e 14 (Convênio) – Proposta nº 84317.205000/1140-28</t>
  </si>
  <si>
    <t>Alteração da CLÁUSULA QUARTA - PRAZO DE VIGÊNCIA DO CONTRATO, prorrogando o contrato original por mais 12 (doze) meses, com amparo legal previsto no inciso II do art. 57 da Lei nº 8.666/93.</t>
  </si>
  <si>
    <t>DOU: Nº 21 DOE:11.488</t>
  </si>
  <si>
    <t>Alterar a CLÁUSULA QUARTA -PRAZO DE VIGÊNCIA DO REGISTRO DE PREÇOS E DO CONTRATO, prorrogando o contrato original por mais 12 (doze) meses</t>
  </si>
  <si>
    <t>Alteraçãoda CLÁUSULA QUARTA -PRAZO DE VIGÊNCIA DO CONTRATO, prorrogando o contrato original por mais 12 (doze) meses</t>
  </si>
  <si>
    <t>Alteração da CLÁUSULA SEXTA – DA VIGÊNCIA DO CONTRATO,  prorrogando a vigência do contrato original por mais 3 (três) meses, e prorrogando o prazo de execução dos serviços por mais 3 (três) meses, conforme justificativa apresentada através do Ofício nº 009/DECON/SEOP</t>
  </si>
  <si>
    <t>Alteração da CLÁUSULA SEXTA – DA VIGÊNCIA DO CONTRATO, prorrogando a vigência do contrato original por mais 3 (três) meses, e prorrogando o prazo de execução dos serviços por mais 3 (três) meses, conforme justificativa apresentada através do Ofício nº 2.765/GAB/SEOP.</t>
  </si>
  <si>
    <t>Alteração da CLÁUSULA QUARTA – DO PRAZO DE VIGÊNCIA DO REGISTRO DE PREÇO E DO CONTRATO, prorrogando o contrato original por mais 12 (doze) meses</t>
  </si>
  <si>
    <t>Alteração das CLÁUSULAS SEGUNDA, TERCEIRA E DÉCIMA SEXTA, prorrogando a vigência do contrato por mais 12 (doze) meses e reajustando o valor mensal que passará a ser R$ 5.338,20 (cinco mil trezentos e trinta e oito reais e vinte centavos), totalizando o valor global aditado R$ 64.058,40 (sessenta e quatro mil cinquenta e oito reais e quarenta centavos)</t>
  </si>
  <si>
    <t>Alteração das CLÁUSULAS SEGUNDA, TERCEIRA E DÉCIMA SEXTA, prorrogando a vigência do contrato por mais 12 (doze) meses e reajustando o valor mensal que passará a ser R$ 5.027,23 (cinco mil vinte e sete reais e vinte e três centavos), totalizando o valor global aditado R$ 60.326,76 (sessenta mil trezentos e vinte e seis reais e setenta e seis centavos)</t>
  </si>
  <si>
    <t>Alteração da CLÁUSULA SEGUNDA – DO PRAZO DE VIGÊNCIA, prorrogando a vigência do contrato por mais 12 (doze) meses, tendo como valor mensal a importância de R$ 53.183,87 (cinquenta e três mil cento e oitenta e três reais e oitenta e sete reais),
totalizando o valor global de R$ 638.206,44 (seiscentos e trinta e oito mil duzentos e seis reais e quarenta e quatro centavos).</t>
  </si>
  <si>
    <t>Alteração da CLÁUSULA SEGUNDA – DO PRAZO DE VIGÊNCIA, prorrogando a vigência do contrato por mais 12 (doze) meses, tendo como valor mensal a importância de R$ 1.182,00 (um mil cento e oitenta e dois reais), totalizando o valor global de R$
14.184,00 (quatorze mil cento e oitenta e quatro reais).</t>
  </si>
  <si>
    <t>Alteração da CLÁUSULA TERCEIRA E DÉCIMA SEXTA, reajustando o valor mensal que passará a ser R$ 1.318,26 (um  mil trezentos e dezoito reais e vinte e seis centavos), com efeito financeiro a partir de fevereiro/2015, perfazendo a diferença mensal de R$
50,26 (cinquenta reais e vinte e seis centavos) e totalizando a diferença de R$ 552,86 (quinhentos e cinquenta e dois reais e oitenta e seis centavos),
até o término da vigência contratual.</t>
  </si>
  <si>
    <t>33426/2015</t>
  </si>
  <si>
    <t>Contratação de empresa para Prestação de Serviços de Limpeza Administrativa e Limpeza Hospitalar, visando à obtenção de adequadas condições de salubridade e higiene em dependências médico-hospitalares, com a disponibilização de mão-de-obra qualificada, produtos saneantes, materiais e equipamentos</t>
  </si>
  <si>
    <t>MARTINS E GOMES - ME</t>
  </si>
  <si>
    <t>03.817.441/0001-79</t>
  </si>
  <si>
    <t>SECRETARIA DE ESTADO DE SAÚDE</t>
  </si>
  <si>
    <t>DOE: 11.484</t>
  </si>
  <si>
    <t>256/2015</t>
  </si>
  <si>
    <t>22310/2015</t>
  </si>
  <si>
    <t>Contratação de empresa para execução de Serviços De Manutenção Predial Preventiva e Corretiva, nas unidades de Saúde da SEMSA, Localizadas No Município de Rio Branco-Acre.</t>
  </si>
  <si>
    <t>DOU Nº 131 E DOE Nº 11.595</t>
  </si>
  <si>
    <t>258/2015</t>
  </si>
  <si>
    <t xml:space="preserve">Termo de Adesão Nº 006/2015
Pregão SRP Nº 218/2014 – CPL 04
</t>
  </si>
  <si>
    <t>Contratação de empresa para Prestação de Serviços de Limpeza Administrativa e Limpeza Hospitalar</t>
  </si>
  <si>
    <t>ARNALDO COMÉRCIO E REPRESENTAÇÕES</t>
  </si>
  <si>
    <t>04.517.439/0001-47</t>
  </si>
  <si>
    <t>SECRETARIA DE ESTADO DE SAÚDE - SESACRE</t>
  </si>
  <si>
    <t>OBRA PARALIZADA EM 24/07/2015 ATÉ QUE SEJA REGULARIZADA PENDÊNCIA DE REPASSE FINANCEIRO POR MEIO DO PROGRAMA REQUALIFICA.</t>
  </si>
  <si>
    <t>OBRA PARALIZADA EM 16/09/2014 ATÉ QUE SEJA REGULARIZADA  A ÁREA PARA CONSTRUÇÃO DA UBS</t>
  </si>
  <si>
    <t>01 (R P) e 14 (SUS)</t>
  </si>
  <si>
    <t>02.683.235/0001-50</t>
  </si>
  <si>
    <t>Alteração da CLÁUSULA SEXTA – DA VIGÊNCIA DO CONTRATO, prorrogando a vigência do contrato original por mais 6 (seis) meses, conforme justificativa apresentada através do Ofício nº 1.708/GAB/SEOP.</t>
  </si>
  <si>
    <t>Alteração das CLÁUSULAS SEGUNDA, TERCEIRA  E DÉCIMA SEXTA, prorrogando a vigência do contrato por mais 12 (doze) meses e reajustando o valor mensal que passará a ser R$ 11.673,55 (onze mil seiscentos e setenta e três reais e cinquenta e cinco centavos), totalizando o valor global aditado R$ 140.082,60 (cento e quarenta mil oitenta e dois reais e sessenta centavos).</t>
  </si>
  <si>
    <t>Alteração da CLÁUSULA QUARTA - PRAZO DE VIGÊNCIA DO REGISTRO DE PREÇOS E DO CONTRATO, prorrogando o contrato original por mais 12 (doze) meses, com amparo legal previsto no inciso II do art. 57 da Lei nº 8.666/93.</t>
  </si>
  <si>
    <t>Alteração da CLÁUSULA QUARTA – DO PRAZO DE VIGENCIA DO REGISTRO DE PREÇO E DO CONTRATO, prorrogando o contrato original por mais 12 (doze) meses, com amparo legal
previsto no inciso II do art. 57 da Lei nº 8.666/93.</t>
  </si>
  <si>
    <t xml:space="preserve">Alteração das CLÁUSULAS SEGUNDA - DO PRAZO DE VIGÊNCIA, prorrogando a vigência do contrato por mais 12 (doze) meses,  tendo como  valor mensal a importância de R$ 6.425,36 (seis mil quatrocentos e vinte e cinco reais e trinta e seis centavos), totalizando o valor global aditado R$ 77.104,32 (setenta e sete mil cento e quatro reais e trinta e dois centavos). </t>
  </si>
  <si>
    <t xml:space="preserve">   Alteração das Cláusulas segunda - PRAZO, terceira - VALOR MENSALe décima-sexta - VALOR GLOBAL, do contrato original</t>
  </si>
  <si>
    <t xml:space="preserve">Alteração das CLÁUSULAS SEGUNDA - DO PRAZO DE VIGÊNCIA, prorrogando a vigência do contrato por mais 12 (doze) meses,  tendo como  valor mensal a importância de R$ 7.128,31 (sete mil cento e vinte e oito reais e trinta e um centavos), totalizando o valor global aditado R$ 85.539,72 (oitenta e cinco mil quinhentos e trinta e nove reais e setenta e dois centavos). </t>
  </si>
  <si>
    <t>Alteração das CLÁUSULAS SEGUNDA, DO PRAZO DE VIGÊNCIA, prorrogando a vigência do contrato por mais 12 (doze) meses, tendo como valor mensal a importância de  R$ 11.494,23 (onze mil quatrocentos e noventa e quatro reais e vinte e três centavos), totalizando o valor global aditado R$ 137.930,76 (cento e trinta e sete mil novecentos e trinta reais e setenta e seis centavos).</t>
  </si>
  <si>
    <t>Alteração da CLÁUSULA SEGUNDA – DO PRAZO DE VIGÊNCIA, prorrogando a vigência do contrato por mais 12 (doze) meses, tendo como valor mensal a importância de R$ 13.966,38 (treze mil novecentos e sessenta e seis reais e trinta e oito centavos),
totalizando o valor global aditado R$ 167.596,56 (cento e sessenta e sete mil quinhentos e noventa e seis reais e cinquenta e seis centavos).</t>
  </si>
  <si>
    <t>Alteração das CLÁUSULAS SEGUNDA, TERCEIRA E DÉCIMA SEXTA, prorrogando a vigência do contrato por mais 12 (doze) meses e reajustando o valor mensal que passará a ser R$ 13.966,38 (treze mil novecentos e sessenta e seis reais e trinta e oito centavos), totalizando o valor global aditado R$ 167.596,56 (cento e sessenta e sete mil quinhentos
e noventa e seis reais e cinquenta e seis centavos).</t>
  </si>
  <si>
    <t>Alteração da CLÁUSULA SEGUNDA – DO PRAZO DE VIGÊNCIA, prorrogando a vigência do contrato por mais 12 (doze) meses, tendo como valor mensal a importância de R$ 55.366,59 (cinquenta e cinco mil trezentos e sessenta e seis reais e cinquenta e nove), totalizando o valor global de R$ 664.399,08 (seiscentos e sessenta e quatro mil trezentos e noventa e nove reais e oito centavos).</t>
  </si>
  <si>
    <t>Alteração da CLÁUSULA SEGUNDA – DO PRAZO DE VIGÊNCIA, prorrogando a vigência do contrato por mais 12 (doze) meses, tendo como valor mensal a importância de R$ 6.581,01 (seis mil quinhentos e oitenta e um reais e um centavo), totalizando o valor global aditado R$ 78.972,12 (setenta e oito mil novecentos e setenta e dois reais e doze centavos).</t>
  </si>
  <si>
    <t>Alteração da CLÁUSULA SEGUNDA – DO PRAZO DE VIGÊNCIA, prorrogando a vigência do contrato por mais 12 (doze) meses, tendo como valor mensal a importância de R$ 7.114,83 (sete mil cento e quatorze reais e oitenta e três centavos), totalizando o valor global aditado R$ 85.377,96 (oitenta e cinco mil trezentos e setenta e sete reais e noventa e seis centavos).</t>
  </si>
  <si>
    <t>Alteração da CLÁUSULA SEGUNDA – DO PRAZO DE VIGÊNCIA, prorrogando a vigência do contrato por mais 12 (doze) meses, tendo como valor mensal a importância de R$ 5.338,20 (cinco mil trezentos e trinta e oito reais e vinte centavos), totalizando o valor global aditado R$ 64.058,40 (sessenta e quatro mil cinquenta e oito reais e quarenta centavos).</t>
  </si>
  <si>
    <t>Alteração da CLÁUSULA SEGUNDA – DO PRAZO DE VIGÊNCIA, prorrogando a vigência do contrato por mais 12 (doze) meses, tendo como valor mensal a importância de R$ 5.027,23 (cinco mil vinte e sete reais e vinte e três centavos), totalizando o valor global R$ 60.326,76 (sessenta mil trezentos e vinte e seis reais e setenta e seis centavos).</t>
  </si>
  <si>
    <t>Alteração da CLÁUSULA SEGUNDA – DO PRAZO DE VIGÊNCIA, prorrogando a vigência do contrato por mais 12 (doze) meses, tendo como valor mensal a importância de R$ 984,72
(novecentos e oitenta e quatro reais e setenta e dois centavos), totalizando o valor global R$ 11.816,64 (onze mil oitocentos e dezesseis reais e sessenta e quatro centavos).</t>
  </si>
  <si>
    <t>Alteração da CLÁUSULA SEGUNDA – DO PRAZO DE VIGÊNCIA, prorrogando a vigência do contrato por mais 12 (doze) meses, tendo como valor mensal a importância de R$ 11.673,55 (onze mil seiscentos e setenta e três reais e cinquenta e cinco centavos),
totalizando o valor global R$ 140.082,60 (cento e quarenta mil oitenta e dois reais e sessenta centavos).</t>
  </si>
  <si>
    <t>Alteração da CLÁUSULA SEGUNDA – DO PRAZO DE VIGÊNCIA, prorrogando a vigência do contrato por mais 12 (doze) meses, tendo como valor mensal a importância de R$ 5.830,55 (cinco mil oitocentos e trinta reais e cinquenta e cinco centavos), totalizando
o valor global aditado R$ 69.966,60 (sessenta e nove mil novecentos e sessenta e seis reais e sessenta centavos).</t>
  </si>
  <si>
    <t>Alteração da CLÁUSULA SEGUNDA – DO PRAZO DE VIGÊNCIA, prorrogando a vigência do contrato por mais 12 (doze) meses, tendo como valor mensal a importância de R$ 1.228,85 (um mil duzentos e vinte e oito reais e oitenta e cinco centavos), totalizando
o valor global de R$ 14.746,20 (quatorze mil setecentos e quarenta e seis reais e vinte centavos).</t>
  </si>
  <si>
    <t>Alteração da CLÁUSULA SEGUNDA – DO PRAZO DE VIGÊNCIA, prorrogando a vigência do contrato por mais 12 (doze) meses, tendo como valor mensal a importância de R$ 1.318,26 (um mil trezentos e dezoito reais e vinte e seis centavos), totalizando o
valor global de R$ 15.819,12 (quinze mil oitocentos e dezenove reais e doze centavos).</t>
  </si>
  <si>
    <t>Alteração da CLÁUSULA QUARTA - PRAZO DE VIGÊNCIA DO REGISTRO DE PREÇOS E DO CONTRATO, prorrogando o contrato original por mais 12 (doze) meses.
Fundamentação Legal: inciso II do Art. 57 da Lei nº. 8.666/93.</t>
  </si>
  <si>
    <t>Alteração da CLÁUSULA QUARTA - PRAZO DE VIGÊNCIA DO REGISTRO DE PREÇOS E DO CONTRATO, prorrogando o contrato original por mais 12 (doze) meses. 
Fundamentação Legal: inciso II do Art. 57 da Lei nº. 8.666/93.</t>
  </si>
  <si>
    <t>Alteração do PREÂMBULO DO CONTRATO Nº 068/2013, modificando a razão social da empresa de KAMPA VIAGENS SERVIÇOS E EVENTOS LTDA para JF TURISMO EIRELI e alterando
a CLÁUSULA QUARTA - PRAZO DE VIGÊNCIA DO REGISTRO DE PREÇOS E DO CONTRATO, prorrogando o contrato original por mais 12 (doze) meses.
Fundamentação Legal: inciso II do Art. 57 da Lei nº. 8.666/93.</t>
  </si>
  <si>
    <t>Alteração da CLÁUSULA QUARTA - PRAZO DE VIGÊNCIA DO REGISTRO DE PREÇOS E DO CONTRATO, prorrogando o contrato original por mais 12 (doze) meses.</t>
  </si>
  <si>
    <t>Alteração da CLÁUSULA QUARTA – DO PRAZO DE VIGÊNCIA DO REGISTRO DE PREÇO E DO CONTRATO, prorrogando o contrato original por mais 12 (doze) meses. 
Fundamentação Legal: inciso II do Art. 57 da Lei nº. 8.666/93.</t>
  </si>
  <si>
    <t>001/2016</t>
  </si>
  <si>
    <t>002/2016</t>
  </si>
  <si>
    <t>003/2016</t>
  </si>
  <si>
    <t>004/2016</t>
  </si>
  <si>
    <t>005/2016</t>
  </si>
  <si>
    <t>006/2016</t>
  </si>
  <si>
    <t>007/2016</t>
  </si>
  <si>
    <t>008/2016</t>
  </si>
  <si>
    <t>009/2016</t>
  </si>
  <si>
    <t>010/2016</t>
  </si>
  <si>
    <t>011/2016</t>
  </si>
  <si>
    <t>012/2016</t>
  </si>
  <si>
    <t>013/2016</t>
  </si>
  <si>
    <t>014/2016</t>
  </si>
  <si>
    <t>020/2016</t>
  </si>
  <si>
    <t>022/2016</t>
  </si>
  <si>
    <t>024/2016</t>
  </si>
  <si>
    <t>025/2016</t>
  </si>
  <si>
    <t>031/2016</t>
  </si>
  <si>
    <t>034/2016</t>
  </si>
  <si>
    <t>035/2016</t>
  </si>
  <si>
    <t>037/2016</t>
  </si>
  <si>
    <t>038/2016</t>
  </si>
  <si>
    <t>042/2016</t>
  </si>
  <si>
    <t>045/2016</t>
  </si>
  <si>
    <t>046/2016</t>
  </si>
  <si>
    <t>047/2016</t>
  </si>
  <si>
    <t>048/2016</t>
  </si>
  <si>
    <t>049/2016</t>
  </si>
  <si>
    <t>051/2016</t>
  </si>
  <si>
    <t>052/2016</t>
  </si>
  <si>
    <t>053/2016</t>
  </si>
  <si>
    <t>054/2016</t>
  </si>
  <si>
    <t>057/2016</t>
  </si>
  <si>
    <t>058/2016</t>
  </si>
  <si>
    <t>060/2016</t>
  </si>
  <si>
    <t>061/2016</t>
  </si>
  <si>
    <t>062/2016</t>
  </si>
  <si>
    <t>063/2016</t>
  </si>
  <si>
    <t>064/2016</t>
  </si>
  <si>
    <t>071/2016</t>
  </si>
  <si>
    <t>073/2016</t>
  </si>
  <si>
    <t>080/2016</t>
  </si>
  <si>
    <t>088/2016</t>
  </si>
  <si>
    <t>091/2016</t>
  </si>
  <si>
    <t>094/2016</t>
  </si>
  <si>
    <t>097/2016</t>
  </si>
  <si>
    <t>102/2016</t>
  </si>
  <si>
    <t>116/2016</t>
  </si>
  <si>
    <t>118/2016</t>
  </si>
  <si>
    <t>119/2016</t>
  </si>
  <si>
    <t>125/2016</t>
  </si>
  <si>
    <t>GLOBO COMÉRCIO DE PRODUTOS PARA SAÚDE LTDA</t>
  </si>
  <si>
    <t>11.824.928/0001-07</t>
  </si>
  <si>
    <t>DABI ATLANTE S/A INDÚSTRIAS MÉDICO ODONTOLÓGICA</t>
  </si>
  <si>
    <t>130/2016</t>
  </si>
  <si>
    <t>M. C. CAVALCANTE OLIVEIRA</t>
  </si>
  <si>
    <t>17.483.432/0001-01</t>
  </si>
  <si>
    <t xml:space="preserve">O Presente Termo Aditivo tem por objeto a alteração da CLÁUSULA SEGUNDA - DO PREÇO E CONDIÇÕES DE PAGAMENTO, reduzindo o valor unitário de R$ 3.979,60 (três mil novecentos e setenta e nove reais e sessenta centavos) para R$ 1.950,00 (um mil novecentos e cinquenta reais); E CLÁUSULA TERCEIRA – PRAZO DE VIGÊNCIA DO REGISTRO DE PREÇOS E DO CONTRATO, prorrogando o contrato original por mais 12 (doze) meses, com amparo legal previsto no inciso II da art. 57, e alínea “d” do inciso II do art. 65, ambos da Lei n.º 8.666/93, passando as mesmas a figurarem com a seguinte redação:
CLÁUSULA SEGUNDA – DO PREÇO E CONDIÇÕES DE PAGAMENTO 
O valor mensal estimado do presente Contrato é de R$ 175.500,00 (cento e setenta e cinco mil e quinhentos reais), perfazendo o total estimado de R$ 2.106.000,00 (dois milhões e cento e seis reais).
</t>
  </si>
  <si>
    <t>Alteração da CLÁUSULA SEXTA – DA VIGÊNCIA DO CONTRATO, prorrogando o contrato original por mais 180 (cento e oitenta) dias, e prorrogando o prazo de execução dos serviços por mais 120 (cento e vinte) dias, conforme justificativa solicitada Secretaria Municipal de Obras Públicas.
Fundamentação Legal: Art. 57, §1º, inciso VI da Lei nº 8.666/1993.</t>
  </si>
  <si>
    <t>Alteração da CLÁUSULA QUARTA - PRAZO DE VIGÊNCIA DO CONTRATO, prorrogando o contrato original por mais 12 (doze) meses.
Fundamentação Legal: inciso II do Art. 57 da Lei nº. 8.666/93.</t>
  </si>
  <si>
    <t>Alteração da CLÁUSULA TERCEIRA - DO PREÇO E CONDIÇÕES DE PAGAMENTO, para realização do reajuste contratual com base no percentual de 9,88% do INPC de Agosto/2015, resultando na diferença mensal no valor de R$ 5.401,55 (cinco mil quatrocentos e um reais e cinquenta e cinco centavos), perfazendo a diferença total de R$ 64.818,49 (sessenta e quatro mil oitocentos e dezoito reais e quarenta e nove centavos), com efeito financeiro a partir do dia 16/08/2015, com amparo legal previsto no Art. 65, inciso II, alínea “d”, da Lei nº 8.666/93, Parecer da Procuradoria Geral do Município e Despacho da Assessoria Jurídica do Fundo Municipal de Saúde. Valor Mensal Reajustado: R$ 60.072,80 (sessenta mil setenta e dois reais e oitenta centavos). Valor Anual Contratado: R$ 720.873,60 (setecentos e vinte mil oitocentos  e setenta e três reais e sessenta  centavos).</t>
  </si>
  <si>
    <t>Alteração da CLÁUSULA QUARTA - PRAZO DE VIGÊNCIA DO CONTRATO, prorrogando o contrato original por mais 12 (doze) meses, com amparo legal previsto no inciso II do art. 57 da Lei
nº. 8.666/93.</t>
  </si>
  <si>
    <t>Alteração da CLÁUSULA TERCEIRA - DO PREÇO E CONDIÇÕES DE PAGAMENTO, acrescendo aproximadamente 17% (dezessete por cento) ao quantitativo contratado, que perfaz o valor de R$ 5.227,85 (cinco mil duzentos e vinte e sete reais e oitenta e cinco centavos), referente a quantidade acrescida de 1 Videofonista (item 1), com efeito financeiro a partir do dia 15/01/2015, com amparolegal previsto no § 1º do art. 65 da Lei nº 8.666/93.</t>
  </si>
  <si>
    <t>Alteração da CLÁUSULA TERCEIRA - DO PREÇO E CONDIÇÕES DE PAGAMENTO, acrescendo aproximadamente 20% (vinte por cento) ao quantitativo contratado, que perfaz o valor de
R$ 22.737,57 (vinte e dois mil setecentos e trinta e sete reais e cinquenta e sete centavos), referente a quantidade acrescida de 2 Videofonistas (item 1), com efeito financeiro a partir do dia 15/01/2015, com amparo legal previsto no § 1º do art. 65 da Lei nº 8.666/93.</t>
  </si>
  <si>
    <t xml:space="preserve"> 04/02/2016</t>
  </si>
  <si>
    <t>Alteração da CLÁUSULA SEXTA - PRAZO DE VIGÊNCIA E EXECUÇÃO, prorrogando o contrato original por mais 12 (doze) meses, com amparo legal previsto no inciso II do art. 57 da Lei
nº 8.666/93.</t>
  </si>
  <si>
    <t>Alteração da CLÁUSULA SEXTA – DA VIGÊNCIA DO CONTRATO, prorrogando a vigência do contrato original por mais 180 (cento e oitenta) dias, conforme justificativa apresentada através do Ofício nº 029/DECON/SEOP.
Fundamentação Legal: Art. 57, §1º, inciso V da Lei nº 8.666/93.</t>
  </si>
  <si>
    <t>DENTEMED EQUIPAMENTOS ODONTOLÓGICOS LTDA - EPP</t>
  </si>
  <si>
    <t>07.897.039/0001-00</t>
  </si>
  <si>
    <t>CONSTRU-MED COM. SERVIÇOS EIRELI - ME</t>
  </si>
  <si>
    <t>J. S. DOS REIS - ME</t>
  </si>
  <si>
    <t>11.975.764/0001-19</t>
  </si>
  <si>
    <t>3.3.90.30.00 e 3.3.90.39.00</t>
  </si>
  <si>
    <t>ACRE PUBLICIDADE LTDA</t>
  </si>
  <si>
    <t>03.952.687/0001-53</t>
  </si>
  <si>
    <t>42.308/2015</t>
  </si>
  <si>
    <t>21.214.692/0001-07</t>
  </si>
  <si>
    <t>Aquisição de Gêneros Alimentícios (Café e Açúcar),para atender a demanda da Secretaria Municipal de Saúde</t>
  </si>
  <si>
    <t xml:space="preserve">DOE:11.716 DOU: Nº 03   </t>
  </si>
  <si>
    <t>162/2016</t>
  </si>
  <si>
    <t>163/2016</t>
  </si>
  <si>
    <t>164/2016</t>
  </si>
  <si>
    <t>O Presente Termo Aditivo tem por objeto a alteração da CLÁUSULA QUARTA - PRAZO DE VIGÊNCIA DO CONTRATO, prorrogando o contrato original por mais 12 (doze) meses, com amparo legal previsto no inciso II do art. 57 da Lei nº 8.666/93</t>
  </si>
  <si>
    <t>Alteração das CLÁUSULAS SEGUNDA, TERCEIRA E DÉCIMA SEXTA, prorrogando a vigência do contrato por mais 12 (doze) meses, tendo como valor mensal a importância de ser R$
1.350,05 (um mil trezentos e cinquenta reais e cinco centavos), totalizando o valor global R$ 16.200,60 (dezesseis mil duzentos reais e sessenta centavos).</t>
  </si>
  <si>
    <t>055/2015</t>
  </si>
  <si>
    <t>45.364/2015</t>
  </si>
  <si>
    <t>A. CARNEIRO DE LIMA JÚNIOR – ME</t>
  </si>
  <si>
    <t>10.443.447/0001-03</t>
  </si>
  <si>
    <t>Contratação de empresa, para prestação de serviços de manutenção preventiva e corretiva de veículos e equipamentos</t>
  </si>
  <si>
    <t>MOURA TRANSPORTE RODOVIÁRIO DE PASSAGEIROS REGULAR MUNICIPAL URBANO LTDA</t>
  </si>
  <si>
    <t>07.216.951/0001-41</t>
  </si>
  <si>
    <t>A. S. LIMA - ME</t>
  </si>
  <si>
    <t>04.035.754/0001-38</t>
  </si>
  <si>
    <t>Prorrogando a vigência do contrato por mais 12 (doze) meses, tendo como valor mensal a importância de R$ 7.686,00 (sete mil seiscentos e oitenta e seis reais), totalizando o valor global de R$ 92.232,00 (noventa e dois mil duzentos e trinta e dois reais).</t>
  </si>
  <si>
    <t>Alteração da CLÁUSULA QUARTA – DO PRAZO DE VIGÊNCIA DO CONTRATO, prorrogando o contrato original por mais 12 (doze) meses</t>
  </si>
  <si>
    <t>172/2016</t>
  </si>
  <si>
    <t>200/2016</t>
  </si>
  <si>
    <t xml:space="preserve">DOE:11.729 DOU: Nº 16   </t>
  </si>
  <si>
    <t>Alteração da CLÁUSULA OITAVA- DO PREÇO, reduzindo o valor mensal de R$ 4.785,36 (quatro mil setecentos e oitenta e cinco reais e trinta e seis centavos) para R$ 4.690,22 (quatro mil seiscentos e noventa reais e vinte e dois centavos), com amparo legal previsto no inciso II da art. 57, e alínea “d” do inciso II do art. 65, ambos da Lei n.º 8.666/93. Valor Total Reequilibrado para 12 meses: R$ 56.758,34 (cinquenta e seis mil setecentos e cinquenta e oito reais e trinta e quatro centavos).</t>
  </si>
  <si>
    <t>TERMO DE ADESÃO Nº 002/2016 - PREGÃO ELETRÔNICO Nº 218/2014</t>
  </si>
  <si>
    <t>RESCISÃO</t>
  </si>
  <si>
    <t>16604/2015</t>
  </si>
  <si>
    <t>068/2015</t>
  </si>
  <si>
    <t>DENTAL MED SUL ARTIGOS ODONTOLÓGICOS LTDA</t>
  </si>
  <si>
    <t>02.477.571/0001-47</t>
  </si>
  <si>
    <t>EMIGÊ MATERIAIS ODONTOLÓGICOS LTDA</t>
  </si>
  <si>
    <t>07.788.510/0001-14</t>
  </si>
  <si>
    <t>POLYPHARMA DISTRIBUIDORA MÉDICO HOSPITALAR LTDA - ME</t>
  </si>
  <si>
    <t>01 (R P) e 14 (SUS) e 15 (Convênio Estadual)</t>
  </si>
  <si>
    <t xml:space="preserve">33.90.30.00; 44.90.52.00 </t>
  </si>
  <si>
    <t>DOE:11.574 DOU: Nº 110</t>
  </si>
  <si>
    <t>17.410.071/0001-65</t>
  </si>
  <si>
    <t>1360/2016</t>
  </si>
  <si>
    <t>Contratação de Serviços de Reprografia</t>
  </si>
  <si>
    <t>SERMATEC COMÉRCIO E SERVIÇOS IMPORTAÇÃO E EXPORTAÇÃO LTDA</t>
  </si>
  <si>
    <t>DOE:11.735 DOU: Nº 22</t>
  </si>
  <si>
    <t>Alteração da CLÁUSULA OITAVA- DO PREÇO, reduzindo o valor mensal de R$ 12.266,35 (doze mil duzentos e sessenta e seis reais e trinta e cinco centavos) para R$ 9.380,44 (nove mil trezentos e oitenta reais e quarenta e quatro centavos), com amparo legal previsto no inciso II da art. 57, e alínea “d” do inciso II do art. 65, ambos da Lei n.º 8.666/93.</t>
  </si>
  <si>
    <t>DOE:11770</t>
  </si>
  <si>
    <t>DOE:11762</t>
  </si>
  <si>
    <t>DOE:11755</t>
  </si>
  <si>
    <t>DOE:11769</t>
  </si>
  <si>
    <t>DOE:11036</t>
  </si>
  <si>
    <t>DOE:11037</t>
  </si>
  <si>
    <t>DOE:11043</t>
  </si>
  <si>
    <t>DOE:11040</t>
  </si>
  <si>
    <t>DOE:11057</t>
  </si>
  <si>
    <t>DOE:11083</t>
  </si>
  <si>
    <t>DOE:11114</t>
  </si>
  <si>
    <t>DOE:11129</t>
  </si>
  <si>
    <t>DOE:11218</t>
  </si>
  <si>
    <t>DOE:11234</t>
  </si>
  <si>
    <t>DOE:11223</t>
  </si>
  <si>
    <t>DOE:11244</t>
  </si>
  <si>
    <t>DOE:11248</t>
  </si>
  <si>
    <t>DOE:11250</t>
  </si>
  <si>
    <t>DOE:11257</t>
  </si>
  <si>
    <t>DOE:11289</t>
  </si>
  <si>
    <t>DOE:11307</t>
  </si>
  <si>
    <t>DOE:11326</t>
  </si>
  <si>
    <t>DOE:11324</t>
  </si>
  <si>
    <t>DOE:11395</t>
  </si>
  <si>
    <t>DOE:11393</t>
  </si>
  <si>
    <t>DOE:11473</t>
  </si>
  <si>
    <t>DOE:11482</t>
  </si>
  <si>
    <t>DOE:11485</t>
  </si>
  <si>
    <t>DOE:11499</t>
  </si>
  <si>
    <t>DOE:11517</t>
  </si>
  <si>
    <t>DOE:11567</t>
  </si>
  <si>
    <t>DOE:11586</t>
  </si>
  <si>
    <t>DOE:11612</t>
  </si>
  <si>
    <t>DOE:11616</t>
  </si>
  <si>
    <t>DOE:11624</t>
  </si>
  <si>
    <t>DOE:11625</t>
  </si>
  <si>
    <t>DOE:11640</t>
  </si>
  <si>
    <t>DOE:11650</t>
  </si>
  <si>
    <t>DOE:11655</t>
  </si>
  <si>
    <t>DOE:11661</t>
  </si>
  <si>
    <t>DOE:11670</t>
  </si>
  <si>
    <t>DOE:9912</t>
  </si>
  <si>
    <t>DOE:10165</t>
  </si>
  <si>
    <t>DOE:9991</t>
  </si>
  <si>
    <t>DOE:10252</t>
  </si>
  <si>
    <t>DOE:10602</t>
  </si>
  <si>
    <t>DOE:10608</t>
  </si>
  <si>
    <t>DOE:10757</t>
  </si>
  <si>
    <t>DOE:10749</t>
  </si>
  <si>
    <t>DOE:10817</t>
  </si>
  <si>
    <t>DOE:10654</t>
  </si>
  <si>
    <t>DOE:10939</t>
  </si>
  <si>
    <t>DOE:10985</t>
  </si>
  <si>
    <t>DOE:10981</t>
  </si>
  <si>
    <t>DOE:11020</t>
  </si>
  <si>
    <t>DOE:10967</t>
  </si>
  <si>
    <t>DOE:11018</t>
  </si>
  <si>
    <t>DOE:11014</t>
  </si>
  <si>
    <t>DOE:11015</t>
  </si>
  <si>
    <t>DOE:10994</t>
  </si>
  <si>
    <t>DOE:10969</t>
  </si>
  <si>
    <t>DOE:11034</t>
  </si>
  <si>
    <t>DOE:10965</t>
  </si>
  <si>
    <t>DOE:11102</t>
  </si>
  <si>
    <t>DOE:11211</t>
  </si>
  <si>
    <t>DOE:11232</t>
  </si>
  <si>
    <t>DOE:11266</t>
  </si>
  <si>
    <t>DOE:11279</t>
  </si>
  <si>
    <t>DOE:11271</t>
  </si>
  <si>
    <t>DOE:11316</t>
  </si>
  <si>
    <t>DOE:11277</t>
  </si>
  <si>
    <t>DOE:11337</t>
  </si>
  <si>
    <t>DOE:11385</t>
  </si>
  <si>
    <t xml:space="preserve">DOE:1ª 11.287 RET. 11.288 PROR.11.308    </t>
  </si>
  <si>
    <t>DOE:11513</t>
  </si>
  <si>
    <t xml:space="preserve">DOE:1ª 11.287 RET. 11.288 PRO.11.308    </t>
  </si>
  <si>
    <t>DOE:10670</t>
  </si>
  <si>
    <t>DOE:10789</t>
  </si>
  <si>
    <t>DOE:10973</t>
  </si>
  <si>
    <t>DOE:10890</t>
  </si>
  <si>
    <t>DOE:10968</t>
  </si>
  <si>
    <t>DOE:11033</t>
  </si>
  <si>
    <t>DOE:11044</t>
  </si>
  <si>
    <t>DOE:11122</t>
  </si>
  <si>
    <t>DOE:11462</t>
  </si>
  <si>
    <t>DOE:10171</t>
  </si>
  <si>
    <t>DOE:11038</t>
  </si>
  <si>
    <t>DOE:11050</t>
  </si>
  <si>
    <t>DOE:11125</t>
  </si>
  <si>
    <t>DOE:11247</t>
  </si>
  <si>
    <t>DOE:11470</t>
  </si>
  <si>
    <t>DOE:11610</t>
  </si>
  <si>
    <t>DOE:9.991</t>
  </si>
  <si>
    <t>DOE:10750</t>
  </si>
  <si>
    <t>DOE:10813</t>
  </si>
  <si>
    <t>DOE:11003</t>
  </si>
  <si>
    <t>DOE:10972</t>
  </si>
  <si>
    <t xml:space="preserve"> 22/05/2016</t>
  </si>
  <si>
    <t xml:space="preserve"> 18/11/2016</t>
  </si>
  <si>
    <t xml:space="preserve"> 01/03/2016</t>
  </si>
  <si>
    <t xml:space="preserve"> 03/08/2016</t>
  </si>
  <si>
    <t xml:space="preserve">Alteração da CLÁUSULA SEXTA – DA VIGÊNCIA DO CONTRATO, prorrogando a vigência do contrato original por mais 6 (seis) meses, e prorrogando o prazo de execução dos serviços por mais 5 (cinco) meses, conforme justificativa apresentada pela Secretaria Municipal de Obras Públicas.
Fundamentação Legal: Art. 57, §1º, inciso II da Lei nº 8.666/93.
</t>
  </si>
  <si>
    <t xml:space="preserve">Alteração da CLÁUSULA SEGUNDA E TERCEIRA, para realização do reajuste contratual com base no IGPM, corrigindo o valor unitário de R$ 1.950,00 (um mil novecentos e cinquenta reais) para R$ 2.185,75 (dois mil cento e oitenta e cinco reais e setenta e cinco
centavos); e prorrogando o contrato original por mais 12 (doze) meses.
Fundamentação Legal: Art. 57, inciso II, e Art. 65, inciso II, alínea “d”, ambos da Lei n.º 8.666/93.
Valor Mensal Reajustado: R$ 196.717,50 (cento e noventa e seis mil setecentos e dezessete reais e cinquenta centavos).
Valor Anual Reajustado: R$ 2.360.610,00 (dois milhões trezentos e sessenta mil seiscentos e dez reais).
</t>
  </si>
  <si>
    <t>Alteração da CLÁUSULA QUINTA – DO VALOR DO CONTRATO – EMPENHO E DOTAÇÃO, acrescendo serviços no valor de R$ 265.367,48 (duzentos e sessenta e cinco mil trezentos e sessenta e sete reais e quarenta e oito centavos), conforme adequação apresentada através do Ofício nº 0563/GAB/SEOP.</t>
  </si>
  <si>
    <t>Alteração da CLÁUSULA SEXTA – DA VIGÊNCIA DO CONTRATO, prorrogando a vigência do contrato original por mais 180 (cento e oitenta) dias, conforme justificativa apresentada através do
Ofício nº 055/DECON/SEOP.</t>
  </si>
  <si>
    <t xml:space="preserve">Alteração da CLÁUSULA SEXTA – DA VIGÊNCIA DO CONTRATO, prorrogando a vigência do contrato original por mais 180 (cento e oitenta) dias, e prorrogando o prazo de execução por mais 150 (cento e cinquenta) dias, conforme justificativa apresentada pela
Secretaria Municipal de Obras Públicas.
Fundamentação Legal: Art. 57, §1º, inciso VI da Lei nº 8.666/93.
</t>
  </si>
  <si>
    <t xml:space="preserve">Alteração da CLÁUSULA QUINTA – DO VALOR DO CONTRATO – EMPENHO E DOTAÇÃO DO VALOR, acrescendo serviços no valor de R$ 86.127,68 (oitenta e seis mil cento e vinte e sete reais e sessenta e oito centavos), e, suprimindo serviços no valor de R$ 1.789,07
(um mil setecentos e oitenta e nove reais e sete centavos), perfazendo a diferença
de R$ 84.338,61 (oitenta e quatro mil trezentos e trinta e oito reais e sessenta e um centavos) a ser acrescido no valor originalmente contratado, conforme solicitação apresentada através do Ofício nº 0585/GAB/SEOP.
Fundamentação Legal: Art. 65, §1º da Lei nº 8.666/1993.
</t>
  </si>
  <si>
    <t>217/2016</t>
  </si>
  <si>
    <t>GRUPO E - IMPORTAÇÃO E EXPORTAÇÃO LTDA-ME</t>
  </si>
  <si>
    <t>44708/2015</t>
  </si>
  <si>
    <t>L. N. CONSTRUÇÕES E COMÉRCIO LTDA</t>
  </si>
  <si>
    <t>04.822.164/0001-55</t>
  </si>
  <si>
    <t>Contratação de Empresa de Engenharia para Execução de Serviços de Construção do Centro de Atenção Psicossocial – CAPS III, localizado na Rua Marques de Caravelas, S/N, Loteamento Center Ville, no Município de Rio Branco - Acre</t>
  </si>
  <si>
    <t>01 (RP), 14 (SUS) e 06 (Convênio Federal - OGU)</t>
  </si>
  <si>
    <t>231/2016</t>
  </si>
  <si>
    <t>232/2016</t>
  </si>
  <si>
    <t>233/2016</t>
  </si>
  <si>
    <t>DOU: Nº 4 DOE:11.717</t>
  </si>
  <si>
    <t>Alteração da CLÁUSULA QUARTA – DO PRAZO DE VIGÊNCIA DO CONTRATO, prorrogando o contrato original por mais 12 (doze) meses.
Fundamentação Legal: Art. 57, inciso II da Lei nº 8.666/1993.</t>
  </si>
  <si>
    <t xml:space="preserve">  10/04/2017</t>
  </si>
  <si>
    <t xml:space="preserve">  16/04/2017</t>
  </si>
  <si>
    <t xml:space="preserve"> 29/04/2017</t>
  </si>
  <si>
    <t xml:space="preserve"> Alteração da CLÁUSULA SEXTA – DA VIGÊNCIA DO CONTRATO, prorrogando a vigência do contrato original por mais 3 (três) meses, conforme justificativa apresentada pela Secretaria Municipal de Obras Públicas.
Fundamentação Legal: Art. 57, §1º, inciso VI da Lei nº 8.666/93.
</t>
  </si>
  <si>
    <t>Alteração da CLÁUSULA SEXTA – DA VIGÊNCIA DO CONTRATO, prorrogando a vigência do contrato por mais 360 (trezentos e sessenta) dias, e prorrogando o prazo de execução dos
serviços por mais 360 (trezentos e sessenta) dias, conforme justificativa apresentada através pela Secretaria Municipal de Obras Públicas.
Fundamentação Legal: Art. 57, §1º, inciso I e IV da Lei nº 8.666/93.
Vigência do Contrato:  a .
Prazo de Execução: .</t>
  </si>
  <si>
    <t>ABREU DE SOUZA &amp; CIA LTDA - EPP</t>
  </si>
  <si>
    <t>ROBERTH &amp; SOUZA LTDA</t>
  </si>
  <si>
    <t>09.019.016/0001-10</t>
  </si>
  <si>
    <t>G. SANTOS DA SILVA &amp; SILVA LTDA</t>
  </si>
  <si>
    <t>Alteração da CLÁUSULA TERCEIRA - DO PREÇO, CONDIÇÕES DE PAGAMENTO E REAJUSTE, para realização do reajuste dos valores contratados nos itens 3 e 4, resultando numa redução de aproximadamente 10,50% (dez vírgula cinquenta por cento) do valor mensal contratado, com efeito financeiro a partir do mês de Abril/2016, conforme Decreto Municipal nº. 212, de 21 de Março de 2016 e Art. 65, inciso II, alínea “d”, da Lei nº. 8.666/93.
Valor Mensal Reajustado: R$ 28.996,40 (vinte e oito mil novecentos e
noventa e seis reais e quarenta centavos).
Valor do Contrato Reajustado: R$ 354.756,80 (trezentos e cinquenta e
quatro mil setecentos e cinquenta e seis reais e oitenta centavos).</t>
  </si>
  <si>
    <t>1364/2016</t>
  </si>
  <si>
    <t>W. O. PEREIRA - ME</t>
  </si>
  <si>
    <t>18.765.432/0001-59</t>
  </si>
  <si>
    <t>Contratação de Empresa para Locação de Veículo com condutor, veículo tipo utilitário</t>
  </si>
  <si>
    <t>4375/2016</t>
  </si>
  <si>
    <t>A. PAIVA SILVA</t>
  </si>
  <si>
    <t>14.009.721/0001-77</t>
  </si>
  <si>
    <t>PREGÃO PRESENCIAL</t>
  </si>
  <si>
    <t>Contratação de Empresa para Prestação de Serviços com Trabalhadores que Organizam e Supervisionam os Serviços de Cozinha</t>
  </si>
  <si>
    <t>DOU: Nº 30 DOE:11.742</t>
  </si>
  <si>
    <t>DOU: Nº 56 DOE:11.768</t>
  </si>
  <si>
    <t xml:space="preserve"> 27/05/2016</t>
  </si>
  <si>
    <t xml:space="preserve">Alteração da CLÁUSULA SEXTA – DA VIGÊNCIA DO CONTRATO, prorrogando a vigência contratual e o prazo de execução por mais 5 (cinco) meses, conforme justificativa apresentada pela Secretaria Municipal de Obras Públicas.
Fundamentação Legal: Art. 57, §1º, inciso VI da Lei nº 8.666/93.
</t>
  </si>
  <si>
    <t>Alteração da CLÁUSULA QUINTA – DO VALOR DO CONTRATO – EMPENHO E DOTAÇÃO DO VALOR, acrescendo serviços no valor de R$ 46.091,18 (quarenta e seis mil noventa e um reais e dezoito centavos), e, suprimindo serviços no valor de R$ 3.780,74 (três mil setecentos e oitenta reais e setenta e quatro centavos), perfazendo a diferença de R$ 42.310,44 (quarenta e dois mil trezentos e dez reais e quarenta e quatro centavos) a ser acrescido do valor originalmente contratado, conforme adequação apresentada através do Ofício nº 0693/GAB/SEOP.
Fundamentação Legal: Art. 65, §1º da Lei nº 8.666/1993.</t>
  </si>
  <si>
    <t>ACRE IMPORTAÇÃO E EXPORTAÇÃO EIRELI</t>
  </si>
  <si>
    <t>21.467.044/0001-04</t>
  </si>
  <si>
    <t>Alteração da CLÁUSULA SEGUNDA, prorrogando a vigência do contrato por mais 12 (doze) meses, tendo como valor mensal a importância de R$ 1.229,92 (um mil duzentos e vinte
e nove reais e noventa e dois centavos), totalizando o valor global R$ 14.759,04 (quatorze mil setecentos e cinquenta e nove reais e quatro centavos), até o término da vigência contratual.</t>
  </si>
  <si>
    <t>DOU: Nº 35 DOE:11.746</t>
  </si>
  <si>
    <t>DOU: Nº 54 DOE:11.766</t>
  </si>
  <si>
    <t>245/2016</t>
  </si>
  <si>
    <t>14.317.275/0001-68</t>
  </si>
  <si>
    <t xml:space="preserve">Alteração da CLÁUSULA SEGUNDA - DO PRAZO DE VIGÊNCIA, prorrogando a vigência do contrato por mais 12 (doze) meses, tendo como valor mensal a importância de R$ 12.299,20 (doze mil duzentos e noventa e nove reais e vinte centavos), totalizando o valor global R$ 147.590,40 (cento e quarenta e sete mil quinhentos e noventa reais e
quarenta centavos), até o término da vigência contratual.
</t>
  </si>
  <si>
    <t>5710/2016</t>
  </si>
  <si>
    <t>Contratação de Empresa de Engenharia para Execução de Serviços de Construção de Unidade Básica de Saúde – Porte I, Localizada na Avenida Flamengo, S/N, Loteamento Mutambo, Estrada do Quixadá, no Município de Rio Branco - Acre.</t>
  </si>
  <si>
    <t>01 (RP) e 14 (SUS) – Proposta nº 84317.205000/1140-30</t>
  </si>
  <si>
    <t>DOU: Nº 48 DOE:11.760</t>
  </si>
  <si>
    <t>259/2016</t>
  </si>
  <si>
    <t>260/2016</t>
  </si>
  <si>
    <t>261/2016</t>
  </si>
  <si>
    <t>265/2016</t>
  </si>
  <si>
    <t>07.640.617/0001-10</t>
  </si>
  <si>
    <t>01 (R P)</t>
  </si>
  <si>
    <t xml:space="preserve"> 27/11/2016</t>
  </si>
  <si>
    <t>Alteração da CLÁUSULA SEXTA – DA VIGÊNCIA DO CONTRATO, prorrogando a vigência contratual e o prazo de execução por mais 6 (seis) meses, conforme justificativa apresentada pela Secretaria Municipal de Obras Públicas.
Fundamentação Legal: Art. 57, §1º, inciso IV da Lei nº 8.666/93.</t>
  </si>
  <si>
    <t>Alteração da CLÁUSULA QUINTA – DO VALOR DO CONTRATO – EMPENHO E DOTAÇÃO DO VALOR, para realização do reajuste contratual com base no Índice Nacional da Construção Civil – INCC, que perfaz o valor de R$ 61.875,58 (sessenta e um mil oitocentos
e setenta e cinco reais e cinquenta e oito centavos), devendo o mesmo ser acrescido ao valor do Contrato, conforme cálculos apresentados pela Secretaria Municipal de Obras Públicas, Parecer da Procuradoria Geral do Município e Art. 65, inciso II, alínea “d”, da Lei nº. 8.666/93.</t>
  </si>
  <si>
    <t>Alteração da CLÁUSULA QUINTA – DO VALOR DO CONTRATO – EMPENHO E DOTAÇÃO DO VALOR, suprimindo a importância de R$ 49.994,69 (quarenta e nove mil novecentos e noventa e quatro reais e sessenta e nove centavos), e, acrescendo a importância de R$ 36.722,70 (trinta e seis mil setecentos e vinte e dois reaise setenta centavos), perfazendo a diferença de R$ 13.271,99 (treze mil duzentos e setenta e um reais e noventa e nove centavos) a ser suprimido do valor contratado, conforme Planilha de Adequação apresentada através do Ofício nº 0990/GAB/SEOP.</t>
  </si>
  <si>
    <t>Alteração da CLÁUSULA QUINTA – DO VALOR DO CONTRATO – EMPENHO E DOTAÇÃO DO VALOR, para realização do reajuste contratual com base no Índice Nacional da Construção Civil – INCC, que perfaz o valor de R$ 50.803,78 (cinquenta mil oitocentos
e três reais e setenta e oito centavos), devendo o mesmo ser acrescido ao valor do Contrato, conforme cálculos apresentados pela Secretaria Municipal de Obras Públicas, Parecer da Procuradoria Geral do Município e art. 65, inciso II, alínea “d”, da Lei nº. 8.666/93.</t>
  </si>
  <si>
    <t>Alteração da CLÁUSULA QUARTA - PRAZO DE VIGÊNCIA DO CONTRATO, prorrogando o contrato original por mais 12 (doze) meses. 
Fundamentação Legal: Inciso II do Art. 57 da Lei nº. 8.666/93.</t>
  </si>
  <si>
    <t xml:space="preserve">Alteração da CLÁUSULA QUARTA - PRAZO DE VIGÊNCIA DO CONTRATO, prorrogando o contrato original por mais 12 (doze) meses.
Fundamentação Legal: Inciso II do Art. 57 da Lei nº. 8.666/93.
</t>
  </si>
  <si>
    <t>1 (R P) e 14 (SUS)</t>
  </si>
  <si>
    <t>2357/2016</t>
  </si>
  <si>
    <t>Contratação de empresa especializada em desenvolvimento de sistemas para prestação de serviços de consultoria, implantação, treinamento e fornecimento mediante locação/licenciamento, atualização, manutenção, acompanhamento e suporte técnico de sistema específico para gestão em saúde pública</t>
  </si>
  <si>
    <t>INOVADORA SISTEMAS DE GESTÃO LTDA</t>
  </si>
  <si>
    <t>00.867.301/0002-06</t>
  </si>
  <si>
    <t>01 (R P) e 06 (Convênio Federal)</t>
  </si>
  <si>
    <t xml:space="preserve">Menor Preço  </t>
  </si>
  <si>
    <t>DOE:  11.772   e DOU: 61</t>
  </si>
  <si>
    <t>Alteração da CLÁUSULA QUINTA – DO VALOR DO CONTRATO – EMPENHO E DOTAÇÃO DO VALOR, para realização do reajuste contratual com base no Índice Nacional da Construção Civil – INCC, que perfaz o valor de R$ 51.020,23 (cinquenta e um mil vinte reais e vinte e três centavos), devendo o mesmo ser acrescido ao valor do Contrato, conforme cálculos apresentados pela Secretaria Municipal de Obras Públicas, Parecer da Procuradoria Geral do Município e art. 65, inciso II, alínea “d”, da Lei nº. 8.666/93.</t>
  </si>
  <si>
    <t>DUX COMÉRCIO REPRESENTAÇÕES IMPORTAÇÃO E EXPORTAÇÃO LTDA</t>
  </si>
  <si>
    <t>276/2016</t>
  </si>
  <si>
    <t>20091/2016</t>
  </si>
  <si>
    <t>TERMO DE ADESÃO  PREGÃO SRP Nº 018/2016 - CPL</t>
  </si>
  <si>
    <t>Contratação de Pessoa Jurídica para Prestação de Serviços de Apoio Administrativo (Recepção e Suporte Técnico de Informática)</t>
  </si>
  <si>
    <t>1 (R P)</t>
  </si>
  <si>
    <t xml:space="preserve"> Construtora Sol Nascente</t>
  </si>
  <si>
    <t>Secretaria Municipal da Casa Civil</t>
  </si>
  <si>
    <t>Alteração da CLÁUSULA TERCEIRA - PRAZO DE VIGÊNCIA DO CONTRATO, prorrogando o contrato original por mais 12 (doze) meses.
Fundamentação Legal: inciso II do Art. 57 da Lei nº. 8.666/93.</t>
  </si>
  <si>
    <t>Alteração da CLÁUSULA QUARTA - PRAZO DE VIGÊNCIA DO CONTRATO, prorrogando o contrato original por mais 12 (doze) meses, com amparo legal previsto no inciso II do art. 57 da Le ni º. 8.666/93.</t>
  </si>
  <si>
    <t>Aquisição de Medicamentos, para atender as necessidades da Secretaria Municipal de Saúde – SEMSA</t>
  </si>
  <si>
    <t>12640/2016</t>
  </si>
  <si>
    <t>DOU Nº 71 DOE Nº 11.782</t>
  </si>
  <si>
    <t>7156/2016</t>
  </si>
  <si>
    <t>Contratação de Empresa Especializada em Tratamentos de Resíduos Químicos</t>
  </si>
  <si>
    <t>SCHOMMER &amp; FIGUEIREDO LTDA - ME</t>
  </si>
  <si>
    <t>17.129.706/0001-50</t>
  </si>
  <si>
    <t>AMAZOM IMPORTAÇÃO E EXPORTAÇÃO LTDA</t>
  </si>
  <si>
    <t>DENTAL BÉLIA LTDA</t>
  </si>
  <si>
    <t>04.043.808/0001-07</t>
  </si>
  <si>
    <t>COOPERATIVA DE PROPRIETÁRIOS DE VEÍCULOS DO ESTADO DO ACRE - COOPERVEL</t>
  </si>
  <si>
    <t>DOE:11.772DOU: Nº 61</t>
  </si>
  <si>
    <t>DOU Nº 30 DOE Nº 11.742</t>
  </si>
  <si>
    <t>DOE Nº 11.741</t>
  </si>
  <si>
    <t>DOE: 11.789</t>
  </si>
  <si>
    <t>Alterar a CLÁUSULA TERCEIRA - DO PREÇO E CONDIÇÕES DE PAGAMENTO, acrescendo aproximadamente 22,67% (vinte e dois e sessenta e sete por cento) ao valor mensal atualizado do Contrato nº. 178/2014, que perfaz o valor total mensal de R$ 14.818,02 (quatorze mil oitocentos e dezoito reais e dois centavos) com efeito financeiro a partir do dia 01/07/2016, com amparo legal previsto no § 1º do art. 65 da Lei nº. 8.666/93, resultando num acréscimo total de R$ 29.636,04 (vinte e nove mil seiscentos e trinta e seis reais e quatro centavos) até o término do contrato (01/09/2016)</t>
  </si>
  <si>
    <t xml:space="preserve">Alteração da CLÁUSULA QUARTA – DO PRAZO DE VIGÊNCIA DO CONTRATO, prorrogando o contrato original por mais 12 (doze) meses.
Fundamentação Legal: Art. 57, inciso II da Lei nº 8.666/1993.
</t>
  </si>
  <si>
    <t xml:space="preserve">Alteração da CLÁUSULA SEXTA – DA VIGÊNCIA DO CONTRATO, prorrogando a vigência do contrato original por mais 3 (três) meses, conforme justificativa apresentada pela Secretaria Municipal de Obras Públicas.
Fundamentação Legal: Art. 57, §1º, inciso VI da Lei nº 8.666/93.
</t>
  </si>
  <si>
    <t xml:space="preserve">Alteração da CLÁUSULA QUARTA – DO PRAZO DE VIGÊNCIA DO CONTRATO, prorrogando o contrato original por mais 12 (doze) meses. Fundamentação Legal: Art. 57, inciso II da Lei nº 8.666/1993.
</t>
  </si>
  <si>
    <t xml:space="preserve">    001/2014</t>
  </si>
  <si>
    <t xml:space="preserve">Alteração da CLÁUSULA QUARTA - PRAZO DE VIGÊNCIA DO CONTRATO, prorrogando o contrato original por mais 12 (doze) meses.
Fundamentação Legal: inciso II do art. 57 da Lei Federal nº. 8.666/1993.
 </t>
  </si>
  <si>
    <t xml:space="preserve"> 17/08/2017</t>
  </si>
  <si>
    <t xml:space="preserve"> 18/08/2017</t>
  </si>
  <si>
    <t xml:space="preserve"> 03/01/2017</t>
  </si>
  <si>
    <t xml:space="preserve">Alteração da CLÁUSULA SEXTA – DA VIGÊNCIA DO CONTRATO, prorrogando a vigência do contrato original por mais 6(seis) meses, e prorrogando o prazo de execução dos serviços por mais 5 (cinco) meses, conforme justificativa apresentada pela Secretaria Municipal
de Obras Públicas.
Fundamentação Legal: Art. 57, §1º, inciso II da Lei nº 8.666/93.
</t>
  </si>
  <si>
    <t>Alteração da CLÁUSULA QUINTA – DO VALOR DO CONTRATO – EMPENHO E DOTAÇÃO, para realização do reajuste contratual com base no Índice Nacional da Construção Civil – INCC,
que perfaz o valor de R$ 32.230,19 (trinta e dois mil duzentos e trinta reais e dezenove centavos), devendo o mesmo ser acrescido ao valor do Contrato, conforme cálculos apresentados pela Secretaria Municipal de Obras Públicas, Parecer da Procuradoria Geral do Município e art. 65, inciso II, alínea “d”, da Lei nº. 8.666/93.</t>
  </si>
  <si>
    <t>Alterar a CLÁUSULA TERCEIRA - DO PREÇO E CONDIÇÕES DE PAGAMENTO, para realização da repactuação contratual com base na Convenção Coletiva de Trabalho 2016/2017, com efeito financeiro a partir do dia 01/03/2016, resultando na diferença mensal no valor de R$ 8.430,93 (oito mil quatrocentos e trinta reais e noventa e três centavos) nos meses de março a julho, e diferença mensal no valor de R$ 10.358,29 (dez mil trezentos e cinquenta e oito reais e vinte e nove centavos) nos meses de julho e agosto, perfazendo a diferença total de R$ 54.440,30 (cinquenta e quatro mil quatrocentos e quarenta reais e trinta
centavos), com amparo legal previsto no Art. 65, inciso II, alínea “d”, da Lei nº 8.666/93 e Parecer da Procuradoria Geral do Município.</t>
  </si>
  <si>
    <t>Alteração da CLÁUSULA TERCEIRA - DO PREÇO E CONDIÇÕES DE PAGAMENTO, para realização da repactuação contratual com base na Convenção Coletiva de Trabalho 2015/2016, resultando na diferença mensal no valor de R$ 4.874,94 (quatro mil oitocentos e setenta e
quatro reais e noventa e quatro centavos), perfazendo a diferença total de R$ 69.874,16 (sessenta e nove mil oitocentos e setenta e quatro reais e dezesseis centavos), com efeito financeiro a partir do dia 20/06/2015, com amparo legal previsto no Art. 65, inciso II,  alínea “d”, da Lei nº 8.666/93 e Parecer da Procuradoria Geral do Município.
Valor Mensal Atualizado: R$ 65.345,52 (sessenta e cinco mil trezentos e quarenta e cinco reais e cinquenta e dois centavos). A Contratante pagará o valor de R$ 11.374,88 (onze mil trezentos e setenta e quatro reais e oitenta e oito centavos), referente à diferença mensal de 10 dias de Junho, mais os meses de Julho e Agosto, completando a vigência contratual; e ainda a importância de R$ 58.499,28 (cinquenta e oito mil quatrocentos e noventa e nove reais e vinte e oito centavos), referente à diferença mensal de 01/09/2015 a 01/09/2016, conforme I Termo Aditivo.</t>
  </si>
  <si>
    <t>20312/2016</t>
  </si>
  <si>
    <t>Aquisição de Material Permanente de Informática e Diversos, para atender as necessidades da Secretaria Municipal de Saúde</t>
  </si>
  <si>
    <t>14 (SUS), referente ao recurso de capital destinado ao Pró-Saúde III; Conta Financeira: 2112602279.</t>
  </si>
  <si>
    <t>DOE:11.833 DOU: Nº 120</t>
  </si>
  <si>
    <t>Alteração da CLÁUSULA QUINTA – DO VALOR DO CONTRATO – EMPENHO E DOTAÇÃO, acrescendo serviços no valor de R$ 83.256,12 (oitenta e três mil duzentos e cinquenta e seis reais e doze centavos), e, suprimindo serviços no valor de R$ 73.470,69 (setenta e três mil quatrocentos e setenta reais e sessenta e nove centavos), perfazendo a diferença de R$ 9.785,43 (nove mil setecentos e oitenta e cinco reais e quarenta e três centavos) a ser acrescido do valor originalmente contratado, conforme adequação apresentada através do Ofício nº 1.538/GAB/SEOP.</t>
  </si>
  <si>
    <t>Alteração da CLÁUSULA QUARTA – DO PRAZO DE VIGÊNCIA, prorrogando o contrato original por mais 12 (doze) meses.</t>
  </si>
  <si>
    <t>7144/2016</t>
  </si>
  <si>
    <t xml:space="preserve">07.338.922/0001-52 </t>
  </si>
  <si>
    <t>Aquisição de Material Permanente e Consumo Geral, para atender a demanda da Secretaria Municipal de Saúde</t>
  </si>
  <si>
    <t>CADEIRA E CIA INDÚSTRIA E COMÉRCIO DE MÓVEIS LTDA</t>
  </si>
  <si>
    <t>09.046.339/0001-01</t>
  </si>
  <si>
    <t>DOE:11.797 DOU: Nº 85</t>
  </si>
  <si>
    <t>M C CAVALCANTE OLIVEIRA</t>
  </si>
  <si>
    <t>Inciso V do art. 24 da Lei nº 8.666/93 e suas alterações.</t>
  </si>
  <si>
    <t xml:space="preserve"> 01/09/2017</t>
  </si>
  <si>
    <t>Alteração da CLÁUSULA SEGUNDA - DO PRAZO DE VIGÊNCIA, prorrogando a vigência do contrato por mais 12 (doze) meses, tendo como valor mensal a importância de R$ 1.692,11
(um mil e seiscentos e noventa e dois reais e onze centavos), totalizando o valor global de R$ 20.305,32 (vinte mil trezentos e cinco reais e trinta e dois centavos), até o término da vigência contratual.</t>
  </si>
  <si>
    <t xml:space="preserve">Alteração da CLÁUSULA QUARTA - PRAZO DE VIGÊNCIA DO CONTRATO, prorrogando o contrato original por mais 12 (doze) meses, com amparo legal previsto no inciso II do art. 57 da Le inº 8.666/93.
</t>
  </si>
  <si>
    <t>Alteração da CLÁUSULA QUINTA – DO VALOR DO CONTRATO – EMPENHO E DOTAÇÃO DO VALOR, suprimindo a importância de R$ 475,61 (quatrocentos e setenta e cinco reais e sessenta
e um centavos), e, acrescendo a importância de R$ 168,47 (cento e sessenta e oito reais e quarenta e sete centavos), perfazendo a diferença de R$ 307,14 (trezentos e sete reais e quatorze centavos) a ser suprimido do valor contratado, conforme adequação apresentada através do Ofício nº 1.551/GAB/SEOP/SEMSA, com amparo legal previsto no Art. 65 §1º da Lei nº 8.666/1993.</t>
  </si>
  <si>
    <t>7147/2016</t>
  </si>
  <si>
    <t>Aquisição de Equipamento Permanente e Consumo Hospitalar e Laboratorial, para atender o Centro de Apoio e Diagnóstico – CAD</t>
  </si>
  <si>
    <t>UNI-LIFE COMÉRCIO DISTRIBUIÇÃO IMP. E EXP. LTDA</t>
  </si>
  <si>
    <t>12.500.762/0001-36</t>
  </si>
  <si>
    <t>DOE:11.789DOU: Nº 78</t>
  </si>
  <si>
    <t>318/2016</t>
  </si>
  <si>
    <t>319/2016</t>
  </si>
  <si>
    <t>320/2016</t>
  </si>
  <si>
    <t>VIXBOT SOLUÇÕES EM INFORMÁTICA LTDA - EPP</t>
  </si>
  <si>
    <t>21.997.155/0001-14</t>
  </si>
  <si>
    <t>321/2016</t>
  </si>
  <si>
    <t>322/2016</t>
  </si>
  <si>
    <t>323/2016</t>
  </si>
  <si>
    <t>329/2016</t>
  </si>
  <si>
    <t>Alteração da CLÁUSULA DÉCIMA SEGUNDA - DA VIGÊNCIA, prorrogando o contrato original por mais 12 (doze) meses, com amparo legal previsto no inciso II do art. 57 da Lei nº. 8.666/93 e suas alterações.</t>
  </si>
  <si>
    <t>Alteração da CLÁUSULA SEXTA – DA VIGÊNCIA DO CONTRATO, prorrogando a vigência do contrato original por mais 3 (três) meses, com amparo legal previsto no Art. 57, §1º, inciso
VI da Lei nº 8.666/93.</t>
  </si>
  <si>
    <t>Alteração da CLÁUSULA QUINTA – DO VALOR DO CONTRATO – EMPENHO E DOTAÇÃO, para realização do reajuste contratual com base no Índice Nacional da Construção Civil – INCC, que perfaz o valor de R$ 36.557,02 (trinta e seis mil quinhentos e cinquenta e sete reais e dois centavos), devendo o mesmo ser acrescido ao valor do Contrato, conforme cálculos apresentados pela Secretaria Municipal de Obras Públicas, Parecer da Procuradoria Geral do Município e art. 65, inciso II, alínea “d”, da Lei nº. 8.666/93.</t>
  </si>
  <si>
    <t>Alteração da CLÁUSULA SEXTA – DA VIGÊNCIA DO CONTRATO, prorrogando a vigência do contrato original por mais 180 (cento e oitenta) dias, e prorrogando o prazo de execução por mais 150 (cento e cinquenta) dias, conforme justificativa apresentada pela Secretaria Municipal de Obras Públicas.                                                                                                                             Fundamentação Legal: Art. 57, §1º, inciso VI da Lei nº 8.666/93.</t>
  </si>
  <si>
    <t xml:space="preserve"> 17/05/2017</t>
  </si>
  <si>
    <t>Alteração da CLÁUSULA QUINTA – DO VALOR DO CONTRATO – EMPENHO E DOTAÇÃO DO VALOR, para realização do reajuste contratual com base no Índice Nacional da Construção Civil – INCC, que perfaz o valor de R$ 10.833,16 (dez mil oitocentos e trinta e três reais e dezesseis centavos), devendo o mesmo ser acrescido ao valor do Contrato, conforme cálculos apresentados pela Secretaria Municipal de Obras Públicas, Parecer da Procuradoria Geral do Município e art. 65, inciso II, alínea “d”, da Lei nº. 8.666/93.</t>
  </si>
  <si>
    <t>Alteração da CLÁUSULA QUINTA – DO VALOR DO CONTRATO – EMPENHO E DOTAÇÃO, acrescendo serviços no valor de R$ 15.886,65 (quinze mil oitocentos e oitenta e seis reais e sessenta e cinco centavos) a ser acrescido no valor originalmente contratado, conforme adequação apresentada através do Ofício nº 1.769/GAB/ SEOP, com amparo legal previsto no Art. 65 §1º da Lei nº 8.666/1993.</t>
  </si>
  <si>
    <t>23323/2016</t>
  </si>
  <si>
    <t>ANTÔNIO CARLOS DO NASCIMENTO</t>
  </si>
  <si>
    <t xml:space="preserve">179.179.647-87 </t>
  </si>
  <si>
    <t>Contratação para prestação de serviços – Profissional Agente Cultural para realização de oficinas de violãopara adolescentes em cumprimento de medidas socioeducativas em meio aberto e fechado.</t>
  </si>
  <si>
    <t>Contratação para prestação de serviços –Profissional Agente Cultural para realização de oficinas de teatro para adolescentes em cumprimento de medidas socioeducativas em meio aberto e fechado.</t>
  </si>
  <si>
    <t>BRENDA WENDY DO NASCIMENTO ROCHA</t>
  </si>
  <si>
    <t>025.642.162-50</t>
  </si>
  <si>
    <t>EDUARDO NONATO DE FREITAS</t>
  </si>
  <si>
    <t xml:space="preserve">812.376.772-20 </t>
  </si>
  <si>
    <t>Contratação para prestação de serviços –Profissional Agente Cultural para realização de oficinas de capoeira para adolescentes em cumprimento de medidas socioeducativas em meio aberto e fechado.</t>
  </si>
  <si>
    <t>LUIZ EDUARDO FERREIRA DA SILVA</t>
  </si>
  <si>
    <t xml:space="preserve">022.925.082-30 </t>
  </si>
  <si>
    <t>Contratação para prestação de serviços –Profissional Agente Cultural para realização de oficinas de pintura para adolescentes em cumprimento de medidas socioeducativas em meio aberto e fechado.</t>
  </si>
  <si>
    <t>MAHATMA SOARES DE MOURA SILVA</t>
  </si>
  <si>
    <t xml:space="preserve">107.342.416-23 </t>
  </si>
  <si>
    <t>Contratação para prestação de serviços –Profissional Agente Cultural para realização de oficinas de grafitagem para adolescentes em cumprimento de medidas socioeducativas em meio aberto e fechado.</t>
  </si>
  <si>
    <t>RAYSA DE SOUZA BARBOSA</t>
  </si>
  <si>
    <t xml:space="preserve">900.180.522-15 </t>
  </si>
  <si>
    <t>Contratação para prestação de serviços –Profissional Agente Cultural para realização de oficinas de dança para adolescentes em cumprimento de medidas socioeducativas em meio aberto e fechado.</t>
  </si>
  <si>
    <t>Alteração da CLÁUSULA SEXTA – DA VIGÊNCIA DO CONTRATO, prorrogando o contrato original por 01 (um) ano, com amparo legal previsto no inciso II do art. 57 da Lei nº. 8.666/93.</t>
  </si>
  <si>
    <t>IN-DENTAL PRODUTOS ODONTOLÓGICOS MÉDICOS E HOSPITALARES LTDA</t>
  </si>
  <si>
    <t>Alteração da da CLÁUSULA QUINTA – DO VALOR DO CONTRATO – EMPENHO E DOTAÇÃO DO VALOR, suprimindo serviços no valor de R$ 156.498,51 (cento e cinquenta e seis mil quatrocentos e noventa e oito reais e cinquenta e um centavos), e, acrescendo serviços no valor de R$ 47.579,77 (quarenta e sete mil quinhentos e setenta e nove reais e setenta e sete centavos), perfazendo a diferença de R$ 108.918,74 (cento e oito mil novecentos e dezoito reais e setenta e quatro centavos), a ser suprimido do valor contratado, conforme Planilha de Adequação apresentada através do Ofício nº 1.907/GAB/SEOP.
Fundamentação Legal: Art. 65, §1º, inciso VI da Lei nº 8.666/93.</t>
  </si>
  <si>
    <t>19645/2015</t>
  </si>
  <si>
    <t>BIOLAR IMP. E EXP. LTDA</t>
  </si>
  <si>
    <t>3.3.90.32.00 (Material para Distribuição Gratuita)</t>
  </si>
  <si>
    <t>14 (SUS) - Conta Financeira: 2112602274.</t>
  </si>
  <si>
    <t>Aquisição de Fórmulas Nutricionais, para atender as demandas dos usuários inseridos no Programa de Atenção Domiciliar da Secretaria Municipal de Saúde no município de Rio Branco – AC</t>
  </si>
  <si>
    <t>DOE:11.829DOU: Nº 116</t>
  </si>
  <si>
    <t>331/2016</t>
  </si>
  <si>
    <t>Alteração da CLÁUSULA SEXTA – DA VIGÊNCIA DO CONTRATO, prorrogando a vigência do contrato original por mais 180 (cento e oitenta) dias, conforme justificativa apresentada pelo Fiscal do Contrato, com amparo legal previsto no Art. 57, §1º, inciso I da Lei nº 8.666/93.</t>
  </si>
  <si>
    <t>34856/2016</t>
  </si>
  <si>
    <t>Aquisição de água mineral natural de qualidade, acondicionada em garrafões de 20 (vinte) litros, água mineral sem gás, de primeira qualidade, acondicionada em garrafa PET de 500 ml, gelo em barra produzido em água potável e gelo, tipo drink, produzido em água potável.</t>
  </si>
  <si>
    <t>M. J. SILVA FERNANDES – ME</t>
  </si>
  <si>
    <t>10.569.175/0001-78</t>
  </si>
  <si>
    <t>DEPARTAMENTO ESTADUAL DE TRÂNSITO - DETRAN</t>
  </si>
  <si>
    <t>DOE:11.872</t>
  </si>
  <si>
    <t>32845/2016</t>
  </si>
  <si>
    <t>PORTO SEGURO COMPANHIA DE SEGUROS GERAIS</t>
  </si>
  <si>
    <t>61.198.164/0001-60</t>
  </si>
  <si>
    <t>Prestação de serviço de seguro total para os veículos da frota da Secretaria Municipal de Saúde de Rio Branco/AC, com assistência 24 horas, casco, vidros, lanternas, faróis, retrovisores, para-brisas; cobertura compreensiva (colisão, incêndio e roubo), cobertura a terceiros – danos materiais e danos pessoais, tudo em conformidade com a descrição dos Anexos, parte integrante deste Edital.</t>
  </si>
  <si>
    <t>DOE:11.930DOU: Nº 217</t>
  </si>
  <si>
    <t>21333/2016</t>
  </si>
  <si>
    <t>DISTRIBUIDORA BRASIL COMERCIAL DE PRODUTOS MÉDICOS HOSPITALARES LTDA</t>
  </si>
  <si>
    <t>DOE:11.840DOU: Nº 127</t>
  </si>
  <si>
    <t>Alteração da CLÁUSULA SEXTA – DA VIGÊNCIA DO CONTRATO, prorrogando o contrato original por mais 180 (cento e oitenta) dias, com amparo legal previsto no Art. 57, §1º, inciso VI da Lei nº 8.666/1993.</t>
  </si>
  <si>
    <t>34132/2016</t>
  </si>
  <si>
    <t>DOE:11.840</t>
  </si>
  <si>
    <t>Acréscimo de valor, em razão de reequilíbrio contratual para atender as despesas com Administração da Obra e Encargos de Convenção Coletiva de Trabalho, decorrentes da prorrogação da vigência contratual, perfazendo o valor total de R$ 402.068,78 (quatrocentos e dois mil sessenta e oito reais e setenta e oito centavos).
Fundamentação Legal: Art. 65, § 2º, da Lei nº 8.666/93.</t>
  </si>
  <si>
    <t>Alteração da CLÁUSULA QUARTA – DO PRAZO DE VIGÊNCIA DO CONTRATO, prorrogando o contrato original por mais 12 (doze) meses, com amparo legal previsto no inciso II do art. 57 da Lei nº 8.666/93.</t>
  </si>
  <si>
    <t>Alteração da CLÁUSULA QUARTA – DO PRAZO DE VIGÊNCIA DO CONTRATO, prorrogando o contrato original por mais 12 (doze) meses, com amparo legal previsto no inciso II do art. 57
da Lei nº 8.666/93.</t>
  </si>
  <si>
    <t>Alteração da CLÁUSULA QUARTA – DO PRAZO DE VIGÊNCIA DO REGISTRO DE PREÇO E DO CONTRATO, prorrogando o contrato original por mais 11 (onze) meses.
Fundamentação Legal: inciso II do Art. 57 da Lei nº. 8.666/93.</t>
  </si>
  <si>
    <t>Alteração da CLÁUSULA TERCEIRA - DO PREÇO E CONDIÇÕES DE PAGAMENTO, para realização da repactuação dos valores contratuais com base no Acordo Coletivo de Trabalho 2016, resultando no acréscimo de R$ 4.164,45 (quatro mil cento e sessenta e quatro reais e quarenta e cinco centavos) ao valor mensal, que passará de R$ 60.072,80 (sessenta mil e setenta e dois reais e oitenta centavos) para R$ 64.237,25 (sessenta e quatro mil duzentos e trinta e sete reais e vinte e cinco centavos), com amparo legal previsto no Art. 65, inciso II, alínea “d”, da Lei nº 8.666/93 e Parecer da Procuradoria Geral do Município.
Valor Mensal Repactuado: R$ 64.237,25 (sessenta e quatro mil duzentos e trinta e sete reais e vinte e cinco centavos).</t>
  </si>
  <si>
    <t>Alteração da CLÁUSULA TERCEIRA - DO PREÇO E CONDIÇÕES DE PAGAMENTO, para realização da repactuação dos valores contratuais com base no Acordo Coletivo de Trabalho 2016, resultando no acréscimo de R$ 456,28 (quatrocentos e cinquenta e seis reais e vinte e oito centavos) ao valor mensal, que passará de R$ 3.846,66 (três mil oitocentos e quarenta e seis reais e sessenta e seis
centavos) para R$ 4.302,94 (quatro mil trezentos e dois reais e noventa e quatro centavos), com amparo legal previsto no Art. 65, inciso II, alínea “d”, da Lei nº 8.666/93 e Parecer da Procuradoria Geral do Município.
Valor Mensal Atualizado: R$ 4.302,94 (quatro mil trezentos e dois reais
e noventa e quatro centavos).</t>
  </si>
  <si>
    <t>Alteração da CLÁUSULA SEGUNDA – DO PRAZO DE VIGÊNCIA, prorrogando a vigência do contrato por mais 12 (doze) meses, tendo como valor mensal a importância de R$ 6.425,36
(seis mil quatrocentos e vinte e cinco reais e trinta e seis centavos), totalizando o valor global aditado R$ 77.104,32 (setenta e sete mil cento e quatro reais e trinta e dois centavos).</t>
  </si>
  <si>
    <t>Alteração da CLÁUSULA SEGUNDA – DO PRAZO DE VIGÊNCIA, prorrogando a vigência do contrato por mais 12 (doze) meses, tendo como valor mensal a importância de R$ 7.128,31
(sete mil cento e vinte e oito reais e trinta e um centavos), totalizando o valor global R$ 85.539,72 (oitenta e cinco mil quinhentos e trinta e nove reais e setenta e dois centavos).</t>
  </si>
  <si>
    <t>Alteração da CLÁUSULA SEGUNDA – DO PRAZO DE VIGÊNCIA, prorrogando a vigência do contrato por mais 12 (doze) meses, tendo como valor mensal a importância de R$ 11.494,23
(onze mil quatrocentos e noventa e quatro reais e vinte e três centavos), totalizando o valor global aditado R$ 137.930,76 (cento e trinta e sete mil novecentos e trinta reais e setenta e seis centavos).</t>
  </si>
  <si>
    <t>Alteração da CLÁUSULA SEGUNDA – DO PRAZO DE VIGÊNCIA, prorrogando a vigência do contrato por mais 12 (doze) meses, tendo como valor mensal a importância de R$ 13.966,38
(treze mil novecentos e sessenta e seis reais e trinta e oito centavos), totalizando o valor global aditado R$ 167.596,56 (cento e sessenta e sete mil quinhentos e noventa e seis reais e cinquenta e seis centavos).</t>
  </si>
  <si>
    <t>Alteração da CLÁUSULA SEGUNDA – DO PRAZO DE VIGÊNCIA, prorrogando a vigência do contrato por mais 12 (doze) meses, tendo como valor mensal a importância de R$ 55.366,59
(cinquenta e cinco mil trezentos e sessenta e seis reais e cinquenta e nove), totalizando o valor global de R$ 664.399,08 (seiscentos e sessenta e quatro mil trezentos e noventa e nove reais e oito centavos).</t>
  </si>
  <si>
    <t>Alteração da CLÁUSULA SEGUNDA – DO PRAZO DE VIGÊNCIA, prorrogando a vigência do contrato por mais 12 (doze) meses, tendo como valor mensal a importância de R$ 6.581,01
(seis mil quinhentos e oitenta e um reais e um centavo), totalizando o valor global aditado R$ 78.972,12 (setenta e oito mil novecentos e setenta e dois reais e doze centavos).</t>
  </si>
  <si>
    <t>Alteração da CLÁUSULA SEGUNDA – DO PRAZO DE VIGÊNCIA, prorrogando a vigência do contrato por mais 12 (doze) meses, tendo como valor mensal a importância de R$ 5.338,20
(cinco mil trezentos e trinta e oito reais e vinte centavos), totalizando o valor global aditado R$ 64.058,40 (sessenta e quatro mil cinquenta e oito reais e quarenta centavos).</t>
  </si>
  <si>
    <t>Alteração da CLÁUSULA SEGUNDA – DO PRAZO DE VIGÊNCIA, prorrogando a vigência do contrato por mais 12 (doze) meses, tendo como valor mensal a importância de R$ 5.027,23
(cinco mil vinte e sete reais e vinte e três centavos), totalizando o valor global R$ 60.326,76 (sessenta mil trezentos e vinte e seis reais e setenta e seis centavos).</t>
  </si>
  <si>
    <t>Alteração da CLÁUSULA SEGUNDA – DO PRAZO DE VIGÊNCIA, prorrogando a vigência do contrato por mais 12 (doze) meses, tendo como valor mensal a importância de R$ 5.830,55
(cinco mil oitocentos e trinta reais e cinquenta e cinco centavos), totalizando o valor global aditado R$ 69.966,60 (sessenta e nove mil novecentos e sessenta e seis reais e sessenta centavos).</t>
  </si>
  <si>
    <t>Alteração da CLÁUSULA SEGUNDA – DO PRAZO DE VIGÊNCIA, prorrogando a vigência do contrato por mais 12 (doze) meses, tendo como valor mensal a importância de R$ 1.228,85
(um mil duzentos e vinte e oito reais e oitenta e cinco centavos), totalizando o valor global de R$ 14.746,20 (quatorze mil setecentos e quarenta e seis reais e vinte centavos).</t>
  </si>
  <si>
    <t>Alteração da CLÁUSULA SEGUNDA – DO PRAZO DE VIGÊNCIA, prorrogando a vigência do contrato por mais 12 (doze) meses, tendo como valor mensal a importância de R$ 1.318,26
(um mil trezentos e dezoito reais e vinte e seis centavos), totalizando o valor global de R$ 15.819,12 (quinze mil oitocentos e dezenove reais e doze centavos).</t>
  </si>
  <si>
    <t>Alteração da CLÁUSULA TERCEIRA - DO PREÇO E CONDIÇÕES DE PAGAMENTO, para realização da repactuação dos valores contratuais com base no Acordo Coletivo de Trabalho 2016, resultando no acréscimo de R$ 446,10 (quatrocentos e quarenta e seis reais e dez centavos) ao valor mensal, que passará de R$ 11.529,10 (onze mil quinhentos e vinte e nove reais e dez centavos) para R$ 11.975,20 (onze mil novecentos e setenta e cinco reais e vinte centavos), com amparo legal previsto no Art. 65, inciso II, alínea “d”, da Lei nº 8.666/93 e Parecer da Procuradoria Geral do Município.</t>
  </si>
  <si>
    <t>Alteração da CLÁUSULA TERCEIRA - DO PREÇO E CONDIÇÕES DE PAGAMENTO, para realização da repactuação dos valores contratuais com base no Acordo Coletivo de Trabalho 2016, resultando no acréscimo de R$ 3.670,20 (três mil seiscentos e setenta reais e vinte centavos) ao valor mensal, que passará de R$ 42.029,76 (quarenta e dois mil vinte e nove reais e setenta e seis centavos) para R$ 45.699,96 (quarenta e cinco mil seiscentos e noventa e seis reais e noventa e seis centavos), com amparo legal previsto no Art. 65, inciso II, alínea “d”, da Lei nº 8.666/93 e Parecer da Procuradoria Geral do Município.</t>
  </si>
  <si>
    <t>Alteração da CLÁUSULA TERCEIRA - DO PREÇO E CONDIÇÕES DE PAGAMENTO, para realização da repactuação dos valores contratuais com base no Acordo Coletivo de Trabalho 2016,
resultando no acréscimo de R$ 273,55 (duzentos e setenta e três reais e cinquenta e cinco centavos) ao valor mensal, que passará de R$ 3.270,72 (três mil duzentos e setenta reais e setenta e dois centavos) para R$ 3.544,27 (três mil quinhentos e quarenta e quatro reais e vinte e sete centavos), com amparo legal previsto no Art. 65, inciso II, alínea “d”, da Lei nº 8.666/93 e Parecer da Procuradoria Geral do Município.</t>
  </si>
  <si>
    <t>Alteração da CLÁUSULA TERCEIRA - DO PREÇO E CONDIÇÕES DE PAGAMENTO, para realização da repactuação dos valores contratuais com base no Acordo Coletivo de Trabalho 2016, resultando no acréscimo de R$ 2.031,89 (dois mil e trinta e um reais e oitenta e nove centavos) ao valor mensal, que passará de R$ 17.426,57 (dezessete mil quatrocentos e vinte e seis reais e cinquenta e sete centavos) para R$ 19.458,46 (dezenove mil quatrocentos e cinquenta e oito
reais e quarenta e seis centavos), com amparo legal previsto no Art. 65, inciso II, alínea “d”, da Lei nº 8.666/93 e Parecer da Procuradoria Geral do Município.</t>
  </si>
  <si>
    <t>Alteração da CLÁUSULA TERCEIRA - DO PREÇO E CONDIÇÕES DE PAGAMENTO, para realização da repactuação dos valores contratuais com base no Acordo Coletivo de Trabalho 2016,
resultando no acréscimo de R$ 3.483,24 (três mil quatrocentos e oitenta e três reais e vinte e quatro centavos) ao valor mensal, que passará de R$ 29.874,12 (vinte e nove mil oitocentos e setenta e quatro reais e doze centavos) para R$ 33.357,36 (trinta e três mil trezentos e cinquenta e sete reais e trinta e seis centavos), com amparo legal previsto no
Art. 65, inciso II, alínea “d”, da Lei nº 8.666/93 e Parecer da Procuradoria Geral do Município.</t>
  </si>
  <si>
    <t>Alteração da CLÁUSULA TERCEIRA - DO PREÇO E CONDIÇÕES DE PAGAMENTO, para realização da repactuação dos valores contratuais com base no Acordo Coletivo de Trabalho 2016,
resultando no acréscimo de R$ 684,42 (seiscentos e oitenta e quatro reais e quarenta e dois centavos) ao valor mensal, que passará de R$ 5.769,99 (cinco mil setecentos e sessenta e nove reais e noventa e nove centavos) para R$ 6.454,41 (seis mil quatrocentos e cinquenta e quatro reais e quarenta e um centavos), com amparo legal previsto no Art. 65, inciso II, alínea “d”, da Lei nº 8.666/93 e Parecer da Procuradoria Geral do Município.</t>
  </si>
  <si>
    <t>001/2017</t>
  </si>
  <si>
    <t>002/2017</t>
  </si>
  <si>
    <t>003/2017</t>
  </si>
  <si>
    <t>004/2017</t>
  </si>
  <si>
    <t>005/2017</t>
  </si>
  <si>
    <t>006/2017</t>
  </si>
  <si>
    <t>007/2017</t>
  </si>
  <si>
    <t>008/2017</t>
  </si>
  <si>
    <t>009/2017</t>
  </si>
  <si>
    <t>010/2017</t>
  </si>
  <si>
    <t>011/2017</t>
  </si>
  <si>
    <t>012/2017</t>
  </si>
  <si>
    <t>013/2017</t>
  </si>
  <si>
    <t>014/2017</t>
  </si>
  <si>
    <t>015/2017</t>
  </si>
  <si>
    <t>016/2017</t>
  </si>
  <si>
    <t>017/2017</t>
  </si>
  <si>
    <t>018/2017</t>
  </si>
  <si>
    <t>019/2017</t>
  </si>
  <si>
    <t>020/2017</t>
  </si>
  <si>
    <t>021/2017</t>
  </si>
  <si>
    <t>022/2017</t>
  </si>
  <si>
    <t>023/2017</t>
  </si>
  <si>
    <t>024/2017</t>
  </si>
  <si>
    <t>025/2017</t>
  </si>
  <si>
    <t>026/2017</t>
  </si>
  <si>
    <t>027/2017</t>
  </si>
  <si>
    <t>028/2017</t>
  </si>
  <si>
    <t>029/2017</t>
  </si>
  <si>
    <t>030/2017</t>
  </si>
  <si>
    <t>031/2017</t>
  </si>
  <si>
    <t>032/2017</t>
  </si>
  <si>
    <t>033/2017</t>
  </si>
  <si>
    <t>034/2017</t>
  </si>
  <si>
    <t>035/2017</t>
  </si>
  <si>
    <t>036/2017</t>
  </si>
  <si>
    <t>037/2017</t>
  </si>
  <si>
    <t>038/2017</t>
  </si>
  <si>
    <t>039/2017</t>
  </si>
  <si>
    <t>040/2017</t>
  </si>
  <si>
    <t>4817/2016</t>
  </si>
  <si>
    <t>Contratação de Empresa especializada em Locação de Barcos,para atender as demandas da Secretaria Municipal de Saúde</t>
  </si>
  <si>
    <t>J. L. F. DA SILVA - ME</t>
  </si>
  <si>
    <t>07.278.888/0001-78</t>
  </si>
  <si>
    <t>Contratação de empresa para prestação de serviços de impressão e veiculação em busdoor (traseira de ônibus), para atender as demandas da Secretaria Municipal de Saúde, no Município de Rio Branco – AC</t>
  </si>
  <si>
    <t>Contratação de Empresa Especializada em fornecimento de Material de Consumo Odontológico, para atender as demandas dos Centros de Saúde, Unidades de Referência a Atenção Primária – URAP’s, Unidades de Saúde da Família, o Centro de Especialidades Odontológicas do Município – CEO e o Laboratório de Prótese Dentária da Secretaria Municipal de Saúde, no município de Rio Branco – AC</t>
  </si>
  <si>
    <t>5280/2016</t>
  </si>
  <si>
    <t>7191/2016</t>
  </si>
  <si>
    <t>Aquisição de Testes de Bioquímico com cessão de equipamento, para atender as necessidades da SEMSA</t>
  </si>
  <si>
    <t xml:space="preserve">3.3.90.32.00 </t>
  </si>
  <si>
    <t>D. D. DE ALENCAR - ME</t>
  </si>
  <si>
    <t>63.595.482/0001-90</t>
  </si>
  <si>
    <t>44474/2015</t>
  </si>
  <si>
    <t>REVESTCAR PELÍCULAS E ACESSÓRIOS LTDA</t>
  </si>
  <si>
    <t>aquisição e aplicação de películas fumê e jateado, para as necessidades da Secretaria Municipal de Saúde no município de Rio Branco – AC</t>
  </si>
  <si>
    <t>01 (RP), 07 (Convênio) e 14 (SUS).</t>
  </si>
  <si>
    <t xml:space="preserve"> DOE:11.765</t>
  </si>
  <si>
    <t xml:space="preserve">DOE:11.973 </t>
  </si>
  <si>
    <t xml:space="preserve">DOE:11.975 </t>
  </si>
  <si>
    <t xml:space="preserve">DOE:11.976 </t>
  </si>
  <si>
    <t xml:space="preserve">DOE:11.978 </t>
  </si>
  <si>
    <t xml:space="preserve">DOE:11.979 </t>
  </si>
  <si>
    <t xml:space="preserve">DOE:11.980 </t>
  </si>
  <si>
    <t>DOE:11.981</t>
  </si>
  <si>
    <t>DOE:11.983</t>
  </si>
  <si>
    <t>Alteração da CLÁUSULA SEGUNDA – DO PRAZO DE VIGÊNCIA, prorrogando a vigência do contrato por mais 12 (doze) meses, tendo como valor mensal a importância de R$ 7.686,00 (sete mil seiscentos e oitenta e seis reais), totalizando o valor global de R$ 92.232,00 (noventa e dois mil duzentos e trinta e dois reais).</t>
  </si>
  <si>
    <t>Alteração das CLÁUSULAS SEGUNDA, TERCEIRA E DÉCIMA SEXTA, prorrogando a vigência do contrato por mais 12 (doze) meses, e reajustando o valor mensal que passará a ser R$
12.512,96 (doze mil quinhentos e doze reais e noventa e seis centavos), perfazendo a diferença mensal de R$ 839,41 (oitocentos e trinta e nove reais e quarenta e um centavos), totalizando o valor anual de R$ 150.155,52 (cento e cinquenta mil cento e cinquenta e cinco reais e cinquenta e dois centavos), até o término da vigência contratual.</t>
  </si>
  <si>
    <t>Alteração da CLÁUSULA SEXTA – DA VIGÊNCIA DO CONTRATO, prorrogando a vigência contratual e o prazo de execução por mais 6 (seis) meses, conforme justificativa apresentada pela Secretaria Municipal de Obras Públicas, com amparo legal previsto no
Art. 57, §1º, inciso IV da Lei nº 8.666/93.</t>
  </si>
  <si>
    <t>Alteração da CLÁUSULA SEXTA – DA VIGÊNCIA DO CONTRATO, prorrogando a vigência do contrato e execução dos serviços por mais 60 (sessenta) dias, conforme justificativa apresentada pela Secretaria Municipal de Obras Públicas, com amparo legal previsto
no Art. 57, §1º, inciso I da Lei nº 8.666/93.</t>
  </si>
  <si>
    <t>DOE:11.985</t>
  </si>
  <si>
    <t>DOE:11.987</t>
  </si>
  <si>
    <t>041/2017</t>
  </si>
  <si>
    <t>042/2017</t>
  </si>
  <si>
    <t>043/2017</t>
  </si>
  <si>
    <t>044/2017</t>
  </si>
  <si>
    <t>12320/2016</t>
  </si>
  <si>
    <t>Aquisição de Testes de Coagulograma com Cessão de Equipamento, para atender as demandas do Centro de Apoio e Diagnóstico –CAD</t>
  </si>
  <si>
    <t>37296/2016</t>
  </si>
  <si>
    <t>01 (R P) e 14 (SUS) e 15 (Convênio Estadual).</t>
  </si>
  <si>
    <t>DISACRE COMERCIO E REPRESENTAÇÃO IMPORTAÇÕES E EXPORTAÇÃO LTDA</t>
  </si>
  <si>
    <t>05.888.612/0001-86</t>
  </si>
  <si>
    <t>DOE:11.799DOU: Nº 87</t>
  </si>
  <si>
    <t>DOE:11.947DOU: Nº 232</t>
  </si>
  <si>
    <t xml:space="preserve">DOE:11.988 </t>
  </si>
  <si>
    <t xml:space="preserve">ALPHA PRESTAÇÃO DE SERVIÇOS LTDA, </t>
  </si>
  <si>
    <t xml:space="preserve">14.287.122/0001-15 </t>
  </si>
  <si>
    <t>Contratação de Pessoa Jurídica para Prestação de Serviços de Apoio Administrativo (Suporte Técnico de Informática)</t>
  </si>
  <si>
    <t>Registro de Preços</t>
  </si>
  <si>
    <t>Especificações de Termo Aditivo ou Termo de Apostilamento</t>
  </si>
  <si>
    <t>Apostilamento</t>
  </si>
  <si>
    <t>Vigência da Ata</t>
  </si>
  <si>
    <t>Concluída no exercício de referência</t>
  </si>
  <si>
    <t>Em andamento no exercício de referência</t>
  </si>
  <si>
    <t>Nº da Ata de Registro de Preços</t>
  </si>
  <si>
    <t>Art. 57 - LF nº 8.666/93</t>
  </si>
  <si>
    <t>Art. 65, caput e §§ 1º a 6º - LF nº 8.666/93</t>
  </si>
  <si>
    <t>Art. 65, § 8º - LF nº 8.666/93</t>
  </si>
  <si>
    <t>Valor da despesa com a contratação</t>
  </si>
  <si>
    <t xml:space="preserve">Nº do Termo </t>
  </si>
  <si>
    <t>Data da concessão do reajuste</t>
  </si>
  <si>
    <t>% de reajuste</t>
  </si>
  <si>
    <t>Valor do reajuste</t>
  </si>
  <si>
    <t>Executado até o exercício anterior</t>
  </si>
  <si>
    <t xml:space="preserve"> Executado no Exercício de referência</t>
  </si>
  <si>
    <t xml:space="preserve">Total Acumulado </t>
  </si>
  <si>
    <t>(al) = (n) - (ah) + (ag) + (ak)</t>
  </si>
  <si>
    <t>(ao) = (am) + (an)</t>
  </si>
  <si>
    <t>(bf)</t>
  </si>
  <si>
    <t>(bg)</t>
  </si>
  <si>
    <t>(bh)</t>
  </si>
  <si>
    <t>(bi)</t>
  </si>
  <si>
    <t>(bj)</t>
  </si>
  <si>
    <t>(bk)</t>
  </si>
  <si>
    <t>(bl)</t>
  </si>
  <si>
    <t>(bm)</t>
  </si>
  <si>
    <t>(bn)</t>
  </si>
  <si>
    <t>007/2013</t>
  </si>
  <si>
    <t>013/2013</t>
  </si>
  <si>
    <t>55/2013</t>
  </si>
  <si>
    <t>DOU: 120</t>
  </si>
  <si>
    <t>002/2013</t>
  </si>
  <si>
    <t>038/2013</t>
  </si>
  <si>
    <t>059/2013</t>
  </si>
  <si>
    <t>013/2014</t>
  </si>
  <si>
    <t>028/2014</t>
  </si>
  <si>
    <t>031/2014</t>
  </si>
  <si>
    <t>031/2015</t>
  </si>
  <si>
    <t>057/2015</t>
  </si>
  <si>
    <t>DOE:11.789</t>
  </si>
  <si>
    <t>023/2012</t>
  </si>
  <si>
    <t>040/2012</t>
  </si>
  <si>
    <t>006/2013</t>
  </si>
  <si>
    <t>050 /2016</t>
  </si>
  <si>
    <t>N</t>
  </si>
  <si>
    <t>S</t>
  </si>
  <si>
    <t>130/2015</t>
  </si>
  <si>
    <t>DOE:11.991</t>
  </si>
  <si>
    <t>DOE:11.990</t>
  </si>
  <si>
    <t>DOE:11.989</t>
  </si>
  <si>
    <t>045/2017</t>
  </si>
  <si>
    <t>046/2017</t>
  </si>
  <si>
    <t>047/2017</t>
  </si>
  <si>
    <t>048/2017</t>
  </si>
  <si>
    <t xml:space="preserve">Alteração da CLÁUSULA QUARTA - PRAZO DE VIGÊNCIA DO CONTRATO, prorrogando o contrato original por mais 8 (oito) meses, com amparo legal previsto no Art. 57 §1º inciso III da Lei nº. 8.666/93.
</t>
  </si>
  <si>
    <t>DOE:11.992</t>
  </si>
  <si>
    <t>40.567/2015</t>
  </si>
  <si>
    <t>Aquisição de Material de Consumo e Permanente (Cirúrgico Hospitalar)</t>
  </si>
  <si>
    <t>01 (RP); 14 (SUS); 07 (Convênio Estadual)</t>
  </si>
  <si>
    <t>MASTER COMÉRCIO &amp; SERVIÇOS - EIRELLI</t>
  </si>
  <si>
    <t>09.344.708/0001-34</t>
  </si>
  <si>
    <t>CENTRO OESTE COMÉRCIO E SERVIÇO EIRELI</t>
  </si>
  <si>
    <t>OLSEN INDÚSTRIA E COMÉRCIO S.A</t>
  </si>
  <si>
    <t>83.802.215/0001-53</t>
  </si>
  <si>
    <t>049/2017</t>
  </si>
  <si>
    <t>050/2017</t>
  </si>
  <si>
    <t>051/2017</t>
  </si>
  <si>
    <t>052/2017</t>
  </si>
  <si>
    <t>MARTE EQUIPAMENTOS PARA LABORATÓRIO LTDA</t>
  </si>
  <si>
    <t>68.886.605/0001-65</t>
  </si>
  <si>
    <t>053/2017</t>
  </si>
  <si>
    <t>2130/2017</t>
  </si>
  <si>
    <t xml:space="preserve">TERMO DE ADESÃO Nº 001/2017
PREGÃO SRP Nº 095/2016
</t>
  </si>
  <si>
    <t>FARHAT &amp; FARHAT LTDA</t>
  </si>
  <si>
    <t>06.057.934/0001-46</t>
  </si>
  <si>
    <t>Contratação de Empresa para Fornecimento de Combustível - Gás GLP</t>
  </si>
  <si>
    <t>DOE:11.694DOU: Nº 231</t>
  </si>
  <si>
    <t>054/2017</t>
  </si>
  <si>
    <t>29145/2016</t>
  </si>
  <si>
    <t>Aquisição de Material Permanente de Informática, para atender as necessidades da Secretaria Municipal de Saúde</t>
  </si>
  <si>
    <t>1 (RP) e 14 (SUS); Proposta de Emenda n.º 1140-17, 1140-18, 1140-19, 1140-20, 1140-31.</t>
  </si>
  <si>
    <t>44.90.52.00 (Equipamentos e Material Permanente)</t>
  </si>
  <si>
    <t>055/2017</t>
  </si>
  <si>
    <t>SERMATEC COM. E SERVIÇOS IMP. E EXP. LTDA</t>
  </si>
  <si>
    <t>1 (RP) e 14 (SUS); Proposta de Emenda n.º 1140-31.</t>
  </si>
  <si>
    <t>056/2017</t>
  </si>
  <si>
    <t>057/2017</t>
  </si>
  <si>
    <t>7154/2016</t>
  </si>
  <si>
    <t xml:space="preserve">40.802.993/0001-30 </t>
  </si>
  <si>
    <t>058/2017</t>
  </si>
  <si>
    <t xml:space="preserve">M &amp; Z INDÚSTRIA E COMÉRCIO LTDA, </t>
  </si>
  <si>
    <t>059/2017</t>
  </si>
  <si>
    <t>CIENTÍFICA MÉDICA HOSPITALAR LTDA</t>
  </si>
  <si>
    <t>07.847.837/0001-10</t>
  </si>
  <si>
    <t>060/2017</t>
  </si>
  <si>
    <t>061/2017</t>
  </si>
  <si>
    <t>062/2017</t>
  </si>
  <si>
    <t>063/2017</t>
  </si>
  <si>
    <t>064/2017</t>
  </si>
  <si>
    <t>065/2017</t>
  </si>
  <si>
    <t>066/2017</t>
  </si>
  <si>
    <t>067/2017</t>
  </si>
  <si>
    <t>22.074.643/0001-12</t>
  </si>
  <si>
    <t>FILGUEIRA E SANTANA LTDA - EPP</t>
  </si>
  <si>
    <t>12322/2016</t>
  </si>
  <si>
    <t>Aquisição de Testes de Hemograma com cessão de equipamento</t>
  </si>
  <si>
    <t>3.3.90.30.00 (Material de Consumo)</t>
  </si>
  <si>
    <t>069/2017</t>
  </si>
  <si>
    <t>44478/2015</t>
  </si>
  <si>
    <t>Aquisição de Material Permanente e Equipamentos (Odontológicos)</t>
  </si>
  <si>
    <t>44.90.52.00</t>
  </si>
  <si>
    <t>070/2017</t>
  </si>
  <si>
    <t>071/2017</t>
  </si>
  <si>
    <t>072/2017</t>
  </si>
  <si>
    <t>28.757/2016</t>
  </si>
  <si>
    <t>Aquisição de Produto de Uso Veterinário</t>
  </si>
  <si>
    <t>32848/2016</t>
  </si>
  <si>
    <t>073/2017</t>
  </si>
  <si>
    <t>14 (SUS) - Conta Financeira: 2112602274</t>
  </si>
  <si>
    <t>074/2017</t>
  </si>
  <si>
    <t>075/2017</t>
  </si>
  <si>
    <t>Aquisição de Gêneros Alimentícios e Material de Consumo (Limpeza e Uso Geral)</t>
  </si>
  <si>
    <t>34848/2016</t>
  </si>
  <si>
    <t>14 (SUS), Conta Financeira: 2112602246</t>
  </si>
  <si>
    <t>076/2017</t>
  </si>
  <si>
    <t>AC DISTRIBUIDORA IMPORTAÇÃO E EXPORTAÇÃO LTDA</t>
  </si>
  <si>
    <t>05.508.816/0001-44</t>
  </si>
  <si>
    <t>077/2017</t>
  </si>
  <si>
    <t>14 (SUS), Conta Financeira: 2112602246.</t>
  </si>
  <si>
    <t>078/2017</t>
  </si>
  <si>
    <t>DENTAL BÉLIA LTDA - EPP</t>
  </si>
  <si>
    <t>34227/2016</t>
  </si>
  <si>
    <t>DEL CORSO INDÚSTRIA COMÉRCIO E REPRESENTAÇÃO LTDA</t>
  </si>
  <si>
    <t>Aquisição de Produto de uso Veterinário, para manter as ações do Programa de Controle da Raiva Animal, Programa de Manejo e Controle de População Canina e Felina do Departamento de Controle de Zoonoses no Município de Rio Branco-AC</t>
  </si>
  <si>
    <t>079/2017</t>
  </si>
  <si>
    <t>080/2017</t>
  </si>
  <si>
    <t>20.637.873/0001-17</t>
  </si>
  <si>
    <t>31.259/2016</t>
  </si>
  <si>
    <t>MASTER COMÉRCIO SERVIÇOS - EIRELI</t>
  </si>
  <si>
    <t>Manutenção e Reposição de Peças em Equipamentos Médico-Hospitalares</t>
  </si>
  <si>
    <t>081/2017</t>
  </si>
  <si>
    <t>39991/2016</t>
  </si>
  <si>
    <t>082/2017</t>
  </si>
  <si>
    <t>ROBERTH &amp; SOUSA LTDA</t>
  </si>
  <si>
    <t>Aquisição de Material de Consumo (Expediente, tecidos e outros), para o Conselho Distrital de Saúde Indígena</t>
  </si>
  <si>
    <t>14 (SUS), Conta Financeira: 2112602130</t>
  </si>
  <si>
    <t>083/2017</t>
  </si>
  <si>
    <t>ALBERTO FELÍCIO ABRAHÃO LTDA</t>
  </si>
  <si>
    <t>84.304.112/0001-26</t>
  </si>
  <si>
    <t>084/2017</t>
  </si>
  <si>
    <t>J. S. CORDEIRO - EPP</t>
  </si>
  <si>
    <t>085/2017</t>
  </si>
  <si>
    <t>086/2017</t>
  </si>
  <si>
    <t xml:space="preserve">RICHARD S. MIRANDA, </t>
  </si>
  <si>
    <t>07.650.136/0001-96</t>
  </si>
  <si>
    <t>A. C. S. MARQUES - ME</t>
  </si>
  <si>
    <t>087/2017</t>
  </si>
  <si>
    <t>15.245.891/0001-13</t>
  </si>
  <si>
    <t>088/2017</t>
  </si>
  <si>
    <t>MARCUS V. DA S. AMORIM</t>
  </si>
  <si>
    <t>1027/2017</t>
  </si>
  <si>
    <t>RICHARD S. MIRANDA</t>
  </si>
  <si>
    <t>089/2017</t>
  </si>
  <si>
    <t>Aquisição de Material de Expediente (Escritório), para atender a demanda da SEMSA</t>
  </si>
  <si>
    <t>090/2017</t>
  </si>
  <si>
    <t>091/2017</t>
  </si>
  <si>
    <t>DOE:11.895DOU: Nº 182</t>
  </si>
  <si>
    <t>DOE:11.996</t>
  </si>
  <si>
    <t>DOE:11.766DOU: Nº 54</t>
  </si>
  <si>
    <t>DOE:11.803DOU: Nº 90</t>
  </si>
  <si>
    <t>DOE:11.745DOU: Nº 33</t>
  </si>
  <si>
    <t>DOE:11.997</t>
  </si>
  <si>
    <t>DOE:12.001</t>
  </si>
  <si>
    <t>DOE:12.003</t>
  </si>
  <si>
    <t>DOE:11.890</t>
  </si>
  <si>
    <t>DOE:11.916DOU: Nº 202</t>
  </si>
  <si>
    <t>DOE:12.000</t>
  </si>
  <si>
    <t>DOE:11.968DOU: Nº 3</t>
  </si>
  <si>
    <t>DOE:11.924</t>
  </si>
  <si>
    <t>DOE:11.913DOU: Nº 199</t>
  </si>
  <si>
    <t>DOE:11.998</t>
  </si>
  <si>
    <t>DOE:11.970DOU: Nº 5</t>
  </si>
  <si>
    <t>DOE:11.980DOU: Nº 18</t>
  </si>
  <si>
    <t>DOE:11.954</t>
  </si>
  <si>
    <t>SECRETARIA MUNICIPAL DE DESENVOLVIMENTO ECONÔMICO E
FINANÇAS – SEFIN</t>
  </si>
  <si>
    <t>DOE:12.004</t>
  </si>
  <si>
    <t xml:space="preserve">DOE:11.998 </t>
  </si>
  <si>
    <t>A presente rescisão encontra-se motivada no OFÍCIO Nº 14/GAB/SEOP/PMRB/2017 e Parecer Jurídico nº. 001/2017.
Fundamentação Legal: Artigo 79, inciso I, da Lei nº. 8.666/93.</t>
  </si>
  <si>
    <t>DOE:12.002</t>
  </si>
  <si>
    <t>C. M. DA SILVA</t>
  </si>
  <si>
    <t>DOE:12.005</t>
  </si>
  <si>
    <t>Alteração da CLÁUSULA QUINTA – DO VALOR DO CONTRATO – EMPENHO E DOTAÇÃO DO VALOR, acrescendo serviços no valor de R$ 4.025,52 (quatro mil vinte e cinco reais e cinquenta
e dois centavos), e, suprimindo serviços no valor de R$ 808,43 (oitocentos e oito reais e quarenta e três centavos), perfazendo a diferença de R$ 3.217,09 (três mil duzentos e dezessete reais e nove centavos) a ser acrescida do valor contratado, conforme Planilha de
Adequação apresentada através do Ofício nº 217/GAB/SEOP/2017.
Fundamentação Legal: Art. 65 §1º da Lei nº 8.666/93.</t>
  </si>
  <si>
    <t>Alteração da CLÁUSULA SEXTA – DA VIGÊNCIA DO CONTRATO, prorrogando a vigência do contrato original por mais 6 (seis) meses, e prorrogando o prazo de execução dos serviços por mais 5 (cinco) meses, conforme justificativa apresentada pela Secretaria Municipal
de Obras Públicas, com amparo legal previsto no Art. 57, §1º, inciso IV da Lei nº 8.666/93.</t>
  </si>
  <si>
    <t xml:space="preserve"> 03/06/2017</t>
  </si>
  <si>
    <t>Alteração da CLÁUSULA QUINTA – DO VALOR DO CONTRATO – EMPENHO E DOTAÇÃO, acrescendo a importância de R$ 53.655,75 (cinquenta e três mil seiscentos e cinquenta e cinco reais e setenta e cinco centavos), e, suprimindo a importância de R$ 49.586,43 (quarenta e nove mil quinhentos e oitenta e seis reais e quarenta e três centavos), perfazendo a diferença de R$ 4.069,32 (quatro mil sessenta e nove reais e trinta e dois centavos) a ser acrescida ao valor contratado, conforme adequação apresentada através do Ofício nº 2.234/GAB/SEOP, com amparo legal previsto no Art. 65 §1º da Lei
nº 8.666/1993.</t>
  </si>
  <si>
    <t>ALUGUEL DE IMÓVEL - Instalação da Unidade de Saúde da Família - Cadeia Velha da Secretaria Municipal de Saúde</t>
  </si>
  <si>
    <t>ALUGUEL DE IMÓVEL - Instalação do Almoxarifado, Administração, Química e Tratamento de Resíduos do Departamento de Vigilância Epidemiológica e Ambiental</t>
  </si>
  <si>
    <t>ALUGUEL DE IMÓVEL - Instalação de Duas Salas Localizada em Anexo ao Departamento de Gestão de Pessoas</t>
  </si>
  <si>
    <t>ALUGUEL DE IMÓVEL - Instalação da Unidade de Saúde da Família no Bairro Rui Lino da Secretaria Municipal de Saúde</t>
  </si>
  <si>
    <t>ALUGUEL DE IMÓVEL - Locação de Imóvel para Instalação do Conselho Municipal de Saúde</t>
  </si>
  <si>
    <t>ALUGUEL DE IMÓVEL -  PARA INSTALAÇÃO DA DIVISÃO DE TRANSPORTES</t>
  </si>
  <si>
    <t>ALUGUEL DE IMÓVEL -  PARA INSTALAÇÃO DA FARMÁCIA POPULAR DO BRASIL</t>
  </si>
  <si>
    <t>ALUGUEL DE IMÓVEL -  PARA INSTALAÇÃO DO DEPARTAMENTO DE GESTÃO DE PESSOAS</t>
  </si>
  <si>
    <t>ALUGUEL DE IMÓVEL -  PARA INSTALAÇÃO DO ALMOXARIFADO</t>
  </si>
  <si>
    <t>ALUGUEL DE IMÓVEL -  PARA INSTALAÇÃO DA ASSISTÊNCIA FARMACÊUTICA</t>
  </si>
  <si>
    <t>ALUGUEL DE IMÓVEL -  PARA INSTALAÇÃO DO ALMOXARIFADO V</t>
  </si>
  <si>
    <t>ALUGUEL DE IMÓVEL -  PARA INSTALAÇÃO DA REDE DE FRIOS</t>
  </si>
  <si>
    <t>ALUGUEL DE IMÓVEL -  PARA INSTALAÇÃO DA VIGILÂNCIA EPIDEMIOLÓGICA E AMBIENTAL</t>
  </si>
  <si>
    <t>ALUGUEL DE IMÓVEL -  PARA INSTALAÇÃO DO ALMOXARIFADO DA ASSISTÊNCIA FARMACÊUTICA</t>
  </si>
  <si>
    <t xml:space="preserve">ALUGUEL DE IMÓVEL -  PARA INSTALAÇÃO DO ALMOXARIFADO CENTRAL </t>
  </si>
  <si>
    <t>ALUGUEL DE IMÓVEL -  PARA INSTALAÇÃO DO COMPLEXO ADMINSITRATIVO DA SEMSA</t>
  </si>
  <si>
    <t>ALUGUEL DE IMÓVEL -  PARA INSTALAÇÃO DA USF BOA UNIÃO</t>
  </si>
  <si>
    <t>ALUGUEL DE IMÓVEL - Instalação da USF Baixada do Habitasa da Secretaria Municipal de Saúde</t>
  </si>
  <si>
    <t>ALUGUEL DE IMÓVEL - Instalação da USF Quinze I da Secretaria Municipal de Saúde</t>
  </si>
  <si>
    <t>092/2017</t>
  </si>
  <si>
    <t>1616/2017</t>
  </si>
  <si>
    <t>ROBERTH &amp; SOUSA LTDA,</t>
  </si>
  <si>
    <t>Aquisição de Gêneros Alimentícios e Material de Consumo (Higiene Pessoal, Limpeza e Uso Geral)</t>
  </si>
  <si>
    <t>01 (R P) e14 (SUS)</t>
  </si>
  <si>
    <t>F. F. DE MEDEIROS - ME</t>
  </si>
  <si>
    <t>093/2017</t>
  </si>
  <si>
    <t>09.638.709/0001-91</t>
  </si>
  <si>
    <t>094/2017</t>
  </si>
  <si>
    <t>A. M. SCHAFER - ME</t>
  </si>
  <si>
    <t>17.332.592/0001-41</t>
  </si>
  <si>
    <t>095/2017</t>
  </si>
  <si>
    <t>096/2017</t>
  </si>
  <si>
    <t>097/2017</t>
  </si>
  <si>
    <t>098/2017</t>
  </si>
  <si>
    <t>F. P. MENEGASSI - ME</t>
  </si>
  <si>
    <t>20.384.086/0001-00</t>
  </si>
  <si>
    <t>DOE:12.009</t>
  </si>
  <si>
    <t>DOE:12.008</t>
  </si>
  <si>
    <t xml:space="preserve">Alteração da CLÁUSULA SEXTA - PRAZO DE VIGÊNCIA E EXECUÇÃO, prorrogando o contrato original por mais 12 (doze) meses, com amparo legal previsto no inciso II do art. 57 da Lei nº 8.666/93.
</t>
  </si>
  <si>
    <t xml:space="preserve"> 09/02/2017  </t>
  </si>
  <si>
    <t xml:space="preserve">Alteração da CLÁUSULA QUARTA - PRAZO DE VIGÊNCIA DO CONTRATO, prorrogando o contrato original por mais 12 (doze) meses.
Fundamentação Legal: inciso II do Art. 57 da Lei nº. 8.666/93.
</t>
  </si>
  <si>
    <t xml:space="preserve"> 04/02/2017 </t>
  </si>
  <si>
    <t xml:space="preserve"> 04/02/2018</t>
  </si>
  <si>
    <t>099/2017</t>
  </si>
  <si>
    <t>100/2017</t>
  </si>
  <si>
    <t>101/2017</t>
  </si>
  <si>
    <t>11.001.135/0001-98</t>
  </si>
  <si>
    <t>102/2017</t>
  </si>
  <si>
    <t>MBASS COMÉRCIO E SERVIÇOS EIRELI</t>
  </si>
  <si>
    <t>24.101.577/0001-58</t>
  </si>
  <si>
    <t>103/2017</t>
  </si>
  <si>
    <t>MM PERMANENTES E BENS DE CONSUMO LTDA</t>
  </si>
  <si>
    <t>07.924.474/0001-79</t>
  </si>
  <si>
    <t>104/2017</t>
  </si>
  <si>
    <t>3888/2017</t>
  </si>
  <si>
    <t xml:space="preserve">EDIFICARE ENGENHARIA LTDA </t>
  </si>
  <si>
    <t>11.656.916/0001-43</t>
  </si>
  <si>
    <t>Aquisição de Material de Consumo Diversos - Itinerante</t>
  </si>
  <si>
    <t>DOE:11.990DOU: Nº 27</t>
  </si>
  <si>
    <t>O Presente Termo Aditivo tem por objeto a alteração da CLÁUSULA QUARTA - PRAZO DE VIGÊNCIA DO CONTRATO, prorrogando o contrato original por mais 12 (doze) meses, com amparo legal previsto no inciso II do art. 57 da Lei nº 8.666/93, passando a mesma
a figurar com a seguinte redação: CLÁUSULA QUARTA - PRAZO DE VIGÊNCIA DO CONTRATO; O presente Termo Aditivo terá vigência de 12 (doze) meses.</t>
  </si>
  <si>
    <t>105/2017</t>
  </si>
  <si>
    <t>1025/2017</t>
  </si>
  <si>
    <t>Contratação de empresa especializada no fornecimento de material gráfico para divulgação (Produção e Veiculação de Outdoor, Banners, Faixas e Adesivos), para atender as demandas da Secretaria Municipal de Saúde, no município de Rio Branco – AC</t>
  </si>
  <si>
    <t>106/2017</t>
  </si>
  <si>
    <t>DOE:11.986DOU: Nº 23</t>
  </si>
  <si>
    <t>DOE:11.997DOU: Nº 34</t>
  </si>
  <si>
    <t>DOE:12.012</t>
  </si>
  <si>
    <t xml:space="preserve">Alteração das CLÁUSULAS SEGUNDA, TERCEIRA E DÉCIMA SEXTA, prorrogando a vigência do contrato por mais 12 (doze) meses, tendo como valor mensal a importância de R$ 1.350,05 (um mil trezentos e cinquenta reais e cinco centavos), totalizando o valor anual de
R$ 16.200,60 (dezesseis mil duzentos reais e sessenta centavos).
</t>
  </si>
  <si>
    <t>1029/2017</t>
  </si>
  <si>
    <t>107/2017</t>
  </si>
  <si>
    <t>Contratação de Serviços de Reprografia (cópias simples, cópias coloridas, carimbos e refil para carimbos e outros)</t>
  </si>
  <si>
    <t>108/2017</t>
  </si>
  <si>
    <t xml:space="preserve">TERMO DE ADESÃO Nº 002/2017
PREGÃO SRP Nº 018/2016 - CPL
</t>
  </si>
  <si>
    <t>Contratação de Pessoa Jurídica para Prestação de Serviços de Apoio Administrativo (Copeiragem, agente de porta diurno e auxiliar de serviços diversos)</t>
  </si>
  <si>
    <t>109/2017</t>
  </si>
  <si>
    <t>110/2017</t>
  </si>
  <si>
    <t>39161/2017</t>
  </si>
  <si>
    <t>SIEMENS HEALTHCARE DIAGNÓSTICOS S.A</t>
  </si>
  <si>
    <t>01.449.930/0006-02</t>
  </si>
  <si>
    <t>Aquisição de Equipamento Permanente – Aparelhos de Ultrassom Fixo e Portátil, para atender as necessidades do Centro de Apoio e Diagnostico da Secretaria Municipal de Saúde no Município de Rio Branco – AC</t>
  </si>
  <si>
    <t>4.4.90.52.00(Equipamentos e Material Permanente)</t>
  </si>
  <si>
    <t>DENTAL ALTA MOGIANA COMÉRCIO DE PRODUTOS ODONTOLÓGICOS LTDA</t>
  </si>
  <si>
    <t>05.375.249/0001-03</t>
  </si>
  <si>
    <t>111/2017</t>
  </si>
  <si>
    <t>DOE:11.972DOU: Nº 07</t>
  </si>
  <si>
    <t>M &amp; R DISTRIBUIDORA LTDA</t>
  </si>
  <si>
    <t xml:space="preserve">Alteração da CLÁUSULA QUARTA - PRAZO DE VIGÊNCIA DO CONTRATO, prorrogando o contrato original por mais 12 (doze) meses.
Fundamentação Legal: Inciso II do Art. 57 da Lei nº. 8.666/93
  </t>
  </si>
  <si>
    <t xml:space="preserve">064/2016 </t>
  </si>
  <si>
    <t>65/2016</t>
  </si>
  <si>
    <t xml:space="preserve">006/2017 </t>
  </si>
  <si>
    <t>24546/2014</t>
  </si>
  <si>
    <t>020/2014</t>
  </si>
  <si>
    <t>CONTRATAÇÃO DE EMPRESA DE ENGENHARIA PARA A EXECUÇÃO DE SERVIÇOS DE CONSTRUÇÃO DE UNIDADE BÁSICA DE SAÚDE PORTE IV NA ESTRADA DA SOBRAL, Nº 1.1757, RIO BRANCO – ACRE</t>
  </si>
  <si>
    <t>158/2014</t>
  </si>
  <si>
    <t>BELA VISTA CONSTRUÇÕES COMÉRCIO E REPRESENTAÇÕES LTDA</t>
  </si>
  <si>
    <t>DOE:11366</t>
  </si>
  <si>
    <t>01 (RP) e 14 (SUS) – Proposta nº 84317.205000/1130-10)</t>
  </si>
  <si>
    <t>Alteração da CLÁUSULA SEXTA – DA VIGÊNCIA DO CONTRATO, prorrogando o contrato original por mais 240 (duzentos e quarenta) dias, e prorrogando o prazo de execução dos serviços por mais 210 (duzentos e dez) dias, conforme justificativa solicitada através do Ofício nº 017/DECON/SEOP.</t>
  </si>
  <si>
    <t>Contratação de Empresa de Engenharia para a Execução de Serviços de Construção de Unidade Básica de Saúde, Porte IV, na Estrada da Sobral, nº 1.1757, Rio Branco – Acre.
Objeto do Aditamento: Alteração da CLÁUSULA SEXTA – DA VIGÊNCIA DO CONTRATO, prorrogando o contrato original por mais 180 (cento e oitenta) dias, e prorrogando o prazo de execução dos serviços por mais 180 (cento e oitenta) dias, conforme justificativa solicitada pela Secretaria Municipal de Obras Públicas.</t>
  </si>
  <si>
    <t>Alteração da CLÁUSULA SEXTA – DA VIGÊNCIA DO CONTRATO, prorrogando o contrato original por mais 4 (quatro) meses, e prorrogando o prazo de execução dos serviços por mais 4 (quatro) meses, conforme justificativa solicitada pela Secretaria Municipal
de Obras Públicas.
Fundamentação Legal: Art. 57, §1º, inciso II da Lei nº 8.666/1993.</t>
  </si>
  <si>
    <t>Alteração da CLÁUSULA QUINTA – DO VALOR DO CONTRATO – EMPENHO E DOTAÇÃO DO VALOR, para realização do reajuste contratual com base no Índice Nacional da Construção Civil – INCC, que perfaz o valor de R$ 68.471,94 (sessenta e oito mil
quatrocentos e setenta e um reais e noventa e quatro centavos), devendo o mesmo ser acrescido ao valor do Contrato, conforme cálculos apresentados pela Secretaria Municipal de Obras Públicas, Parecer da Procuradoria Geral do Município e art. 65, inciso II, alínea “d”, da Lei nº. 8.666/93.</t>
  </si>
  <si>
    <t>Alteração da CLÁUSULA QUINTA – DO VALOR DO CONTRATO – EMPENHO E DOTAÇÃO DO VALOR, acrescendo serviços no valor de R$ 81.409,86 (oitenta e um mil quatrocentos e nove reais e oitenta e seis centavos), e, suprimindo serviços no valor de R$ 25.714,17 (vinte e cinco mil setecentos e quatorze reais e dezessete centavos), perfazendo a diferença de R$ 55.727,83 (cinquenta e cinco mil setecentos e vinte e sete reais e oitenta e três centavos) a ser acrescido do valor originalmente contratado, conforme adequação apresentada através do Ofício nº 1.729/GAB/SEOP, com amparo legal previsto no Art. 65, §1º da Lei nº 8.666/1993.</t>
  </si>
  <si>
    <t xml:space="preserve">Alteração da CLÁUSULA SEXTA – DA VIGÊNCIA DO CONTRATO, prorrogando o contrato original por mais 4 (quatro) meses, com amparo legal previsto no Art. 57, §1º, inciso VI da Lei nº
8.666/1993.
</t>
  </si>
  <si>
    <t>PRAZO</t>
  </si>
  <si>
    <t>Alteração da CLÁUSULA SEXTA – DA VIGÊNCIA DO CONTRATO, prorrogando o contrato original por mais 4 (quatro) meses,
com amparo legal previsto no Art. 57, §1º, inciso VI da Lei nº 8.666/1993.</t>
  </si>
  <si>
    <t>Alteração da CLÁUSULA QUARTA - PRAZO DE VIGÊNCIA DO CONTRATO, prorrogando o contrato original por mais 12 (doze) meses, com amparo legal previsto no inciso II do Art. 57 da Lei nº. 8.666/93.</t>
  </si>
  <si>
    <t xml:space="preserve">Alteração da CLÁUSULA DÉCIMA SEGUNDA - DA VIGÊNCIA, prorrogando o contrato original por mais 12 (doze) meses, com amparo legal previsto no Art. 57, inciso II da Lei Federal nº. 8.666/93.
  </t>
  </si>
  <si>
    <t>113/2017</t>
  </si>
  <si>
    <t>3890/2017</t>
  </si>
  <si>
    <t>C. CALIL E CALIL LTDA - ME</t>
  </si>
  <si>
    <t>07.810.876/0001-42</t>
  </si>
  <si>
    <t>Aquisição de Refeições Preparadas (Marmitex), para atender as demandas da Secretaria Municipal de Saúde, no município de Rio Branco - AC</t>
  </si>
  <si>
    <t>112/2017</t>
  </si>
  <si>
    <t>Contratação de Empresa para Locação de Veículo com condutor, veículo tipo pick-up (caminhonete)</t>
  </si>
  <si>
    <t>532/2017</t>
  </si>
  <si>
    <t>84.312.602/0001-74</t>
  </si>
  <si>
    <t>Contratação de uma Empresa Especializada na Prestação de Serviços de Manutenção e Reposição de Peças em Aparelhos de Refrigeração</t>
  </si>
  <si>
    <t>33.90.39.00 e 33.90.30.00</t>
  </si>
  <si>
    <t>3217/2017</t>
  </si>
  <si>
    <t>115/2017</t>
  </si>
  <si>
    <t>114/2017</t>
  </si>
  <si>
    <t>116/2017</t>
  </si>
  <si>
    <t>A. C. CASTRO - ME</t>
  </si>
  <si>
    <t>02.828.261/0001-20</t>
  </si>
  <si>
    <t>4.4.90.52.00 (Equipamentos e Material Permanente)</t>
  </si>
  <si>
    <t>DOU Nº 30 DOE :11.742</t>
  </si>
  <si>
    <t>DOE:11.769DOU: Nº 14</t>
  </si>
  <si>
    <t>Alteração da CLÁUSULA TERCEIRA, prorrogando o contrato original por mais 12 (doze) meses.
Fundamentação Legal: Art. 57, inciso II da Lei Federal nº. 8.666/93.</t>
  </si>
  <si>
    <t>DOE:11.993</t>
  </si>
  <si>
    <t>DOE: 11.741</t>
  </si>
  <si>
    <t>Alteração da CLÁUSULA TERCEIRA - DO PREÇO E CONDIÇÕES DE PAGAMENTO, acrescendo 25% (vinte e cinco por cento) ao item 68, 98 e 126 contratado, que perfaz a quantia de R$
2.161,25 (dois mil cento e sessenta e um reais e vinte e cinco centavos), devendo o referido valor ser somado ao valor inicialmente contratado,
com amparo legal previsto no § 1º do Art. 65 da Lei nº 8.666/93.</t>
  </si>
  <si>
    <t>8386/2017</t>
  </si>
  <si>
    <t>117/2017</t>
  </si>
  <si>
    <t>DISPENSA DE LICITAÇÃO</t>
  </si>
  <si>
    <t>Aquisição deMedicamentos</t>
  </si>
  <si>
    <t>118/2017</t>
  </si>
  <si>
    <t>COMERCIAL CIRÚRGICA RIOCLARENSE LTDA</t>
  </si>
  <si>
    <t>67.729.178/0004-91</t>
  </si>
  <si>
    <t>119/2017</t>
  </si>
  <si>
    <t>120/2017</t>
  </si>
  <si>
    <t>Inciso V do art. 24 da Lei nº 8.666/93 e suas alterações</t>
  </si>
  <si>
    <t>Alteração da CLÁUSULA TERCEIRA - DO PREÇO E CONDIÇÕES DE PAGAMENTO, acrescendo 25% (vinte e cinco por cento) ao item 12 contratado, que perfaz a quantia de R$ 1.125,00 (um mil cento e vinte e cinco reais), devendo o referido valor ser somado ao valor inicialmente contratado, com amparo legal previsto no § 1º do Art. 65 da Lei nº 8.666/93.</t>
  </si>
  <si>
    <t>Alteração da CLÁUSULA TERCEIRA - DO PREÇO E CONDIÇÕES DE PAGAMENTO, acrescendo 25% (vinte e cinco por cento) ao item 62 contratado, que perfaz a quantia de R$ 2.630,00 (dois mil seiscentos e trinta reais), devendo o referido valor ser somado ao valor inicialmente contratado, com amparo legal previsto no § 1º do Art. 65 da Lei nº 8.666/93.</t>
  </si>
  <si>
    <t>Alteração da CLÁUSULA TERCEIRA - DO PREÇO E CONDIÇÕES DE PAGAMENTO, acrescendo 25% (vinte e cinco por cento) ao item 168 contratado, que perfaz a quantia de R$ 7.507,50 (sete mil quinhentos e sete reais e cinquenta centavos), devendo o referido valor ser somado ao valor inicialmente contratado, com amparo legal previsto no § 1º do Art. 65 da Lei nº 8.666/93.</t>
  </si>
  <si>
    <t>Alteração da CLÁUSULA TERCEIRA - DO PREÇO E CONDIÇÕES DE PAGAMENTO, acrescendo 25% (vinte e cinco por cento) ao item 61 contratado, que perfaz a quantia de R$ 5.160,00 (cinco mil cento e sessenta reais), devendo o referido valor ser somado ao valor inicialmente contratado, com amparo legal previsto no § 1º do Art. 65 da Lei nº 8.666/93.</t>
  </si>
  <si>
    <t xml:space="preserve">  10/04/2018</t>
  </si>
  <si>
    <t xml:space="preserve">  16/04/2018</t>
  </si>
  <si>
    <t xml:space="preserve"> 29/04/2018</t>
  </si>
  <si>
    <t>Alteração da CLÁUSULA TERCEIRA - DO PREÇO E CONDIÇÕES DE PAGAMENTO, acrescendo 25% (vinte e cinco por cento) ao item 50 contratado, que perfaz a quantia de R$ 2.125,00 (dois mil cento e vinte e cinco reais), devendo o referido valor ser somado ao valor inicialmente contratado, com amparo legal previsto no § 1º do Art. 65 da Lei nº 8.666/93.</t>
  </si>
  <si>
    <t>Alteração da CLÁUSULA SÉTIMA – DO VALOR E DOTAÇÃO ORÇAMENTÁRIA, acrescendo 25% (vinte e cinco por cento) ao item 1 contratado, que perfaz a quantia de R$ 17.500,00 (dezessete mil e quinhentos reais), devendo o referido valor ser somado ao valor inicialmente contratado, com amparo legal previsto no § 1º do Art. 65 da Lei nº 8.666/93.</t>
  </si>
  <si>
    <t>Alteração da CLÁUSULA QUARTA - PRAZO DE VIGÊNCIA DO CONTRATO, prorrogando o contrato original por mais 12 (doze) meses.                                                                                                                                                          Fundamentação Legal: Art. 57, inciso II da Lei Federal nº. 8.666/93.</t>
  </si>
  <si>
    <t>Alteração da CLÁUSULA QUARTA - PRAZO DE VIGÊNCIA DO CONTRATO, prorrogando o contrato original por mais 12 (doze) meses.
Fundamentação Legal: Art. 57, inciso II da Lei Federal nº. 8.666/93.</t>
  </si>
  <si>
    <t>Fica RESCINDIDO DE FORMA AMIGÁVEL, a partir desta data o Contrato nº. 070/2014, firmado em 28/02/2014, cuja finalidade era a Locação de Imóvel para Instalação da USF Rui Lino, localizado na Rua Projetada, nº. 23 – Bairro Rui Lino, no Município de Rio Branco - Acre.
A presente rescisão encontra-se motivada no Termo de Entrega de Imóvel e Memorando nº 44/DRL/SEMSA/2017.
Fundamentação Legal: Artigo 79, inciso II, da Lei nº. 8.666/93.</t>
  </si>
  <si>
    <t>9404/2015</t>
  </si>
  <si>
    <t>Contratação de empresa de engenharia para execução de serviços de Construção do Centro de Recuperação de Dependentes Químicos Feminino, no Município de Rio Branco – Acre.</t>
  </si>
  <si>
    <t>DOE:11528</t>
  </si>
  <si>
    <t>123/2015</t>
  </si>
  <si>
    <t>COLUNA CONSTRUÇÕES E COMÉRCIO LTDA</t>
  </si>
  <si>
    <t>03.488.438/0001-59</t>
  </si>
  <si>
    <t>DOE:11559</t>
  </si>
  <si>
    <t>01 (R P) e 06 (OGU - Convênio nº 231/PCN/2013).</t>
  </si>
  <si>
    <t>783224/2013</t>
  </si>
  <si>
    <t>06 (OGU)</t>
  </si>
  <si>
    <t>Alteração da CLÁUSULA QUINTA – DO VALOR DO CONTRATO – EMPENHO E DOTAÇÃO DO VALOR, acrescendo do valor originalmente contratado a importância de R$ 49.610,42 (quarenta e nove mil seiscentos e dez reais quarenta e dois centavos), correspondente
a 5,84% (cinco vírgula oitenta e quarenta por cento), conforme adequação apresentada através do Ofício nº 1.560/GAB/SEOP.</t>
  </si>
  <si>
    <t>Alteração da CLÁUSULA SEXTA – DA VIGÊNCIA DO CONTRATO, prorrogando a vigência do contrato original por mais 210 (duzentos e dez) dias, e prorrogando o prazo de execução dos serviços por mais 180 (cento e oitenta) dias, conforme justificativa apresentada pela Secretaria Municipal de Obras Públicas.
Fundamentação Legal: Art. 57, §1º, inciso VI da Lei nº 8.666/93.</t>
  </si>
  <si>
    <t xml:space="preserve">Alteração da CLÁUSULA SEXTA – DA VIGÊNCIA DO CONTRATO, prorrogando a vigência do contrato original por mais 168 (cento e sessenta e oito) dias, e prorrogando o prazo de execução dos serviços por mais 180 (cento e oitenta) dias, conforme justificativa
apresentada pela Secretaria Municipal de Obras Públicas.
Fundamentação Legal: Art. 57, §1º, inciso VI da Lei nº 8.666/93.
</t>
  </si>
  <si>
    <t>Alteração da CLÁUSULA SEXTA – DA VIGÊNCIA DO CONTRATO, prorrogando a vigência do contrato original por mais 180 (cento e oitenta) dias, e prorrogando o prazo de execução dos serviços por mais 180 (cento e oitenta) dias, conforme justificativa apresentada pela Secretaria Municipal de Obras Públicas.
Fundamentação Legal: Art. 57, §1º, inciso VI da Lei nº 8.666/93.</t>
  </si>
  <si>
    <t>Alteração da CLÁUSULA QUINTA – DO VALOR DO CONTRATO – EMPENHO E DOTAÇÃO DO VALOR, para realização da complementação de reajuste contratual com base no Índice Nacional da
Construção Civil – INCC, que perfaz o valor de R$ 6.325,41 (seis mil trezentos e vinte e cinco reais e quarenta e um centavos), devendo o mesmo ser acrescido ao valor do Contrato, conforme cálculos apresentados pela Secretaria Municipal de Obras Públicas, Parecer da Procuradoria Geral do Município e Art. 65, inciso II, alínea “d”, da Lei nº. 8.666/93.</t>
  </si>
  <si>
    <t>Alteração da CLÁUSULA QUINTA – DO VALOR DO CONTRATO – EMPENHO E DOTAÇÃO DO VALOR, para realização da complementação de reajuste contratual com base no Índice Nacional
da Construção Civil – INCC, que perfaz o valor de R$ 8.331,31 (oito mil trezentos e trinta e um reais e trinta e um centavos), devendo o mesmo ser acrescido ao valor do Contrato, conforme cálculos apresentados pela Secretaria Municipal de Obras Públicas, Parecer da Procuradoria Geral do Município e art. 65, inciso II, alínea “d”, da Lei nº. 8.666/93.
Valor Atualizado do Contrato: R$ 1.118.668,44 (um milhão cento e dezoito
mil seiscentos e sessenta e oito reais e quarenta e quatro centavos).</t>
  </si>
  <si>
    <t>Alteração da CLÁUSULA TERCEIRA - DO PREÇO E CONDIÇÕES DE PAGAMENTO, para realização da repactuação dos valores contratuais com base no Acordo Coletivo de Trabalho 2017/2018, resultando no acréscimo de R$ 2.040,66 (dois mil quarenta reais e sessenta e seis centavos) ao valor mensal, que passará de R$ 9.055,12 (nove mil cinquenta e cinco reais e doze centavos) para R$ 11.095,78 (onze mil noventa e cinco reais e setenta e oito centavos).
Fundamentação Legal: Art. 65, inciso II, alínea “d”, da Lei nº 8.666/93 e Parecer da Procuradoria Geral do Município.
Dos Efeitos Financeiros e Pagamento: A presente repactuação tem efeitos financeiros retroativos a 01/01/2017, resultando numa diferença no valor de R$ 8.162,64 (oito mil cento e sessenta e dois reais e sessenta e quatro centavos), referente aos meses de janeiro a abril de 2017.
A partir de maio de 2017, o valor atualizado mensal será pago integralmente.</t>
  </si>
  <si>
    <t>Contratação de Empresa para Locação de Veículo com condutor, veículo tipo utilitário.
Objeto do Aditamento: Alteração da CLÁUSULA QUARTA - PRAZO DE VIGÊNCIA DO CONTRATO, prorrogando o contrato original por mais 12 (doze) meses.
Fundamentação Legal: Art. 57, inciso II da Lei Federal nº. 8.666/93.</t>
  </si>
  <si>
    <t>Alteração da CLÁUSULA SEXTA – DA VIGÊNCIA DO CONTRATO, prorrogando a vigência contratual e execução dos serviços por mais 90 (noventa) dias, conforme justificativa apresentada pela Secretaria Municipal de Obras Públicas, com amparo legal previsto
no Art. 57, §1º, inciso IV da Lei nº 8.666/93.</t>
  </si>
  <si>
    <t>Alteração da CLÁUSULA SEXTA – DA VIGÊNCIA DO CONTRATO, prorrogando a vigência do contrato e execução dos serviços por mais 90 (noventa) dias, conforme justificativa apresentada pela Secretaria Municipal de Obras Públicas, com amparo legal previsto
no Art. 57, §1º, inciso IV da Lei nº 8.666/93.</t>
  </si>
  <si>
    <t>Alteração da CLÁUSULA TERCEIRA - DO PREÇO E CONDIÇÕES DE PAGAMENTO, acrescendo 0,71% (zero vírgula setenta e um por cento) ao valor originalmente contratado, que perfaz a
quantia de R$ 989,73 (novecentos e oitenta e nove reais e setenta e três centavos), referente a inclusão do Automóvel DoblôAttractiv.
Fundamentação Legal: § 1º do Art. 65 da Lei nº 8.666/93.</t>
  </si>
  <si>
    <t>121/2017</t>
  </si>
  <si>
    <t xml:space="preserve">INEXIGIBILIDADE DE LICITAÇÃO </t>
  </si>
  <si>
    <t>8864/2017</t>
  </si>
  <si>
    <t>J. SABINO DA COSTA</t>
  </si>
  <si>
    <t>Aquisição de Mobiliários de Lei, para atender as demandas da Secretaria Municipal de Saúde, em conformidade com o Edital de Chamamento Público nº 002/2015 e 001/2016, decorrente do Credenciamento - SEDENS.</t>
  </si>
  <si>
    <t>01.287.016/0001-90</t>
  </si>
  <si>
    <t>14 (SUS); 01 (RP)</t>
  </si>
  <si>
    <t>122/2017</t>
  </si>
  <si>
    <t>UNIACRE INDÚSTRIA E COMÉRCIO LTDA</t>
  </si>
  <si>
    <t>63.603.666/0001-54</t>
  </si>
  <si>
    <t>Aquisição de Mobiliários de Lei, para atender as demandas da Secretaria Municipal de Saúde, em conformidade com o Edital de Chamamento Público nº 001/2016 - SEDENS, decorrente do Credenciamento - SEDENS.</t>
  </si>
  <si>
    <t xml:space="preserve"> 01 (RP)</t>
  </si>
  <si>
    <t>123/2017</t>
  </si>
  <si>
    <t>MARCENARIA SULATINA IMPORTAÇÃO E EXPORTAÇÃO LTDA</t>
  </si>
  <si>
    <t>34.704.163/0001-77</t>
  </si>
  <si>
    <t>124/2017</t>
  </si>
  <si>
    <t>REAL MÓVEIS LTDA</t>
  </si>
  <si>
    <t>05.392.144/001-54</t>
  </si>
  <si>
    <t>125/2017</t>
  </si>
  <si>
    <t>COMABEL – INDÚSTRIA E COMÉRCIO DE MADEIRAS BENEFICIADAS LTDA</t>
  </si>
  <si>
    <t>07.773.277/0001-04</t>
  </si>
  <si>
    <t>126/2017</t>
  </si>
  <si>
    <t>A. TOMOKO IWAKURA – ME</t>
  </si>
  <si>
    <t>02.862.602/0001-83</t>
  </si>
  <si>
    <t>127/2017</t>
  </si>
  <si>
    <t>N. B. P. LOUREIRO</t>
  </si>
  <si>
    <t>03.924.998/0001-09</t>
  </si>
  <si>
    <t>128/2017</t>
  </si>
  <si>
    <t>1619/2017</t>
  </si>
  <si>
    <t>Aquisição de Gêneros Alimentícios (Café e Açúcar)</t>
  </si>
  <si>
    <t>129/2017</t>
  </si>
  <si>
    <t>5376/2017</t>
  </si>
  <si>
    <t>Contratação de Empresa Especializada no Fornecimento de Material Gráfico, para atender as demandas da Secretaria Municipal de Saúde, no município de Rio Branco – AC</t>
  </si>
  <si>
    <t>130/2017</t>
  </si>
  <si>
    <t>F. B. AMORIM JUNIOR - ME</t>
  </si>
  <si>
    <t>03.802.085/0001-10</t>
  </si>
  <si>
    <t>CORDEIRO &amp; BATISTA LTDA</t>
  </si>
  <si>
    <t>13.344.554/0001-58</t>
  </si>
  <si>
    <t>131/2017</t>
  </si>
  <si>
    <t>132/2017</t>
  </si>
  <si>
    <t>10078/2017</t>
  </si>
  <si>
    <t>07.338.922/0001-52</t>
  </si>
  <si>
    <t>Aquisição de Material Consumo – Etiqueta Térmica Modelo GC420D, para atender o Centro de Apoio e Diagnóstico – CAD</t>
  </si>
  <si>
    <t>Alteração da CLÁUSULA QUINTA – DO VALOR DO CONTRATO – EMPENHO E DOTAÇÃO DO VALOR, para realização do reajuste contratual com base no Índice Nacional da Construção Civil – INCC, que perfaz o valor de R$ 38.470,23 (trinta e oito mil quatrocentos e setenta reais e vinte e três centavos), devendo o mesmo ser acrescido ao valor do Contrato, conforme cálculos apresentados pela Secretaria Municipal de Obras Públicas, Parecer da Procuradoria Geral do Município e art. 65, inciso II, alínea “d”, da Lei nº. 8.666/93.</t>
  </si>
  <si>
    <t>130370064/2013</t>
  </si>
  <si>
    <t>Alteração da CLÁUSULA SEGUNDA, prorrogando a vigência do contrato por mais 06 (seis) meses, tendo como valor mensal a importância de R$ 1.229,92 (um mil duzentos e vinte e nove reais e noventa e dois centavos), totalizando o valor global R$ 7.379,52 (sete mil trezentos e setenta e nove reais e cinquenta e dois centavos).</t>
  </si>
  <si>
    <t>Alteração da CLÁUSULA QUINTA – DO VALOR DO CONTRATO – EMPENHO E DOTAÇÃO DO VALOR, suprimindo do valor originalmente contratado a importância de R$ 2.095,64 (dois mil noventa e cinco reais e sessenta e quatro centavos), correspondente a 0,2% (dois décimos por cento), conforme adequação apresentada através do Ofício nº 013/GAB/SEOP.
Fundamentação Legal: Art. 65 §1º da Lei nº 8.666/1993.</t>
  </si>
  <si>
    <t>Art. 25 da Lei nº 8.666/93 e suas alterações</t>
  </si>
  <si>
    <t xml:space="preserve">DOU: Nº 23 DOE:11.986    </t>
  </si>
  <si>
    <t xml:space="preserve"> DOE:12.005    </t>
  </si>
  <si>
    <t xml:space="preserve">DOU: Nº 64 DOE:12.026    </t>
  </si>
  <si>
    <t>133/2017</t>
  </si>
  <si>
    <t>8577/2017</t>
  </si>
  <si>
    <t>SABENAUTO COMÉRCIO DE VEÍCULOS LTDA</t>
  </si>
  <si>
    <t>05.888.433/0008-15</t>
  </si>
  <si>
    <t>Aquisição de Veículo Passeio Tipo Multivan, para atender as demandas da Secretaria Municipal de Saúde</t>
  </si>
  <si>
    <t xml:space="preserve">4.4.90.52.00 </t>
  </si>
  <si>
    <t xml:space="preserve">DOU: Nº 64 DOE:12.025    </t>
  </si>
  <si>
    <t>Alteração da CLÁUSULA QUINTA – DO VALOR DO CONTRATO – EMPENHO E DOTAÇÃO DO VALOR, acrescendo do valor originalmente contratado a importância de R$ 24.626,12 (vinte e quatro mil seiscentos e vinte e seis reais e doze centavos), correspondente a 2,74% (dois vírgula setenta e quatro por cento), conforme adequação apresentada através do Ofício nº 676/GAB/SEOP.
Fundamentação Legal: Art. 65 §1º da Lei nº 8.666/1993.</t>
  </si>
  <si>
    <t>131120111/2013</t>
  </si>
  <si>
    <t>Alteração da CLÁUSULA SEGUNDA - DO PRAZO DE VIGÊNCIA, prorrogando a vigência do contrato por mais 12 (doze) meses, tendo como valor mensal a importância de R$ 12.299,20
(doze mil duzentos e noventa e nove reais e vinte centavos), totalizando o valor global R$ 147.590,40 (cento e quarenta e sete mil quinhentos e noventa reais e quarenta centavos).</t>
  </si>
  <si>
    <t>DOE:11.967 DOU: Nº 2</t>
  </si>
  <si>
    <t>07.355.957/0001-08</t>
  </si>
  <si>
    <t>134/2017</t>
  </si>
  <si>
    <t>5000/2017</t>
  </si>
  <si>
    <t>Contratação de Empresa para Execução de Serviços de Ampliação da Unidade de Saúde da Família – USF, na Rodovia AC 40, KM 09, Esquina com o Ramal da Palheira, no Município de Rio Branco – Acre.</t>
  </si>
  <si>
    <t>Alteração da CLÁUSULA QUINTA – DO VALOR DO CONTRATO – EMPENHO E DOTAÇÃO DO VALOR, para realização do reajuste contratual com base no Índice Nacional da Construção Civil – INCC, que perfaz o valor de R$ 53.996,25 (cinquenta e três mil novecentos e noventa e seis reais e vinte e cinco
centavos), devendo o mesmo ser acrescido ao valor do Contrato, conforme cálculos apresentados pela Secretaria Municipal de Obras Públicas, Parecer da Procuradoria Geral do Município e art. 65, inciso II, alínea “d”, da Lei nº. 8.666/93, com amparo legal previsto no Art. 65 §1º da Lei nº 8.666/1993.</t>
  </si>
  <si>
    <t xml:space="preserve">DOU: Nº 43 DOE:12.005    </t>
  </si>
  <si>
    <t xml:space="preserve">7 Lan comercio e serviços ltda </t>
  </si>
  <si>
    <t>135/2017</t>
  </si>
  <si>
    <t>39992/2016</t>
  </si>
  <si>
    <t>Aquisição de Material Médico Hospitalar, para atender a Casa de Saúde Indígena- CASAI</t>
  </si>
  <si>
    <t>14 (SUS) - Conta Financeira: 2112602130.</t>
  </si>
  <si>
    <t>136/2017</t>
  </si>
  <si>
    <t>Aquisição de Material Médico Hospitalar, para atender a Casa de Saúde Indígena - CASAI</t>
  </si>
  <si>
    <t>137/2017</t>
  </si>
  <si>
    <t>138/2017</t>
  </si>
  <si>
    <t>14 (SUS) - Conta Financeira: 2112602130</t>
  </si>
  <si>
    <t>139/2017</t>
  </si>
  <si>
    <t>BRAGA &amp; BRAGA IMPORTAÇÃO E EXPORTAÇÃO LTDA</t>
  </si>
  <si>
    <t>63.607.790/0001-98</t>
  </si>
  <si>
    <t xml:space="preserve">DOU: Nº 13 DOE:11.978    </t>
  </si>
  <si>
    <t xml:space="preserve">Manutenção e Suporte Técnico da Rede Metropolitanda Prefeitura Digital </t>
  </si>
  <si>
    <t>PRESTAÇÃO DE CONTAS MENSAL - EXERCÍCIO 2017</t>
  </si>
  <si>
    <t>Alteração da CLÁUSULA QUARTA - PRAZO DE VIGÊNCIA DO CONTRATO, prorrogando o contrato original por mais 12 (doze) meses.
Fundamentação Legal: Inciso II do Art. 57 da Lei nº. 8.666/93.</t>
  </si>
  <si>
    <t>14171/2017</t>
  </si>
  <si>
    <t>140/2017</t>
  </si>
  <si>
    <t>Aquisição de Material de Consumo (Pneus)</t>
  </si>
  <si>
    <t>ÁGUIA AZUL PNEUS LTDA – EPP</t>
  </si>
  <si>
    <t>05.391.917/0001-88</t>
  </si>
  <si>
    <t>16666/2017</t>
  </si>
  <si>
    <t>141/2017</t>
  </si>
  <si>
    <t>Aquisição de Equipamentos para Composição da Sala Sensório-Motora a ser Implantada na Policlínica Barral y Barral</t>
  </si>
  <si>
    <t>4.4.90.52.00 (Equipamento e Material Permanente)</t>
  </si>
  <si>
    <t>9504/2017</t>
  </si>
  <si>
    <t>142/2017</t>
  </si>
  <si>
    <t>Aquisição de Material de Médico Hospitalar (Accu-Check, Bateria, Kit Gravidez)</t>
  </si>
  <si>
    <t xml:space="preserve">DOU: Nº 89 DOE:12.049    </t>
  </si>
  <si>
    <t>14488/2017</t>
  </si>
  <si>
    <t>143/2017</t>
  </si>
  <si>
    <t xml:space="preserve">Aquisição de Medicamentos </t>
  </si>
  <si>
    <t>144/2017</t>
  </si>
  <si>
    <t>145/2017</t>
  </si>
  <si>
    <t>Fica RESCINDIDO DE FORMA UNILATERAL, a partir desta data o Contrato nº. 034/2013, firmado em 29/01/2013, cuja finalidade era a Locação de Imóvel para Instalação da USF Quinze I, localizado na Travessa Flávio Batista, nº. 28 - Quinze, no Município de Rio Branco - Acre.
A presente rescisão encontra-se motivada no Termo de Entrega de Imóvel e MEMORANDO Nº 075/DRL/SEMSA/2017.
Fundamentação Legal: Artigo 79, inciso I, da Lei nº. 8.666/93.</t>
  </si>
  <si>
    <t xml:space="preserve">DOU: Nº 66 DOE:12.027    </t>
  </si>
  <si>
    <t xml:space="preserve">DOU: Nº 89 DOE:12.050   </t>
  </si>
  <si>
    <t>Alteração da CLÁUSULA SEXTA – DA VIGÊNCIA DO CONTRATO, prorrogando a vigência contratual por mais 6 (seis) meses, conforme justificativa apresentada pela Secretaria Municipal de Obras Públicas, com amparo legal previsto no Art. 57, §1º, inciso IV da
Lei nº 8.666/93.</t>
  </si>
  <si>
    <t>Alteração da CLÁUSULA QUINTA – DO VALOR DO CONTRATO – EMPENHO E DOTAÇÃO DO VALOR, acrescendo serviços no valor de R$ 23.948,47 (vinte e três mil novecentos e quarenta e oito reais e quarenta e sete centavos), conforme adequação apresentada através do Ofício nº 0938/GAB/SEOP, com amparo legal previsto no Art. 65, §1º da Lei nº 8.666/1993.</t>
  </si>
  <si>
    <t xml:space="preserve">146/2017  </t>
  </si>
  <si>
    <t>16130/2017</t>
  </si>
  <si>
    <t>Contratação de empresa para Prestação de Serviços de Limpeza Administrativa e Limpeza Hospitalar, visando à obtenção de adequadas condições de salubridade e higiene em dependências médico-hospitalares, com a disponibilização de mão-de-obra qualificada, produtos saneantes, materiais e equipamentos para atender as demandas da Secretaria Municipal de Saúde.</t>
  </si>
  <si>
    <t>147/2017</t>
  </si>
  <si>
    <t>Locação de Imóvel para Instalação do Centro de Atenção Psicossocial – CAPS da Secretaria Municipal de Saúde, não podendo ser mudada a sua destinação sem o consentimento expresso da locadora.</t>
  </si>
  <si>
    <t>16293/2017</t>
  </si>
  <si>
    <t>ARRAS ADMINISTRADORA DE BENS IMÓVEIS LIMPEZA E CONSERVAÇÃO LTDA</t>
  </si>
  <si>
    <t>63.600.449/0001-00</t>
  </si>
  <si>
    <t>3969/2017</t>
  </si>
  <si>
    <t>Aquisição de Material de Médico Hospitalar (Seringa de Insulina)</t>
  </si>
  <si>
    <t>148/2017</t>
  </si>
  <si>
    <t>461/2016</t>
  </si>
  <si>
    <t>TERMO DE ADESÃO A ATA Nº 461/2016 DO PREGÃO SRP 181/2016 - CPL 04</t>
  </si>
  <si>
    <t>Alteração da Cláusula Quarta - do Prazo de Vigência e Execução do Contrato, prorrogando o contrato original por mais 12 (doze) meses.
Fundamentação Legal: Art. 57, inciso IV da Lei Federal nº. 8.666/93.</t>
  </si>
  <si>
    <t>Alteração da CLÁUSULA OITAVA – DO PREÇO, para realização da repactuação dos valores contratuais com base no Acordo Coletivo de Trabalho 2017, resultando no acréscimo de R$ 1.609,12 (um mil seiscentos e nove reais e doze centavos) ao valor mensal, que passará de R$ 9.380,44 (nove mil trezentos e oitenta reais e quarenta e quatro centavos) para R$ 10.989,56 (dez mil novecentos e oitenta e nove reais e cinquenta e seis centavos), com amparo legal previsto no Art. 65, inciso II, alínea “d”, da Lei nº 8.666/93 e Parecer da
Procuradoria Geral do Município.                                                                                                                                             A presente repactuação tem efeitos financeiros retroativos a 01/01/2017</t>
  </si>
  <si>
    <t>Alteração da CLÁUSULA OITAVA – DO PREÇO, para realização da repactuação dos valores contratuais com base no Acordo Coletivo de Trabalho 2017, resultando no acréscimo de R$
804,56 (oitocentos e quatro reais e cinquenta e seis centavos) ao valor mensal, que passará de R$ 4.690,22 (quatro mil seiscentos e noventa reais e vinte e dois centavos) para R$ 5.494,78 (cinco mil quatrocentos e noventa e quatro reais e setenta e oito centavos), com amparo legal previsto no Art. 65, inciso II, alínea “d”, da Lei nº 8.666/93 e Parecer da
Procuradoria Geral do Município.                                                                                                                                        A presente repactuação tem efeitos financeiros retroativos a 01/01/2017</t>
  </si>
  <si>
    <t>Alteração da CLÁUSULA TERCEIRA - DO PREÇO E CONDIÇÕES DE PAGAMENTO, acrescendo 25% (vinte e cinco por cento) aos itens 2, 7, 8, 9, 11, 17, 28, 29, 40, 46, 48, 69, 99, 108, 109, 131, 133, 134, 153, 163, 170, 174 e 175, contratado, que perfaz a quantia de R$ 157.224,00 (cento e cinquenta e sete mil duzentos e vinte e quatro reais), devendo o referido valor ser somado ao valor inicialmente contratado, com amparo legal previsto no § 1º do Art. 65 da Lei nº 8.666/93.</t>
  </si>
  <si>
    <t>149/2017</t>
  </si>
  <si>
    <t>16664/2017</t>
  </si>
  <si>
    <t>Aquisição de Testes de Hemograma com Cessão de Equipamento, para atender as necessidades da SEMSA</t>
  </si>
  <si>
    <t xml:space="preserve">3.3.90.30.00 </t>
  </si>
  <si>
    <t>150/2017</t>
  </si>
  <si>
    <t>16665/2017</t>
  </si>
  <si>
    <t>Aquisição de Testes de Coagulograma com Cessão de Equipamento, para atender as necessidades da SEMSA</t>
  </si>
  <si>
    <t>7361/2017</t>
  </si>
  <si>
    <t>Aquisição de Fardamentos (Coletes, Camisas, Calças, Bonés e Outros) e Equipamentos de Proteção Individual (EPI),para atender as necessidades da Secretaria Municipal de Saúde - SEMSA</t>
  </si>
  <si>
    <t>151/2017</t>
  </si>
  <si>
    <t>152/2017</t>
  </si>
  <si>
    <t>M.A.M. LIMA - ME</t>
  </si>
  <si>
    <t>84.308.337/0001-50</t>
  </si>
  <si>
    <t>153/2017</t>
  </si>
  <si>
    <t>OLIVEIRA &amp; ALVES LTDA</t>
  </si>
  <si>
    <t>03.978.576/0001-16</t>
  </si>
  <si>
    <t>154/2017</t>
  </si>
  <si>
    <t>AMDA SECURITY IMPORTADORA LTDA - ME</t>
  </si>
  <si>
    <t>14.793.395/0001-31</t>
  </si>
  <si>
    <t xml:space="preserve">DOU: Nº 95 DOE:12.055   </t>
  </si>
  <si>
    <t xml:space="preserve">DOU: Nº 64 DOE:12.025   </t>
  </si>
  <si>
    <t>Alteração da CLÁUSULA TERCEIRA - DO PREÇO E CONDIÇÕES DE PAGAMENTO, para realização da repactuação dos valores contratuais com base no Acordo Coletivo de Trabalho 2017,
resultando no acréscimo de R$ 3.981,20 (três mil novecentos e oitenta e um reais e vinte centavos) ao valor mensal, que passará de R$ 64.237,25 (sessenta e quatro mil duzentos e trinta e sete reais e vinte e cinco centavos) para R$ 68.218,45 (sessenta e oito mil duzentos e dezoito reais e quarenta e cinco centavos), com amparo legal previsto no Art. 65, inciso II, alínea “d”, da Lei nº 8.666/93 e Parecer da Procuradoria Geral do Município.</t>
  </si>
  <si>
    <t>Alteração da CLÁUSULA TERCEIRA - DO PREÇO E CONDIÇÕES DE PAGAMENTO, acrescendo 25% (vinte e cinco por cento) aos itens 25, 60, 71, 116, 123, 124, 125, 148, 161 e 184, contratado, que perfaz a quantia de R$ 61.275,00 (sessenta e um mil duzentos e setenta e cinco reais), devendo o referido valor ser somado ao valor inicialmente contratado, com amparo legal previsto no § 1º do Art. 65 da Lei nº 8.666/93.</t>
  </si>
  <si>
    <t>Fica RESCINDIDO DE FORMA UNILATERAL a partir desta data o Contrato nº. 039/2014, firmado em 10/02/2014, cuja finalidade era a Prestação de Serviços de Internet na área urbana de Rio Branco-AC, visando atender as necessidades da Secretaria Municipal de Saúde.
A presente rescisão encontra-se motivada na justificativa da Diretora do Departamento de Regulação, Controle e Avaliação.</t>
  </si>
  <si>
    <t>Alteração da CLÁUSULA TERCEIRA - DO PREÇO E CONDIÇÕES DE PAGAMENTO, acrescendo 25% (vinte e cinco por cento) ao item 46 contratado, que perfaz a quantia de R$ 1.575,00 (um mil quinhentos e setenta e cinco reais), devendo o referido valor ser somado ao valor  inicialmente contratado, com amparo legal previsto no § 1º do Art. 65 da Lei nº 8.666/93.</t>
  </si>
  <si>
    <t>Alteração da CLÁUSULA TERCEIRA - DO PREÇO E CONDIÇÕES DE PAGAMENTO, acrescendo 25% (vinte e cinco por cento) ao item 18, contratado, que perfaz a quantia de R$ 5.000,00 (cinco mil reais), devendo o referido valor ser somado ao valor inicialmente contratado, com amparo legal previsto no § 1º do Art. 65 da Lei nº 8.666/93.</t>
  </si>
  <si>
    <t>Alteração da CLÁUSULA TERCEIRA - DO PREÇO E CONDIÇÕES DE PAGAMENTO, acrescendo 25% (vinte e cinco por cento) ao item 30 contratado, que perfaz a quantia de R$ 7.750,00 (sete mil setecentos e cinquenta reais), devendo o referido valor ser somado ao valor inicialmente contratado, com amparo legal previsto no § 1º do Art. 65 da Lei nº 8.666/93.</t>
  </si>
  <si>
    <t>Alteração da CLÁUSULA TERCEIRA - DO PREÇO E CONDIÇÕES DE PAGAMENTO, acrescendo 25% (vinte e cinco por cento) ao item 19, contratado, que perfaz a quantia de R$ 12.175,00 (doze mil cento e setenta e cinco reais), devendo o referido valor ser somado ao valor inicialmente contratado, com amparo legal previsto no § 1º do Art. 65 da Lei nº 8.666/93.</t>
  </si>
  <si>
    <t xml:space="preserve">Termo de Adesão nº 020/2013 - Pregão Eletrônico nº. 006/2013 </t>
  </si>
  <si>
    <t>7439/2013</t>
  </si>
  <si>
    <t>Alteração da CLÁUSULA TERCEIRA - DO PREÇO E CONDIÇÕES DE PAGAMENTO, acrescendo 25% (vinte e cinco por cento) ao item 93, contratado, que perfaz a quantia de R$ 960,00 (novecentos e sessenta reais), devendo o referido valor ser somado ao valor inicialmente
contratado, com amparo legal previsto no § 1º do Art. 65 da Lei nº 8.666/93.</t>
  </si>
  <si>
    <t>Inciso X do art. 24 da Lei nº 8.666/93 e suas alterações.</t>
  </si>
  <si>
    <t>Alteração da CLÁUSULA TERCEIRA - DO PREÇO E CONDIÇÕES DE PAGAMENTO, acrescendo 25% (vinte e cinco por cento) aos itens 12, 31, 70, 76, 77, 90, 95, 96, 105, 130 e 138, contratado, que perfaz a quantia de R$ 83.117,50 (oitenta e três mil cento e dezessete reais e cinquenta centavos), devendo o referido valor ser somado ao valor inicialmente contratado, com amparo legal previsto no § 1º do Art. 65 da Lei nº 8.666/93.</t>
  </si>
  <si>
    <t>155/2017</t>
  </si>
  <si>
    <t>7362/2017</t>
  </si>
  <si>
    <t>Aquisição de Água Mineral Natural (em garrafões de 20 litros, em garrafa Pet de 500 ml e Garrafão cilíndrico de capacidade 20 litros), para atender a demanda da Secretaria Municipal de Saúde</t>
  </si>
  <si>
    <t>M. J. SILVA FERNANDES - ME</t>
  </si>
  <si>
    <t>9514/2017</t>
  </si>
  <si>
    <t>LARDEYS CONSTRUTORA E COMÉRCIO LTDA</t>
  </si>
  <si>
    <t xml:space="preserve">03.879.200/0001-54 </t>
  </si>
  <si>
    <t>Contratação de Empresa para Execução de Serviços de Construção de Unidade Básica de Saúde – Porte I, localizada na Rua Francisca Luzia, S/N. Bairro Albert Sampaio, no Município de Rio Branco – Acre.</t>
  </si>
  <si>
    <t>156/2017</t>
  </si>
  <si>
    <t>01 (R P) e 14 (SUS) – Proposta nº 84.317.205000/1150-13.</t>
  </si>
  <si>
    <t>150 (cento e cinquenta) dias, contados a partir do recebimento, pela CONTRATADA, da Ordem de Serviços</t>
  </si>
  <si>
    <t>12905/2017</t>
  </si>
  <si>
    <t>Locação de Imóvel para Instalação de Departamentos, para atender o Programa: Equipe Multiprofissional de Atenção Domiciliar – EMAD.</t>
  </si>
  <si>
    <t>157/2017</t>
  </si>
  <si>
    <t>P. H. GOMES BRASIL - ME</t>
  </si>
  <si>
    <t>21.914.919/0001-60</t>
  </si>
  <si>
    <t>Inciso X do art. 24 da Lei nº 8.666/93 e suas alterações</t>
  </si>
  <si>
    <t xml:space="preserve">DOU: Nº 34 DOE: 11.997  </t>
  </si>
  <si>
    <t xml:space="preserve">DOU: Nº 92 DOE:12.052    </t>
  </si>
  <si>
    <t>158/2017</t>
  </si>
  <si>
    <t>18879/2017</t>
  </si>
  <si>
    <t>Aquisição de Material Gráfico, para atender as demandas da Secretaria Municipal de Saúde</t>
  </si>
  <si>
    <t>CIPRIANI &amp; CIPRIANI LTDA - ME</t>
  </si>
  <si>
    <t>01.805.545/0001-38</t>
  </si>
  <si>
    <t>159/2017</t>
  </si>
  <si>
    <t>MULTI GRAF INDÚSTRIA GRÁFICA, EDITORA E COMÉRCIO EIRELI - ME</t>
  </si>
  <si>
    <t>10.176.343/0001-65</t>
  </si>
  <si>
    <t>160/2017</t>
  </si>
  <si>
    <t>161/2017</t>
  </si>
  <si>
    <t>J. O. ARRUDA - ME</t>
  </si>
  <si>
    <t>10.706.186/0001-52</t>
  </si>
  <si>
    <t>162/2017</t>
  </si>
  <si>
    <t>P. L. MARTINI</t>
  </si>
  <si>
    <t>02.035.162/0001-90</t>
  </si>
  <si>
    <t>163/2017</t>
  </si>
  <si>
    <t>G. S. SILVEIRA - ME</t>
  </si>
  <si>
    <t>84.313.923/0001-93</t>
  </si>
  <si>
    <t>164/2017</t>
  </si>
  <si>
    <t>RODA VIVA INDUSTRIA GRÁFICA E EDITORA EIRELI - EPP</t>
  </si>
  <si>
    <t>07.161.584/0001-26</t>
  </si>
  <si>
    <t>165/2017</t>
  </si>
  <si>
    <t>S. L. DE CASTRO - ME</t>
  </si>
  <si>
    <t>08.629.283/0001-47</t>
  </si>
  <si>
    <t>166/2017</t>
  </si>
  <si>
    <t>21348/2016</t>
  </si>
  <si>
    <t>078/2016</t>
  </si>
  <si>
    <t>STAR MOTOS LTDA</t>
  </si>
  <si>
    <t>01.444.283/0001-23</t>
  </si>
  <si>
    <t>Aquisição de Motocicletas</t>
  </si>
  <si>
    <t>Alteração da CLÁUSULA SEGUNDA – DO PREÇO E CONDIÇÕES DE PAGAMENTO, para realização do reajuste contratual com base no Índice de Preços do Consumidor – IPC, resultando no acréscimo de R$ 8.717,40 (oito mil setecentos e dezessete reais e quarenta centavos) ao valor mensal, que passará de R$ 196.717,50 (cento e noventa e seis mil setecentos e dezessete reais e cinquenta centavos), para R$ 205.434,90 (duzentos e cinco mil quatrocentos e trinta e quatro reais e noventa centavos), com amparo legal previsto no Art. 65, inciso II, alínea “d”, da Lei nº 8.666/93 e Parecer da Procuradoria Geral do Município.</t>
  </si>
  <si>
    <t xml:space="preserve">DOU: Nº 105 DOE:12.065   </t>
  </si>
  <si>
    <t xml:space="preserve">DOE:11.845 </t>
  </si>
  <si>
    <t>130940015/2013</t>
  </si>
  <si>
    <t>Alteração da CLÁUSULA QUARTA - PRAZO DE VIGÊNCIA DO CONTRATO, prorrogando o contrato original por mais 12 (doze) meses, com amparo legal previsto no inciso II do art. 57 da Lei nº. 8.666/93.</t>
  </si>
  <si>
    <t>Alteração da CLÁUSULA TERCEIRA - DO PREÇO E CONDIÇÕES DE PAGAMENTO, acrescendo 25% (vinte e cinco por cento) ao item 01 contratado, que perfaz a quantia estimada de R$ 1.510,50 (um mil quinhentos e dez reais e cinquenta centavos), devendo o referido valor ser somado ao valor inicialmente contratado, com amparo legal previsto no § 1º do Art. 65 da Lei nº 8.666/93.</t>
  </si>
  <si>
    <t>Alteração da CLÁUSULA TERCEIRA - DO PREÇO E CONDIÇÕES DE PAGAMENTO, acrescendo 25% (vinte e cinco por cento) ao item 173 contratado, que perfaz a quantia de R$ 3.750,00 (três mil e setecentos e cinquenta reais), devendo o referido valor ser somado ao valor inicialmente contratado, com amparo legal previsto no § 1º do Art. 65 da Lei nº 8.666/93.</t>
  </si>
  <si>
    <t>167/2017</t>
  </si>
  <si>
    <t>168/2017</t>
  </si>
  <si>
    <t>169/2017</t>
  </si>
  <si>
    <t>11621/2017</t>
  </si>
  <si>
    <t xml:space="preserve">PREGÃO ELETRÔNICO SRP </t>
  </si>
  <si>
    <t>170/2017</t>
  </si>
  <si>
    <t>CENTRO OESTE COMÉRCIO E SERVIÇOS EIRELI - ME</t>
  </si>
  <si>
    <t>Aquisição de Material Hospitalar Permanente – Através de Emenda Parlamentar</t>
  </si>
  <si>
    <t>01 (RP) e 14 (SUS); Proposta nº84.317.20500/1160-15; Emenda Parlamentar nº30480004.</t>
  </si>
  <si>
    <t>171/2017</t>
  </si>
  <si>
    <t>SOLAB CIENTÍFICA EQUIPAMENTOS PARA LABORATÓRIO EIRELI - EPP</t>
  </si>
  <si>
    <t>11.232.743/0001-03</t>
  </si>
  <si>
    <t>172/2017</t>
  </si>
  <si>
    <t>173/2017</t>
  </si>
  <si>
    <t>Alteração da CLÁUSULA TERCEIRA - DO PREÇO E CONDIÇÕES DE PAGAMENTO, acrescendo 25% (vinte e cinco por cento) ao item 2 (Nobreak) contratado, que perfaz a quantia de R$ 8.631,00 (oito mil seiscentos e trinta e um reais), devendo o referido valor ser somado ao valor inicialmente contratado, com amparo legal previsto no § 1º do Art. 65 da Lei nº 8.666/93.</t>
  </si>
  <si>
    <t>Alteração da CLÁUSULA TERCEIRA - DO PREÇO E CONDIÇÕES DE PAGAMENTO, acrescendo 25% (vinte e cinco por cento) aos itens 5 e 29 contratados, que perfaz a quantia de R$
23.700,00 (vinte e três mil e setecentos reais), devendo o referido valor ser somado ao valor inicialmente contratado, com amparo legal previsto no § 1º do Art. 65 da Lei nº 8.666/93.</t>
  </si>
  <si>
    <t>Alteração da CLÁUSULA TERCEIRA - DO PREÇO E CONDIÇÕES DE PAGAMENTO, acrescendo 25% (vinte e cinco por cento) aos itens 36, 47, 49, 51, 78, 81, 115, 146, 178, 179 e 180
contratados, que perfaz a quantia de R$ 36.407,50 (trinta e seis mil quatrocentos e sete reais e cinquenta centavos), devendo o referido valor ser somado ao valor inicialmente contratado, com amparo legal previsto no § 1º do Art. 65 da Lei nº 8.666/93.</t>
  </si>
  <si>
    <t>Alteração da CLÁUSULA TERCEIRA - DO PREÇO E CONDIÇÕES DE PAGAMENTO, acrescendo 25% (vinte e cinco por cento) aos itens 63 e 151 contratados, que perfaz a quantia de R$ 10.663,75 (dez mil seiscentos e sessenta e três reais e setenta e cinco centavos), devendo o referido valor ser somado ao valor inicialmente contratado, com amparo legal previsto no § 1º do Art. 65 da Lei nº 8.666/93.</t>
  </si>
  <si>
    <t>Alteração da CLÁUSULA TERCEIRA - DO PREÇO E CONDIÇÕES DE PAGAMENTO, acrescendo 25% (vinte e cinco por cento) aos itens 35 e 39 contratado, que perfaz a quantia de R$ 240,00 (duzentos e quarenta reais), devendo o referido valor ser somado ao valor inicialmente contratado, com amparo legal previsto no § 1º do Art. 65 da Lei nº 8.666/93.</t>
  </si>
  <si>
    <t>Alteração da CLÁUSULA TERCEIRA - DO PREÇO E CONDIÇÕES DE PAGAMENTO, acrescendo 25% (vinte e cinco por cento) aos itens 53 e 84, contratado, que perfaz a quantia de R$ 26.092,50 (vinte e seis mil noventa e dois reais e cinquenta centavos), devendo o referido valor ser somado ao valor inicialmente contratado, com amparo legal previsto no § 1º do Art. 65 da Lei nº 8.666/93.</t>
  </si>
  <si>
    <t>DOE:12.041DOU: Nº 81</t>
  </si>
  <si>
    <t>174/2017</t>
  </si>
  <si>
    <t>Alteração da CLÁUSULA SEXTA – DA VIGÊNCIA DO CONTRATO, prorrogando a vigência do contrato original por mais 180 (cento e oitenta) dias, com amparo legal previsto no Art. 57, §1º, inciso VI da Lei nº 8.666/93.</t>
  </si>
  <si>
    <t>Alteração da CLÁUSULA TERCEIRA - DO PREÇO E CONDIÇÕES DE PAGAMENTO, acrescendo 25% (vinte e cinco por cento) aos itens 43, 128, 157, 181 contratados, que perfaz a quantia
de R$ 17.607,50 (dezessete mil seiscentos e sete reais e cinquenta centavos), devendo o referido valor ser somado ao valor inicialmente contratado, com amparo legal previsto no § 1º do Art. 65 da Lei nº 8.666/93.</t>
  </si>
  <si>
    <t>175/2017</t>
  </si>
  <si>
    <t>25371/2017</t>
  </si>
  <si>
    <t>Contratação de Serviço Técnico especializado para promover a atualização do mapeamento dos segmentos de saúde, com levantamento das áreas cobertas com população acompanhada por cada Agente Comunitário de Saúde – ACS, quantitativo de áreas sem cobertura por ACS e levantamento da situação epidemiológica da população residente no Município de Rio Branco.</t>
  </si>
  <si>
    <t>GEANE DA SILVEIRA LIMA</t>
  </si>
  <si>
    <t xml:space="preserve">631.801.622-87 </t>
  </si>
  <si>
    <t>Inciso II do art. 24 da Lei nº 8.666/93</t>
  </si>
  <si>
    <t>176/2017</t>
  </si>
  <si>
    <t>19289/2017</t>
  </si>
  <si>
    <t>Aquisição Material para Suprimento das Necessidades Assistenciais das Equipes de Atenção Básica – Kit Agente de Saúde, para atender as necessidades da SEMSA</t>
  </si>
  <si>
    <t>177/2017</t>
  </si>
  <si>
    <t>178/2017</t>
  </si>
  <si>
    <t>9559/2017</t>
  </si>
  <si>
    <t>APURINÃ EIRELI</t>
  </si>
  <si>
    <t>Contratação de Empresa para Execução de Serviços de Construção de Unidade Básica de Saúde – Porte IV, localizada na Rua Vertente, esquina com a Rua do Divisor, S/N, Bairro São Francisco, no Município de Rio Branco – Acre.</t>
  </si>
  <si>
    <t xml:space="preserve">03.200.207/0001-06 </t>
  </si>
  <si>
    <t>01 (RP) e 14 (SUS) – Proposta nº 84.317.205000/1150-10.</t>
  </si>
  <si>
    <t>Regime de empreitada por preço unitário</t>
  </si>
  <si>
    <t>300  dias, contados a partir do recebimento, da Ordem de Serviços a ser emitida pela CONTRATANTE</t>
  </si>
  <si>
    <t>179/2017</t>
  </si>
  <si>
    <t>25937/2017</t>
  </si>
  <si>
    <t>Contratação de pessoa jurídica especializada para realização de pesquisa intitulada “Vigilância de Acidente e Violência – VIVA Inquérito 2017” a ser executada no Hospital de Urgência e Emergência de Rio Branco – HUERB, visando a implementação do Sistema de Vigilância de Violência e Acidente, no âmbito do Sistema Único de Saúde, na busca da prevenção da morbimortalidade por esses agravos</t>
  </si>
  <si>
    <t>FUNDAÇÃO DE APOIO E DESENVOLVIMENTO AO ENSINO, PESQUISA E EXTENSÃO UNIVERSITÁRIA NO ACRE - FUNDAPE</t>
  </si>
  <si>
    <t>02.646.829/0001-91</t>
  </si>
  <si>
    <t>14 (SUS - Portaria n.º 882/2017 - Ministério da Saúde).</t>
  </si>
  <si>
    <t>Inciso XIII do art. 24 da Lei nº 8.666/93 e suas alterações.</t>
  </si>
  <si>
    <t>180/2017</t>
  </si>
  <si>
    <t>Alteração da CLÁUSULA TERCEIRA - DO PREÇO E CONDIÇÕES DE PAGAMENTO, acrescendo 25% (vinte e cinco por cento) aos itens 6, 8, 10 e 11 contratados, perfazendo a quantia de
R$ 6.151,00 (seis mil cento e cinquenta e um reais), devendo o referido valor ser somado ao valor inicialmente contratado, com amparo legal previsto no § 1º do Art. 65 da Lei nº 8.666/93.</t>
  </si>
  <si>
    <t>Alteração da CLÁUSULA QUARTA - PRAZO DE VIGÊNCIA DO CONTRATO, prorrogando o contrato original por mais 12 (doze) meses.
Fundamentação Legal: inciso II do art. 57 da Lei Federal nº. 8.666/1993.</t>
  </si>
  <si>
    <t>Alteração da CLÁUSULA SEXTA – DA VIGÊNCIA DO CONTRATO, prorrogando a vigência do contrato original por mais 3 (três) meses, com amparo legal previsto no Art. 57, §1º, inciso VI da Lei nº 8.666/93.</t>
  </si>
  <si>
    <t>181/2017</t>
  </si>
  <si>
    <t>182/2017</t>
  </si>
  <si>
    <t>183/2017</t>
  </si>
  <si>
    <t>184/2017</t>
  </si>
  <si>
    <t>18890/2017</t>
  </si>
  <si>
    <t>Aquisição de Insumos de Imagem</t>
  </si>
  <si>
    <t>185/2017</t>
  </si>
  <si>
    <t xml:space="preserve">12.500.762/0001-36 </t>
  </si>
  <si>
    <t>186/2017</t>
  </si>
  <si>
    <t>IBF INDÚSTRIA BRASILEIRA DE FILMES S/A</t>
  </si>
  <si>
    <t>33.255.787/0001-91</t>
  </si>
  <si>
    <t>187/2017</t>
  </si>
  <si>
    <t>13107/2017</t>
  </si>
  <si>
    <t>CONSTRUTORA MIRANDA LTDA</t>
  </si>
  <si>
    <t xml:space="preserve">02.562.103/0001-70 </t>
  </si>
  <si>
    <t xml:space="preserve">Contratação de Empresa para Execução de Serviços de Construção do Centro de Apoio ao Diagnóstico – CAD Roney Meireles, localizado na Rua Gavião, Bairro Adalberto Sena, no Município de Rio Branco - Acre.
</t>
  </si>
  <si>
    <t>01 (RP) e 14 (SUS) – Convênio nº 2233/2007</t>
  </si>
  <si>
    <t>210  dias, contados a partir do recebimento,  da Ordem de Serviços a ser emitida pela CONTRATANTE</t>
  </si>
  <si>
    <t>DOE:11372</t>
  </si>
  <si>
    <t>188/2017</t>
  </si>
  <si>
    <t>189/2017</t>
  </si>
  <si>
    <t>190/2017</t>
  </si>
  <si>
    <t>191/2017</t>
  </si>
  <si>
    <t>192/2017</t>
  </si>
  <si>
    <t>193/2017</t>
  </si>
  <si>
    <t xml:space="preserve">Alteração da CLÁUSULA QUARTA – DO PRAZO DE VIGÊNCIA, prorrogando o contrato original por mais 12 (doze) meses.
</t>
  </si>
  <si>
    <t xml:space="preserve"> 17/08/2018</t>
  </si>
  <si>
    <t>Alteração da CLÁUSULA TERCEIRA - DO PREÇO E CONDIÇÕES DE PAGAMENTO, acrescendo 25% (vinte e cinco por cento) aos itens 8, 36 e 51 contratados, que perfaz a quantia de R$
3.908,10 (três mil novecentos e oito reais e dez centavos), devendo o referido valor ser somado ao valor inicialmente contratado, com amparo legal previsto no § 1º do Art. 65 da Lei nº 8.666/93.</t>
  </si>
  <si>
    <t>Alteração da CLÁUSULA TERCEIRA - DO PREÇO E CONDIÇÕES DE PAGAMENTO, acrescendo 25% (vinte e cinco por cento) ao item 4 contratado, que perfaz a quantia de R$ 8.000,00 (oito mil reais), devendo o referido valor ser somado ao valor inicialmente contratado, com amparo legal previsto no § 1º do Art. 65 da Lei nº 8.666/93.</t>
  </si>
  <si>
    <t>Alteração da CLÁUSULA TERCEIRA - DO PREÇO E CONDIÇÕES DE PAGAMENTO, acrescendo 25% (vinte e cinco por cento) ao item 2 contratado, que perfaz a quantia de R$ 8.750,00 (oito mil e setecentos e cinquenta reais), devendo o referido valor ser
somado ao valor inicialmente contratado, com amparo legal previsto no § 1º do Art. 65 da Lei nº 8.666/93.</t>
  </si>
  <si>
    <t>Alteração da CLÁUSULA TERCEIRA - DO PREÇO E CONDIÇÕES DE PAGAMENTO, acrescendo 25% (vinte e cinco por cento) ao item 18 contratado, que perfaz a quantia de R$ 7.480,00 (sete mil quatrocentos e oitenta reais), devendo o referido valor ser somado
ao valor inicialmente contratado, com amparo legal previsto no § 1º do Art. 65 da Lei nº 8.666/93.</t>
  </si>
  <si>
    <t>DOE:12.069DOU: Nº 108</t>
  </si>
  <si>
    <t>DOE:12.065DOU: Nº 105</t>
  </si>
  <si>
    <t>DOE:12.063DOU: Nº 104</t>
  </si>
  <si>
    <t>CANCELADO</t>
  </si>
  <si>
    <t>DOE:11024</t>
  </si>
  <si>
    <t>194/2017</t>
  </si>
  <si>
    <t>31715/2017</t>
  </si>
  <si>
    <t>GOLBERY MOURÃO DE HOLANDA</t>
  </si>
  <si>
    <t xml:space="preserve">970.107.662-15 </t>
  </si>
  <si>
    <t>Contratação de Prestação de Serviço de Profissional para realização de Musicoterapia – Modalidade Violão, no auxílio à reabilitação dos pacientes acompanhados pela Equipe Multiprofissional de Atenção Domiciliar - EMAD.</t>
  </si>
  <si>
    <t>14 (SUS); Conta Financeira: 2111602314.</t>
  </si>
  <si>
    <t>18892/2017</t>
  </si>
  <si>
    <t>Aquisição de Material de Consumo e Permanente Hospitalar</t>
  </si>
  <si>
    <t>195/2017</t>
  </si>
  <si>
    <t>DENTAL UNIVERSO EIRELI - EPP</t>
  </si>
  <si>
    <t>26.395.502/0001-52</t>
  </si>
  <si>
    <t xml:space="preserve">3.3.90.30.00 e 44.90.52.00 </t>
  </si>
  <si>
    <t>28024/2017</t>
  </si>
  <si>
    <t>196/2017</t>
  </si>
  <si>
    <t>14 (SUS) – Portaria nº 475/2014 – Conta Financeira: 2112602212.</t>
  </si>
  <si>
    <t>197/2017</t>
  </si>
  <si>
    <t>198/2017</t>
  </si>
  <si>
    <t>JAIRO A. DE MELO - ME</t>
  </si>
  <si>
    <t>63.603.997/001-94</t>
  </si>
  <si>
    <t>199/2017</t>
  </si>
  <si>
    <t>200/2017</t>
  </si>
  <si>
    <t>201/2017</t>
  </si>
  <si>
    <t>202/2017</t>
  </si>
  <si>
    <t>203/2017</t>
  </si>
  <si>
    <t>204/2017</t>
  </si>
  <si>
    <t>205/2017</t>
  </si>
  <si>
    <t>A. TOMOKO IWAKURA NASCIMENTO – ME</t>
  </si>
  <si>
    <t>JASIEL ALVES DE MELO - ME</t>
  </si>
  <si>
    <t>05.393.194/0001-56</t>
  </si>
  <si>
    <t>ASSIS FRANCISCO A. LIMA - ME</t>
  </si>
  <si>
    <t>10.170.769/0001-01</t>
  </si>
  <si>
    <t>206/2017</t>
  </si>
  <si>
    <t>207/2017</t>
  </si>
  <si>
    <t>208/2017</t>
  </si>
  <si>
    <t>209/2017</t>
  </si>
  <si>
    <t>210/2017</t>
  </si>
  <si>
    <t>211/2017</t>
  </si>
  <si>
    <t>212/2017</t>
  </si>
  <si>
    <t>213/2017</t>
  </si>
  <si>
    <t>214/2017</t>
  </si>
  <si>
    <t>215/2017</t>
  </si>
  <si>
    <t>216/2017</t>
  </si>
  <si>
    <t>217/2017</t>
  </si>
  <si>
    <t>218/2017</t>
  </si>
  <si>
    <t>219/2017</t>
  </si>
  <si>
    <t>220/2017</t>
  </si>
  <si>
    <t>221/2017</t>
  </si>
  <si>
    <t>222/2017</t>
  </si>
  <si>
    <t>223/2017</t>
  </si>
  <si>
    <t>224/2017</t>
  </si>
  <si>
    <t>225/2017</t>
  </si>
  <si>
    <t>226/2017</t>
  </si>
  <si>
    <t>562/2017</t>
  </si>
  <si>
    <t>Contratação de Empresa especializada na execução de serviços de motoboy,para atender as demandas da Secretaria Municipal de Saúde</t>
  </si>
  <si>
    <t xml:space="preserve">18.765.432/0001-59 </t>
  </si>
  <si>
    <t>19178/2017</t>
  </si>
  <si>
    <t>Aquisição de Testes de Urinálise com Cessão de Equipamento, para atender as necessidades da SEMSA</t>
  </si>
  <si>
    <t>18552/2017</t>
  </si>
  <si>
    <t>PREDIAL CONSTRUÇÕES LTDA</t>
  </si>
  <si>
    <t xml:space="preserve">13.676.569/0001-13 </t>
  </si>
  <si>
    <t>Contratação de Empresa para Execução de Serviços de Construção de Unidade Básica de Saúde – Porte I, localizada na Rua Lídia Rodrigues, S/N, Vila Manoel Marques, no Município de Rio Branco – Acre.</t>
  </si>
  <si>
    <t>01 (Recurso Próprio) e 14 (SUS) – Proposta nº 84.317.205000/1150-12.</t>
  </si>
  <si>
    <t>30588/2017</t>
  </si>
  <si>
    <t xml:space="preserve">14 (SUS) PQAVS
Portaria nº 3.276/2013 e 2.313/2002
Rede Psicossocial – Conta Financeira nº 2112602246
</t>
  </si>
  <si>
    <t xml:space="preserve">14 (SUS) PQAVS
Portaria nº 3.276/2013 e 2.313/2002
</t>
  </si>
  <si>
    <t xml:space="preserve">14 (SUS)  PQAVS
Rede Psicossocial – Conta Financeira nº 2112602246
</t>
  </si>
  <si>
    <t xml:space="preserve">14 (SUS)  PQAVS
Portaria nº 3.276/2013 e 2.313/2002
Rede Psicossocial – Conta Financeira nº 2112602246
</t>
  </si>
  <si>
    <t>TOK TOK IND. E COM. DE MÓVEIS LTDA</t>
  </si>
  <si>
    <t>84.328.228/0001-03</t>
  </si>
  <si>
    <t xml:space="preserve">14 (SUS) PQAVS
Rede Psicossocial – Conta Financeira nº 2112602246
</t>
  </si>
  <si>
    <t>COOPERATIVA DE PRODUÇÃO DOS MOVELEIROS DO ESTADO DO ACRE – COOPERMÓVEIS</t>
  </si>
  <si>
    <t>07.034.359/0001-29</t>
  </si>
  <si>
    <t>DOE:12.064DOU: Nº 104</t>
  </si>
  <si>
    <t>DOE:11.987DOU: Nº 24</t>
  </si>
  <si>
    <t>DOE:12.099DOU: Nº 138</t>
  </si>
  <si>
    <t xml:space="preserve"> 01/09/2018</t>
  </si>
  <si>
    <t>Alteração da CLÁUSULA TERCEIRA - DO PREÇO E CONDIÇÕES DE PAGAMENTO, acrescendo aproximadamente 12,89% (doze vírgula oitenta e nove por cento) ao valor originalmente contratado, que perfaz a quantia de R$ 4.384,00 (quatro mil trezentos e
oitenta e quatro reais).
Fundamentação Legal: Art. 65 §1º da Lei nº 8.666/1993.</t>
  </si>
  <si>
    <t>Alteração da CLÁUSULA QUINTA – DO VALOR DO CONTRATO – EMPENHO E DOTAÇÃO DO VALOR, acrescendo a importância de R$ 54.242,41 (cinquenta e quatro mil duzentos e quarenta
e dois reais e quarenta e um centavos), e, suprimindo a importância de R$ 5.552,47 (cinco mil quinhentos e cinquenta e dois reais e quarenta e sete centavos), perfazendo a diferença de R$ 48.689,94 (quarenta e oito mil seiscentos e oitenta e nove reais e noventa e quatro centavos) a ser acrescido ao valor contratado, conforme adequação apresentada
através do Ofício nº 1.748/GAB/SEOP.
Fundamentação Legal: Art. 65 §1º da Lei nº 8.666/1993.</t>
  </si>
  <si>
    <t>Alteração da CLÁUSULA TERCEIRA - DO PREÇO E CONDIÇÕES DE PAGAMENTO, acrescendo 25% (vinte e cinco por cento) ao item 15 contratado, que perfaz a quantia de R$ 575,00 (quinhentos e setenta e cinco reais), devendo o referido valor ser somado ao valor
inicialmente contratado, com amparo legal previsto no § 1º do Art. 65 da Lei nº 8.666/93.</t>
  </si>
  <si>
    <t>227/2017</t>
  </si>
  <si>
    <t>29344/2017</t>
  </si>
  <si>
    <t>Aquisição de Pomada (Stryphnodendronadstringens (Mart.) Coville extrato seco 50% 60 mg/g-Fitoterápico – Tubo com 20 g)</t>
  </si>
  <si>
    <t>01 (Recurso Próprio); 14 (SUS) e 15 (Convênio Estadual).</t>
  </si>
  <si>
    <t xml:space="preserve">DOU: Nº 164 DOE:12.126   </t>
  </si>
  <si>
    <t>Art. 24 e 62, Inciso II da Lei nº 8.666/93</t>
  </si>
  <si>
    <t>Alteração da CLÁUSULA TERCEIRA - DO PREÇO E CONDIÇÕES DE PAGAMENTO, acrescendo 25% (vinte e cinco por cento) ao item 19 contratado, que perfaz a quantia de R$ 13.425,00
(treze mil quatrocentos e vinte e cinco reais), devendo o referido valor ser somado ao valor inicialmente contratado, com amparo legal previsto no § 1º do Art. 65 da Lei nº 8.666/93.</t>
  </si>
  <si>
    <t>Alteração da CLÁUSULA TERCEIRA - DO PREÇO E CONDIÇÕES DE PAGAMENTO, acrescendo 25% (vinte e cinco por cento) aos itens 18, 20, 41, 64, 87, 97 e 154, contratados, que perfaz
a quantia de R$ 33.000,00 (trinta e três mil reais), devendo o referido valor ser somado ao valor inicialmente contratado, com amparo legal previsto no § 1º do Art. 65 da Lei nº 8.666/93.</t>
  </si>
  <si>
    <t>228/2017</t>
  </si>
  <si>
    <t>229/2017</t>
  </si>
  <si>
    <t>11739/2017</t>
  </si>
  <si>
    <t>Aquisição de Permanente Geral do CAD – Através de Emenda Parlamentar, para atender as necessidades da Secretaria Municipal de Saúde</t>
  </si>
  <si>
    <t>CCK COMERCIAL EIRELI - EPP</t>
  </si>
  <si>
    <t>22.065.938/0001-22</t>
  </si>
  <si>
    <t>LAPTOP INFORMÁTICA E TECNOLOGIA LTDA - EPP</t>
  </si>
  <si>
    <t>34.770.156/0001-73</t>
  </si>
  <si>
    <t>22532/2017</t>
  </si>
  <si>
    <t>230/2017</t>
  </si>
  <si>
    <t>01 (RP) e 14 (SUS) e 15 (Convênio Estadual).</t>
  </si>
  <si>
    <t>231/2017</t>
  </si>
  <si>
    <t>232/2017</t>
  </si>
  <si>
    <t>233/2017</t>
  </si>
  <si>
    <t>W. I. PHARMA DISTRIBUIDORA LTDA - ME</t>
  </si>
  <si>
    <t>20.893.901/0001-67</t>
  </si>
  <si>
    <t>234/2017</t>
  </si>
  <si>
    <t>235/2017</t>
  </si>
  <si>
    <t>236/2017</t>
  </si>
  <si>
    <t>237/2017</t>
  </si>
  <si>
    <t>DECARES COMÉRCIO LTDA</t>
  </si>
  <si>
    <t>01.708.499/0001-59</t>
  </si>
  <si>
    <t>238/2017</t>
  </si>
  <si>
    <t>DISACRE COMERCIO E REPRESENTAÇÃO IMP. E EXP. LTDA</t>
  </si>
  <si>
    <t>239/2017</t>
  </si>
  <si>
    <t>PROMEFARMA REPRESENTAÇÕES COMERCIAIS LTDA</t>
  </si>
  <si>
    <t>81.706.251/0001-98</t>
  </si>
  <si>
    <t>240/2017</t>
  </si>
  <si>
    <t>241/2017</t>
  </si>
  <si>
    <t>RECMED COM. MAT. HOSPITALARES LTDA</t>
  </si>
  <si>
    <t>06.696.359/0001-21</t>
  </si>
  <si>
    <t>242/2017</t>
  </si>
  <si>
    <t>RB DISTRIBUIDORA E COM. DE CONSUMO, MEDICAMENTOS E MERC. EM GERAL LTDA</t>
  </si>
  <si>
    <t>07.987.265/0001-74</t>
  </si>
  <si>
    <t>243/2017</t>
  </si>
  <si>
    <t>MAURO DOS SANTOS FILHO - ME</t>
  </si>
  <si>
    <t>16.611.943/0001-90</t>
  </si>
  <si>
    <t>244/2017</t>
  </si>
  <si>
    <t>BIOGEN DISTRIBUIDORA DE MEDICAMENTOS EIRELI</t>
  </si>
  <si>
    <t>04.929.044/0001-51</t>
  </si>
  <si>
    <t>Fica RESCINDIDO DE FORMA AMIGÁVEL, a partir desta data o Contrato nº. 081/2017, firmado em 13/02/2017, cuja finalidade era a Manutenção e Reposição de Peças em Equipamentos Médico-Hospitalares, visando atender as necessidades da Secretaria Municipal de Saúde.
A presente rescisão encontra-se motivada no requerimento da empresa e Despacho nº 141/2017 da Assessoria Jurídica do Fundo Municipal de Saúde.
Fundamentação Legal: Artigo 79, inciso II, da Lei nº. 8.666/93.</t>
  </si>
  <si>
    <t>Alteração da CLÁUSULA DÉCIMA SEGUNDA - DA VIGÊNCIA, prorrogando o contrato original por mais 12 (doze) meses, com amparo legal previsto no inciso II do art. 57 da Lei nº. 8.666/93
e suas alterações.</t>
  </si>
  <si>
    <t>Alteração da CLÁUSULA SEXTA – DA VIGÊNCIA DO CONTRATO, prorrogando a vigência do contrato original por mais 6 (seis) meses, conforme justificativa apresentada pela Secretaria Municipal de Obras Públicas, com amparo legal previsto no Art. 57, §1º, inciso
IV da Lei nº 8.666/93.</t>
  </si>
  <si>
    <t xml:space="preserve">DOU: Nº 75 DOE:12.035   </t>
  </si>
  <si>
    <t xml:space="preserve">Alteração da CLÁUSULA DÉCIMA SEGUNDA - DA VIGÊNCIA, prorrogando o contrato original por mais 12 (doze) meses, com amparo legal previsto no inciso II do art. 57 da Lei nº. 8.666/93
e suas alterações.
</t>
  </si>
  <si>
    <t>245/2017</t>
  </si>
  <si>
    <t>29345/2017</t>
  </si>
  <si>
    <t>Aquisição de Protetor Solar</t>
  </si>
  <si>
    <t>247/2017</t>
  </si>
  <si>
    <t>248/2017</t>
  </si>
  <si>
    <t>28179/2017</t>
  </si>
  <si>
    <t>Aquisição de Material de Consumo de Informática (Cartuchos e Tonners), para atender as demandas da Secretaria Municipal de Saúde, no Município de Rio Branco - AC</t>
  </si>
  <si>
    <t>249/2017</t>
  </si>
  <si>
    <t>CONSTRU-MED COMÉRCIO E SERVIÇOS EIRELI</t>
  </si>
  <si>
    <t xml:space="preserve">DOU: Nº 168 DOE:12.129   </t>
  </si>
  <si>
    <t xml:space="preserve">DOU: Nº 164 DOE:12.125   </t>
  </si>
  <si>
    <t>Alteração da CLÁUSULA TERCEIRA - DO PREÇO E CONDIÇÕES DE PAGAMENTO, acrescendo 25% (vinte e cinco por cento) aos itens 42 e 129 contratados, que perfaz a quantia de R$ 44.850,00 (quarenta e quatro mil oitocentos e cinquenta reais), devendo o referido
valor ser somado ao valor inicialmente contratado, com amparo legal previsto no § 1º do Art. 65 da Lei nº 8.666/93.</t>
  </si>
  <si>
    <t>Alteração da CLÁUSULA SEXTA – DA VIGÊNCIA DO CONTRATO, prorrogando a vigência contratual e execução dos serviços por mais 90 (noventa) dias, conforme justificativa apresentada pela Secretaria Municipal de Obras Públicas, com amparo legal previsto no Art.
57, §1º, inciso IV da Lei nº 8.666/93.</t>
  </si>
  <si>
    <t xml:space="preserve">DOU: Nº 147 DOE:12.107   </t>
  </si>
  <si>
    <t>Alteração da CLÁUSULA SEXTA – DA VIGÊNCIA DO CONTRATO, prorrogando a vigência contratual e o prazo de execução dos serviços por mais 90 (noventa) dias, conforme justificativa apresentada pela Secretaria Municipal de Obras Públicas, com amparo legal previsto no Art. 57, §1º, inciso VI da Lei nº 8.666/93.</t>
  </si>
  <si>
    <t>AMPLIAÇÃO</t>
  </si>
  <si>
    <t>250/2017</t>
  </si>
  <si>
    <t>CENTERMEDI COMÉRCIO DE PRODUTOS HOSPITALARES LTDA</t>
  </si>
  <si>
    <t>03.652.030/0001-70</t>
  </si>
  <si>
    <t>251/2017</t>
  </si>
  <si>
    <t>SUPERMÉDICA DISTRIBUIDORA HOSPITALAR EIRELI</t>
  </si>
  <si>
    <t>06.065.614/0001-38</t>
  </si>
  <si>
    <t>246/2017</t>
  </si>
  <si>
    <t>UNIVERSO DA INFORMÁTICA EIRELI - ME</t>
  </si>
  <si>
    <t>09.326.917/0001-55</t>
  </si>
  <si>
    <t>252/2017</t>
  </si>
  <si>
    <t>ESTAÇÃO DA RECARGA PRODUTOS DE INFORMÁTICA LTDA</t>
  </si>
  <si>
    <t>84.329.531/0001-12</t>
  </si>
  <si>
    <t>36731/2017</t>
  </si>
  <si>
    <t>Aquisição de Gás Liquefeito de Petróleo (GLP) em botijão de 13kg, para atender a Secretaria Municipal de Saúde</t>
  </si>
  <si>
    <t>253/2017</t>
  </si>
  <si>
    <t>254/2017</t>
  </si>
  <si>
    <t>24819/2017</t>
  </si>
  <si>
    <t>Contratação de Empresa para Execução de Serviços de Construção de Unidade Básica de Saúde – Porte I, localizada na Rua Travessa Ginásio Coberto, S/N, Bairro Aeroporto Velho, no Município de Rio Branco – Acre.</t>
  </si>
  <si>
    <t>01 (R P) e 14 (SUS) – Proposta nº 84.317.205000/1160-06</t>
  </si>
  <si>
    <t xml:space="preserve">DOU: Nº 135 DOE:12.096  </t>
  </si>
  <si>
    <t>255/2017</t>
  </si>
  <si>
    <t>17900/2017</t>
  </si>
  <si>
    <t>CODIL IMPORTAÇÃO E EXPORTAÇÃO EIRELI - EPP</t>
  </si>
  <si>
    <t>04.010.582/0001-48</t>
  </si>
  <si>
    <t>Aquisição de Insumos Diversos</t>
  </si>
  <si>
    <t>3.3.90.30.00 (Material de Consumo) e 4.4.90.52.00 (Material Permanente)</t>
  </si>
  <si>
    <t>256/2017</t>
  </si>
  <si>
    <t>EDIFICARE ENGENHARIA LTDA</t>
  </si>
  <si>
    <t>11.656.910/0001-43</t>
  </si>
  <si>
    <t>257/2017</t>
  </si>
  <si>
    <t>K. M. COSTA - ME</t>
  </si>
  <si>
    <t>20.784.174/0001-08</t>
  </si>
  <si>
    <t>258/2017</t>
  </si>
  <si>
    <t>MARÇAL E MATOS COMÉRCIO SERVIÇOS E CONSTRUÇÕES LTDA - EPP</t>
  </si>
  <si>
    <t>13.014.103/0001-52</t>
  </si>
  <si>
    <t xml:space="preserve">DOU: Nº 98 DOE:12.058  </t>
  </si>
  <si>
    <t>34428/2017</t>
  </si>
  <si>
    <t>CONVITE</t>
  </si>
  <si>
    <t>Contratação de Empresa para Execução de Serviços de Ampliação da Unidade de Saúde da Família – USF Santa Inês, localizada na Rua Edmundo Pinto, Nº 314, Bairro Santa Inês, no Município de Rio Branco - Acre.</t>
  </si>
  <si>
    <t>Ampliação</t>
  </si>
  <si>
    <t>AMAZÔNIA CONSTRUÇÕES E COMÉRCIO LTDA</t>
  </si>
  <si>
    <t>259/2017</t>
  </si>
  <si>
    <t xml:space="preserve">03.248.765/0001-33 </t>
  </si>
  <si>
    <t>60 dias,  a partir do recebimento, , da Ordem de Serviços</t>
  </si>
  <si>
    <t>260/2017</t>
  </si>
  <si>
    <t>26836/2017</t>
  </si>
  <si>
    <t>261/2017</t>
  </si>
  <si>
    <t>MASTER COMÉRCIO &amp; SERVIÇOS</t>
  </si>
  <si>
    <t>4.4.90.52.00 (Material Permanente)</t>
  </si>
  <si>
    <t>262/2017</t>
  </si>
  <si>
    <t xml:space="preserve">DOU: Nº 148 DOE:12.109  </t>
  </si>
  <si>
    <t>Alteração da CLÁUSULA TERCEIRA - DO PREÇO, CONDIÇÕES DE PAGAMENTO E REAJUSTE, acrescendo 25% (vinte e cinco por cento) ao item 01 contratado, que perfaz o valor de R$ 9.867,18 (nove mil oitocentos e sessenta e sete reais e dezoito centavos), com amparo legal previsto no §1º do art. 65 da Lei nº 8.666/93.</t>
  </si>
  <si>
    <t>Alteração da CLÁUSULA QUARTA - PRAZO DE VIGÊNCIA DO CONTRATO, prorrogando o contrato original por mais 12 (doze) meses, com amparo legal previsto no Art. 57 §1º inciso III da
Lei nº. 8.666/93.</t>
  </si>
  <si>
    <t>Alteração da CLÁUSULA TERCEIRA - DO PREÇO E CONDIÇÕES DE PAGAMENTO, acrescendo 1,02% (um vírgula zero dois por cento) ao valor originalmente contratado, que perfaz a quantia de R$ 1.425,23 (um mil quatrocentos e vinte e cinco reais e vinte e três reais), referente a inclusão de um Doblô, duas caminhonetes L-200/Triton e uma motocicleta CG 160.
Fundamentação Legal: § 1º do Art. 65 da Lei nº 8.666/93.</t>
  </si>
  <si>
    <t>Alteração da CLÁUSULA TERCEIRA - DO PREÇO E CONDIÇÕES DE PAGAMENTO, acrescendo 25% (vinte e cinco por cento) aos itens 16, 17, 18, 19, 20, 21, 22 e 23 contratados, que perfaz a quantia de R$ 9.243,00 (nove mil duzentos e quarenta e três
reais), devendo o referido valor ser somado ao valor inicialmente contratado, com amparo legal previsto no § 1º do Art. 65 da Lei nº 8.666/93.</t>
  </si>
  <si>
    <t xml:space="preserve">DOU: Nº 187 DOE:12.148 </t>
  </si>
  <si>
    <t>da CLÁUSULA TERCEIRA - DO PREÇO E CONDIÇÕES DE PAGAMENTO, acrescendo 25% (vinte e cinco por cento) ao item 43 contratado, que perfaz a quantia de R$ 6.875,00 (seis mil oitocentos e setenta e cinco reais), devendo o referido valor ser somado ao valor inicialmente contratado, com amparo legal previsto no § 1º do Art. 65 da Lei nº 8.666/93.</t>
  </si>
  <si>
    <r>
      <rPr>
        <u/>
        <sz val="10"/>
        <color theme="1"/>
        <rFont val="Arial"/>
        <family val="2"/>
      </rPr>
      <t xml:space="preserve">CONSÓRCIO GIRASSOL:  </t>
    </r>
    <r>
      <rPr>
        <sz val="10"/>
        <color theme="1"/>
        <rFont val="Arial"/>
        <family val="2"/>
      </rPr>
      <t xml:space="preserve">                                                 CONSTRUTORA MOTA &amp; MOTA LTDA</t>
    </r>
  </si>
  <si>
    <r>
      <t xml:space="preserve">ALPHA PRESTAÇÃO DE </t>
    </r>
    <r>
      <rPr>
        <sz val="10"/>
        <color theme="1"/>
        <rFont val="Arial"/>
        <family val="2"/>
      </rPr>
      <t xml:space="preserve"> SERVIÇOS LTDA</t>
    </r>
  </si>
  <si>
    <r>
      <t>064/2016</t>
    </r>
    <r>
      <rPr>
        <sz val="10"/>
        <color rgb="FFFF0000"/>
        <rFont val="Arial"/>
        <family val="2"/>
      </rPr>
      <t xml:space="preserve"> </t>
    </r>
  </si>
  <si>
    <r>
      <t>006/2017</t>
    </r>
    <r>
      <rPr>
        <sz val="10"/>
        <color rgb="FFFF0000"/>
        <rFont val="Arial"/>
        <family val="2"/>
      </rPr>
      <t xml:space="preserve"> </t>
    </r>
  </si>
  <si>
    <r>
      <t xml:space="preserve">Alterar a Cláusula  Décima Sexta - VALOR GLOBAL do Contrato original - </t>
    </r>
    <r>
      <rPr>
        <b/>
        <sz val="10"/>
        <rFont val="Arial"/>
        <family val="2"/>
      </rPr>
      <t>AMPLIAÇÃO DO ESPAÇO</t>
    </r>
  </si>
  <si>
    <r>
      <t>Contratação de Serviços de Transporte, Veículo tipo veículo passeio(marca</t>
    </r>
    <r>
      <rPr>
        <sz val="10"/>
        <color rgb="FF000000"/>
        <rFont val="Arial"/>
        <family val="2"/>
      </rPr>
      <t>Fiat Uno Mille Way Econ</t>
    </r>
    <r>
      <rPr>
        <sz val="10"/>
        <color theme="1"/>
        <rFont val="Arial"/>
        <family val="2"/>
      </rPr>
      <t>, Cor Verde, Placa NAF 1790, Ano 2010/2011), destinados atender as ações da SEMSA no perímetro de Rio Branco (zona urbana e rural)</t>
    </r>
  </si>
  <si>
    <r>
      <t>04.130.919/0001-50</t>
    </r>
    <r>
      <rPr>
        <sz val="10"/>
        <color theme="1"/>
        <rFont val="Arial"/>
        <family val="2"/>
      </rPr>
      <t xml:space="preserve"> </t>
    </r>
  </si>
  <si>
    <r>
      <t xml:space="preserve">ÓRGÃO/ENTIDADE/FUNDO: </t>
    </r>
    <r>
      <rPr>
        <b/>
        <sz val="11"/>
        <color theme="1"/>
        <rFont val="Arial"/>
        <family val="2"/>
      </rPr>
      <t>SECRETARIA MUNICIPAL DE SAÚDE - FUNDO MUNICIPAL DE SAÚDE - FMS</t>
    </r>
  </si>
  <si>
    <r>
      <t xml:space="preserve">MÊS/ANO: </t>
    </r>
    <r>
      <rPr>
        <b/>
        <sz val="11"/>
        <color theme="1"/>
        <rFont val="Arial"/>
        <family val="2"/>
      </rPr>
      <t>JANEIRO A NOVEMBRO/2017</t>
    </r>
  </si>
  <si>
    <r>
      <t xml:space="preserve">DATA DA ÚLTIMA ATUALIZAÇÃO: </t>
    </r>
    <r>
      <rPr>
        <b/>
        <sz val="11"/>
        <rFont val="Arial"/>
        <family val="2"/>
      </rPr>
      <t>06/12/2017</t>
    </r>
  </si>
  <si>
    <t>TOTAL</t>
  </si>
  <si>
    <r>
      <t xml:space="preserve">Nome do responsável pela elaboração: </t>
    </r>
    <r>
      <rPr>
        <b/>
        <sz val="10"/>
        <color theme="1"/>
        <rFont val="Arial"/>
        <family val="2"/>
      </rPr>
      <t>MARILDA NASCIMENTO DE LIMA FILHA</t>
    </r>
  </si>
  <si>
    <r>
      <t>Nome do titular do Órgão/Entidade/Fundo (no exercício do cargo):</t>
    </r>
    <r>
      <rPr>
        <b/>
        <sz val="10"/>
        <color theme="1"/>
        <rFont val="Arial"/>
        <family val="2"/>
      </rPr>
      <t>OTENIEL ALMEIDA DOS SANTOS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</si>
</sst>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R$&quot;\ * #,##0.00_-;\-&quot;R$&quot;\ * #,##0.00_-;_-&quot;R$&quot;\ * &quot;-&quot;??_-;_-@_-"/>
    <numFmt numFmtId="43" formatCode="_-* #,##0.00_-;\-* #,##0.00_-;_-* &quot;-&quot;??_-;_-@_-"/>
    <numFmt numFmtId="164" formatCode="_(&quot;R$ &quot;* #,##0.00_);_(&quot;R$ &quot;* \(#,##0.00\);_(&quot;R$ &quot;* &quot;-&quot;??_);_(@_)"/>
    <numFmt numFmtId="165" formatCode="_-* #,##0.000000_-;\-* #,##0.000000_-;_-* &quot;-&quot;??_-;_-@_-"/>
    <numFmt numFmtId="166" formatCode="0.00000"/>
    <numFmt numFmtId="167" formatCode="0.0000000"/>
    <numFmt numFmtId="168" formatCode="_-* #,##0.00000000_-;\-* #,##0.00000000_-;_-* &quot;-&quot;??_-;_-@_-"/>
    <numFmt numFmtId="169" formatCode="_-* #,##0.00000_-;\-* #,##0.00000_-;_-* &quot;-&quot;??_-;_-@_-"/>
    <numFmt numFmtId="170" formatCode="0.000"/>
    <numFmt numFmtId="171" formatCode="_-[$R$-416]\ * #,##0.00_-;\-[$R$-416]\ * #,##0.00_-;_-[$R$-416]\ * &quot;-&quot;??_-;_-@_-"/>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rgb="FF000000"/>
      <name val="Arial"/>
      <family val="2"/>
    </font>
    <font>
      <i/>
      <sz val="10"/>
      <color theme="1"/>
      <name val="Arial"/>
      <family val="2"/>
    </font>
    <font>
      <u/>
      <sz val="10"/>
      <color theme="1"/>
      <name val="Arial"/>
      <family val="2"/>
    </font>
    <font>
      <sz val="10"/>
      <color rgb="FFFF0000"/>
      <name val="Arial"/>
      <family val="2"/>
    </font>
    <font>
      <i/>
      <sz val="10"/>
      <name val="Arial"/>
      <family val="2"/>
    </font>
    <font>
      <i/>
      <sz val="10"/>
      <color rgb="FF000000"/>
      <name val="Arial"/>
      <family val="2"/>
    </font>
    <font>
      <sz val="11"/>
      <color theme="1"/>
      <name val="Arial"/>
      <family val="2"/>
    </font>
    <font>
      <b/>
      <sz val="11"/>
      <color theme="1"/>
      <name val="Arial"/>
      <family val="2"/>
    </font>
    <font>
      <sz val="11"/>
      <name val="Arial"/>
      <family val="2"/>
    </font>
    <font>
      <b/>
      <sz val="11"/>
      <name val="Arial"/>
      <family val="2"/>
    </font>
    <font>
      <b/>
      <sz val="12"/>
      <color theme="1"/>
      <name val="Arial"/>
      <family val="2"/>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673">
    <xf numFmtId="0" fontId="0" fillId="0" borderId="0" xfId="0"/>
    <xf numFmtId="0" fontId="2" fillId="2"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4" fontId="4" fillId="2" borderId="2" xfId="6" applyFont="1" applyFill="1" applyBorder="1" applyAlignment="1">
      <alignment horizontal="center" vertical="center" wrapText="1"/>
    </xf>
    <xf numFmtId="43" fontId="4" fillId="2" borderId="14"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1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4" fontId="3" fillId="2" borderId="1" xfId="6" applyFont="1" applyFill="1" applyBorder="1" applyAlignment="1">
      <alignment horizontal="center" vertical="center" wrapText="1"/>
    </xf>
    <xf numFmtId="43" fontId="3" fillId="2" borderId="1" xfId="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7"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49" fontId="5" fillId="2" borderId="40" xfId="0" applyNumberFormat="1"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49" fontId="5" fillId="2" borderId="42" xfId="0" applyNumberFormat="1" applyFont="1" applyFill="1" applyBorder="1" applyAlignment="1">
      <alignment horizontal="center" vertical="center" wrapText="1"/>
    </xf>
    <xf numFmtId="4" fontId="5" fillId="2" borderId="40" xfId="0" applyNumberFormat="1" applyFont="1" applyFill="1" applyBorder="1" applyAlignment="1">
      <alignment horizontal="center" vertical="center" wrapText="1"/>
    </xf>
    <xf numFmtId="44" fontId="5" fillId="2" borderId="40" xfId="6" applyFont="1" applyFill="1" applyBorder="1" applyAlignment="1">
      <alignment horizontal="center" vertical="center" wrapText="1"/>
    </xf>
    <xf numFmtId="43" fontId="5" fillId="2" borderId="41" xfId="1"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3" xfId="0" applyFont="1" applyFill="1" applyBorder="1" applyAlignment="1">
      <alignment horizontal="center" vertical="center"/>
    </xf>
    <xf numFmtId="44" fontId="2" fillId="2" borderId="1" xfId="1" applyNumberFormat="1" applyFont="1" applyFill="1" applyBorder="1" applyAlignment="1">
      <alignment horizontal="right" vertical="center"/>
    </xf>
    <xf numFmtId="14" fontId="2" fillId="2" borderId="1" xfId="0" applyNumberFormat="1" applyFont="1" applyFill="1" applyBorder="1" applyAlignment="1">
      <alignmen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xf>
    <xf numFmtId="0" fontId="2" fillId="2" borderId="1" xfId="0" applyFont="1" applyFill="1" applyBorder="1" applyAlignment="1">
      <alignment wrapText="1"/>
    </xf>
    <xf numFmtId="44" fontId="2" fillId="2" borderId="1" xfId="1" applyNumberFormat="1" applyFont="1" applyFill="1" applyBorder="1" applyAlignment="1">
      <alignment vertical="center" wrapText="1"/>
    </xf>
    <xf numFmtId="44" fontId="2" fillId="2" borderId="1" xfId="6" applyFont="1" applyFill="1" applyBorder="1" applyAlignment="1">
      <alignment horizontal="right" vertical="center" wrapText="1"/>
    </xf>
    <xf numFmtId="14" fontId="4" fillId="2" borderId="1" xfId="0" applyNumberFormat="1" applyFont="1" applyFill="1" applyBorder="1" applyAlignment="1">
      <alignment horizontal="center" vertical="center" wrapText="1"/>
    </xf>
    <xf numFmtId="44" fontId="2" fillId="2" borderId="2" xfId="6" applyFont="1" applyFill="1" applyBorder="1" applyAlignment="1">
      <alignment horizontal="right" vertical="center" wrapText="1"/>
    </xf>
    <xf numFmtId="44" fontId="4" fillId="2" borderId="2" xfId="6"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4" fillId="2" borderId="2" xfId="0" applyFont="1" applyFill="1" applyBorder="1" applyAlignment="1">
      <alignment horizontal="left" vertical="center" wrapText="1"/>
    </xf>
    <xf numFmtId="14" fontId="4"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0" fontId="4" fillId="2" borderId="9" xfId="0" applyFont="1" applyFill="1" applyBorder="1" applyAlignment="1">
      <alignment horizontal="right" vertical="center" wrapText="1"/>
    </xf>
    <xf numFmtId="49" fontId="4" fillId="2" borderId="9" xfId="0" applyNumberFormat="1"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2" borderId="6"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49" fontId="4" fillId="2" borderId="1" xfId="0" applyNumberFormat="1" applyFont="1" applyFill="1" applyBorder="1" applyAlignment="1">
      <alignment vertical="center" wrapText="1"/>
    </xf>
    <xf numFmtId="0" fontId="4" fillId="2" borderId="9" xfId="0" applyFont="1" applyFill="1" applyBorder="1" applyAlignment="1">
      <alignment horizontal="center" vertical="center"/>
    </xf>
    <xf numFmtId="3" fontId="4" fillId="2" borderId="2"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14" fontId="4" fillId="2" borderId="14" xfId="0" applyNumberFormat="1" applyFont="1" applyFill="1" applyBorder="1" applyAlignment="1">
      <alignment horizontal="center" vertical="center"/>
    </xf>
    <xf numFmtId="14" fontId="4" fillId="2" borderId="9"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left" vertical="center" wrapText="1"/>
    </xf>
    <xf numFmtId="171" fontId="4" fillId="2" borderId="2" xfId="0" applyNumberFormat="1" applyFont="1" applyFill="1" applyBorder="1" applyAlignment="1">
      <alignment horizontal="center" vertical="center" wrapText="1"/>
    </xf>
    <xf numFmtId="14" fontId="4" fillId="2" borderId="1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2" fillId="2" borderId="1" xfId="0" applyFont="1" applyFill="1" applyBorder="1" applyAlignment="1">
      <alignment horizontal="right" wrapText="1"/>
    </xf>
    <xf numFmtId="44" fontId="2" fillId="2" borderId="1" xfId="1" applyNumberFormat="1" applyFont="1" applyFill="1" applyBorder="1" applyAlignment="1">
      <alignment wrapText="1"/>
    </xf>
    <xf numFmtId="0" fontId="2" fillId="2" borderId="0" xfId="0" applyFont="1" applyFill="1" applyBorder="1" applyAlignment="1">
      <alignment horizontal="center"/>
    </xf>
    <xf numFmtId="0" fontId="2" fillId="2" borderId="0" xfId="0" applyFont="1" applyFill="1" applyBorder="1" applyAlignment="1"/>
    <xf numFmtId="0" fontId="2" fillId="2" borderId="0" xfId="0" applyFont="1" applyFill="1" applyBorder="1"/>
    <xf numFmtId="0" fontId="2" fillId="2" borderId="0" xfId="0" applyFont="1" applyFill="1" applyBorder="1" applyAlignment="1">
      <alignment horizontal="right"/>
    </xf>
    <xf numFmtId="0" fontId="2" fillId="2" borderId="0" xfId="0" applyFont="1" applyFill="1" applyBorder="1" applyAlignment="1">
      <alignment vertical="center"/>
    </xf>
    <xf numFmtId="0" fontId="2" fillId="2" borderId="0" xfId="0" applyFont="1" applyFill="1" applyBorder="1" applyAlignment="1">
      <alignment horizontal="right" vertical="center"/>
    </xf>
    <xf numFmtId="44" fontId="2" fillId="2" borderId="0" xfId="6" applyFont="1" applyFill="1" applyBorder="1" applyAlignment="1">
      <alignment wrapText="1"/>
    </xf>
    <xf numFmtId="44" fontId="2" fillId="2" borderId="0" xfId="1" applyNumberFormat="1" applyFont="1" applyFill="1" applyBorder="1" applyAlignment="1">
      <alignment horizontal="center"/>
    </xf>
    <xf numFmtId="44" fontId="2" fillId="2" borderId="0" xfId="0" applyNumberFormat="1" applyFont="1" applyFill="1" applyBorder="1" applyAlignment="1">
      <alignment horizontal="center"/>
    </xf>
    <xf numFmtId="44" fontId="2" fillId="2" borderId="0" xfId="6" applyFont="1" applyFill="1" applyBorder="1" applyAlignment="1">
      <alignment horizontal="center" wrapText="1"/>
    </xf>
    <xf numFmtId="43" fontId="2" fillId="2" borderId="0" xfId="1" applyFont="1" applyFill="1" applyBorder="1" applyAlignment="1">
      <alignment horizontal="center"/>
    </xf>
    <xf numFmtId="0" fontId="2" fillId="2" borderId="0" xfId="0" applyNumberFormat="1" applyFont="1" applyFill="1" applyBorder="1" applyAlignment="1">
      <alignment horizontal="center"/>
    </xf>
    <xf numFmtId="0" fontId="2" fillId="2" borderId="0" xfId="0" applyFont="1" applyFill="1" applyAlignment="1">
      <alignment horizontal="center" vertical="center"/>
    </xf>
    <xf numFmtId="0" fontId="2" fillId="2" borderId="3" xfId="0" applyFont="1" applyFill="1" applyBorder="1" applyAlignment="1">
      <alignment vertical="center" wrapText="1"/>
    </xf>
    <xf numFmtId="3" fontId="2" fillId="2" borderId="3"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right" vertical="center" wrapText="1"/>
    </xf>
    <xf numFmtId="44" fontId="2" fillId="2" borderId="3" xfId="1" applyNumberFormat="1" applyFont="1" applyFill="1" applyBorder="1" applyAlignment="1">
      <alignment horizontal="center" vertical="center" wrapText="1"/>
    </xf>
    <xf numFmtId="44" fontId="2" fillId="2" borderId="3" xfId="0" applyNumberFormat="1" applyFont="1" applyFill="1" applyBorder="1" applyAlignment="1">
      <alignment horizontal="center" vertical="center" wrapText="1"/>
    </xf>
    <xf numFmtId="44" fontId="2" fillId="2" borderId="4" xfId="0" applyNumberFormat="1" applyFont="1" applyFill="1" applyBorder="1" applyAlignment="1">
      <alignment horizontal="center" vertical="center" wrapText="1"/>
    </xf>
    <xf numFmtId="0" fontId="2" fillId="2" borderId="0" xfId="0" applyFont="1" applyFill="1"/>
    <xf numFmtId="1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4" fontId="2" fillId="2" borderId="1" xfId="1" applyNumberFormat="1"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43" fontId="2" fillId="2" borderId="4" xfId="1" applyFont="1" applyFill="1" applyBorder="1" applyAlignment="1">
      <alignment horizontal="center" vertical="center" wrapText="1"/>
    </xf>
    <xf numFmtId="0" fontId="2" fillId="2" borderId="2" xfId="0" applyFont="1" applyFill="1" applyBorder="1" applyAlignment="1">
      <alignment vertical="center" wrapText="1"/>
    </xf>
    <xf numFmtId="0" fontId="6" fillId="2" borderId="1" xfId="0" applyFont="1" applyFill="1" applyBorder="1" applyAlignment="1">
      <alignment horizontal="center" vertical="center" wrapText="1"/>
    </xf>
    <xf numFmtId="44"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44" fontId="7" fillId="2" borderId="1" xfId="1" applyNumberFormat="1" applyFont="1" applyFill="1" applyBorder="1" applyAlignment="1">
      <alignment vertical="center" wrapText="1"/>
    </xf>
    <xf numFmtId="14" fontId="7" fillId="2" borderId="1" xfId="0" applyNumberFormat="1" applyFont="1" applyFill="1" applyBorder="1" applyAlignment="1">
      <alignment vertical="center" wrapText="1"/>
    </xf>
    <xf numFmtId="3" fontId="2" fillId="2" borderId="4"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166" fontId="2" fillId="2" borderId="1" xfId="0" applyNumberFormat="1" applyFont="1" applyFill="1" applyBorder="1" applyAlignment="1">
      <alignment horizontal="right" vertical="center" wrapText="1"/>
    </xf>
    <xf numFmtId="167" fontId="2" fillId="2" borderId="1" xfId="0" applyNumberFormat="1" applyFont="1" applyFill="1" applyBorder="1" applyAlignment="1">
      <alignment horizontal="right" vertical="center" wrapText="1"/>
    </xf>
    <xf numFmtId="2" fontId="2" fillId="2" borderId="1" xfId="0" applyNumberFormat="1" applyFont="1" applyFill="1" applyBorder="1" applyAlignment="1">
      <alignment horizontal="center" vertical="center" wrapText="1"/>
    </xf>
    <xf numFmtId="44" fontId="2" fillId="2" borderId="1" xfId="0" applyNumberFormat="1" applyFont="1" applyFill="1" applyBorder="1" applyAlignment="1">
      <alignment vertical="center" wrapText="1"/>
    </xf>
    <xf numFmtId="44" fontId="2" fillId="2" borderId="2" xfId="0" applyNumberFormat="1" applyFont="1" applyFill="1" applyBorder="1" applyAlignment="1">
      <alignment vertical="center" wrapText="1"/>
    </xf>
    <xf numFmtId="0" fontId="4" fillId="2" borderId="4" xfId="0" applyNumberFormat="1" applyFont="1" applyFill="1" applyBorder="1" applyAlignment="1">
      <alignment horizontal="left" vertical="center" wrapText="1"/>
    </xf>
    <xf numFmtId="14" fontId="4" fillId="2" borderId="4" xfId="0" applyNumberFormat="1" applyFont="1" applyFill="1" applyBorder="1" applyAlignment="1">
      <alignment horizontal="left" vertical="center" wrapText="1"/>
    </xf>
    <xf numFmtId="0" fontId="2" fillId="2" borderId="4" xfId="0" applyNumberFormat="1" applyFont="1" applyFill="1" applyBorder="1" applyAlignment="1">
      <alignment vertical="center" wrapText="1"/>
    </xf>
    <xf numFmtId="0" fontId="2" fillId="2" borderId="3" xfId="0" applyNumberFormat="1" applyFont="1" applyFill="1" applyBorder="1" applyAlignment="1">
      <alignment vertical="center" wrapText="1"/>
    </xf>
    <xf numFmtId="44" fontId="2" fillId="2" borderId="4" xfId="0" applyNumberFormat="1" applyFont="1" applyFill="1" applyBorder="1" applyAlignment="1">
      <alignment vertical="center" wrapText="1"/>
    </xf>
    <xf numFmtId="0" fontId="2" fillId="2" borderId="1" xfId="0" applyNumberFormat="1" applyFont="1" applyFill="1" applyBorder="1" applyAlignment="1">
      <alignment vertical="center" wrapText="1"/>
    </xf>
    <xf numFmtId="44" fontId="2" fillId="2" borderId="3" xfId="0" applyNumberFormat="1" applyFont="1" applyFill="1" applyBorder="1" applyAlignment="1">
      <alignment vertical="center" wrapText="1"/>
    </xf>
    <xf numFmtId="0" fontId="2" fillId="2" borderId="2" xfId="0" applyNumberFormat="1" applyFont="1" applyFill="1" applyBorder="1" applyAlignment="1">
      <alignment vertical="center" wrapText="1"/>
    </xf>
    <xf numFmtId="0" fontId="2" fillId="2" borderId="1" xfId="0" applyNumberFormat="1" applyFont="1" applyFill="1" applyBorder="1" applyAlignment="1">
      <alignment horizontal="right" vertical="center" wrapText="1"/>
    </xf>
    <xf numFmtId="14" fontId="2" fillId="2"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wrapText="1"/>
    </xf>
    <xf numFmtId="0" fontId="2" fillId="2" borderId="2" xfId="0" applyNumberFormat="1" applyFont="1" applyFill="1" applyBorder="1" applyAlignment="1">
      <alignment horizontal="right" vertical="center" wrapText="1"/>
    </xf>
    <xf numFmtId="2" fontId="2" fillId="2" borderId="2" xfId="0" applyNumberFormat="1" applyFont="1" applyFill="1" applyBorder="1" applyAlignment="1">
      <alignment horizontal="right" vertical="center" wrapText="1"/>
    </xf>
    <xf numFmtId="2" fontId="2" fillId="2" borderId="2" xfId="0" applyNumberFormat="1" applyFont="1" applyFill="1" applyBorder="1" applyAlignment="1">
      <alignment horizontal="center" vertical="center" wrapText="1"/>
    </xf>
    <xf numFmtId="170" fontId="2" fillId="2" borderId="1" xfId="0" applyNumberFormat="1" applyFont="1" applyFill="1" applyBorder="1" applyAlignment="1">
      <alignment horizontal="right" vertical="center" wrapText="1"/>
    </xf>
    <xf numFmtId="3" fontId="4" fillId="2" borderId="4" xfId="0" applyNumberFormat="1"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165" fontId="2" fillId="2" borderId="1" xfId="0" applyNumberFormat="1" applyFont="1" applyFill="1" applyBorder="1" applyAlignment="1">
      <alignment horizontal="right" vertical="center" wrapText="1"/>
    </xf>
    <xf numFmtId="165" fontId="2" fillId="2" borderId="1" xfId="0" applyNumberFormat="1" applyFont="1" applyFill="1" applyBorder="1" applyAlignment="1">
      <alignment horizontal="center" vertical="center" wrapText="1"/>
    </xf>
    <xf numFmtId="44" fontId="2" fillId="2" borderId="2" xfId="1" applyNumberFormat="1"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44" fontId="2" fillId="2" borderId="4" xfId="1" applyNumberFormat="1" applyFont="1" applyFill="1" applyBorder="1" applyAlignment="1">
      <alignment horizontal="center" vertical="center" wrapText="1"/>
    </xf>
    <xf numFmtId="44" fontId="2" fillId="2" borderId="4" xfId="1" applyNumberFormat="1" applyFont="1" applyFill="1" applyBorder="1" applyAlignment="1">
      <alignment vertical="center" wrapText="1"/>
    </xf>
    <xf numFmtId="44" fontId="2" fillId="2" borderId="1" xfId="0" applyNumberFormat="1" applyFont="1" applyFill="1" applyBorder="1" applyAlignment="1">
      <alignment horizontal="right" vertical="center" wrapText="1"/>
    </xf>
    <xf numFmtId="14" fontId="2" fillId="2" borderId="2"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4" fontId="2" fillId="2" borderId="3" xfId="1" applyNumberFormat="1" applyFont="1" applyFill="1" applyBorder="1" applyAlignment="1">
      <alignment vertical="center" wrapText="1"/>
    </xf>
    <xf numFmtId="0" fontId="2" fillId="2" borderId="4" xfId="0" applyFont="1" applyFill="1" applyBorder="1" applyAlignment="1">
      <alignment vertical="center" wrapText="1"/>
    </xf>
    <xf numFmtId="0" fontId="4" fillId="2" borderId="4" xfId="0" applyFont="1" applyFill="1" applyBorder="1" applyAlignment="1">
      <alignment vertical="center" wrapText="1"/>
    </xf>
    <xf numFmtId="0" fontId="2" fillId="2" borderId="2" xfId="0" applyFont="1" applyFill="1" applyBorder="1" applyAlignment="1">
      <alignment horizontal="right" vertical="center" wrapText="1"/>
    </xf>
    <xf numFmtId="44" fontId="2" fillId="2" borderId="2" xfId="1" applyNumberFormat="1" applyFont="1" applyFill="1" applyBorder="1" applyAlignment="1">
      <alignment vertical="center" wrapText="1"/>
    </xf>
    <xf numFmtId="0" fontId="4" fillId="2" borderId="3" xfId="0" applyFont="1" applyFill="1" applyBorder="1" applyAlignment="1">
      <alignment vertical="center" wrapText="1"/>
    </xf>
    <xf numFmtId="0" fontId="2" fillId="2" borderId="1" xfId="0" applyFont="1" applyFill="1" applyBorder="1" applyAlignment="1">
      <alignment horizontal="center"/>
    </xf>
    <xf numFmtId="0" fontId="2" fillId="2" borderId="1" xfId="0" applyFont="1" applyFill="1" applyBorder="1"/>
    <xf numFmtId="2" fontId="2"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4" fontId="2" fillId="2" borderId="2" xfId="0" applyNumberFormat="1" applyFont="1" applyFill="1" applyBorder="1" applyAlignment="1">
      <alignment vertical="center" wrapText="1"/>
    </xf>
    <xf numFmtId="3" fontId="2" fillId="2" borderId="2" xfId="0" applyNumberFormat="1" applyFont="1" applyFill="1" applyBorder="1" applyAlignment="1">
      <alignment horizontal="center" vertical="center" wrapText="1"/>
    </xf>
    <xf numFmtId="14" fontId="2" fillId="2" borderId="1" xfId="0" applyNumberFormat="1" applyFont="1" applyFill="1" applyBorder="1" applyAlignment="1">
      <alignment vertical="center"/>
    </xf>
    <xf numFmtId="0" fontId="2" fillId="2" borderId="2" xfId="0" applyFont="1" applyFill="1" applyBorder="1"/>
    <xf numFmtId="0" fontId="2" fillId="2" borderId="2" xfId="0" applyFont="1" applyFill="1" applyBorder="1" applyAlignment="1">
      <alignment wrapText="1"/>
    </xf>
    <xf numFmtId="3" fontId="4" fillId="2" borderId="4" xfId="0" applyNumberFormat="1" applyFont="1" applyFill="1" applyBorder="1" applyAlignment="1">
      <alignment vertical="center" wrapText="1"/>
    </xf>
    <xf numFmtId="14" fontId="2" fillId="2" borderId="3" xfId="0" applyNumberFormat="1" applyFont="1" applyFill="1" applyBorder="1" applyAlignment="1">
      <alignment horizontal="center" vertical="center" wrapText="1"/>
    </xf>
    <xf numFmtId="44" fontId="2" fillId="2" borderId="1" xfId="0" applyNumberFormat="1" applyFont="1" applyFill="1" applyBorder="1"/>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2" fillId="2" borderId="3" xfId="0" applyNumberFormat="1" applyFont="1" applyFill="1" applyBorder="1" applyAlignment="1">
      <alignment vertical="center" wrapText="1"/>
    </xf>
    <xf numFmtId="43" fontId="2" fillId="2" borderId="2" xfId="1" applyFont="1" applyFill="1" applyBorder="1" applyAlignment="1">
      <alignment horizontal="center" vertical="center" wrapText="1"/>
    </xf>
    <xf numFmtId="43" fontId="2" fillId="2" borderId="3" xfId="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3" fontId="2" fillId="2" borderId="1" xfId="0" applyNumberFormat="1" applyFont="1" applyFill="1" applyBorder="1" applyAlignment="1">
      <alignment horizontal="center" vertical="center"/>
    </xf>
    <xf numFmtId="0" fontId="2" fillId="2" borderId="1" xfId="0" applyFont="1" applyFill="1" applyBorder="1" applyAlignment="1">
      <alignment vertical="center"/>
    </xf>
    <xf numFmtId="44" fontId="2" fillId="2" borderId="1" xfId="0" applyNumberFormat="1" applyFont="1" applyFill="1" applyBorder="1" applyAlignment="1">
      <alignment vertical="center"/>
    </xf>
    <xf numFmtId="44" fontId="2" fillId="2" borderId="1" xfId="1" applyNumberFormat="1" applyFont="1" applyFill="1" applyBorder="1" applyAlignment="1">
      <alignment vertical="center"/>
    </xf>
    <xf numFmtId="44" fontId="2" fillId="2" borderId="2" xfId="0" applyNumberFormat="1" applyFont="1" applyFill="1" applyBorder="1" applyAlignment="1">
      <alignment vertical="center"/>
    </xf>
    <xf numFmtId="44" fontId="2" fillId="2" borderId="4" xfId="0" applyNumberFormat="1" applyFont="1" applyFill="1" applyBorder="1" applyAlignment="1">
      <alignment vertical="center"/>
    </xf>
    <xf numFmtId="44" fontId="2" fillId="2" borderId="3" xfId="0" applyNumberFormat="1" applyFont="1" applyFill="1" applyBorder="1" applyAlignment="1">
      <alignment vertical="center"/>
    </xf>
    <xf numFmtId="44" fontId="2" fillId="2" borderId="2" xfId="1" applyNumberFormat="1" applyFont="1" applyFill="1" applyBorder="1" applyAlignment="1">
      <alignment vertical="center"/>
    </xf>
    <xf numFmtId="44" fontId="2" fillId="2" borderId="4" xfId="1" applyNumberFormat="1" applyFont="1" applyFill="1" applyBorder="1" applyAlignment="1">
      <alignment vertical="center"/>
    </xf>
    <xf numFmtId="44" fontId="2" fillId="2" borderId="3" xfId="1" applyNumberFormat="1" applyFont="1" applyFill="1" applyBorder="1" applyAlignment="1">
      <alignment vertical="center"/>
    </xf>
    <xf numFmtId="3" fontId="2" fillId="2" borderId="2" xfId="0" applyNumberFormat="1"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3" fontId="2" fillId="2" borderId="1" xfId="0" applyNumberFormat="1" applyFont="1" applyFill="1" applyBorder="1" applyAlignment="1">
      <alignment vertical="center" wrapText="1"/>
    </xf>
    <xf numFmtId="3" fontId="2" fillId="2" borderId="1" xfId="0" applyNumberFormat="1" applyFont="1" applyFill="1" applyBorder="1" applyAlignment="1">
      <alignment vertical="center"/>
    </xf>
    <xf numFmtId="14" fontId="2" fillId="2" borderId="4" xfId="0" applyNumberFormat="1" applyFont="1" applyFill="1" applyBorder="1" applyAlignment="1">
      <alignment horizontal="center" vertical="center"/>
    </xf>
    <xf numFmtId="3" fontId="2" fillId="2" borderId="2" xfId="0" applyNumberFormat="1" applyFont="1" applyFill="1" applyBorder="1" applyAlignment="1">
      <alignment vertical="center" wrapText="1"/>
    </xf>
    <xf numFmtId="0" fontId="2" fillId="2" borderId="2" xfId="0" applyFont="1" applyFill="1" applyBorder="1" applyAlignment="1">
      <alignment vertical="top" wrapText="1"/>
    </xf>
    <xf numFmtId="0" fontId="2" fillId="2" borderId="2" xfId="0" applyFont="1" applyFill="1" applyBorder="1" applyAlignment="1">
      <alignment horizontal="right" wrapText="1"/>
    </xf>
    <xf numFmtId="44" fontId="2" fillId="2" borderId="2" xfId="0" applyNumberFormat="1" applyFont="1" applyFill="1" applyBorder="1" applyAlignment="1">
      <alignment wrapText="1"/>
    </xf>
    <xf numFmtId="0" fontId="2" fillId="2" borderId="2" xfId="0" applyFont="1" applyFill="1" applyBorder="1" applyAlignment="1">
      <alignment horizontal="center" wrapText="1"/>
    </xf>
    <xf numFmtId="44" fontId="2" fillId="2" borderId="4" xfId="0" applyNumberFormat="1" applyFont="1" applyFill="1" applyBorder="1" applyAlignment="1">
      <alignment wrapText="1"/>
    </xf>
    <xf numFmtId="0" fontId="2" fillId="2" borderId="3" xfId="0" applyFont="1" applyFill="1" applyBorder="1" applyAlignment="1">
      <alignment horizontal="center" wrapText="1"/>
    </xf>
    <xf numFmtId="3" fontId="2" fillId="2" borderId="1" xfId="0" applyNumberFormat="1" applyFont="1" applyFill="1" applyBorder="1" applyAlignment="1">
      <alignment horizontal="right" vertical="center" wrapText="1"/>
    </xf>
    <xf numFmtId="44" fontId="2" fillId="2" borderId="1" xfId="6" applyFont="1" applyFill="1" applyBorder="1" applyAlignment="1">
      <alignment vertical="center" wrapText="1"/>
    </xf>
    <xf numFmtId="43" fontId="2" fillId="2" borderId="1" xfId="1" applyFont="1" applyFill="1" applyBorder="1" applyAlignment="1">
      <alignment vertical="center" wrapText="1"/>
    </xf>
    <xf numFmtId="3" fontId="2" fillId="2" borderId="1" xfId="0" applyNumberFormat="1" applyFont="1" applyFill="1" applyBorder="1" applyAlignment="1">
      <alignment horizontal="right" vertical="center"/>
    </xf>
    <xf numFmtId="43" fontId="2" fillId="2" borderId="1" xfId="1" applyFont="1" applyFill="1" applyBorder="1" applyAlignment="1">
      <alignment vertical="center"/>
    </xf>
    <xf numFmtId="44" fontId="2" fillId="2" borderId="4" xfId="0" applyNumberFormat="1" applyFont="1" applyFill="1" applyBorder="1" applyAlignment="1">
      <alignment horizontal="center" vertical="center"/>
    </xf>
    <xf numFmtId="0" fontId="4" fillId="2" borderId="1" xfId="0" applyNumberFormat="1" applyFont="1" applyFill="1" applyBorder="1" applyAlignment="1">
      <alignment vertical="center" wrapText="1"/>
    </xf>
    <xf numFmtId="14" fontId="4" fillId="2" borderId="1" xfId="0" applyNumberFormat="1" applyFont="1" applyFill="1" applyBorder="1" applyAlignment="1">
      <alignment vertical="center" wrapText="1"/>
    </xf>
    <xf numFmtId="4" fontId="2" fillId="2" borderId="1" xfId="0" applyNumberFormat="1" applyFont="1" applyFill="1" applyBorder="1" applyAlignment="1">
      <alignment vertical="center"/>
    </xf>
    <xf numFmtId="44" fontId="2" fillId="2" borderId="1" xfId="6" applyFont="1" applyFill="1" applyBorder="1" applyAlignment="1">
      <alignment vertical="center"/>
    </xf>
    <xf numFmtId="14" fontId="4"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2" fillId="2" borderId="1" xfId="0" applyFont="1" applyFill="1" applyBorder="1" applyAlignment="1">
      <alignment horizontal="center" wrapText="1"/>
    </xf>
    <xf numFmtId="44" fontId="2" fillId="2" borderId="1" xfId="0" applyNumberFormat="1" applyFont="1" applyFill="1" applyBorder="1" applyAlignment="1">
      <alignment wrapText="1"/>
    </xf>
    <xf numFmtId="44" fontId="2" fillId="2" borderId="1" xfId="6" applyFont="1" applyFill="1" applyBorder="1" applyAlignment="1">
      <alignment wrapText="1"/>
    </xf>
    <xf numFmtId="3" fontId="4" fillId="2" borderId="1" xfId="0" applyNumberFormat="1" applyFont="1" applyFill="1" applyBorder="1" applyAlignment="1">
      <alignment vertical="center" wrapText="1"/>
    </xf>
    <xf numFmtId="0" fontId="2" fillId="2" borderId="9" xfId="0" applyFont="1" applyFill="1" applyBorder="1" applyAlignment="1">
      <alignment vertical="center" wrapText="1"/>
    </xf>
    <xf numFmtId="0" fontId="2" fillId="2" borderId="14" xfId="0" applyFont="1" applyFill="1" applyBorder="1" applyAlignment="1">
      <alignment vertical="center" wrapText="1"/>
    </xf>
    <xf numFmtId="0" fontId="2" fillId="2" borderId="8" xfId="0" applyFont="1" applyFill="1" applyBorder="1" applyAlignment="1">
      <alignment vertical="center" wrapText="1"/>
    </xf>
    <xf numFmtId="3" fontId="2" fillId="2" borderId="9" xfId="0" applyNumberFormat="1" applyFont="1" applyFill="1" applyBorder="1" applyAlignment="1">
      <alignment vertical="center" wrapText="1"/>
    </xf>
    <xf numFmtId="3" fontId="4" fillId="2" borderId="1"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3" fontId="4" fillId="2" borderId="2" xfId="0" applyNumberFormat="1" applyFont="1" applyFill="1" applyBorder="1" applyAlignment="1">
      <alignment horizontal="right" vertical="center" wrapText="1"/>
    </xf>
    <xf numFmtId="14" fontId="4" fillId="2" borderId="2" xfId="0" applyNumberFormat="1" applyFont="1" applyFill="1" applyBorder="1" applyAlignment="1">
      <alignment vertical="center" wrapText="1"/>
    </xf>
    <xf numFmtId="0" fontId="4" fillId="2" borderId="2" xfId="0" applyNumberFormat="1" applyFont="1" applyFill="1" applyBorder="1" applyAlignment="1">
      <alignment vertical="center" wrapText="1"/>
    </xf>
    <xf numFmtId="3" fontId="4" fillId="2" borderId="1" xfId="0" applyNumberFormat="1" applyFont="1" applyFill="1" applyBorder="1" applyAlignment="1">
      <alignment horizontal="center" vertical="center" wrapText="1"/>
    </xf>
    <xf numFmtId="44" fontId="4" fillId="2" borderId="1" xfId="1" applyNumberFormat="1" applyFont="1" applyFill="1" applyBorder="1" applyAlignment="1">
      <alignment vertical="center" wrapText="1"/>
    </xf>
    <xf numFmtId="44" fontId="4" fillId="2" borderId="1" xfId="0" applyNumberFormat="1" applyFont="1" applyFill="1" applyBorder="1" applyAlignment="1">
      <alignment vertical="center" wrapText="1"/>
    </xf>
    <xf numFmtId="44" fontId="4" fillId="2" borderId="2" xfId="0" applyNumberFormat="1" applyFont="1" applyFill="1" applyBorder="1" applyAlignment="1">
      <alignment vertical="center" wrapText="1"/>
    </xf>
    <xf numFmtId="0" fontId="4" fillId="2" borderId="4" xfId="0" applyNumberFormat="1" applyFont="1" applyFill="1" applyBorder="1" applyAlignment="1">
      <alignment vertical="center" wrapText="1"/>
    </xf>
    <xf numFmtId="44" fontId="4" fillId="2" borderId="1" xfId="1" applyNumberFormat="1" applyFont="1" applyFill="1" applyBorder="1" applyAlignment="1">
      <alignment horizontal="center" vertical="center" wrapText="1"/>
    </xf>
    <xf numFmtId="44" fontId="4" fillId="2" borderId="4" xfId="0" applyNumberFormat="1" applyFont="1" applyFill="1" applyBorder="1" applyAlignment="1">
      <alignment vertical="center" wrapText="1"/>
    </xf>
    <xf numFmtId="44" fontId="4" fillId="2" borderId="3" xfId="0" applyNumberFormat="1" applyFont="1" applyFill="1" applyBorder="1" applyAlignment="1">
      <alignment vertical="center" wrapText="1"/>
    </xf>
    <xf numFmtId="0" fontId="11" fillId="2" borderId="2" xfId="0" applyFont="1" applyFill="1" applyBorder="1" applyAlignment="1">
      <alignment horizontal="left" vertical="center" wrapText="1"/>
    </xf>
    <xf numFmtId="0" fontId="11" fillId="2" borderId="4" xfId="0" applyFont="1" applyFill="1" applyBorder="1" applyAlignment="1">
      <alignment horizontal="left" vertical="center" wrapText="1"/>
    </xf>
    <xf numFmtId="166" fontId="4" fillId="2" borderId="1" xfId="0" applyNumberFormat="1" applyFont="1" applyFill="1" applyBorder="1" applyAlignment="1">
      <alignment horizontal="right" vertical="center" wrapText="1"/>
    </xf>
    <xf numFmtId="0" fontId="4" fillId="2" borderId="2"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44" fontId="4" fillId="2" borderId="1" xfId="0" applyNumberFormat="1" applyFont="1" applyFill="1" applyBorder="1" applyAlignment="1">
      <alignment horizontal="center" vertical="center" wrapText="1"/>
    </xf>
    <xf numFmtId="44" fontId="4" fillId="2" borderId="2" xfId="0" applyNumberFormat="1" applyFont="1" applyFill="1" applyBorder="1" applyAlignment="1">
      <alignment horizontal="center" vertical="center" wrapText="1"/>
    </xf>
    <xf numFmtId="43" fontId="4" fillId="2" borderId="2" xfId="1" applyFont="1" applyFill="1" applyBorder="1" applyAlignment="1">
      <alignment horizontal="center" vertical="center" wrapText="1"/>
    </xf>
    <xf numFmtId="44" fontId="4" fillId="2" borderId="4" xfId="0" applyNumberFormat="1" applyFont="1" applyFill="1" applyBorder="1" applyAlignment="1">
      <alignment horizontal="center" vertical="center" wrapText="1"/>
    </xf>
    <xf numFmtId="43" fontId="4" fillId="2" borderId="4" xfId="1" applyFont="1" applyFill="1" applyBorder="1" applyAlignment="1">
      <alignment horizontal="center" vertical="center" wrapText="1"/>
    </xf>
    <xf numFmtId="44" fontId="4" fillId="2" borderId="3" xfId="0" applyNumberFormat="1" applyFont="1" applyFill="1" applyBorder="1" applyAlignment="1">
      <alignment horizontal="center" vertical="center" wrapText="1"/>
    </xf>
    <xf numFmtId="43" fontId="4" fillId="2" borderId="3"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2" borderId="2" xfId="0" applyFont="1" applyFill="1" applyBorder="1" applyAlignment="1">
      <alignment horizontal="left" vertical="center" wrapText="1"/>
    </xf>
    <xf numFmtId="43" fontId="10" fillId="2" borderId="2" xfId="1" applyFont="1" applyFill="1" applyBorder="1" applyAlignment="1">
      <alignment horizontal="center" vertical="center" wrapText="1"/>
    </xf>
    <xf numFmtId="0" fontId="10" fillId="2" borderId="4" xfId="0" applyFont="1" applyFill="1" applyBorder="1" applyAlignment="1">
      <alignment horizontal="left" vertical="center" wrapText="1"/>
    </xf>
    <xf numFmtId="43" fontId="10" fillId="2" borderId="4" xfId="1" applyFont="1" applyFill="1" applyBorder="1" applyAlignment="1">
      <alignment horizontal="center" vertical="center" wrapText="1"/>
    </xf>
    <xf numFmtId="43" fontId="10" fillId="2" borderId="3" xfId="1" applyFont="1" applyFill="1" applyBorder="1" applyAlignment="1">
      <alignment horizontal="center" vertical="center" wrapText="1"/>
    </xf>
    <xf numFmtId="43" fontId="4" fillId="2" borderId="1" xfId="1" applyFont="1" applyFill="1" applyBorder="1" applyAlignment="1">
      <alignment horizontal="center" vertical="center" wrapText="1"/>
    </xf>
    <xf numFmtId="43" fontId="4" fillId="2" borderId="1" xfId="1" applyFont="1" applyFill="1" applyBorder="1" applyAlignment="1">
      <alignment horizontal="right" vertical="center" wrapText="1"/>
    </xf>
    <xf numFmtId="43" fontId="4" fillId="2" borderId="1" xfId="1" applyFont="1" applyFill="1" applyBorder="1" applyAlignment="1">
      <alignment vertical="center" wrapText="1"/>
    </xf>
    <xf numFmtId="44" fontId="4" fillId="2" borderId="2" xfId="1" applyNumberFormat="1" applyFont="1" applyFill="1" applyBorder="1" applyAlignment="1">
      <alignment vertical="center" wrapText="1"/>
    </xf>
    <xf numFmtId="169" fontId="4" fillId="2" borderId="1" xfId="1" applyNumberFormat="1" applyFont="1" applyFill="1" applyBorder="1" applyAlignment="1">
      <alignment horizontal="right" vertical="center" wrapText="1"/>
    </xf>
    <xf numFmtId="44" fontId="4" fillId="2" borderId="4" xfId="1" applyNumberFormat="1" applyFont="1" applyFill="1" applyBorder="1" applyAlignment="1">
      <alignment vertical="center" wrapText="1"/>
    </xf>
    <xf numFmtId="44" fontId="4" fillId="2" borderId="3" xfId="1" applyNumberFormat="1" applyFont="1" applyFill="1" applyBorder="1" applyAlignment="1">
      <alignment vertical="center" wrapText="1"/>
    </xf>
    <xf numFmtId="49" fontId="4" fillId="2" borderId="4" xfId="0" applyNumberFormat="1" applyFont="1" applyFill="1" applyBorder="1" applyAlignment="1">
      <alignment horizontal="center" vertical="center" wrapText="1"/>
    </xf>
    <xf numFmtId="0" fontId="2" fillId="2" borderId="0" xfId="0" applyFont="1" applyFill="1" applyAlignment="1">
      <alignment horizontal="right"/>
    </xf>
    <xf numFmtId="0" fontId="2" fillId="2" borderId="0" xfId="0" applyFont="1" applyFill="1" applyAlignment="1"/>
    <xf numFmtId="0" fontId="2" fillId="2" borderId="0" xfId="0" applyFont="1" applyFill="1" applyAlignment="1">
      <alignment horizontal="left"/>
    </xf>
    <xf numFmtId="0" fontId="2" fillId="2" borderId="0" xfId="0" applyNumberFormat="1" applyFont="1" applyFill="1" applyAlignment="1">
      <alignment horizontal="center"/>
    </xf>
    <xf numFmtId="0" fontId="2" fillId="2" borderId="0" xfId="0" applyNumberFormat="1" applyFont="1" applyFill="1" applyAlignment="1"/>
    <xf numFmtId="0" fontId="2" fillId="2" borderId="0" xfId="0" applyFont="1" applyFill="1" applyAlignment="1">
      <alignment horizontal="center"/>
    </xf>
    <xf numFmtId="44" fontId="2" fillId="2" borderId="0" xfId="0" applyNumberFormat="1" applyFont="1" applyFill="1"/>
    <xf numFmtId="44" fontId="2" fillId="2" borderId="0" xfId="1" applyNumberFormat="1" applyFont="1" applyFill="1"/>
    <xf numFmtId="44" fontId="2" fillId="2" borderId="0" xfId="6" applyFont="1" applyFill="1" applyAlignment="1">
      <alignment wrapText="1"/>
    </xf>
    <xf numFmtId="43" fontId="2" fillId="2" borderId="0" xfId="1" applyFont="1" applyFill="1"/>
    <xf numFmtId="0" fontId="12" fillId="2" borderId="0" xfId="0" applyNumberFormat="1" applyFont="1" applyFill="1" applyBorder="1" applyAlignment="1">
      <alignment horizontal="left"/>
    </xf>
    <xf numFmtId="0" fontId="12" fillId="2" borderId="0" xfId="0" applyFont="1" applyFill="1" applyBorder="1" applyAlignment="1">
      <alignment horizontal="left"/>
    </xf>
    <xf numFmtId="0" fontId="12" fillId="2" borderId="0" xfId="0" applyFont="1" applyFill="1" applyBorder="1" applyAlignment="1">
      <alignment horizontal="center"/>
    </xf>
    <xf numFmtId="0" fontId="12" fillId="2" borderId="0" xfId="0" applyFont="1" applyFill="1" applyBorder="1" applyAlignment="1"/>
    <xf numFmtId="0" fontId="12" fillId="2" borderId="0" xfId="0" applyFont="1" applyFill="1" applyBorder="1"/>
    <xf numFmtId="0" fontId="13" fillId="2" borderId="0" xfId="0" applyFont="1" applyFill="1" applyBorder="1" applyAlignment="1">
      <alignment vertical="center"/>
    </xf>
    <xf numFmtId="0" fontId="12" fillId="2" borderId="0" xfId="0" applyFont="1" applyFill="1" applyBorder="1" applyAlignment="1">
      <alignment horizontal="right"/>
    </xf>
    <xf numFmtId="0" fontId="14" fillId="2" borderId="0" xfId="0" applyFont="1" applyFill="1" applyBorder="1" applyAlignment="1">
      <alignment vertical="center"/>
    </xf>
    <xf numFmtId="0" fontId="14" fillId="2" borderId="0" xfId="0" applyNumberFormat="1" applyFont="1" applyFill="1" applyBorder="1" applyAlignment="1">
      <alignment horizontal="center" vertical="center"/>
    </xf>
    <xf numFmtId="0" fontId="14" fillId="2" borderId="0" xfId="0" applyNumberFormat="1" applyFont="1" applyFill="1" applyBorder="1" applyAlignment="1">
      <alignment vertical="center"/>
    </xf>
    <xf numFmtId="0" fontId="12" fillId="2" borderId="0" xfId="0" applyFont="1" applyFill="1" applyBorder="1" applyAlignment="1">
      <alignment vertical="center"/>
    </xf>
    <xf numFmtId="44" fontId="12" fillId="2" borderId="0" xfId="1" applyNumberFormat="1" applyFont="1" applyFill="1" applyBorder="1" applyAlignment="1"/>
    <xf numFmtId="0" fontId="12" fillId="2" borderId="0" xfId="0" applyFont="1" applyFill="1" applyBorder="1" applyAlignment="1">
      <alignment horizontal="right" vertical="center"/>
    </xf>
    <xf numFmtId="44" fontId="12" fillId="2" borderId="0" xfId="0" applyNumberFormat="1" applyFont="1" applyFill="1" applyBorder="1" applyAlignment="1"/>
    <xf numFmtId="44" fontId="12" fillId="2" borderId="0" xfId="6" applyFont="1" applyFill="1" applyBorder="1" applyAlignment="1">
      <alignment wrapText="1"/>
    </xf>
    <xf numFmtId="43" fontId="12" fillId="2" borderId="0" xfId="1" applyFont="1" applyFill="1" applyBorder="1" applyAlignment="1"/>
    <xf numFmtId="0" fontId="12" fillId="2" borderId="0" xfId="0" applyNumberFormat="1" applyFont="1" applyFill="1" applyBorder="1" applyAlignment="1"/>
    <xf numFmtId="0" fontId="12" fillId="2" borderId="0" xfId="0" applyFont="1" applyFill="1" applyBorder="1" applyAlignment="1">
      <alignment horizontal="center" vertical="center"/>
    </xf>
    <xf numFmtId="44" fontId="12" fillId="2" borderId="0" xfId="1" applyNumberFormat="1" applyFont="1" applyFill="1" applyBorder="1" applyAlignment="1">
      <alignment horizontal="center"/>
    </xf>
    <xf numFmtId="44" fontId="12" fillId="2" borderId="0" xfId="0" applyNumberFormat="1" applyFont="1" applyFill="1" applyBorder="1" applyAlignment="1">
      <alignment horizontal="center"/>
    </xf>
    <xf numFmtId="44" fontId="12" fillId="2" borderId="0" xfId="6" applyFont="1" applyFill="1" applyBorder="1" applyAlignment="1">
      <alignment horizontal="center" wrapText="1"/>
    </xf>
    <xf numFmtId="43" fontId="12" fillId="2" borderId="0" xfId="1" applyFont="1" applyFill="1" applyBorder="1" applyAlignment="1">
      <alignment horizontal="center"/>
    </xf>
    <xf numFmtId="0" fontId="12" fillId="2" borderId="0" xfId="0" applyNumberFormat="1" applyFont="1" applyFill="1" applyBorder="1" applyAlignment="1">
      <alignment horizontal="center"/>
    </xf>
    <xf numFmtId="0" fontId="13" fillId="2" borderId="0" xfId="0" applyFont="1" applyFill="1" applyBorder="1" applyAlignment="1"/>
    <xf numFmtId="0" fontId="13" fillId="2" borderId="0" xfId="0" applyFont="1" applyFill="1" applyBorder="1"/>
    <xf numFmtId="44" fontId="12" fillId="2" borderId="0" xfId="1" applyNumberFormat="1" applyFont="1" applyFill="1" applyBorder="1" applyAlignment="1">
      <alignment horizontal="left"/>
    </xf>
    <xf numFmtId="44" fontId="12" fillId="2" borderId="0" xfId="0" applyNumberFormat="1" applyFont="1" applyFill="1" applyBorder="1" applyAlignment="1">
      <alignment horizontal="left"/>
    </xf>
    <xf numFmtId="44" fontId="12" fillId="2" borderId="0" xfId="6" applyFont="1" applyFill="1" applyBorder="1" applyAlignment="1">
      <alignment horizontal="left" wrapText="1"/>
    </xf>
    <xf numFmtId="43" fontId="12" fillId="2" borderId="0" xfId="1" applyFont="1" applyFill="1" applyBorder="1" applyAlignment="1">
      <alignment horizontal="left"/>
    </xf>
    <xf numFmtId="0" fontId="16"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16" fillId="2" borderId="0" xfId="0" applyFont="1" applyFill="1" applyBorder="1" applyAlignment="1">
      <alignment horizontal="right" vertical="center"/>
    </xf>
    <xf numFmtId="0" fontId="16" fillId="2" borderId="0" xfId="0" applyFont="1" applyFill="1" applyBorder="1" applyAlignment="1">
      <alignment horizontal="left" vertical="center"/>
    </xf>
    <xf numFmtId="0" fontId="16" fillId="2" borderId="0" xfId="0" applyFont="1" applyFill="1" applyBorder="1" applyAlignment="1">
      <alignment horizontal="center" vertical="center"/>
    </xf>
    <xf numFmtId="44" fontId="16" fillId="2" borderId="0" xfId="0" applyNumberFormat="1" applyFont="1" applyFill="1" applyBorder="1" applyAlignment="1">
      <alignment vertical="center"/>
    </xf>
    <xf numFmtId="44" fontId="16" fillId="2" borderId="0" xfId="1" applyNumberFormat="1" applyFont="1" applyFill="1" applyBorder="1" applyAlignment="1">
      <alignment vertical="center"/>
    </xf>
    <xf numFmtId="44" fontId="16" fillId="2" borderId="0" xfId="6" applyFont="1" applyFill="1" applyBorder="1" applyAlignment="1">
      <alignment vertical="center" wrapText="1"/>
    </xf>
    <xf numFmtId="43" fontId="16" fillId="2" borderId="0" xfId="1" applyFont="1" applyFill="1" applyBorder="1" applyAlignment="1">
      <alignment vertical="center"/>
    </xf>
    <xf numFmtId="0" fontId="16" fillId="2" borderId="0" xfId="0" applyFont="1" applyFill="1" applyBorder="1"/>
    <xf numFmtId="0" fontId="2" fillId="2" borderId="5" xfId="0" applyFont="1" applyFill="1" applyBorder="1" applyAlignment="1">
      <alignment horizontal="right" vertical="center" wrapText="1"/>
    </xf>
    <xf numFmtId="0" fontId="3" fillId="2" borderId="46" xfId="0" applyFont="1" applyFill="1" applyBorder="1" applyAlignment="1">
      <alignment horizontal="center" vertical="center"/>
    </xf>
    <xf numFmtId="0" fontId="3" fillId="2" borderId="46"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45" xfId="0" applyFont="1" applyFill="1" applyBorder="1" applyAlignment="1">
      <alignment horizontal="center" vertical="center"/>
    </xf>
    <xf numFmtId="44" fontId="4" fillId="2" borderId="2" xfId="1" applyNumberFormat="1" applyFont="1" applyFill="1" applyBorder="1" applyAlignment="1">
      <alignment horizontal="center" vertical="center" wrapText="1"/>
    </xf>
    <xf numFmtId="44" fontId="3" fillId="2" borderId="50" xfId="0" applyNumberFormat="1" applyFont="1" applyFill="1" applyBorder="1" applyAlignment="1">
      <alignment horizontal="left" vertical="center" wrapText="1"/>
    </xf>
    <xf numFmtId="0" fontId="3" fillId="2" borderId="51" xfId="0" applyFont="1" applyFill="1" applyBorder="1" applyAlignment="1">
      <alignment horizontal="left" vertical="center" wrapText="1"/>
    </xf>
    <xf numFmtId="0" fontId="5" fillId="2" borderId="51" xfId="0" applyFont="1" applyFill="1" applyBorder="1" applyAlignment="1">
      <alignment horizontal="center" vertical="center" wrapText="1"/>
    </xf>
    <xf numFmtId="14" fontId="5" fillId="2" borderId="51" xfId="0" applyNumberFormat="1" applyFont="1" applyFill="1" applyBorder="1" applyAlignment="1">
      <alignment horizontal="center" vertical="center" wrapText="1"/>
    </xf>
    <xf numFmtId="3" fontId="5" fillId="2" borderId="51" xfId="0" applyNumberFormat="1" applyFont="1" applyFill="1" applyBorder="1" applyAlignment="1">
      <alignment horizontal="center" vertical="center" wrapText="1"/>
    </xf>
    <xf numFmtId="0" fontId="5" fillId="2" borderId="51" xfId="0" applyFont="1" applyFill="1" applyBorder="1" applyAlignment="1">
      <alignment vertical="center" wrapText="1"/>
    </xf>
    <xf numFmtId="0" fontId="5" fillId="2" borderId="51" xfId="0" applyFont="1" applyFill="1" applyBorder="1" applyAlignment="1">
      <alignment horizontal="right" vertical="center" wrapText="1"/>
    </xf>
    <xf numFmtId="44" fontId="5" fillId="2" borderId="51" xfId="1" applyNumberFormat="1" applyFont="1" applyFill="1" applyBorder="1" applyAlignment="1">
      <alignment horizontal="center" vertical="center" wrapText="1"/>
    </xf>
    <xf numFmtId="44" fontId="5" fillId="2" borderId="51" xfId="0" applyNumberFormat="1" applyFont="1" applyFill="1" applyBorder="1" applyAlignment="1">
      <alignment horizontal="center" vertical="center" wrapText="1"/>
    </xf>
    <xf numFmtId="44" fontId="5" fillId="2" borderId="51" xfId="6" applyFont="1" applyFill="1" applyBorder="1" applyAlignment="1">
      <alignment horizontal="center" vertical="center" wrapText="1"/>
    </xf>
    <xf numFmtId="43" fontId="5" fillId="2" borderId="51" xfId="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vertical="center" wrapText="1"/>
    </xf>
    <xf numFmtId="0" fontId="4" fillId="2" borderId="0"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44" fontId="2" fillId="2" borderId="0" xfId="0" applyNumberFormat="1" applyFont="1" applyFill="1" applyBorder="1" applyAlignment="1">
      <alignment horizontal="left" vertical="center" wrapText="1"/>
    </xf>
    <xf numFmtId="14" fontId="4"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44" fontId="4" fillId="2" borderId="0" xfId="1" applyNumberFormat="1" applyFont="1" applyFill="1" applyBorder="1" applyAlignment="1">
      <alignment horizontal="center" vertical="center" wrapText="1"/>
    </xf>
    <xf numFmtId="44" fontId="4" fillId="2" borderId="0" xfId="0" applyNumberFormat="1" applyFont="1" applyFill="1" applyBorder="1" applyAlignment="1">
      <alignment horizontal="center" vertical="center" wrapText="1"/>
    </xf>
    <xf numFmtId="44" fontId="4" fillId="2" borderId="0" xfId="6" applyFont="1" applyFill="1" applyBorder="1" applyAlignment="1">
      <alignment horizontal="center" vertical="center" wrapText="1"/>
    </xf>
    <xf numFmtId="43" fontId="4" fillId="2" borderId="0" xfId="1" applyFont="1" applyFill="1" applyBorder="1" applyAlignment="1">
      <alignment horizontal="center" vertical="center" wrapText="1"/>
    </xf>
    <xf numFmtId="0" fontId="2" fillId="2" borderId="0" xfId="0" applyFont="1" applyFill="1" applyBorder="1" applyAlignment="1">
      <alignment horizontal="center" wrapText="1"/>
    </xf>
    <xf numFmtId="44" fontId="2" fillId="2" borderId="0" xfId="1" applyNumberFormat="1" applyFont="1" applyFill="1" applyBorder="1" applyAlignment="1">
      <alignment wrapText="1"/>
    </xf>
    <xf numFmtId="0" fontId="2" fillId="2" borderId="0" xfId="0" applyFont="1" applyFill="1" applyBorder="1" applyAlignment="1">
      <alignment wrapText="1"/>
    </xf>
    <xf numFmtId="0" fontId="4" fillId="2" borderId="0" xfId="0" applyNumberFormat="1" applyFont="1" applyFill="1" applyBorder="1" applyAlignment="1">
      <alignment vertical="center" wrapText="1"/>
    </xf>
    <xf numFmtId="0" fontId="2" fillId="2" borderId="0" xfId="0" applyFont="1" applyFill="1" applyBorder="1" applyAlignment="1">
      <alignment horizontal="right" wrapText="1"/>
    </xf>
    <xf numFmtId="44" fontId="2" fillId="2" borderId="0" xfId="0" applyNumberFormat="1" applyFont="1" applyFill="1" applyBorder="1" applyAlignment="1">
      <alignment wrapText="1"/>
    </xf>
    <xf numFmtId="43" fontId="2" fillId="2" borderId="0" xfId="1" applyFont="1" applyFill="1" applyBorder="1" applyAlignment="1">
      <alignment wrapText="1"/>
    </xf>
    <xf numFmtId="0" fontId="2" fillId="2" borderId="0" xfId="0" applyNumberFormat="1" applyFont="1" applyFill="1" applyBorder="1" applyAlignment="1">
      <alignment wrapText="1"/>
    </xf>
    <xf numFmtId="0" fontId="2" fillId="2" borderId="0" xfId="0" applyFont="1" applyFill="1" applyBorder="1" applyAlignment="1">
      <alignment horizontal="left" wrapText="1"/>
    </xf>
    <xf numFmtId="44" fontId="2"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44"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14" fontId="5" fillId="2" borderId="0"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5" fillId="2" borderId="0" xfId="0" applyFont="1" applyFill="1" applyBorder="1" applyAlignment="1">
      <alignment vertical="center" wrapText="1"/>
    </xf>
    <xf numFmtId="0" fontId="5" fillId="2" borderId="0" xfId="0" applyFont="1" applyFill="1" applyBorder="1" applyAlignment="1">
      <alignment horizontal="right" vertical="center" wrapText="1"/>
    </xf>
    <xf numFmtId="44" fontId="5" fillId="2" borderId="0" xfId="1" applyNumberFormat="1" applyFont="1" applyFill="1" applyBorder="1" applyAlignment="1">
      <alignment horizontal="center" vertical="center" wrapText="1"/>
    </xf>
    <xf numFmtId="44" fontId="5" fillId="2" borderId="0" xfId="0" applyNumberFormat="1" applyFont="1" applyFill="1" applyBorder="1" applyAlignment="1">
      <alignment horizontal="center" vertical="center" wrapText="1"/>
    </xf>
    <xf numFmtId="44" fontId="5" fillId="2" borderId="0" xfId="6" applyFont="1" applyFill="1" applyBorder="1" applyAlignment="1">
      <alignment horizontal="center" vertical="center" wrapText="1"/>
    </xf>
    <xf numFmtId="43" fontId="5" fillId="2" borderId="0" xfId="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NumberFormat="1" applyFont="1" applyFill="1" applyBorder="1" applyAlignment="1">
      <alignment horizontal="center" vertical="center" wrapText="1"/>
    </xf>
    <xf numFmtId="0" fontId="4" fillId="2" borderId="0" xfId="0" applyNumberFormat="1" applyFont="1" applyFill="1" applyBorder="1" applyAlignment="1">
      <alignmen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vertical="center" wrapText="1"/>
    </xf>
    <xf numFmtId="44" fontId="2" fillId="2" borderId="0" xfId="1" applyNumberFormat="1" applyFont="1" applyFill="1" applyBorder="1" applyAlignment="1">
      <alignment vertical="center" wrapText="1"/>
    </xf>
    <xf numFmtId="0" fontId="2" fillId="2" borderId="0" xfId="0" applyFont="1" applyFill="1" applyBorder="1" applyAlignment="1">
      <alignment horizontal="right" vertical="center" wrapText="1"/>
    </xf>
    <xf numFmtId="44" fontId="2" fillId="2" borderId="0" xfId="0" applyNumberFormat="1" applyFont="1" applyFill="1" applyBorder="1" applyAlignment="1">
      <alignment vertical="center" wrapText="1"/>
    </xf>
    <xf numFmtId="44" fontId="2" fillId="2" borderId="0" xfId="6" applyFont="1" applyFill="1" applyBorder="1" applyAlignment="1">
      <alignment vertical="center" wrapText="1"/>
    </xf>
    <xf numFmtId="43" fontId="2" fillId="2" borderId="0" xfId="1" applyFont="1" applyFill="1" applyBorder="1" applyAlignment="1">
      <alignment vertical="center" wrapText="1"/>
    </xf>
    <xf numFmtId="0" fontId="2" fillId="2" borderId="0" xfId="0" applyNumberFormat="1" applyFont="1" applyFill="1" applyBorder="1" applyAlignment="1">
      <alignment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4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3" fontId="2" fillId="2" borderId="2" xfId="0" applyNumberFormat="1" applyFont="1" applyFill="1" applyBorder="1" applyAlignment="1">
      <alignment vertical="center" wrapText="1"/>
    </xf>
    <xf numFmtId="3" fontId="2" fillId="2" borderId="3" xfId="0" applyNumberFormat="1"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9" xfId="0" applyFont="1" applyFill="1" applyBorder="1" applyAlignment="1">
      <alignment horizontal="right" vertical="center" wrapText="1"/>
    </xf>
    <xf numFmtId="0" fontId="2" fillId="2" borderId="24" xfId="0" applyFont="1" applyFill="1" applyBorder="1" applyAlignment="1">
      <alignment horizontal="right" vertical="center" wrapText="1"/>
    </xf>
    <xf numFmtId="0" fontId="3" fillId="2" borderId="19" xfId="0" applyFont="1" applyFill="1" applyBorder="1" applyAlignment="1">
      <alignment horizontal="center" vertical="center" wrapText="1"/>
    </xf>
    <xf numFmtId="0" fontId="2" fillId="2" borderId="2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3" xfId="0" applyFont="1" applyFill="1" applyBorder="1" applyAlignment="1">
      <alignment horizontal="right" vertical="center" wrapText="1"/>
    </xf>
    <xf numFmtId="3" fontId="4" fillId="2" borderId="2" xfId="0" applyNumberFormat="1" applyFont="1" applyFill="1" applyBorder="1" applyAlignment="1">
      <alignment vertical="center" wrapText="1"/>
    </xf>
    <xf numFmtId="3" fontId="4" fillId="2" borderId="4" xfId="0" applyNumberFormat="1" applyFont="1" applyFill="1" applyBorder="1" applyAlignment="1">
      <alignmen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44" fontId="2" fillId="2" borderId="2" xfId="1" applyNumberFormat="1" applyFont="1" applyFill="1" applyBorder="1" applyAlignment="1">
      <alignment horizontal="left" vertical="center" wrapText="1"/>
    </xf>
    <xf numFmtId="14" fontId="2" fillId="2" borderId="2" xfId="0" applyNumberFormat="1" applyFont="1" applyFill="1" applyBorder="1" applyAlignment="1">
      <alignment horizontal="left" vertical="center" wrapText="1"/>
    </xf>
    <xf numFmtId="14" fontId="2" fillId="2" borderId="2"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44" fontId="2" fillId="2" borderId="2" xfId="0" applyNumberFormat="1" applyFont="1" applyFill="1" applyBorder="1" applyAlignment="1">
      <alignment horizontal="left" vertical="center" wrapText="1"/>
    </xf>
    <xf numFmtId="44" fontId="2" fillId="2" borderId="4" xfId="0" applyNumberFormat="1" applyFont="1" applyFill="1" applyBorder="1" applyAlignment="1">
      <alignment horizontal="left" vertical="center" wrapText="1"/>
    </xf>
    <xf numFmtId="14" fontId="2" fillId="2" borderId="4"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14" fontId="2" fillId="2" borderId="3" xfId="0" applyNumberFormat="1" applyFont="1" applyFill="1" applyBorder="1" applyAlignment="1">
      <alignment horizontal="left" vertical="center" wrapText="1"/>
    </xf>
    <xf numFmtId="3" fontId="2" fillId="2" borderId="2"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3" fontId="2" fillId="2" borderId="4" xfId="0" applyNumberFormat="1" applyFont="1" applyFill="1" applyBorder="1" applyAlignment="1">
      <alignment vertical="center" wrapText="1"/>
    </xf>
    <xf numFmtId="44" fontId="2" fillId="2" borderId="4" xfId="1" applyNumberFormat="1" applyFont="1" applyFill="1" applyBorder="1" applyAlignment="1">
      <alignment horizontal="left" vertical="center" wrapText="1"/>
    </xf>
    <xf numFmtId="3" fontId="2" fillId="2" borderId="4"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xf>
    <xf numFmtId="14" fontId="4" fillId="2" borderId="2" xfId="0" applyNumberFormat="1"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4" fillId="2" borderId="2" xfId="0" applyNumberFormat="1" applyFont="1" applyFill="1" applyBorder="1" applyAlignment="1">
      <alignment horizontal="left" vertical="center" wrapText="1"/>
    </xf>
    <xf numFmtId="0" fontId="4" fillId="2" borderId="4" xfId="0" applyNumberFormat="1" applyFont="1" applyFill="1" applyBorder="1" applyAlignment="1">
      <alignment horizontal="left" vertical="center" wrapText="1"/>
    </xf>
    <xf numFmtId="0" fontId="4" fillId="2" borderId="4" xfId="0" applyNumberFormat="1" applyFont="1" applyFill="1" applyBorder="1" applyAlignment="1">
      <alignment horizontal="center" vertical="center" wrapText="1"/>
    </xf>
    <xf numFmtId="3" fontId="4" fillId="2" borderId="3" xfId="0" applyNumberFormat="1" applyFont="1" applyFill="1" applyBorder="1" applyAlignment="1">
      <alignment vertical="center" wrapText="1"/>
    </xf>
    <xf numFmtId="49" fontId="2" fillId="2"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 xfId="0" applyNumberFormat="1"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4" fillId="2" borderId="9" xfId="0" applyFont="1" applyFill="1" applyBorder="1" applyAlignment="1">
      <alignment horizontal="right" vertical="center" wrapText="1"/>
    </xf>
    <xf numFmtId="0" fontId="4" fillId="2" borderId="21"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14" fontId="6" fillId="2" borderId="2" xfId="0" applyNumberFormat="1" applyFont="1" applyFill="1" applyBorder="1" applyAlignment="1">
      <alignment horizontal="left" vertical="center" wrapText="1"/>
    </xf>
    <xf numFmtId="14" fontId="6" fillId="2" borderId="4" xfId="0" applyNumberFormat="1"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4" fontId="2" fillId="2" borderId="2" xfId="0" applyNumberFormat="1" applyFont="1" applyFill="1" applyBorder="1" applyAlignment="1">
      <alignment horizontal="center" vertical="center" wrapText="1"/>
    </xf>
    <xf numFmtId="44" fontId="2" fillId="2" borderId="3"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44" fontId="2" fillId="2" borderId="3" xfId="0" applyNumberFormat="1" applyFont="1" applyFill="1" applyBorder="1" applyAlignment="1">
      <alignment horizontal="left" vertical="center" wrapText="1"/>
    </xf>
    <xf numFmtId="3" fontId="2" fillId="2" borderId="3" xfId="0" applyNumberFormat="1" applyFont="1" applyFill="1" applyBorder="1" applyAlignment="1">
      <alignment horizontal="left" vertical="center" wrapText="1"/>
    </xf>
    <xf numFmtId="14" fontId="2" fillId="2" borderId="2" xfId="0" applyNumberFormat="1" applyFont="1" applyFill="1" applyBorder="1" applyAlignment="1">
      <alignment horizontal="center" vertical="center"/>
    </xf>
    <xf numFmtId="14" fontId="2" fillId="2" borderId="3" xfId="0" applyNumberFormat="1" applyFont="1" applyFill="1" applyBorder="1" applyAlignment="1">
      <alignment horizontal="center" vertical="center"/>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49" fontId="4" fillId="2" borderId="3" xfId="0" applyNumberFormat="1" applyFont="1" applyFill="1" applyBorder="1" applyAlignment="1">
      <alignment horizontal="center" vertical="center" wrapText="1"/>
    </xf>
    <xf numFmtId="44" fontId="2" fillId="2" borderId="2" xfId="1" applyNumberFormat="1" applyFont="1" applyFill="1" applyBorder="1" applyAlignment="1">
      <alignment horizontal="center" vertical="center" wrapText="1"/>
    </xf>
    <xf numFmtId="44" fontId="2" fillId="2" borderId="4" xfId="1" applyNumberFormat="1" applyFont="1" applyFill="1" applyBorder="1" applyAlignment="1">
      <alignment horizontal="center" vertical="center" wrapText="1"/>
    </xf>
    <xf numFmtId="44" fontId="2" fillId="2" borderId="3" xfId="1" applyNumberFormat="1" applyFont="1" applyFill="1" applyBorder="1" applyAlignment="1">
      <alignment horizontal="center" vertical="center" wrapText="1"/>
    </xf>
    <xf numFmtId="44" fontId="2" fillId="2" borderId="2" xfId="6" applyFont="1" applyFill="1" applyBorder="1" applyAlignment="1">
      <alignment horizontal="center" vertical="center" wrapText="1"/>
    </xf>
    <xf numFmtId="44" fontId="2" fillId="2" borderId="3" xfId="6"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44" fontId="4" fillId="2" borderId="2" xfId="1" applyNumberFormat="1" applyFont="1" applyFill="1" applyBorder="1" applyAlignment="1">
      <alignment horizontal="center" vertical="center" wrapText="1"/>
    </xf>
    <xf numFmtId="44" fontId="4" fillId="2" borderId="4" xfId="1" applyNumberFormat="1" applyFont="1" applyFill="1" applyBorder="1" applyAlignment="1">
      <alignment horizontal="center" vertical="center" wrapText="1"/>
    </xf>
    <xf numFmtId="44" fontId="4" fillId="2" borderId="3" xfId="1" applyNumberFormat="1" applyFont="1" applyFill="1" applyBorder="1" applyAlignment="1">
      <alignment horizontal="center" vertical="center" wrapText="1"/>
    </xf>
    <xf numFmtId="3" fontId="4" fillId="2" borderId="2" xfId="0" applyNumberFormat="1" applyFont="1" applyFill="1" applyBorder="1" applyAlignment="1">
      <alignment horizontal="left" vertical="center" wrapText="1"/>
    </xf>
    <xf numFmtId="3" fontId="4" fillId="2" borderId="4" xfId="0" applyNumberFormat="1" applyFont="1" applyFill="1" applyBorder="1" applyAlignment="1">
      <alignment horizontal="left" vertical="center" wrapText="1"/>
    </xf>
    <xf numFmtId="44" fontId="4" fillId="2" borderId="2" xfId="1" applyNumberFormat="1" applyFont="1" applyFill="1" applyBorder="1" applyAlignment="1">
      <alignment horizontal="left" vertical="center" wrapText="1"/>
    </xf>
    <xf numFmtId="44" fontId="4" fillId="2" borderId="4" xfId="1" applyNumberFormat="1"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14" fontId="10" fillId="2" borderId="2" xfId="0" applyNumberFormat="1" applyFont="1" applyFill="1" applyBorder="1" applyAlignment="1">
      <alignment horizontal="left" vertical="center" wrapText="1"/>
    </xf>
    <xf numFmtId="14" fontId="10" fillId="2" borderId="4" xfId="0" applyNumberFormat="1" applyFont="1" applyFill="1" applyBorder="1" applyAlignment="1">
      <alignment horizontal="left" vertical="center" wrapText="1"/>
    </xf>
    <xf numFmtId="14" fontId="4" fillId="2" borderId="4" xfId="0" applyNumberFormat="1" applyFont="1" applyFill="1" applyBorder="1" applyAlignment="1">
      <alignment horizontal="left" vertical="center" wrapText="1"/>
    </xf>
    <xf numFmtId="0" fontId="4" fillId="2" borderId="3" xfId="0" applyFont="1" applyFill="1" applyBorder="1" applyAlignment="1">
      <alignment horizontal="left" vertical="center" wrapText="1"/>
    </xf>
    <xf numFmtId="44" fontId="4" fillId="2" borderId="2" xfId="6" applyFont="1" applyFill="1" applyBorder="1" applyAlignment="1">
      <alignment horizontal="center" vertical="center" wrapText="1"/>
    </xf>
    <xf numFmtId="44" fontId="4" fillId="2" borderId="4" xfId="6" applyFont="1" applyFill="1" applyBorder="1" applyAlignment="1">
      <alignment horizontal="center" vertical="center" wrapText="1"/>
    </xf>
    <xf numFmtId="44" fontId="4" fillId="2" borderId="3" xfId="6" applyFont="1" applyFill="1" applyBorder="1" applyAlignment="1">
      <alignment horizontal="center" vertical="center" wrapText="1"/>
    </xf>
    <xf numFmtId="43" fontId="4" fillId="2" borderId="2" xfId="1" applyFont="1" applyFill="1" applyBorder="1" applyAlignment="1">
      <alignment horizontal="center" vertical="center" wrapText="1"/>
    </xf>
    <xf numFmtId="43" fontId="4" fillId="2" borderId="4" xfId="1" applyFont="1" applyFill="1" applyBorder="1" applyAlignment="1">
      <alignment horizontal="center" vertical="center" wrapText="1"/>
    </xf>
    <xf numFmtId="43" fontId="4" fillId="2" borderId="3" xfId="1" applyFont="1" applyFill="1" applyBorder="1" applyAlignment="1">
      <alignment horizontal="center" vertical="center" wrapText="1"/>
    </xf>
    <xf numFmtId="44" fontId="2" fillId="2" borderId="2" xfId="1" applyNumberFormat="1" applyFont="1" applyFill="1" applyBorder="1" applyAlignment="1">
      <alignment horizontal="center" vertical="center"/>
    </xf>
    <xf numFmtId="44" fontId="2" fillId="2" borderId="3" xfId="1" applyNumberFormat="1" applyFont="1" applyFill="1" applyBorder="1" applyAlignment="1">
      <alignment horizontal="center" vertical="center"/>
    </xf>
    <xf numFmtId="44" fontId="2" fillId="2" borderId="4" xfId="0" applyNumberFormat="1" applyFont="1" applyFill="1" applyBorder="1" applyAlignment="1">
      <alignment horizontal="center" vertical="center" wrapText="1"/>
    </xf>
    <xf numFmtId="43" fontId="2" fillId="2" borderId="2" xfId="1" applyFont="1" applyFill="1" applyBorder="1" applyAlignment="1">
      <alignment horizontal="center" vertical="center" wrapText="1"/>
    </xf>
    <xf numFmtId="43" fontId="2" fillId="2" borderId="4" xfId="1" applyFont="1" applyFill="1" applyBorder="1" applyAlignment="1">
      <alignment horizontal="center" vertical="center" wrapText="1"/>
    </xf>
    <xf numFmtId="43" fontId="2" fillId="2" borderId="3" xfId="1" applyFont="1" applyFill="1" applyBorder="1" applyAlignment="1">
      <alignment horizontal="center" vertical="center" wrapText="1"/>
    </xf>
    <xf numFmtId="44" fontId="2" fillId="2" borderId="4" xfId="6" applyFont="1" applyFill="1" applyBorder="1" applyAlignment="1">
      <alignment horizontal="center" vertical="center" wrapText="1"/>
    </xf>
    <xf numFmtId="44" fontId="2" fillId="2" borderId="2" xfId="0" applyNumberFormat="1" applyFont="1" applyFill="1" applyBorder="1" applyAlignment="1">
      <alignment horizontal="center" vertical="center"/>
    </xf>
    <xf numFmtId="44" fontId="2" fillId="2" borderId="3" xfId="0" applyNumberFormat="1" applyFont="1" applyFill="1" applyBorder="1" applyAlignment="1">
      <alignment horizontal="center" vertical="center"/>
    </xf>
    <xf numFmtId="44" fontId="4" fillId="2" borderId="2" xfId="0" applyNumberFormat="1" applyFont="1" applyFill="1" applyBorder="1" applyAlignment="1">
      <alignment horizontal="center" vertical="center" wrapText="1"/>
    </xf>
    <xf numFmtId="44" fontId="4" fillId="2" borderId="4" xfId="0" applyNumberFormat="1" applyFont="1" applyFill="1" applyBorder="1" applyAlignment="1">
      <alignment horizontal="center" vertical="center" wrapText="1"/>
    </xf>
    <xf numFmtId="44" fontId="4" fillId="2" borderId="3" xfId="0" applyNumberFormat="1" applyFont="1" applyFill="1" applyBorder="1" applyAlignment="1">
      <alignment horizontal="center" vertical="center" wrapText="1"/>
    </xf>
    <xf numFmtId="0" fontId="6" fillId="2" borderId="3" xfId="0" applyFont="1" applyFill="1" applyBorder="1" applyAlignment="1">
      <alignment vertical="center" wrapText="1"/>
    </xf>
    <xf numFmtId="0" fontId="3" fillId="2" borderId="10" xfId="0" applyFont="1" applyFill="1" applyBorder="1" applyAlignment="1">
      <alignment horizontal="center" vertical="center" wrapText="1"/>
    </xf>
    <xf numFmtId="0" fontId="2" fillId="2" borderId="4" xfId="0" applyFont="1" applyFill="1" applyBorder="1" applyAlignment="1">
      <alignment horizontal="right"/>
    </xf>
    <xf numFmtId="0" fontId="2" fillId="2" borderId="3" xfId="0" applyFont="1" applyFill="1" applyBorder="1" applyAlignment="1">
      <alignment horizontal="right"/>
    </xf>
    <xf numFmtId="0" fontId="6" fillId="2" borderId="9" xfId="0" applyFont="1" applyFill="1" applyBorder="1" applyAlignment="1">
      <alignment horizontal="right" vertical="center" wrapText="1"/>
    </xf>
    <xf numFmtId="0" fontId="6" fillId="2" borderId="21" xfId="0" applyFont="1" applyFill="1" applyBorder="1" applyAlignment="1">
      <alignment horizontal="right" vertical="center" wrapText="1"/>
    </xf>
    <xf numFmtId="0" fontId="6" fillId="2" borderId="24" xfId="0" applyFont="1" applyFill="1" applyBorder="1" applyAlignment="1">
      <alignment horizontal="right" vertical="center" wrapText="1"/>
    </xf>
    <xf numFmtId="4" fontId="2" fillId="2" borderId="2" xfId="0" applyNumberFormat="1" applyFont="1" applyFill="1" applyBorder="1" applyAlignment="1">
      <alignment vertical="center" wrapText="1"/>
    </xf>
    <xf numFmtId="4" fontId="2" fillId="2" borderId="4" xfId="0" applyNumberFormat="1" applyFont="1" applyFill="1" applyBorder="1" applyAlignment="1">
      <alignment vertical="center" wrapText="1"/>
    </xf>
    <xf numFmtId="4" fontId="2" fillId="2" borderId="3" xfId="0" applyNumberFormat="1" applyFont="1" applyFill="1" applyBorder="1" applyAlignment="1">
      <alignment vertical="center" wrapText="1"/>
    </xf>
    <xf numFmtId="3" fontId="4" fillId="2" borderId="2"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3" fontId="10" fillId="2" borderId="2" xfId="1" applyFont="1" applyFill="1" applyBorder="1" applyAlignment="1">
      <alignment horizontal="center" vertical="center" wrapText="1"/>
    </xf>
    <xf numFmtId="43" fontId="10" fillId="2" borderId="4" xfId="1" applyFont="1" applyFill="1" applyBorder="1" applyAlignment="1">
      <alignment horizontal="center" vertical="center" wrapText="1"/>
    </xf>
    <xf numFmtId="43" fontId="10" fillId="2" borderId="3" xfId="1"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44" fontId="10" fillId="2" borderId="2" xfId="6" applyFont="1" applyFill="1" applyBorder="1" applyAlignment="1">
      <alignment horizontal="center" vertical="center" wrapText="1"/>
    </xf>
    <xf numFmtId="44" fontId="10" fillId="2" borderId="4" xfId="6" applyFont="1" applyFill="1" applyBorder="1" applyAlignment="1">
      <alignment horizontal="center" vertical="center" wrapText="1"/>
    </xf>
    <xf numFmtId="44" fontId="10" fillId="2" borderId="3" xfId="6" applyFont="1" applyFill="1" applyBorder="1" applyAlignment="1">
      <alignment horizontal="center" vertical="center" wrapText="1"/>
    </xf>
    <xf numFmtId="0" fontId="4" fillId="2" borderId="1" xfId="0" applyFont="1" applyFill="1" applyBorder="1" applyAlignment="1">
      <alignment horizontal="center" vertical="center" wrapText="1"/>
    </xf>
    <xf numFmtId="44" fontId="10" fillId="2" borderId="2" xfId="1" applyNumberFormat="1" applyFont="1" applyFill="1" applyBorder="1" applyAlignment="1">
      <alignment horizontal="center" vertical="center" wrapText="1"/>
    </xf>
    <xf numFmtId="44" fontId="10" fillId="2" borderId="4" xfId="1" applyNumberFormat="1" applyFont="1" applyFill="1" applyBorder="1" applyAlignment="1">
      <alignment horizontal="center" vertical="center" wrapText="1"/>
    </xf>
    <xf numFmtId="44" fontId="10" fillId="2" borderId="3" xfId="1"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43" fontId="2" fillId="2" borderId="2" xfId="1" applyFont="1" applyFill="1" applyBorder="1" applyAlignment="1">
      <alignment horizontal="left" vertical="center" wrapText="1"/>
    </xf>
    <xf numFmtId="43" fontId="2" fillId="2" borderId="4" xfId="1"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44" fontId="2" fillId="2"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44" fontId="2" fillId="2" borderId="4" xfId="1" applyNumberFormat="1" applyFont="1" applyFill="1" applyBorder="1" applyAlignment="1">
      <alignment horizontal="center" vertical="center"/>
    </xf>
    <xf numFmtId="0" fontId="2" fillId="2" borderId="4" xfId="0" applyFont="1" applyFill="1" applyBorder="1"/>
    <xf numFmtId="0" fontId="2" fillId="2" borderId="3" xfId="0" applyFont="1" applyFill="1" applyBorder="1"/>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44" fontId="2" fillId="2" borderId="3" xfId="1" applyNumberFormat="1" applyFont="1" applyFill="1" applyBorder="1" applyAlignment="1">
      <alignment horizontal="left" vertical="center" wrapText="1"/>
    </xf>
    <xf numFmtId="14" fontId="4" fillId="2" borderId="3" xfId="0" applyNumberFormat="1" applyFont="1" applyFill="1" applyBorder="1" applyAlignment="1">
      <alignment horizontal="left" vertical="center" wrapText="1"/>
    </xf>
    <xf numFmtId="2"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44" fontId="2" fillId="2" borderId="2" xfId="0" applyNumberFormat="1" applyFont="1" applyFill="1" applyBorder="1" applyAlignment="1">
      <alignment horizontal="right"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12" fillId="2" borderId="0" xfId="0" applyFont="1" applyFill="1" applyBorder="1" applyAlignment="1">
      <alignment horizontal="left"/>
    </xf>
    <xf numFmtId="0" fontId="13" fillId="2" borderId="0" xfId="0" applyFont="1" applyFill="1" applyBorder="1" applyAlignment="1">
      <alignment horizontal="left"/>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4" fillId="2" borderId="0" xfId="0" applyFont="1" applyFill="1" applyBorder="1" applyAlignment="1">
      <alignment horizontal="left"/>
    </xf>
    <xf numFmtId="0" fontId="2"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8" xfId="0" applyFont="1" applyFill="1" applyBorder="1" applyAlignment="1">
      <alignment horizontal="center" vertical="center"/>
    </xf>
    <xf numFmtId="14" fontId="11" fillId="2" borderId="2" xfId="0" applyNumberFormat="1" applyFont="1" applyFill="1" applyBorder="1" applyAlignment="1">
      <alignment horizontal="left" vertical="center" wrapText="1"/>
    </xf>
    <xf numFmtId="14" fontId="11" fillId="2" borderId="4" xfId="0" applyNumberFormat="1" applyFont="1" applyFill="1" applyBorder="1" applyAlignment="1">
      <alignment horizontal="left" vertical="center" wrapText="1"/>
    </xf>
    <xf numFmtId="14" fontId="2" fillId="2" borderId="2" xfId="0" applyNumberFormat="1" applyFont="1" applyFill="1" applyBorder="1" applyAlignment="1">
      <alignment horizontal="right" vertical="center" wrapText="1"/>
    </xf>
    <xf numFmtId="14" fontId="2" fillId="2" borderId="3" xfId="0" applyNumberFormat="1" applyFont="1" applyFill="1" applyBorder="1" applyAlignment="1">
      <alignment horizontal="right" vertical="center" wrapText="1"/>
    </xf>
    <xf numFmtId="0" fontId="4" fillId="2" borderId="3" xfId="0" applyNumberFormat="1" applyFont="1" applyFill="1" applyBorder="1" applyAlignment="1">
      <alignment horizontal="left" vertical="center" wrapText="1"/>
    </xf>
    <xf numFmtId="14" fontId="4" fillId="2" borderId="2" xfId="0" applyNumberFormat="1" applyFont="1" applyFill="1" applyBorder="1" applyAlignment="1">
      <alignment horizontal="center" vertical="center"/>
    </xf>
    <xf numFmtId="14" fontId="4" fillId="2" borderId="4" xfId="0" applyNumberFormat="1" applyFont="1" applyFill="1" applyBorder="1" applyAlignment="1">
      <alignment horizontal="center" vertical="center"/>
    </xf>
    <xf numFmtId="14" fontId="4" fillId="2" borderId="3" xfId="0" applyNumberFormat="1" applyFont="1" applyFill="1" applyBorder="1" applyAlignment="1">
      <alignment horizontal="center" vertical="center"/>
    </xf>
    <xf numFmtId="3" fontId="2" fillId="2" borderId="2" xfId="0" applyNumberFormat="1" applyFont="1" applyFill="1" applyBorder="1" applyAlignment="1">
      <alignment vertical="center"/>
    </xf>
    <xf numFmtId="3" fontId="2" fillId="2" borderId="4" xfId="0" applyNumberFormat="1" applyFont="1" applyFill="1" applyBorder="1" applyAlignment="1">
      <alignment vertical="center"/>
    </xf>
    <xf numFmtId="3" fontId="2" fillId="2" borderId="3" xfId="0" applyNumberFormat="1" applyFont="1" applyFill="1" applyBorder="1" applyAlignment="1">
      <alignment vertical="center"/>
    </xf>
    <xf numFmtId="0" fontId="2" fillId="2" borderId="4" xfId="0" applyNumberFormat="1" applyFont="1" applyFill="1" applyBorder="1" applyAlignment="1">
      <alignment horizontal="left" vertical="center" wrapText="1"/>
    </xf>
    <xf numFmtId="3" fontId="2" fillId="2" borderId="2" xfId="0" applyNumberFormat="1" applyFont="1" applyFill="1" applyBorder="1" applyAlignment="1">
      <alignment horizontal="right" vertical="center" wrapText="1"/>
    </xf>
    <xf numFmtId="3" fontId="2" fillId="2" borderId="3" xfId="0" applyNumberFormat="1" applyFont="1" applyFill="1" applyBorder="1" applyAlignment="1">
      <alignment horizontal="right"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43" fontId="2" fillId="2" borderId="2" xfId="1" applyFont="1" applyFill="1" applyBorder="1" applyAlignment="1">
      <alignment horizontal="center" vertical="center"/>
    </xf>
    <xf numFmtId="43" fontId="2" fillId="2" borderId="4" xfId="1" applyFont="1" applyFill="1" applyBorder="1" applyAlignment="1">
      <alignment horizontal="center" vertical="center"/>
    </xf>
    <xf numFmtId="43" fontId="2" fillId="2" borderId="3" xfId="1" applyFont="1" applyFill="1" applyBorder="1" applyAlignment="1">
      <alignment horizontal="center"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4" fillId="2" borderId="9"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14" fontId="2" fillId="2" borderId="2" xfId="0" applyNumberFormat="1" applyFont="1" applyFill="1" applyBorder="1" applyAlignment="1">
      <alignment horizontal="right" vertical="center"/>
    </xf>
    <xf numFmtId="14" fontId="2" fillId="2" borderId="3" xfId="0" applyNumberFormat="1" applyFont="1" applyFill="1" applyBorder="1" applyAlignment="1">
      <alignment horizontal="right" vertical="center"/>
    </xf>
  </cellXfs>
  <cellStyles count="7">
    <cellStyle name="Moeda" xfId="6" builtinId="4"/>
    <cellStyle name="Moeda 10" xfId="5"/>
    <cellStyle name="Moeda 3" xfId="2"/>
    <cellStyle name="Moeda 7" xfId="3"/>
    <cellStyle name="Moeda 8" xfId="4"/>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981075</xdr:colOff>
      <xdr:row>0</xdr:row>
      <xdr:rowOff>85725</xdr:rowOff>
    </xdr:from>
    <xdr:to>
      <xdr:col>11</xdr:col>
      <xdr:colOff>981075</xdr:colOff>
      <xdr:row>3</xdr:row>
      <xdr:rowOff>0</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10725150" y="85725"/>
          <a:ext cx="0" cy="457200"/>
        </a:xfrm>
        <a:prstGeom prst="rect">
          <a:avLst/>
        </a:prstGeom>
        <a:noFill/>
        <a:ln w="9525">
          <a:noFill/>
          <a:miter lim="800000"/>
          <a:headEnd/>
          <a:tailEnd/>
        </a:ln>
      </xdr:spPr>
    </xdr:pic>
    <xdr:clientData/>
  </xdr:twoCellAnchor>
  <xdr:twoCellAnchor editAs="oneCell">
    <xdr:from>
      <xdr:col>1</xdr:col>
      <xdr:colOff>285750</xdr:colOff>
      <xdr:row>0</xdr:row>
      <xdr:rowOff>47625</xdr:rowOff>
    </xdr:from>
    <xdr:to>
      <xdr:col>1</xdr:col>
      <xdr:colOff>819150</xdr:colOff>
      <xdr:row>3</xdr:row>
      <xdr:rowOff>0</xdr:rowOff>
    </xdr:to>
    <xdr:pic>
      <xdr:nvPicPr>
        <xdr:cNvPr id="3" name="Imagem 2" descr="pmrb_evandro"/>
        <xdr:cNvPicPr/>
      </xdr:nvPicPr>
      <xdr:blipFill>
        <a:blip xmlns:r="http://schemas.openxmlformats.org/officeDocument/2006/relationships" r:embed="rId1" cstate="print"/>
        <a:srcRect/>
        <a:stretch>
          <a:fillRect/>
        </a:stretch>
      </xdr:blipFill>
      <xdr:spPr bwMode="auto">
        <a:xfrm>
          <a:off x="809625" y="47625"/>
          <a:ext cx="533400"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82"/>
  <sheetViews>
    <sheetView tabSelected="1" zoomScaleNormal="100" workbookViewId="0">
      <selection activeCell="A677" sqref="A677:F677"/>
    </sheetView>
  </sheetViews>
  <sheetFormatPr defaultRowHeight="12.75" x14ac:dyDescent="0.2"/>
  <cols>
    <col min="1" max="1" width="7.85546875" style="116" customWidth="1"/>
    <col min="2" max="2" width="14.7109375" style="279" bestFit="1" customWidth="1"/>
    <col min="3" max="3" width="10.7109375" style="279" customWidth="1"/>
    <col min="4" max="4" width="13.28515625" style="280" customWidth="1"/>
    <col min="5" max="5" width="9.140625" style="281" customWidth="1"/>
    <col min="6" max="6" width="37.85546875" style="280" customWidth="1"/>
    <col min="7" max="7" width="10.42578125" style="280" customWidth="1"/>
    <col min="8" max="8" width="12.42578125" style="282" customWidth="1"/>
    <col min="9" max="10" width="10.140625" style="283" bestFit="1" customWidth="1"/>
    <col min="11" max="11" width="11.5703125" style="284" customWidth="1"/>
    <col min="12" max="12" width="35.42578125" style="280" customWidth="1"/>
    <col min="13" max="13" width="18.7109375" style="280" bestFit="1" customWidth="1"/>
    <col min="14" max="14" width="10.7109375" style="116" bestFit="1" customWidth="1"/>
    <col min="15" max="15" width="16.42578125" style="285" customWidth="1"/>
    <col min="16" max="16" width="10.5703125" style="279" bestFit="1" customWidth="1"/>
    <col min="17" max="17" width="10.7109375" style="116" bestFit="1" customWidth="1"/>
    <col min="18" max="18" width="10.140625" style="116" customWidth="1"/>
    <col min="19" max="19" width="13.85546875" style="116" customWidth="1"/>
    <col min="20" max="20" width="9.140625" style="284"/>
    <col min="21" max="21" width="10.28515625" style="116" customWidth="1"/>
    <col min="22" max="22" width="11" style="116" customWidth="1"/>
    <col min="23" max="24" width="10.5703125" style="116" customWidth="1"/>
    <col min="25" max="25" width="9.42578125" style="284" customWidth="1"/>
    <col min="26" max="26" width="10.7109375" style="116" bestFit="1" customWidth="1"/>
    <col min="27" max="27" width="7.85546875" style="284" customWidth="1"/>
    <col min="28" max="28" width="62.28515625" style="116" customWidth="1"/>
    <col min="29" max="29" width="11.28515625" style="116" bestFit="1" customWidth="1"/>
    <col min="30" max="30" width="10.7109375" style="116" bestFit="1" customWidth="1"/>
    <col min="31" max="31" width="12.85546875" style="279" customWidth="1"/>
    <col min="32" max="32" width="11.140625" style="116" customWidth="1"/>
    <col min="33" max="33" width="18.28515625" style="286" customWidth="1"/>
    <col min="34" max="34" width="14.28515625" style="285" bestFit="1" customWidth="1"/>
    <col min="35" max="35" width="13" style="285" customWidth="1"/>
    <col min="36" max="36" width="15.7109375" style="285" customWidth="1"/>
    <col min="37" max="37" width="13" style="285" customWidth="1"/>
    <col min="38" max="38" width="18" style="285" bestFit="1" customWidth="1"/>
    <col min="39" max="39" width="17.140625" style="287" customWidth="1"/>
    <col min="40" max="40" width="16.7109375" style="288" customWidth="1"/>
    <col min="41" max="41" width="17.85546875" style="285" customWidth="1"/>
    <col min="42" max="44" width="13.85546875" style="116" customWidth="1"/>
    <col min="45" max="45" width="9.28515625" style="116" bestFit="1" customWidth="1"/>
    <col min="46" max="46" width="28.42578125" style="116" customWidth="1"/>
    <col min="47" max="47" width="9.28515625" style="116" bestFit="1" customWidth="1"/>
    <col min="48" max="48" width="9.140625" style="116"/>
    <col min="49" max="49" width="16.5703125" style="116" customWidth="1"/>
    <col min="50" max="50" width="9.28515625" style="116" bestFit="1" customWidth="1"/>
    <col min="51" max="51" width="10.42578125" style="116" bestFit="1" customWidth="1"/>
    <col min="52" max="52" width="9.28515625" style="116" bestFit="1" customWidth="1"/>
    <col min="53" max="53" width="10.42578125" style="116" bestFit="1" customWidth="1"/>
    <col min="54" max="54" width="10.5703125" style="116" customWidth="1"/>
    <col min="55" max="55" width="9.28515625" style="116" bestFit="1" customWidth="1"/>
    <col min="56" max="57" width="10.85546875" style="116" bestFit="1" customWidth="1"/>
    <col min="58" max="59" width="9.140625" style="116"/>
    <col min="60" max="60" width="10.42578125" style="116" bestFit="1" customWidth="1"/>
    <col min="61" max="62" width="9.140625" style="116"/>
    <col min="63" max="63" width="10.42578125" style="116" bestFit="1" customWidth="1"/>
    <col min="64" max="64" width="10.85546875" style="116" bestFit="1" customWidth="1"/>
    <col min="65" max="65" width="17.140625" style="116" customWidth="1"/>
    <col min="66" max="16384" width="9.140625" style="116"/>
  </cols>
  <sheetData>
    <row r="1" spans="1:65" s="293" customFormat="1" ht="14.25" x14ac:dyDescent="0.2">
      <c r="A1" s="636"/>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289"/>
      <c r="AQ1" s="289"/>
      <c r="AR1" s="289"/>
      <c r="AS1" s="289"/>
      <c r="AT1" s="290"/>
      <c r="AU1" s="290"/>
      <c r="AV1" s="291"/>
      <c r="AW1" s="290"/>
      <c r="AX1" s="290"/>
      <c r="AY1" s="290"/>
      <c r="AZ1" s="290"/>
      <c r="BA1" s="290"/>
      <c r="BB1" s="292"/>
      <c r="BC1" s="292"/>
      <c r="BD1" s="292"/>
      <c r="BE1" s="292"/>
      <c r="BF1" s="292"/>
      <c r="BG1" s="292"/>
      <c r="BH1" s="292"/>
      <c r="BI1" s="292"/>
      <c r="BJ1" s="292"/>
      <c r="BK1" s="292"/>
      <c r="BL1" s="292"/>
      <c r="BM1" s="292"/>
    </row>
    <row r="2" spans="1:65" s="293" customFormat="1" ht="14.25" x14ac:dyDescent="0.2">
      <c r="A2" s="636"/>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289"/>
      <c r="AQ2" s="289"/>
      <c r="AR2" s="289"/>
      <c r="AS2" s="289"/>
      <c r="AT2" s="290"/>
      <c r="AU2" s="290"/>
      <c r="AV2" s="291"/>
      <c r="AW2" s="290"/>
      <c r="AX2" s="290"/>
      <c r="AY2" s="290"/>
      <c r="AZ2" s="290"/>
      <c r="BA2" s="290"/>
      <c r="BB2" s="292"/>
      <c r="BC2" s="292"/>
      <c r="BD2" s="292"/>
      <c r="BE2" s="292"/>
      <c r="BF2" s="292"/>
      <c r="BG2" s="292"/>
      <c r="BH2" s="292"/>
      <c r="BI2" s="292"/>
      <c r="BJ2" s="292"/>
      <c r="BK2" s="292"/>
      <c r="BL2" s="292"/>
      <c r="BM2" s="292"/>
    </row>
    <row r="3" spans="1:65" s="293" customFormat="1" ht="14.25" x14ac:dyDescent="0.2">
      <c r="A3" s="636"/>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289"/>
      <c r="AQ3" s="289"/>
      <c r="AR3" s="289"/>
      <c r="AS3" s="289"/>
      <c r="AT3" s="290"/>
      <c r="AU3" s="290"/>
      <c r="AV3" s="291"/>
      <c r="AW3" s="290"/>
      <c r="AX3" s="290"/>
      <c r="AY3" s="290"/>
      <c r="AZ3" s="290"/>
      <c r="BA3" s="290"/>
      <c r="BB3" s="292"/>
      <c r="BC3" s="292"/>
      <c r="BD3" s="292"/>
      <c r="BE3" s="292"/>
      <c r="BF3" s="292"/>
      <c r="BG3" s="292"/>
      <c r="BH3" s="292"/>
      <c r="BI3" s="292"/>
      <c r="BJ3" s="292"/>
      <c r="BK3" s="292"/>
      <c r="BL3" s="292"/>
      <c r="BM3" s="292"/>
    </row>
    <row r="4" spans="1:65" s="293" customFormat="1" ht="15" x14ac:dyDescent="0.2">
      <c r="A4" s="294" t="s">
        <v>49</v>
      </c>
      <c r="B4" s="294"/>
      <c r="C4" s="295"/>
      <c r="D4" s="292"/>
      <c r="E4" s="290"/>
      <c r="F4" s="292"/>
      <c r="G4" s="296"/>
      <c r="H4" s="297"/>
      <c r="I4" s="298"/>
      <c r="J4" s="298"/>
      <c r="K4" s="291"/>
      <c r="L4" s="292"/>
      <c r="M4" s="299"/>
      <c r="N4" s="292"/>
      <c r="O4" s="300"/>
      <c r="P4" s="301"/>
      <c r="Q4" s="292"/>
      <c r="R4" s="292"/>
      <c r="S4" s="291"/>
      <c r="T4" s="291"/>
      <c r="U4" s="292"/>
      <c r="V4" s="292"/>
      <c r="W4" s="292"/>
      <c r="X4" s="292"/>
      <c r="Y4" s="291"/>
      <c r="Z4" s="292"/>
      <c r="AA4" s="291"/>
      <c r="AB4" s="292"/>
      <c r="AC4" s="292"/>
      <c r="AD4" s="292"/>
      <c r="AE4" s="295"/>
      <c r="AF4" s="292"/>
      <c r="AG4" s="300"/>
      <c r="AH4" s="302"/>
      <c r="AI4" s="302"/>
      <c r="AJ4" s="302"/>
      <c r="AK4" s="302"/>
      <c r="AL4" s="300"/>
      <c r="AM4" s="303"/>
      <c r="AN4" s="304"/>
      <c r="AO4" s="300"/>
      <c r="AP4" s="305"/>
      <c r="AQ4" s="305"/>
      <c r="AR4" s="305"/>
      <c r="AS4" s="305"/>
      <c r="AT4" s="292"/>
      <c r="AU4" s="292"/>
      <c r="AV4" s="291"/>
      <c r="AW4" s="292"/>
      <c r="AX4" s="292"/>
      <c r="AY4" s="292"/>
      <c r="AZ4" s="292"/>
      <c r="BA4" s="292"/>
      <c r="BB4" s="292"/>
      <c r="BC4" s="292"/>
      <c r="BD4" s="292"/>
      <c r="BE4" s="292"/>
      <c r="BF4" s="292"/>
      <c r="BG4" s="292"/>
      <c r="BH4" s="292"/>
      <c r="BI4" s="292"/>
      <c r="BJ4" s="292"/>
      <c r="BK4" s="292"/>
      <c r="BL4" s="292"/>
      <c r="BM4" s="292"/>
    </row>
    <row r="5" spans="1:65" s="293" customFormat="1" ht="14.25" x14ac:dyDescent="0.2">
      <c r="A5" s="306"/>
      <c r="B5" s="295"/>
      <c r="C5" s="295"/>
      <c r="D5" s="292"/>
      <c r="E5" s="290"/>
      <c r="F5" s="292"/>
      <c r="G5" s="296"/>
      <c r="H5" s="297"/>
      <c r="I5" s="298"/>
      <c r="J5" s="298"/>
      <c r="K5" s="291"/>
      <c r="L5" s="292"/>
      <c r="M5" s="299"/>
      <c r="N5" s="291"/>
      <c r="O5" s="307"/>
      <c r="P5" s="301"/>
      <c r="Q5" s="291"/>
      <c r="R5" s="291"/>
      <c r="S5" s="291"/>
      <c r="T5" s="291"/>
      <c r="U5" s="291"/>
      <c r="V5" s="291"/>
      <c r="W5" s="291"/>
      <c r="X5" s="291"/>
      <c r="Y5" s="291"/>
      <c r="Z5" s="291"/>
      <c r="AA5" s="291"/>
      <c r="AB5" s="291"/>
      <c r="AC5" s="291"/>
      <c r="AD5" s="291"/>
      <c r="AE5" s="295"/>
      <c r="AF5" s="291"/>
      <c r="AG5" s="307"/>
      <c r="AH5" s="308"/>
      <c r="AI5" s="308"/>
      <c r="AJ5" s="308"/>
      <c r="AK5" s="308"/>
      <c r="AL5" s="307"/>
      <c r="AM5" s="309"/>
      <c r="AN5" s="310"/>
      <c r="AO5" s="307"/>
      <c r="AP5" s="311"/>
      <c r="AQ5" s="311"/>
      <c r="AR5" s="311"/>
      <c r="AS5" s="311"/>
      <c r="AT5" s="291"/>
      <c r="AU5" s="291"/>
      <c r="AV5" s="291"/>
      <c r="AW5" s="291"/>
      <c r="AX5" s="291"/>
      <c r="AY5" s="291"/>
      <c r="AZ5" s="291"/>
      <c r="BA5" s="291"/>
      <c r="BB5" s="292"/>
      <c r="BC5" s="292"/>
      <c r="BD5" s="292"/>
      <c r="BE5" s="292"/>
      <c r="BF5" s="292"/>
      <c r="BG5" s="292"/>
      <c r="BH5" s="292"/>
      <c r="BI5" s="292"/>
      <c r="BJ5" s="292"/>
      <c r="BK5" s="292"/>
      <c r="BL5" s="292"/>
      <c r="BM5" s="292"/>
    </row>
    <row r="6" spans="1:65" s="313" customFormat="1" ht="15" x14ac:dyDescent="0.25">
      <c r="A6" s="637" t="s">
        <v>1624</v>
      </c>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7"/>
      <c r="AY6" s="637"/>
      <c r="AZ6" s="637"/>
      <c r="BA6" s="637"/>
      <c r="BB6" s="637"/>
      <c r="BC6" s="312"/>
      <c r="BD6" s="312"/>
      <c r="BE6" s="312"/>
      <c r="BF6" s="312"/>
      <c r="BG6" s="312"/>
      <c r="BH6" s="312"/>
      <c r="BI6" s="312"/>
      <c r="BJ6" s="312"/>
      <c r="BK6" s="312"/>
      <c r="BL6" s="312"/>
      <c r="BM6" s="312"/>
    </row>
    <row r="7" spans="1:65" s="293" customFormat="1" ht="14.25" x14ac:dyDescent="0.2">
      <c r="A7" s="636" t="s">
        <v>109</v>
      </c>
      <c r="B7" s="636"/>
      <c r="C7" s="636"/>
      <c r="D7" s="636"/>
      <c r="E7" s="636"/>
      <c r="F7" s="636"/>
      <c r="G7" s="636"/>
      <c r="H7" s="636"/>
      <c r="I7" s="636"/>
      <c r="J7" s="636"/>
      <c r="K7" s="636"/>
      <c r="L7" s="636"/>
      <c r="M7" s="636"/>
      <c r="N7" s="290"/>
      <c r="O7" s="314"/>
      <c r="P7" s="301"/>
      <c r="Q7" s="290"/>
      <c r="R7" s="290"/>
      <c r="S7" s="291"/>
      <c r="T7" s="291"/>
      <c r="U7" s="290"/>
      <c r="V7" s="290"/>
      <c r="W7" s="290"/>
      <c r="X7" s="290"/>
      <c r="Y7" s="291"/>
      <c r="Z7" s="290"/>
      <c r="AA7" s="291"/>
      <c r="AB7" s="290"/>
      <c r="AC7" s="290"/>
      <c r="AD7" s="290"/>
      <c r="AE7" s="295"/>
      <c r="AF7" s="290"/>
      <c r="AG7" s="314"/>
      <c r="AH7" s="315"/>
      <c r="AI7" s="315"/>
      <c r="AJ7" s="315"/>
      <c r="AK7" s="315"/>
      <c r="AL7" s="314"/>
      <c r="AM7" s="316"/>
      <c r="AN7" s="317"/>
      <c r="AO7" s="314"/>
      <c r="AP7" s="289"/>
      <c r="AQ7" s="289"/>
      <c r="AR7" s="289"/>
      <c r="AS7" s="289"/>
      <c r="AT7" s="290"/>
      <c r="AU7" s="290"/>
      <c r="AV7" s="291"/>
      <c r="AW7" s="290"/>
      <c r="AX7" s="290"/>
      <c r="AY7" s="290"/>
      <c r="AZ7" s="290"/>
      <c r="BA7" s="290"/>
      <c r="BB7" s="290"/>
      <c r="BC7" s="292"/>
      <c r="BD7" s="292"/>
      <c r="BE7" s="292"/>
      <c r="BF7" s="292"/>
      <c r="BG7" s="292"/>
      <c r="BH7" s="292"/>
      <c r="BI7" s="292"/>
      <c r="BJ7" s="292"/>
      <c r="BK7" s="292"/>
      <c r="BL7" s="292"/>
      <c r="BM7" s="292"/>
    </row>
    <row r="8" spans="1:65" s="293" customFormat="1" ht="14.25" x14ac:dyDescent="0.2">
      <c r="A8" s="636" t="s">
        <v>81</v>
      </c>
      <c r="B8" s="636"/>
      <c r="C8" s="636"/>
      <c r="D8" s="636"/>
      <c r="E8" s="636"/>
      <c r="F8" s="292"/>
      <c r="G8" s="296"/>
      <c r="H8" s="297"/>
      <c r="I8" s="298"/>
      <c r="J8" s="298"/>
      <c r="K8" s="291"/>
      <c r="L8" s="292"/>
      <c r="M8" s="299"/>
      <c r="N8" s="290"/>
      <c r="O8" s="314"/>
      <c r="P8" s="301"/>
      <c r="Q8" s="290"/>
      <c r="R8" s="290"/>
      <c r="S8" s="291"/>
      <c r="T8" s="291"/>
      <c r="U8" s="290"/>
      <c r="V8" s="290"/>
      <c r="W8" s="290"/>
      <c r="X8" s="290"/>
      <c r="Y8" s="291"/>
      <c r="Z8" s="290"/>
      <c r="AA8" s="291"/>
      <c r="AB8" s="290"/>
      <c r="AC8" s="290"/>
      <c r="AD8" s="290"/>
      <c r="AE8" s="295"/>
      <c r="AF8" s="290"/>
      <c r="AG8" s="314"/>
      <c r="AH8" s="315"/>
      <c r="AI8" s="315"/>
      <c r="AJ8" s="315"/>
      <c r="AK8" s="315"/>
      <c r="AL8" s="314"/>
      <c r="AM8" s="316"/>
      <c r="AN8" s="317"/>
      <c r="AO8" s="314"/>
      <c r="AP8" s="289"/>
      <c r="AQ8" s="289"/>
      <c r="AR8" s="289"/>
      <c r="AS8" s="289"/>
      <c r="AT8" s="290"/>
      <c r="AU8" s="290"/>
      <c r="AV8" s="291"/>
      <c r="AW8" s="290"/>
      <c r="AX8" s="290"/>
      <c r="AY8" s="290"/>
      <c r="AZ8" s="290"/>
      <c r="BA8" s="290"/>
      <c r="BB8" s="290"/>
      <c r="BC8" s="292"/>
      <c r="BD8" s="292"/>
      <c r="BE8" s="292"/>
      <c r="BF8" s="292"/>
      <c r="BG8" s="292"/>
      <c r="BH8" s="292"/>
      <c r="BI8" s="292"/>
      <c r="BJ8" s="292"/>
      <c r="BK8" s="292"/>
      <c r="BL8" s="292"/>
      <c r="BM8" s="292"/>
    </row>
    <row r="9" spans="1:65" s="293" customFormat="1" ht="14.25" x14ac:dyDescent="0.2">
      <c r="A9" s="306"/>
      <c r="B9" s="295"/>
      <c r="C9" s="295"/>
      <c r="D9" s="292"/>
      <c r="E9" s="290"/>
      <c r="F9" s="292"/>
      <c r="G9" s="296"/>
      <c r="H9" s="297"/>
      <c r="I9" s="298"/>
      <c r="J9" s="298"/>
      <c r="K9" s="291"/>
      <c r="L9" s="292"/>
      <c r="M9" s="299"/>
      <c r="N9" s="291"/>
      <c r="O9" s="307"/>
      <c r="P9" s="301"/>
      <c r="Q9" s="291"/>
      <c r="R9" s="291"/>
      <c r="S9" s="291"/>
      <c r="T9" s="291"/>
      <c r="U9" s="291"/>
      <c r="V9" s="291"/>
      <c r="W9" s="291"/>
      <c r="X9" s="291"/>
      <c r="Y9" s="291"/>
      <c r="Z9" s="291"/>
      <c r="AA9" s="291"/>
      <c r="AB9" s="291"/>
      <c r="AC9" s="291"/>
      <c r="AD9" s="291"/>
      <c r="AE9" s="295"/>
      <c r="AF9" s="291"/>
      <c r="AG9" s="307"/>
      <c r="AH9" s="308"/>
      <c r="AI9" s="308"/>
      <c r="AJ9" s="308"/>
      <c r="AK9" s="308"/>
      <c r="AL9" s="307"/>
      <c r="AM9" s="309"/>
      <c r="AN9" s="310"/>
      <c r="AO9" s="307"/>
      <c r="AP9" s="311"/>
      <c r="AQ9" s="311"/>
      <c r="AR9" s="311"/>
      <c r="AS9" s="311"/>
      <c r="AT9" s="291"/>
      <c r="AU9" s="291"/>
      <c r="AV9" s="291"/>
      <c r="AW9" s="291"/>
      <c r="AX9" s="291"/>
      <c r="AY9" s="291"/>
      <c r="AZ9" s="291"/>
      <c r="BA9" s="291"/>
      <c r="BB9" s="291"/>
      <c r="BC9" s="292"/>
      <c r="BD9" s="292"/>
      <c r="BE9" s="292"/>
      <c r="BF9" s="292"/>
      <c r="BG9" s="292"/>
      <c r="BH9" s="292"/>
      <c r="BI9" s="292"/>
      <c r="BJ9" s="292"/>
      <c r="BK9" s="292"/>
      <c r="BL9" s="292"/>
      <c r="BM9" s="292"/>
    </row>
    <row r="10" spans="1:65" s="293" customFormat="1" ht="15" x14ac:dyDescent="0.25">
      <c r="A10" s="636" t="s">
        <v>2056</v>
      </c>
      <c r="B10" s="636"/>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c r="BC10" s="292"/>
      <c r="BD10" s="292"/>
      <c r="BE10" s="292"/>
      <c r="BF10" s="292"/>
      <c r="BG10" s="292"/>
      <c r="BH10" s="292"/>
      <c r="BI10" s="292"/>
      <c r="BJ10" s="292"/>
      <c r="BK10" s="292"/>
      <c r="BL10" s="292"/>
      <c r="BM10" s="292"/>
    </row>
    <row r="11" spans="1:65" s="293" customFormat="1" ht="15" x14ac:dyDescent="0.25">
      <c r="A11" s="636" t="s">
        <v>2057</v>
      </c>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636"/>
      <c r="BB11" s="636"/>
      <c r="BC11" s="292"/>
      <c r="BD11" s="292"/>
      <c r="BE11" s="292"/>
      <c r="BF11" s="292"/>
      <c r="BG11" s="292"/>
      <c r="BH11" s="292"/>
      <c r="BI11" s="292"/>
      <c r="BJ11" s="292"/>
      <c r="BK11" s="292"/>
      <c r="BL11" s="292"/>
      <c r="BM11" s="292"/>
    </row>
    <row r="12" spans="1:65" s="293" customFormat="1" ht="15" x14ac:dyDescent="0.25">
      <c r="A12" s="642" t="s">
        <v>2058</v>
      </c>
      <c r="B12" s="642"/>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2"/>
      <c r="AY12" s="642"/>
      <c r="AZ12" s="642"/>
      <c r="BA12" s="642"/>
      <c r="BB12" s="642"/>
      <c r="BC12" s="292"/>
      <c r="BD12" s="292"/>
      <c r="BE12" s="292"/>
      <c r="BF12" s="292"/>
      <c r="BG12" s="292"/>
      <c r="BH12" s="292"/>
      <c r="BI12" s="292"/>
      <c r="BJ12" s="292"/>
      <c r="BK12" s="292"/>
      <c r="BL12" s="292"/>
      <c r="BM12" s="292"/>
    </row>
    <row r="13" spans="1:65" s="98" customFormat="1" x14ac:dyDescent="0.2">
      <c r="A13" s="643"/>
      <c r="B13" s="643"/>
      <c r="C13" s="643"/>
      <c r="D13" s="643"/>
      <c r="E13" s="643"/>
      <c r="F13" s="643"/>
      <c r="G13" s="643"/>
      <c r="H13" s="643"/>
      <c r="I13" s="643"/>
      <c r="J13" s="643"/>
      <c r="K13" s="643"/>
      <c r="L13" s="97"/>
      <c r="M13" s="100"/>
      <c r="N13" s="96"/>
      <c r="O13" s="103"/>
      <c r="P13" s="101"/>
      <c r="Q13" s="96"/>
      <c r="R13" s="96"/>
      <c r="S13" s="96"/>
      <c r="T13" s="96"/>
      <c r="U13" s="96"/>
      <c r="V13" s="96"/>
      <c r="W13" s="96"/>
      <c r="X13" s="96"/>
      <c r="Y13" s="96"/>
      <c r="Z13" s="96"/>
      <c r="AA13" s="96"/>
      <c r="AB13" s="96"/>
      <c r="AC13" s="96"/>
      <c r="AD13" s="96"/>
      <c r="AE13" s="99"/>
      <c r="AF13" s="96"/>
      <c r="AG13" s="103"/>
      <c r="AH13" s="104"/>
      <c r="AI13" s="104"/>
      <c r="AJ13" s="104"/>
      <c r="AK13" s="104"/>
      <c r="AL13" s="103"/>
      <c r="AM13" s="105"/>
      <c r="AN13" s="106"/>
      <c r="AO13" s="103"/>
      <c r="AP13" s="107"/>
      <c r="AQ13" s="107"/>
      <c r="AR13" s="107"/>
      <c r="AS13" s="107"/>
      <c r="AT13" s="96"/>
      <c r="AU13" s="96"/>
      <c r="AV13" s="96"/>
      <c r="AW13" s="96"/>
      <c r="AX13" s="96"/>
      <c r="AY13" s="96"/>
      <c r="AZ13" s="96"/>
      <c r="BA13" s="96"/>
      <c r="BB13" s="97"/>
      <c r="BC13" s="97"/>
      <c r="BD13" s="97"/>
      <c r="BE13" s="97"/>
      <c r="BF13" s="97"/>
      <c r="BG13" s="97"/>
      <c r="BH13" s="97"/>
      <c r="BI13" s="97"/>
      <c r="BJ13" s="97"/>
      <c r="BK13" s="97"/>
      <c r="BL13" s="97"/>
      <c r="BM13" s="97"/>
    </row>
    <row r="14" spans="1:65" s="327" customFormat="1" ht="16.5" thickBot="1" x14ac:dyDescent="0.3">
      <c r="A14" s="319" t="s">
        <v>77</v>
      </c>
      <c r="B14" s="320"/>
      <c r="C14" s="320"/>
      <c r="D14" s="319"/>
      <c r="E14" s="321"/>
      <c r="F14" s="319"/>
      <c r="G14" s="319"/>
      <c r="H14" s="318"/>
      <c r="I14" s="318"/>
      <c r="J14" s="318"/>
      <c r="K14" s="322"/>
      <c r="L14" s="319"/>
      <c r="M14" s="319"/>
      <c r="N14" s="319"/>
      <c r="O14" s="323"/>
      <c r="P14" s="320"/>
      <c r="Q14" s="319"/>
      <c r="R14" s="319" t="s">
        <v>443</v>
      </c>
      <c r="S14" s="319"/>
      <c r="T14" s="322"/>
      <c r="U14" s="319"/>
      <c r="V14" s="319"/>
      <c r="W14" s="319"/>
      <c r="X14" s="319"/>
      <c r="Y14" s="322"/>
      <c r="Z14" s="319"/>
      <c r="AA14" s="322"/>
      <c r="AB14" s="319"/>
      <c r="AC14" s="319"/>
      <c r="AD14" s="319"/>
      <c r="AE14" s="320"/>
      <c r="AF14" s="319"/>
      <c r="AG14" s="324"/>
      <c r="AH14" s="323"/>
      <c r="AI14" s="323"/>
      <c r="AJ14" s="323"/>
      <c r="AK14" s="323"/>
      <c r="AL14" s="323"/>
      <c r="AM14" s="325"/>
      <c r="AN14" s="326"/>
      <c r="AO14" s="323"/>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row>
    <row r="15" spans="1:65" s="108" customFormat="1" x14ac:dyDescent="0.25">
      <c r="A15" s="644" t="s">
        <v>52</v>
      </c>
      <c r="B15" s="617" t="s">
        <v>20</v>
      </c>
      <c r="C15" s="618"/>
      <c r="D15" s="618"/>
      <c r="E15" s="618"/>
      <c r="F15" s="618"/>
      <c r="G15" s="619"/>
      <c r="H15" s="40"/>
      <c r="I15" s="41"/>
      <c r="J15" s="42"/>
      <c r="K15" s="626" t="s">
        <v>78</v>
      </c>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8"/>
      <c r="AP15" s="596" t="s">
        <v>88</v>
      </c>
      <c r="AQ15" s="597"/>
      <c r="AR15" s="597"/>
      <c r="AS15" s="597"/>
      <c r="AT15" s="597"/>
      <c r="AU15" s="598"/>
      <c r="AV15" s="596" t="s">
        <v>108</v>
      </c>
      <c r="AW15" s="597"/>
      <c r="AX15" s="597"/>
      <c r="AY15" s="597"/>
      <c r="AZ15" s="597"/>
      <c r="BA15" s="598"/>
      <c r="BB15" s="596" t="s">
        <v>79</v>
      </c>
      <c r="BC15" s="597"/>
      <c r="BD15" s="597"/>
      <c r="BE15" s="597"/>
      <c r="BF15" s="597"/>
      <c r="BG15" s="597"/>
      <c r="BH15" s="597"/>
      <c r="BI15" s="597"/>
      <c r="BJ15" s="597"/>
      <c r="BK15" s="597"/>
      <c r="BL15" s="597"/>
      <c r="BM15" s="598"/>
    </row>
    <row r="16" spans="1:65" s="108" customFormat="1" x14ac:dyDescent="0.25">
      <c r="A16" s="401"/>
      <c r="B16" s="620"/>
      <c r="C16" s="621"/>
      <c r="D16" s="621"/>
      <c r="E16" s="621"/>
      <c r="F16" s="621"/>
      <c r="G16" s="622"/>
      <c r="H16" s="627" t="s">
        <v>1170</v>
      </c>
      <c r="I16" s="628"/>
      <c r="J16" s="629"/>
      <c r="K16" s="638" t="s">
        <v>50</v>
      </c>
      <c r="L16" s="639"/>
      <c r="M16" s="639"/>
      <c r="N16" s="639"/>
      <c r="O16" s="639"/>
      <c r="P16" s="639"/>
      <c r="Q16" s="639"/>
      <c r="R16" s="639"/>
      <c r="S16" s="639"/>
      <c r="T16" s="639"/>
      <c r="U16" s="639"/>
      <c r="V16" s="639"/>
      <c r="W16" s="640"/>
      <c r="X16" s="614" t="s">
        <v>1171</v>
      </c>
      <c r="Y16" s="615"/>
      <c r="Z16" s="615"/>
      <c r="AA16" s="615"/>
      <c r="AB16" s="615"/>
      <c r="AC16" s="615"/>
      <c r="AD16" s="615"/>
      <c r="AE16" s="615"/>
      <c r="AF16" s="615"/>
      <c r="AG16" s="615"/>
      <c r="AH16" s="616"/>
      <c r="AI16" s="614" t="s">
        <v>1172</v>
      </c>
      <c r="AJ16" s="615"/>
      <c r="AK16" s="616"/>
      <c r="AL16" s="614" t="s">
        <v>51</v>
      </c>
      <c r="AM16" s="615"/>
      <c r="AN16" s="615"/>
      <c r="AO16" s="615"/>
      <c r="AP16" s="640" t="s">
        <v>90</v>
      </c>
      <c r="AQ16" s="638" t="s">
        <v>1173</v>
      </c>
      <c r="AR16" s="640"/>
      <c r="AS16" s="605" t="s">
        <v>91</v>
      </c>
      <c r="AT16" s="605" t="s">
        <v>89</v>
      </c>
      <c r="AU16" s="608" t="s">
        <v>92</v>
      </c>
      <c r="AV16" s="611" t="s">
        <v>97</v>
      </c>
      <c r="AW16" s="605" t="s">
        <v>98</v>
      </c>
      <c r="AX16" s="605" t="s">
        <v>99</v>
      </c>
      <c r="AY16" s="605" t="s">
        <v>101</v>
      </c>
      <c r="AZ16" s="605" t="s">
        <v>100</v>
      </c>
      <c r="BA16" s="608" t="s">
        <v>101</v>
      </c>
      <c r="BB16" s="611" t="s">
        <v>1</v>
      </c>
      <c r="BC16" s="605" t="s">
        <v>57</v>
      </c>
      <c r="BD16" s="599" t="s">
        <v>61</v>
      </c>
      <c r="BE16" s="600"/>
      <c r="BF16" s="601"/>
      <c r="BG16" s="599" t="s">
        <v>64</v>
      </c>
      <c r="BH16" s="601"/>
      <c r="BI16" s="605" t="s">
        <v>1174</v>
      </c>
      <c r="BJ16" s="605" t="s">
        <v>1175</v>
      </c>
      <c r="BK16" s="599" t="s">
        <v>67</v>
      </c>
      <c r="BL16" s="600"/>
      <c r="BM16" s="630"/>
    </row>
    <row r="17" spans="1:65" s="108" customFormat="1" x14ac:dyDescent="0.25">
      <c r="A17" s="401"/>
      <c r="B17" s="623"/>
      <c r="C17" s="624"/>
      <c r="D17" s="624"/>
      <c r="E17" s="624"/>
      <c r="F17" s="624"/>
      <c r="G17" s="625"/>
      <c r="H17" s="632" t="s">
        <v>1176</v>
      </c>
      <c r="I17" s="634" t="s">
        <v>1173</v>
      </c>
      <c r="J17" s="635"/>
      <c r="K17" s="641"/>
      <c r="L17" s="624"/>
      <c r="M17" s="624"/>
      <c r="N17" s="624"/>
      <c r="O17" s="624"/>
      <c r="P17" s="624"/>
      <c r="Q17" s="624"/>
      <c r="R17" s="624"/>
      <c r="S17" s="624"/>
      <c r="T17" s="624"/>
      <c r="U17" s="624"/>
      <c r="V17" s="624"/>
      <c r="W17" s="625"/>
      <c r="X17" s="614"/>
      <c r="Y17" s="615"/>
      <c r="Z17" s="615"/>
      <c r="AA17" s="615"/>
      <c r="AB17" s="616"/>
      <c r="AC17" s="614" t="s">
        <v>1177</v>
      </c>
      <c r="AD17" s="616"/>
      <c r="AE17" s="614" t="s">
        <v>1178</v>
      </c>
      <c r="AF17" s="615"/>
      <c r="AG17" s="615"/>
      <c r="AH17" s="616"/>
      <c r="AI17" s="614" t="s">
        <v>1179</v>
      </c>
      <c r="AJ17" s="615"/>
      <c r="AK17" s="616"/>
      <c r="AL17" s="27"/>
      <c r="AM17" s="614" t="s">
        <v>1180</v>
      </c>
      <c r="AN17" s="615"/>
      <c r="AO17" s="616"/>
      <c r="AP17" s="622"/>
      <c r="AQ17" s="641"/>
      <c r="AR17" s="625"/>
      <c r="AS17" s="606"/>
      <c r="AT17" s="606"/>
      <c r="AU17" s="609"/>
      <c r="AV17" s="612"/>
      <c r="AW17" s="606"/>
      <c r="AX17" s="606"/>
      <c r="AY17" s="606"/>
      <c r="AZ17" s="606"/>
      <c r="BA17" s="609"/>
      <c r="BB17" s="612"/>
      <c r="BC17" s="606"/>
      <c r="BD17" s="602"/>
      <c r="BE17" s="603"/>
      <c r="BF17" s="604"/>
      <c r="BG17" s="602"/>
      <c r="BH17" s="604"/>
      <c r="BI17" s="606"/>
      <c r="BJ17" s="606"/>
      <c r="BK17" s="602"/>
      <c r="BL17" s="603"/>
      <c r="BM17" s="631"/>
    </row>
    <row r="18" spans="1:65" s="108" customFormat="1" ht="63.75" x14ac:dyDescent="0.25">
      <c r="A18" s="401"/>
      <c r="B18" s="32" t="s">
        <v>6</v>
      </c>
      <c r="C18" s="33" t="s">
        <v>7</v>
      </c>
      <c r="D18" s="33" t="s">
        <v>0</v>
      </c>
      <c r="E18" s="33" t="s">
        <v>1</v>
      </c>
      <c r="F18" s="33" t="s">
        <v>2</v>
      </c>
      <c r="G18" s="27" t="s">
        <v>8</v>
      </c>
      <c r="H18" s="633"/>
      <c r="I18" s="34" t="s">
        <v>58</v>
      </c>
      <c r="J18" s="34" t="s">
        <v>59</v>
      </c>
      <c r="K18" s="35" t="s">
        <v>9</v>
      </c>
      <c r="L18" s="33" t="s">
        <v>3</v>
      </c>
      <c r="M18" s="33" t="s">
        <v>19</v>
      </c>
      <c r="N18" s="33" t="s">
        <v>10</v>
      </c>
      <c r="O18" s="33" t="s">
        <v>47</v>
      </c>
      <c r="P18" s="33" t="s">
        <v>14</v>
      </c>
      <c r="Q18" s="33" t="s">
        <v>13</v>
      </c>
      <c r="R18" s="33" t="s">
        <v>12</v>
      </c>
      <c r="S18" s="33" t="s">
        <v>4</v>
      </c>
      <c r="T18" s="33" t="s">
        <v>85</v>
      </c>
      <c r="U18" s="33" t="s">
        <v>53</v>
      </c>
      <c r="V18" s="33" t="s">
        <v>54</v>
      </c>
      <c r="W18" s="33" t="s">
        <v>5</v>
      </c>
      <c r="X18" s="33" t="s">
        <v>1</v>
      </c>
      <c r="Y18" s="33" t="s">
        <v>1181</v>
      </c>
      <c r="Z18" s="33" t="s">
        <v>10</v>
      </c>
      <c r="AA18" s="33" t="s">
        <v>14</v>
      </c>
      <c r="AB18" s="33" t="s">
        <v>11</v>
      </c>
      <c r="AC18" s="33" t="s">
        <v>13</v>
      </c>
      <c r="AD18" s="33" t="s">
        <v>12</v>
      </c>
      <c r="AE18" s="33" t="s">
        <v>15</v>
      </c>
      <c r="AF18" s="33" t="s">
        <v>16</v>
      </c>
      <c r="AG18" s="33" t="s">
        <v>17</v>
      </c>
      <c r="AH18" s="33" t="s">
        <v>18</v>
      </c>
      <c r="AI18" s="33" t="s">
        <v>1182</v>
      </c>
      <c r="AJ18" s="33" t="s">
        <v>1183</v>
      </c>
      <c r="AK18" s="33" t="s">
        <v>1184</v>
      </c>
      <c r="AL18" s="33" t="s">
        <v>21</v>
      </c>
      <c r="AM18" s="36" t="s">
        <v>1185</v>
      </c>
      <c r="AN18" s="37" t="s">
        <v>1186</v>
      </c>
      <c r="AO18" s="27" t="s">
        <v>1187</v>
      </c>
      <c r="AP18" s="625"/>
      <c r="AQ18" s="28" t="s">
        <v>58</v>
      </c>
      <c r="AR18" s="28" t="s">
        <v>59</v>
      </c>
      <c r="AS18" s="607"/>
      <c r="AT18" s="607"/>
      <c r="AU18" s="610"/>
      <c r="AV18" s="613"/>
      <c r="AW18" s="607"/>
      <c r="AX18" s="607"/>
      <c r="AY18" s="607"/>
      <c r="AZ18" s="607"/>
      <c r="BA18" s="610"/>
      <c r="BB18" s="613"/>
      <c r="BC18" s="607"/>
      <c r="BD18" s="38" t="s">
        <v>58</v>
      </c>
      <c r="BE18" s="38" t="s">
        <v>59</v>
      </c>
      <c r="BF18" s="38" t="s">
        <v>60</v>
      </c>
      <c r="BG18" s="38" t="s">
        <v>62</v>
      </c>
      <c r="BH18" s="33" t="s">
        <v>63</v>
      </c>
      <c r="BI18" s="607"/>
      <c r="BJ18" s="607"/>
      <c r="BK18" s="38" t="s">
        <v>58</v>
      </c>
      <c r="BL18" s="38" t="s">
        <v>66</v>
      </c>
      <c r="BM18" s="39" t="s">
        <v>65</v>
      </c>
    </row>
    <row r="19" spans="1:65" s="108" customFormat="1" ht="26.25" thickBot="1" x14ac:dyDescent="0.3">
      <c r="A19" s="645"/>
      <c r="B19" s="43" t="s">
        <v>22</v>
      </c>
      <c r="C19" s="44" t="s">
        <v>23</v>
      </c>
      <c r="D19" s="45" t="s">
        <v>46</v>
      </c>
      <c r="E19" s="44" t="s">
        <v>24</v>
      </c>
      <c r="F19" s="44" t="s">
        <v>25</v>
      </c>
      <c r="G19" s="46" t="s">
        <v>26</v>
      </c>
      <c r="H19" s="47" t="s">
        <v>27</v>
      </c>
      <c r="I19" s="47" t="s">
        <v>28</v>
      </c>
      <c r="J19" s="47" t="s">
        <v>29</v>
      </c>
      <c r="K19" s="48" t="s">
        <v>30</v>
      </c>
      <c r="L19" s="44" t="s">
        <v>31</v>
      </c>
      <c r="M19" s="44" t="s">
        <v>32</v>
      </c>
      <c r="N19" s="44" t="s">
        <v>33</v>
      </c>
      <c r="O19" s="49" t="s">
        <v>34</v>
      </c>
      <c r="P19" s="44" t="s">
        <v>35</v>
      </c>
      <c r="Q19" s="44" t="s">
        <v>36</v>
      </c>
      <c r="R19" s="44" t="s">
        <v>37</v>
      </c>
      <c r="S19" s="44" t="s">
        <v>48</v>
      </c>
      <c r="T19" s="44" t="s">
        <v>38</v>
      </c>
      <c r="U19" s="44" t="s">
        <v>82</v>
      </c>
      <c r="V19" s="44" t="s">
        <v>39</v>
      </c>
      <c r="W19" s="44" t="s">
        <v>40</v>
      </c>
      <c r="X19" s="44" t="s">
        <v>41</v>
      </c>
      <c r="Y19" s="44" t="s">
        <v>42</v>
      </c>
      <c r="Z19" s="44" t="s">
        <v>43</v>
      </c>
      <c r="AA19" s="44" t="s">
        <v>44</v>
      </c>
      <c r="AB19" s="44" t="s">
        <v>55</v>
      </c>
      <c r="AC19" s="44" t="s">
        <v>45</v>
      </c>
      <c r="AD19" s="44" t="s">
        <v>83</v>
      </c>
      <c r="AE19" s="44" t="s">
        <v>84</v>
      </c>
      <c r="AF19" s="44" t="s">
        <v>56</v>
      </c>
      <c r="AG19" s="44" t="s">
        <v>86</v>
      </c>
      <c r="AH19" s="44" t="s">
        <v>87</v>
      </c>
      <c r="AI19" s="44" t="s">
        <v>68</v>
      </c>
      <c r="AJ19" s="44" t="s">
        <v>69</v>
      </c>
      <c r="AK19" s="44" t="s">
        <v>70</v>
      </c>
      <c r="AL19" s="44" t="s">
        <v>1188</v>
      </c>
      <c r="AM19" s="50" t="s">
        <v>71</v>
      </c>
      <c r="AN19" s="51" t="s">
        <v>72</v>
      </c>
      <c r="AO19" s="44" t="s">
        <v>1189</v>
      </c>
      <c r="AP19" s="52" t="s">
        <v>73</v>
      </c>
      <c r="AQ19" s="52" t="s">
        <v>74</v>
      </c>
      <c r="AR19" s="52" t="s">
        <v>75</v>
      </c>
      <c r="AS19" s="52" t="s">
        <v>76</v>
      </c>
      <c r="AT19" s="53" t="s">
        <v>80</v>
      </c>
      <c r="AU19" s="54" t="s">
        <v>93</v>
      </c>
      <c r="AV19" s="55" t="s">
        <v>94</v>
      </c>
      <c r="AW19" s="55" t="s">
        <v>95</v>
      </c>
      <c r="AX19" s="55" t="s">
        <v>102</v>
      </c>
      <c r="AY19" s="55" t="s">
        <v>96</v>
      </c>
      <c r="AZ19" s="56" t="s">
        <v>103</v>
      </c>
      <c r="BA19" s="57" t="s">
        <v>104</v>
      </c>
      <c r="BB19" s="55" t="s">
        <v>105</v>
      </c>
      <c r="BC19" s="55" t="s">
        <v>106</v>
      </c>
      <c r="BD19" s="55" t="s">
        <v>107</v>
      </c>
      <c r="BE19" s="56" t="s">
        <v>1190</v>
      </c>
      <c r="BF19" s="56" t="s">
        <v>1191</v>
      </c>
      <c r="BG19" s="56" t="s">
        <v>1192</v>
      </c>
      <c r="BH19" s="55" t="s">
        <v>1193</v>
      </c>
      <c r="BI19" s="55" t="s">
        <v>1194</v>
      </c>
      <c r="BJ19" s="55" t="s">
        <v>1195</v>
      </c>
      <c r="BK19" s="56" t="s">
        <v>1196</v>
      </c>
      <c r="BL19" s="56" t="s">
        <v>1197</v>
      </c>
      <c r="BM19" s="56" t="s">
        <v>1198</v>
      </c>
    </row>
    <row r="20" spans="1:65" ht="204" x14ac:dyDescent="0.2">
      <c r="A20" s="539">
        <v>1</v>
      </c>
      <c r="B20" s="421" t="s">
        <v>128</v>
      </c>
      <c r="C20" s="423" t="s">
        <v>129</v>
      </c>
      <c r="D20" s="409" t="s">
        <v>130</v>
      </c>
      <c r="E20" s="411" t="s">
        <v>126</v>
      </c>
      <c r="F20" s="409" t="s">
        <v>131</v>
      </c>
      <c r="G20" s="426" t="s">
        <v>818</v>
      </c>
      <c r="H20" s="457" t="s">
        <v>217</v>
      </c>
      <c r="I20" s="518">
        <v>41354</v>
      </c>
      <c r="J20" s="518">
        <v>41719</v>
      </c>
      <c r="K20" s="429" t="s">
        <v>127</v>
      </c>
      <c r="L20" s="409" t="s">
        <v>132</v>
      </c>
      <c r="M20" s="409" t="s">
        <v>133</v>
      </c>
      <c r="N20" s="429" t="s">
        <v>134</v>
      </c>
      <c r="O20" s="447">
        <v>4297968</v>
      </c>
      <c r="P20" s="448" t="s">
        <v>1843</v>
      </c>
      <c r="Q20" s="429" t="s">
        <v>134</v>
      </c>
      <c r="R20" s="437">
        <v>41723</v>
      </c>
      <c r="S20" s="429" t="s">
        <v>135</v>
      </c>
      <c r="T20" s="429"/>
      <c r="U20" s="429"/>
      <c r="V20" s="429"/>
      <c r="W20" s="429" t="s">
        <v>137</v>
      </c>
      <c r="X20" s="109"/>
      <c r="Y20" s="26" t="s">
        <v>138</v>
      </c>
      <c r="Z20" s="26" t="s">
        <v>139</v>
      </c>
      <c r="AA20" s="110">
        <v>11273</v>
      </c>
      <c r="AB20" s="111" t="s">
        <v>699</v>
      </c>
      <c r="AC20" s="26" t="s">
        <v>140</v>
      </c>
      <c r="AD20" s="26" t="s">
        <v>141</v>
      </c>
      <c r="AE20" s="112"/>
      <c r="AF20" s="26"/>
      <c r="AG20" s="113">
        <v>2106000</v>
      </c>
      <c r="AH20" s="114"/>
      <c r="AI20" s="115"/>
      <c r="AJ20" s="115"/>
      <c r="AK20" s="115"/>
      <c r="AL20" s="498">
        <f>O20-AH20+AG20-AH21+AG21-AH22+AG22-AH23+AG23-AH24+AG24</f>
        <v>13335796.800000001</v>
      </c>
      <c r="AM20" s="532">
        <f>5475768.4+1550445+132600+132600+132600+154072.44+148631+148631+148631+150816.75+150816.75+150816.75+150816.75+150816.75</f>
        <v>8778062.5899999999</v>
      </c>
      <c r="AN20" s="524">
        <f>155188.25+155188.25+155188.25+159559.5+157374+158612.59+166630.53+166630.53+166630.53+166630.53+166630.53</f>
        <v>1774263.49</v>
      </c>
      <c r="AO20" s="498">
        <f>AM20+AN20</f>
        <v>10552326.08</v>
      </c>
      <c r="AP20" s="528"/>
      <c r="AQ20" s="115"/>
      <c r="AR20" s="115"/>
      <c r="AS20" s="463"/>
      <c r="AT20" s="530"/>
      <c r="AU20" s="411"/>
      <c r="AV20" s="411"/>
      <c r="AW20" s="411"/>
      <c r="AX20" s="411"/>
      <c r="AY20" s="411"/>
      <c r="AZ20" s="411"/>
      <c r="BA20" s="411"/>
      <c r="BB20" s="411"/>
      <c r="BC20" s="411"/>
      <c r="BD20" s="411"/>
      <c r="BE20" s="411"/>
      <c r="BF20" s="411"/>
      <c r="BG20" s="411"/>
      <c r="BH20" s="411"/>
      <c r="BI20" s="411"/>
      <c r="BJ20" s="411"/>
      <c r="BK20" s="411"/>
      <c r="BL20" s="411"/>
      <c r="BM20" s="411"/>
    </row>
    <row r="21" spans="1:65" ht="25.5" x14ac:dyDescent="0.2">
      <c r="A21" s="420"/>
      <c r="B21" s="421"/>
      <c r="C21" s="540"/>
      <c r="D21" s="409"/>
      <c r="E21" s="411"/>
      <c r="F21" s="409"/>
      <c r="G21" s="426"/>
      <c r="H21" s="457"/>
      <c r="I21" s="518"/>
      <c r="J21" s="518"/>
      <c r="K21" s="429"/>
      <c r="L21" s="409"/>
      <c r="M21" s="409"/>
      <c r="N21" s="429"/>
      <c r="O21" s="447"/>
      <c r="P21" s="448"/>
      <c r="Q21" s="429"/>
      <c r="R21" s="437"/>
      <c r="S21" s="429"/>
      <c r="T21" s="429"/>
      <c r="U21" s="429"/>
      <c r="V21" s="429"/>
      <c r="W21" s="429"/>
      <c r="X21" s="20"/>
      <c r="Y21" s="2" t="s">
        <v>144</v>
      </c>
      <c r="Z21" s="117">
        <v>42086</v>
      </c>
      <c r="AA21" s="118">
        <v>11523</v>
      </c>
      <c r="AB21" s="62" t="s">
        <v>489</v>
      </c>
      <c r="AC21" s="117">
        <v>42088</v>
      </c>
      <c r="AD21" s="117">
        <v>42454</v>
      </c>
      <c r="AE21" s="1"/>
      <c r="AF21" s="2"/>
      <c r="AG21" s="119">
        <v>2106000</v>
      </c>
      <c r="AH21" s="120"/>
      <c r="AI21" s="115"/>
      <c r="AJ21" s="115"/>
      <c r="AK21" s="115"/>
      <c r="AL21" s="498"/>
      <c r="AM21" s="532"/>
      <c r="AN21" s="524"/>
      <c r="AO21" s="498"/>
      <c r="AP21" s="463"/>
      <c r="AQ21" s="121"/>
      <c r="AR21" s="121"/>
      <c r="AS21" s="463"/>
      <c r="AT21" s="530"/>
      <c r="AU21" s="411"/>
      <c r="AV21" s="411"/>
      <c r="AW21" s="411"/>
      <c r="AX21" s="411"/>
      <c r="AY21" s="411"/>
      <c r="AZ21" s="411"/>
      <c r="BA21" s="411"/>
      <c r="BB21" s="411"/>
      <c r="BC21" s="411"/>
      <c r="BD21" s="411"/>
      <c r="BE21" s="411"/>
      <c r="BF21" s="411"/>
      <c r="BG21" s="411"/>
      <c r="BH21" s="411"/>
      <c r="BI21" s="411"/>
      <c r="BJ21" s="411"/>
      <c r="BK21" s="411"/>
      <c r="BL21" s="411"/>
      <c r="BM21" s="411"/>
    </row>
    <row r="22" spans="1:65" ht="153" x14ac:dyDescent="0.2">
      <c r="A22" s="420"/>
      <c r="B22" s="421"/>
      <c r="C22" s="540"/>
      <c r="D22" s="409"/>
      <c r="E22" s="411"/>
      <c r="F22" s="409"/>
      <c r="G22" s="409"/>
      <c r="H22" s="457"/>
      <c r="I22" s="518"/>
      <c r="J22" s="518"/>
      <c r="K22" s="429"/>
      <c r="L22" s="409"/>
      <c r="M22" s="409"/>
      <c r="N22" s="429"/>
      <c r="O22" s="429"/>
      <c r="P22" s="429"/>
      <c r="Q22" s="429"/>
      <c r="R22" s="429"/>
      <c r="S22" s="429"/>
      <c r="T22" s="429"/>
      <c r="U22" s="429"/>
      <c r="V22" s="429"/>
      <c r="W22" s="429"/>
      <c r="X22" s="20"/>
      <c r="Y22" s="2" t="s">
        <v>193</v>
      </c>
      <c r="Z22" s="117">
        <v>42452</v>
      </c>
      <c r="AA22" s="118">
        <v>11777</v>
      </c>
      <c r="AB22" s="62" t="s">
        <v>861</v>
      </c>
      <c r="AC22" s="117">
        <v>42454</v>
      </c>
      <c r="AD22" s="117">
        <v>42819</v>
      </c>
      <c r="AE22" s="1"/>
      <c r="AF22" s="2"/>
      <c r="AG22" s="119">
        <v>2360610</v>
      </c>
      <c r="AH22" s="120"/>
      <c r="AI22" s="114"/>
      <c r="AJ22" s="114"/>
      <c r="AK22" s="114"/>
      <c r="AL22" s="498"/>
      <c r="AM22" s="532"/>
      <c r="AN22" s="524"/>
      <c r="AO22" s="498"/>
      <c r="AP22" s="450"/>
      <c r="AQ22" s="30"/>
      <c r="AR22" s="30"/>
      <c r="AS22" s="450"/>
      <c r="AT22" s="531"/>
      <c r="AU22" s="412"/>
      <c r="AV22" s="412"/>
      <c r="AW22" s="412"/>
      <c r="AX22" s="412"/>
      <c r="AY22" s="412"/>
      <c r="AZ22" s="412"/>
      <c r="BA22" s="412"/>
      <c r="BB22" s="412"/>
      <c r="BC22" s="412"/>
      <c r="BD22" s="412"/>
      <c r="BE22" s="412"/>
      <c r="BF22" s="412"/>
      <c r="BG22" s="412"/>
      <c r="BH22" s="412"/>
      <c r="BI22" s="412"/>
      <c r="BJ22" s="412"/>
      <c r="BK22" s="412"/>
      <c r="BL22" s="412"/>
      <c r="BM22" s="412"/>
    </row>
    <row r="23" spans="1:65" ht="38.25" x14ac:dyDescent="0.2">
      <c r="A23" s="420"/>
      <c r="B23" s="421"/>
      <c r="C23" s="540"/>
      <c r="D23" s="409"/>
      <c r="E23" s="411"/>
      <c r="F23" s="409"/>
      <c r="G23" s="409"/>
      <c r="H23" s="429"/>
      <c r="I23" s="429"/>
      <c r="J23" s="429"/>
      <c r="K23" s="429"/>
      <c r="L23" s="409"/>
      <c r="M23" s="409"/>
      <c r="N23" s="429"/>
      <c r="O23" s="429"/>
      <c r="P23" s="429"/>
      <c r="Q23" s="429"/>
      <c r="R23" s="429"/>
      <c r="S23" s="429"/>
      <c r="T23" s="429"/>
      <c r="U23" s="429"/>
      <c r="V23" s="429"/>
      <c r="W23" s="429"/>
      <c r="X23" s="20" t="s">
        <v>1470</v>
      </c>
      <c r="Y23" s="2" t="s">
        <v>194</v>
      </c>
      <c r="Z23" s="117">
        <v>42818</v>
      </c>
      <c r="AA23" s="118">
        <v>12027</v>
      </c>
      <c r="AB23" s="62" t="s">
        <v>1494</v>
      </c>
      <c r="AC23" s="117">
        <v>42819</v>
      </c>
      <c r="AD23" s="117">
        <v>43184</v>
      </c>
      <c r="AE23" s="1"/>
      <c r="AF23" s="2"/>
      <c r="AG23" s="119">
        <v>2360610</v>
      </c>
      <c r="AH23" s="120"/>
      <c r="AI23" s="115"/>
      <c r="AJ23" s="115"/>
      <c r="AK23" s="115"/>
      <c r="AL23" s="498"/>
      <c r="AM23" s="532"/>
      <c r="AN23" s="524"/>
      <c r="AO23" s="498"/>
      <c r="AP23" s="121"/>
      <c r="AQ23" s="121"/>
      <c r="AR23" s="121"/>
      <c r="AS23" s="121"/>
      <c r="AT23" s="122"/>
      <c r="AU23" s="25"/>
      <c r="AV23" s="25"/>
      <c r="AW23" s="25"/>
      <c r="AX23" s="25"/>
      <c r="AY23" s="25"/>
      <c r="AZ23" s="25"/>
      <c r="BA23" s="25"/>
      <c r="BB23" s="25"/>
      <c r="BC23" s="25"/>
      <c r="BD23" s="25"/>
      <c r="BE23" s="25"/>
      <c r="BF23" s="25"/>
      <c r="BG23" s="25"/>
      <c r="BH23" s="25"/>
      <c r="BI23" s="25"/>
      <c r="BJ23" s="25"/>
      <c r="BK23" s="25"/>
      <c r="BL23" s="25"/>
      <c r="BM23" s="25"/>
    </row>
    <row r="24" spans="1:65" ht="114.75" x14ac:dyDescent="0.2">
      <c r="A24" s="404"/>
      <c r="B24" s="419"/>
      <c r="C24" s="541"/>
      <c r="D24" s="406"/>
      <c r="E24" s="412"/>
      <c r="F24" s="406"/>
      <c r="G24" s="406"/>
      <c r="H24" s="428"/>
      <c r="I24" s="428"/>
      <c r="J24" s="428"/>
      <c r="K24" s="428"/>
      <c r="L24" s="406"/>
      <c r="M24" s="406"/>
      <c r="N24" s="428"/>
      <c r="O24" s="428"/>
      <c r="P24" s="428"/>
      <c r="Q24" s="428"/>
      <c r="R24" s="428"/>
      <c r="S24" s="428"/>
      <c r="T24" s="428"/>
      <c r="U24" s="428"/>
      <c r="V24" s="428"/>
      <c r="W24" s="428"/>
      <c r="X24" s="123" t="s">
        <v>498</v>
      </c>
      <c r="Y24" s="2" t="s">
        <v>195</v>
      </c>
      <c r="Z24" s="117">
        <v>42919</v>
      </c>
      <c r="AA24" s="118">
        <v>12091</v>
      </c>
      <c r="AB24" s="62" t="s">
        <v>1748</v>
      </c>
      <c r="AC24" s="117"/>
      <c r="AD24" s="117"/>
      <c r="AE24" s="1"/>
      <c r="AF24" s="2"/>
      <c r="AG24" s="119">
        <v>104608.8</v>
      </c>
      <c r="AH24" s="120"/>
      <c r="AI24" s="115"/>
      <c r="AJ24" s="115"/>
      <c r="AK24" s="115"/>
      <c r="AL24" s="499"/>
      <c r="AM24" s="501"/>
      <c r="AN24" s="525"/>
      <c r="AO24" s="499"/>
      <c r="AP24" s="121"/>
      <c r="AQ24" s="121"/>
      <c r="AR24" s="121"/>
      <c r="AS24" s="121"/>
      <c r="AT24" s="122"/>
      <c r="AU24" s="25"/>
      <c r="AV24" s="25"/>
      <c r="AW24" s="25"/>
      <c r="AX24" s="25"/>
      <c r="AY24" s="25"/>
      <c r="AZ24" s="25"/>
      <c r="BA24" s="25"/>
      <c r="BB24" s="25"/>
      <c r="BC24" s="25"/>
      <c r="BD24" s="25"/>
      <c r="BE24" s="25"/>
      <c r="BF24" s="25"/>
      <c r="BG24" s="25"/>
      <c r="BH24" s="25"/>
      <c r="BI24" s="25"/>
      <c r="BJ24" s="25"/>
      <c r="BK24" s="25"/>
      <c r="BL24" s="25"/>
      <c r="BM24" s="25"/>
    </row>
    <row r="25" spans="1:65" ht="25.5" x14ac:dyDescent="0.2">
      <c r="A25" s="403">
        <v>2</v>
      </c>
      <c r="B25" s="418" t="s">
        <v>497</v>
      </c>
      <c r="C25" s="422" t="s">
        <v>149</v>
      </c>
      <c r="D25" s="405" t="s">
        <v>147</v>
      </c>
      <c r="E25" s="410" t="s">
        <v>148</v>
      </c>
      <c r="F25" s="405" t="s">
        <v>150</v>
      </c>
      <c r="G25" s="425" t="s">
        <v>819</v>
      </c>
      <c r="H25" s="576" t="s">
        <v>1199</v>
      </c>
      <c r="I25" s="651">
        <v>41353</v>
      </c>
      <c r="J25" s="651">
        <v>41718</v>
      </c>
      <c r="K25" s="460" t="s">
        <v>151</v>
      </c>
      <c r="L25" s="405" t="s">
        <v>515</v>
      </c>
      <c r="M25" s="405" t="s">
        <v>152</v>
      </c>
      <c r="N25" s="431">
        <v>41373</v>
      </c>
      <c r="O25" s="430">
        <v>17376</v>
      </c>
      <c r="P25" s="438" t="s">
        <v>763</v>
      </c>
      <c r="Q25" s="431">
        <v>41374</v>
      </c>
      <c r="R25" s="431">
        <v>41739</v>
      </c>
      <c r="S25" s="427" t="s">
        <v>135</v>
      </c>
      <c r="T25" s="427"/>
      <c r="U25" s="427"/>
      <c r="V25" s="427"/>
      <c r="W25" s="427" t="s">
        <v>117</v>
      </c>
      <c r="X25" s="24"/>
      <c r="Y25" s="124" t="s">
        <v>145</v>
      </c>
      <c r="Z25" s="117">
        <v>41738</v>
      </c>
      <c r="AA25" s="118">
        <v>11288</v>
      </c>
      <c r="AB25" s="20" t="s">
        <v>379</v>
      </c>
      <c r="AC25" s="117">
        <v>41739</v>
      </c>
      <c r="AD25" s="117">
        <v>42104</v>
      </c>
      <c r="AE25" s="1"/>
      <c r="AF25" s="2"/>
      <c r="AG25" s="65">
        <v>17376</v>
      </c>
      <c r="AH25" s="120"/>
      <c r="AI25" s="125"/>
      <c r="AJ25" s="125"/>
      <c r="AK25" s="125"/>
      <c r="AL25" s="497">
        <f>O25-AH25+AG25-AH26+AG26-AH27+AG27-AH28+AG28</f>
        <v>86880</v>
      </c>
      <c r="AM25" s="500">
        <f>29587.47+17376+1448+1448+1448+0+1448+1448+1448+2896+1448+1448+2896</f>
        <v>64339.47</v>
      </c>
      <c r="AN25" s="529">
        <f>1448+1448+1448+1448+1448+1448+2896+1448+1448</f>
        <v>14480</v>
      </c>
      <c r="AO25" s="497">
        <f>AM25+AN25</f>
        <v>78819.47</v>
      </c>
      <c r="AP25" s="449"/>
      <c r="AQ25" s="29"/>
      <c r="AR25" s="29"/>
      <c r="AS25" s="449"/>
      <c r="AT25" s="592"/>
      <c r="AU25" s="592"/>
      <c r="AV25" s="592"/>
      <c r="AW25" s="592"/>
      <c r="AX25" s="592"/>
      <c r="AY25" s="592"/>
      <c r="AZ25" s="592"/>
      <c r="BA25" s="592"/>
      <c r="BB25" s="410"/>
      <c r="BC25" s="410"/>
      <c r="BD25" s="410"/>
      <c r="BE25" s="410"/>
      <c r="BF25" s="410"/>
      <c r="BG25" s="410"/>
      <c r="BH25" s="410"/>
      <c r="BI25" s="410"/>
      <c r="BJ25" s="410"/>
      <c r="BK25" s="410"/>
      <c r="BL25" s="410"/>
      <c r="BM25" s="410"/>
    </row>
    <row r="26" spans="1:65" ht="25.5" x14ac:dyDescent="0.2">
      <c r="A26" s="420"/>
      <c r="B26" s="421"/>
      <c r="C26" s="423"/>
      <c r="D26" s="409"/>
      <c r="E26" s="411"/>
      <c r="F26" s="409"/>
      <c r="G26" s="426"/>
      <c r="H26" s="578"/>
      <c r="I26" s="652"/>
      <c r="J26" s="652"/>
      <c r="K26" s="461"/>
      <c r="L26" s="409"/>
      <c r="M26" s="409"/>
      <c r="N26" s="437"/>
      <c r="O26" s="447"/>
      <c r="P26" s="448"/>
      <c r="Q26" s="437"/>
      <c r="R26" s="437"/>
      <c r="S26" s="429"/>
      <c r="T26" s="429"/>
      <c r="U26" s="429"/>
      <c r="V26" s="429"/>
      <c r="W26" s="429"/>
      <c r="X26" s="25"/>
      <c r="Y26" s="124" t="s">
        <v>144</v>
      </c>
      <c r="Z26" s="117">
        <v>42104</v>
      </c>
      <c r="AA26" s="118">
        <v>11538</v>
      </c>
      <c r="AB26" s="20" t="s">
        <v>496</v>
      </c>
      <c r="AC26" s="117">
        <v>42104</v>
      </c>
      <c r="AD26" s="117">
        <v>42470</v>
      </c>
      <c r="AE26" s="1"/>
      <c r="AF26" s="2"/>
      <c r="AG26" s="65">
        <v>17376</v>
      </c>
      <c r="AH26" s="120"/>
      <c r="AI26" s="115"/>
      <c r="AJ26" s="115"/>
      <c r="AK26" s="115"/>
      <c r="AL26" s="498"/>
      <c r="AM26" s="532"/>
      <c r="AN26" s="530"/>
      <c r="AO26" s="498"/>
      <c r="AP26" s="463"/>
      <c r="AQ26" s="121"/>
      <c r="AR26" s="121"/>
      <c r="AS26" s="463"/>
      <c r="AT26" s="593"/>
      <c r="AU26" s="593"/>
      <c r="AV26" s="593"/>
      <c r="AW26" s="593"/>
      <c r="AX26" s="593"/>
      <c r="AY26" s="593"/>
      <c r="AZ26" s="593"/>
      <c r="BA26" s="593"/>
      <c r="BB26" s="411"/>
      <c r="BC26" s="411"/>
      <c r="BD26" s="411"/>
      <c r="BE26" s="411"/>
      <c r="BF26" s="411"/>
      <c r="BG26" s="411"/>
      <c r="BH26" s="411"/>
      <c r="BI26" s="411"/>
      <c r="BJ26" s="411"/>
      <c r="BK26" s="411"/>
      <c r="BL26" s="411"/>
      <c r="BM26" s="411"/>
    </row>
    <row r="27" spans="1:65" ht="38.25" x14ac:dyDescent="0.2">
      <c r="A27" s="420"/>
      <c r="B27" s="421"/>
      <c r="C27" s="423"/>
      <c r="D27" s="409"/>
      <c r="E27" s="411"/>
      <c r="F27" s="409"/>
      <c r="G27" s="426"/>
      <c r="H27" s="578"/>
      <c r="I27" s="652"/>
      <c r="J27" s="652"/>
      <c r="K27" s="461"/>
      <c r="L27" s="409"/>
      <c r="M27" s="409"/>
      <c r="N27" s="437"/>
      <c r="O27" s="447"/>
      <c r="P27" s="448"/>
      <c r="Q27" s="437"/>
      <c r="R27" s="437"/>
      <c r="S27" s="429"/>
      <c r="T27" s="429"/>
      <c r="U27" s="429"/>
      <c r="V27" s="429"/>
      <c r="W27" s="429"/>
      <c r="X27" s="26"/>
      <c r="Y27" s="124" t="s">
        <v>193</v>
      </c>
      <c r="Z27" s="117">
        <v>42467</v>
      </c>
      <c r="AA27" s="118">
        <v>11785</v>
      </c>
      <c r="AB27" s="20" t="s">
        <v>877</v>
      </c>
      <c r="AC27" s="117">
        <v>42470</v>
      </c>
      <c r="AD27" s="117">
        <v>42835</v>
      </c>
      <c r="AE27" s="1"/>
      <c r="AF27" s="2"/>
      <c r="AG27" s="65">
        <v>17376</v>
      </c>
      <c r="AH27" s="120"/>
      <c r="AI27" s="114"/>
      <c r="AJ27" s="114"/>
      <c r="AK27" s="114"/>
      <c r="AL27" s="498"/>
      <c r="AM27" s="532"/>
      <c r="AN27" s="530"/>
      <c r="AO27" s="498"/>
      <c r="AP27" s="450"/>
      <c r="AQ27" s="30"/>
      <c r="AR27" s="30"/>
      <c r="AS27" s="450"/>
      <c r="AT27" s="594"/>
      <c r="AU27" s="594"/>
      <c r="AV27" s="594"/>
      <c r="AW27" s="594"/>
      <c r="AX27" s="594"/>
      <c r="AY27" s="594"/>
      <c r="AZ27" s="594"/>
      <c r="BA27" s="594"/>
      <c r="BB27" s="412"/>
      <c r="BC27" s="412"/>
      <c r="BD27" s="412"/>
      <c r="BE27" s="412"/>
      <c r="BF27" s="412"/>
      <c r="BG27" s="412"/>
      <c r="BH27" s="412"/>
      <c r="BI27" s="412"/>
      <c r="BJ27" s="412"/>
      <c r="BK27" s="412"/>
      <c r="BL27" s="412"/>
      <c r="BM27" s="412"/>
    </row>
    <row r="28" spans="1:65" ht="38.25" x14ac:dyDescent="0.2">
      <c r="A28" s="404"/>
      <c r="B28" s="419"/>
      <c r="C28" s="424"/>
      <c r="D28" s="406"/>
      <c r="E28" s="412"/>
      <c r="F28" s="406"/>
      <c r="G28" s="459"/>
      <c r="H28" s="577"/>
      <c r="I28" s="653"/>
      <c r="J28" s="653"/>
      <c r="K28" s="462"/>
      <c r="L28" s="406"/>
      <c r="M28" s="406"/>
      <c r="N28" s="428"/>
      <c r="O28" s="428"/>
      <c r="P28" s="428"/>
      <c r="Q28" s="428"/>
      <c r="R28" s="428"/>
      <c r="S28" s="428"/>
      <c r="T28" s="428"/>
      <c r="U28" s="428"/>
      <c r="V28" s="428"/>
      <c r="W28" s="428"/>
      <c r="X28" s="25" t="s">
        <v>1470</v>
      </c>
      <c r="Y28" s="124" t="s">
        <v>194</v>
      </c>
      <c r="Z28" s="117">
        <v>42835</v>
      </c>
      <c r="AA28" s="118">
        <v>12035</v>
      </c>
      <c r="AB28" s="20" t="s">
        <v>877</v>
      </c>
      <c r="AC28" s="117">
        <v>42835</v>
      </c>
      <c r="AD28" s="117">
        <v>43200</v>
      </c>
      <c r="AE28" s="1"/>
      <c r="AF28" s="2"/>
      <c r="AG28" s="65">
        <v>17376</v>
      </c>
      <c r="AH28" s="120"/>
      <c r="AI28" s="115"/>
      <c r="AJ28" s="115"/>
      <c r="AK28" s="115"/>
      <c r="AL28" s="499"/>
      <c r="AM28" s="501"/>
      <c r="AN28" s="531"/>
      <c r="AO28" s="499"/>
      <c r="AP28" s="121"/>
      <c r="AQ28" s="121"/>
      <c r="AR28" s="121"/>
      <c r="AS28" s="121"/>
      <c r="AT28" s="126"/>
      <c r="AU28" s="126"/>
      <c r="AV28" s="126"/>
      <c r="AW28" s="126"/>
      <c r="AX28" s="126"/>
      <c r="AY28" s="126"/>
      <c r="AZ28" s="126"/>
      <c r="BA28" s="126"/>
      <c r="BB28" s="25"/>
      <c r="BC28" s="25"/>
      <c r="BD28" s="25"/>
      <c r="BE28" s="25"/>
      <c r="BF28" s="25"/>
      <c r="BG28" s="25"/>
      <c r="BH28" s="25"/>
      <c r="BI28" s="25"/>
      <c r="BJ28" s="25"/>
      <c r="BK28" s="25"/>
      <c r="BL28" s="25"/>
      <c r="BM28" s="25"/>
    </row>
    <row r="29" spans="1:65" ht="25.5" x14ac:dyDescent="0.2">
      <c r="A29" s="403">
        <v>3</v>
      </c>
      <c r="B29" s="418" t="s">
        <v>497</v>
      </c>
      <c r="C29" s="422" t="s">
        <v>149</v>
      </c>
      <c r="D29" s="405" t="s">
        <v>147</v>
      </c>
      <c r="E29" s="410" t="s">
        <v>372</v>
      </c>
      <c r="F29" s="405" t="s">
        <v>153</v>
      </c>
      <c r="G29" s="425" t="s">
        <v>819</v>
      </c>
      <c r="H29" s="410" t="s">
        <v>1199</v>
      </c>
      <c r="I29" s="456">
        <v>41353</v>
      </c>
      <c r="J29" s="453">
        <v>41718</v>
      </c>
      <c r="K29" s="460" t="s">
        <v>157</v>
      </c>
      <c r="L29" s="405" t="s">
        <v>158</v>
      </c>
      <c r="M29" s="405" t="s">
        <v>165</v>
      </c>
      <c r="N29" s="431">
        <v>41373</v>
      </c>
      <c r="O29" s="430">
        <v>18000</v>
      </c>
      <c r="P29" s="438" t="s">
        <v>763</v>
      </c>
      <c r="Q29" s="431">
        <v>41374</v>
      </c>
      <c r="R29" s="431">
        <v>41739</v>
      </c>
      <c r="S29" s="427" t="s">
        <v>135</v>
      </c>
      <c r="T29" s="427"/>
      <c r="U29" s="427"/>
      <c r="V29" s="427"/>
      <c r="W29" s="427" t="s">
        <v>117</v>
      </c>
      <c r="X29" s="60"/>
      <c r="Y29" s="124" t="s">
        <v>145</v>
      </c>
      <c r="Z29" s="117">
        <v>41738</v>
      </c>
      <c r="AA29" s="118">
        <v>11291</v>
      </c>
      <c r="AB29" s="20" t="s">
        <v>379</v>
      </c>
      <c r="AC29" s="117">
        <v>41739</v>
      </c>
      <c r="AD29" s="117">
        <v>42104</v>
      </c>
      <c r="AE29" s="1"/>
      <c r="AF29" s="2"/>
      <c r="AG29" s="65">
        <v>18000</v>
      </c>
      <c r="AH29" s="120"/>
      <c r="AI29" s="125"/>
      <c r="AJ29" s="125"/>
      <c r="AK29" s="125"/>
      <c r="AL29" s="497">
        <f>O29+AG29+AG30+AG31+AG32</f>
        <v>90000</v>
      </c>
      <c r="AM29" s="500">
        <f>30750+18000+1500+1500+1500+1500+1500+1500+3000+1500+1500+3000</f>
        <v>66750</v>
      </c>
      <c r="AN29" s="529">
        <f>1500+1500+1500+1500+1500+1500+3000+1500+1500</f>
        <v>15000</v>
      </c>
      <c r="AO29" s="497">
        <f>AM29+AN29</f>
        <v>81750</v>
      </c>
      <c r="AP29" s="449"/>
      <c r="AQ29" s="29"/>
      <c r="AR29" s="29"/>
      <c r="AS29" s="449"/>
      <c r="AT29" s="592"/>
      <c r="AU29" s="592"/>
      <c r="AV29" s="592"/>
      <c r="AW29" s="592"/>
      <c r="AX29" s="592"/>
      <c r="AY29" s="592"/>
      <c r="AZ29" s="592"/>
      <c r="BA29" s="592"/>
      <c r="BB29" s="410"/>
      <c r="BC29" s="410"/>
      <c r="BD29" s="410"/>
      <c r="BE29" s="410"/>
      <c r="BF29" s="410"/>
      <c r="BG29" s="410"/>
      <c r="BH29" s="410"/>
      <c r="BI29" s="410"/>
      <c r="BJ29" s="410"/>
      <c r="BK29" s="410"/>
      <c r="BL29" s="410"/>
      <c r="BM29" s="410"/>
    </row>
    <row r="30" spans="1:65" ht="25.5" x14ac:dyDescent="0.2">
      <c r="A30" s="420"/>
      <c r="B30" s="421"/>
      <c r="C30" s="423"/>
      <c r="D30" s="409"/>
      <c r="E30" s="411"/>
      <c r="F30" s="409"/>
      <c r="G30" s="426"/>
      <c r="H30" s="411"/>
      <c r="I30" s="429"/>
      <c r="J30" s="411"/>
      <c r="K30" s="461"/>
      <c r="L30" s="409"/>
      <c r="M30" s="409"/>
      <c r="N30" s="437"/>
      <c r="O30" s="447"/>
      <c r="P30" s="448"/>
      <c r="Q30" s="437"/>
      <c r="R30" s="437"/>
      <c r="S30" s="429"/>
      <c r="T30" s="429"/>
      <c r="U30" s="429"/>
      <c r="V30" s="429"/>
      <c r="W30" s="429"/>
      <c r="X30" s="61"/>
      <c r="Y30" s="124" t="s">
        <v>144</v>
      </c>
      <c r="Z30" s="117">
        <v>42104</v>
      </c>
      <c r="AA30" s="118">
        <v>11538</v>
      </c>
      <c r="AB30" s="20" t="s">
        <v>736</v>
      </c>
      <c r="AC30" s="117">
        <v>42104</v>
      </c>
      <c r="AD30" s="117">
        <v>42470</v>
      </c>
      <c r="AE30" s="1"/>
      <c r="AF30" s="2"/>
      <c r="AG30" s="65">
        <v>18000</v>
      </c>
      <c r="AH30" s="120"/>
      <c r="AI30" s="115"/>
      <c r="AJ30" s="115"/>
      <c r="AK30" s="115"/>
      <c r="AL30" s="498"/>
      <c r="AM30" s="532"/>
      <c r="AN30" s="530"/>
      <c r="AO30" s="498"/>
      <c r="AP30" s="463"/>
      <c r="AQ30" s="121"/>
      <c r="AR30" s="121"/>
      <c r="AS30" s="463"/>
      <c r="AT30" s="593"/>
      <c r="AU30" s="593"/>
      <c r="AV30" s="593"/>
      <c r="AW30" s="593"/>
      <c r="AX30" s="593"/>
      <c r="AY30" s="593"/>
      <c r="AZ30" s="593"/>
      <c r="BA30" s="593"/>
      <c r="BB30" s="411"/>
      <c r="BC30" s="411"/>
      <c r="BD30" s="411"/>
      <c r="BE30" s="411"/>
      <c r="BF30" s="411"/>
      <c r="BG30" s="411"/>
      <c r="BH30" s="411"/>
      <c r="BI30" s="411"/>
      <c r="BJ30" s="411"/>
      <c r="BK30" s="411"/>
      <c r="BL30" s="411"/>
      <c r="BM30" s="411"/>
    </row>
    <row r="31" spans="1:65" ht="38.25" x14ac:dyDescent="0.2">
      <c r="A31" s="420"/>
      <c r="B31" s="421"/>
      <c r="C31" s="423"/>
      <c r="D31" s="409"/>
      <c r="E31" s="411"/>
      <c r="F31" s="409"/>
      <c r="G31" s="409"/>
      <c r="H31" s="411"/>
      <c r="I31" s="429"/>
      <c r="J31" s="411"/>
      <c r="K31" s="411"/>
      <c r="L31" s="409"/>
      <c r="M31" s="409"/>
      <c r="N31" s="429"/>
      <c r="O31" s="429"/>
      <c r="P31" s="429"/>
      <c r="Q31" s="429"/>
      <c r="R31" s="429"/>
      <c r="S31" s="429"/>
      <c r="T31" s="429"/>
      <c r="U31" s="429"/>
      <c r="V31" s="429"/>
      <c r="W31" s="429"/>
      <c r="X31" s="111"/>
      <c r="Y31" s="124" t="s">
        <v>193</v>
      </c>
      <c r="Z31" s="117">
        <v>42467</v>
      </c>
      <c r="AA31" s="118">
        <v>11785</v>
      </c>
      <c r="AB31" s="20" t="s">
        <v>877</v>
      </c>
      <c r="AC31" s="117">
        <v>42470</v>
      </c>
      <c r="AD31" s="117" t="s">
        <v>878</v>
      </c>
      <c r="AE31" s="1"/>
      <c r="AF31" s="2"/>
      <c r="AG31" s="65">
        <v>18000</v>
      </c>
      <c r="AH31" s="120"/>
      <c r="AI31" s="114"/>
      <c r="AJ31" s="114"/>
      <c r="AK31" s="114"/>
      <c r="AL31" s="498"/>
      <c r="AM31" s="532"/>
      <c r="AN31" s="530"/>
      <c r="AO31" s="498"/>
      <c r="AP31" s="450"/>
      <c r="AQ31" s="30"/>
      <c r="AR31" s="30"/>
      <c r="AS31" s="450"/>
      <c r="AT31" s="594"/>
      <c r="AU31" s="594"/>
      <c r="AV31" s="594"/>
      <c r="AW31" s="594"/>
      <c r="AX31" s="594"/>
      <c r="AY31" s="594"/>
      <c r="AZ31" s="594"/>
      <c r="BA31" s="594"/>
      <c r="BB31" s="412"/>
      <c r="BC31" s="412"/>
      <c r="BD31" s="412"/>
      <c r="BE31" s="412"/>
      <c r="BF31" s="412"/>
      <c r="BG31" s="412"/>
      <c r="BH31" s="412"/>
      <c r="BI31" s="412"/>
      <c r="BJ31" s="412"/>
      <c r="BK31" s="412"/>
      <c r="BL31" s="412"/>
      <c r="BM31" s="412"/>
    </row>
    <row r="32" spans="1:65" ht="38.25" x14ac:dyDescent="0.2">
      <c r="A32" s="404"/>
      <c r="B32" s="419"/>
      <c r="C32" s="424"/>
      <c r="D32" s="406"/>
      <c r="E32" s="412"/>
      <c r="F32" s="406"/>
      <c r="G32" s="406"/>
      <c r="H32" s="412"/>
      <c r="I32" s="428"/>
      <c r="J32" s="412"/>
      <c r="K32" s="412"/>
      <c r="L32" s="406"/>
      <c r="M32" s="406"/>
      <c r="N32" s="428"/>
      <c r="O32" s="428"/>
      <c r="P32" s="428"/>
      <c r="Q32" s="428"/>
      <c r="R32" s="428"/>
      <c r="S32" s="428"/>
      <c r="T32" s="428"/>
      <c r="U32" s="428"/>
      <c r="V32" s="428"/>
      <c r="W32" s="428"/>
      <c r="X32" s="61" t="s">
        <v>1470</v>
      </c>
      <c r="Y32" s="124" t="s">
        <v>194</v>
      </c>
      <c r="Z32" s="117">
        <v>42835</v>
      </c>
      <c r="AA32" s="118">
        <v>12035</v>
      </c>
      <c r="AB32" s="20" t="s">
        <v>877</v>
      </c>
      <c r="AC32" s="117" t="s">
        <v>878</v>
      </c>
      <c r="AD32" s="117" t="s">
        <v>1512</v>
      </c>
      <c r="AE32" s="1"/>
      <c r="AF32" s="2"/>
      <c r="AG32" s="65">
        <v>18000</v>
      </c>
      <c r="AH32" s="120"/>
      <c r="AI32" s="115"/>
      <c r="AJ32" s="115"/>
      <c r="AK32" s="115"/>
      <c r="AL32" s="499"/>
      <c r="AM32" s="501"/>
      <c r="AN32" s="531"/>
      <c r="AO32" s="499"/>
      <c r="AP32" s="121"/>
      <c r="AQ32" s="121"/>
      <c r="AR32" s="121"/>
      <c r="AS32" s="121"/>
      <c r="AT32" s="126"/>
      <c r="AU32" s="126"/>
      <c r="AV32" s="126"/>
      <c r="AW32" s="126"/>
      <c r="AX32" s="126"/>
      <c r="AY32" s="126"/>
      <c r="AZ32" s="126"/>
      <c r="BA32" s="126"/>
      <c r="BB32" s="25"/>
      <c r="BC32" s="25"/>
      <c r="BD32" s="25"/>
      <c r="BE32" s="25"/>
      <c r="BF32" s="25"/>
      <c r="BG32" s="25"/>
      <c r="BH32" s="25"/>
      <c r="BI32" s="25"/>
      <c r="BJ32" s="25"/>
      <c r="BK32" s="25"/>
      <c r="BL32" s="25"/>
      <c r="BM32" s="25"/>
    </row>
    <row r="33" spans="1:65" ht="25.5" x14ac:dyDescent="0.2">
      <c r="A33" s="403">
        <v>4</v>
      </c>
      <c r="B33" s="418" t="s">
        <v>497</v>
      </c>
      <c r="C33" s="422" t="s">
        <v>149</v>
      </c>
      <c r="D33" s="405" t="s">
        <v>147</v>
      </c>
      <c r="E33" s="410" t="s">
        <v>372</v>
      </c>
      <c r="F33" s="405" t="s">
        <v>154</v>
      </c>
      <c r="G33" s="425" t="s">
        <v>819</v>
      </c>
      <c r="H33" s="410" t="s">
        <v>1199</v>
      </c>
      <c r="I33" s="453">
        <v>41353</v>
      </c>
      <c r="J33" s="453">
        <v>41718</v>
      </c>
      <c r="K33" s="460" t="s">
        <v>159</v>
      </c>
      <c r="L33" s="405" t="s">
        <v>160</v>
      </c>
      <c r="M33" s="405" t="s">
        <v>166</v>
      </c>
      <c r="N33" s="431">
        <v>41373</v>
      </c>
      <c r="O33" s="430">
        <v>17280</v>
      </c>
      <c r="P33" s="438" t="s">
        <v>763</v>
      </c>
      <c r="Q33" s="431">
        <v>41374</v>
      </c>
      <c r="R33" s="431">
        <v>41739</v>
      </c>
      <c r="S33" s="427" t="s">
        <v>135</v>
      </c>
      <c r="T33" s="427"/>
      <c r="U33" s="427"/>
      <c r="V33" s="427"/>
      <c r="W33" s="427" t="s">
        <v>117</v>
      </c>
      <c r="X33" s="24"/>
      <c r="Y33" s="124" t="s">
        <v>145</v>
      </c>
      <c r="Z33" s="117">
        <v>41738</v>
      </c>
      <c r="AA33" s="118">
        <v>11288</v>
      </c>
      <c r="AB33" s="20" t="s">
        <v>379</v>
      </c>
      <c r="AC33" s="117">
        <v>41739</v>
      </c>
      <c r="AD33" s="117">
        <v>42104</v>
      </c>
      <c r="AE33" s="1"/>
      <c r="AF33" s="2"/>
      <c r="AG33" s="65">
        <v>17280</v>
      </c>
      <c r="AH33" s="120"/>
      <c r="AI33" s="125"/>
      <c r="AJ33" s="125"/>
      <c r="AK33" s="125"/>
      <c r="AL33" s="497">
        <f>O33-AH33+AG33-AH34+AG34-AH35+AG35-AH36+AG36</f>
        <v>86400</v>
      </c>
      <c r="AM33" s="500">
        <f>29520+17280+1440+1440+1440+1440+1440+1440+2880+1440+1440+2880</f>
        <v>64080</v>
      </c>
      <c r="AN33" s="529">
        <f>1440+1440+1440+1440+1440+1440+2880+1440+1440</f>
        <v>14400</v>
      </c>
      <c r="AO33" s="497">
        <f>AM33+AN33</f>
        <v>78480</v>
      </c>
      <c r="AP33" s="449"/>
      <c r="AQ33" s="29"/>
      <c r="AR33" s="29"/>
      <c r="AS33" s="449"/>
      <c r="AT33" s="592"/>
      <c r="AU33" s="592"/>
      <c r="AV33" s="592"/>
      <c r="AW33" s="592"/>
      <c r="AX33" s="592"/>
      <c r="AY33" s="592"/>
      <c r="AZ33" s="592"/>
      <c r="BA33" s="592"/>
      <c r="BB33" s="410"/>
      <c r="BC33" s="410"/>
      <c r="BD33" s="410"/>
      <c r="BE33" s="410"/>
      <c r="BF33" s="410"/>
      <c r="BG33" s="410"/>
      <c r="BH33" s="410"/>
      <c r="BI33" s="410"/>
      <c r="BJ33" s="410"/>
      <c r="BK33" s="410"/>
      <c r="BL33" s="410"/>
      <c r="BM33" s="410"/>
    </row>
    <row r="34" spans="1:65" ht="25.5" x14ac:dyDescent="0.2">
      <c r="A34" s="420"/>
      <c r="B34" s="421"/>
      <c r="C34" s="423"/>
      <c r="D34" s="409"/>
      <c r="E34" s="411"/>
      <c r="F34" s="409"/>
      <c r="G34" s="426"/>
      <c r="H34" s="411"/>
      <c r="I34" s="411"/>
      <c r="J34" s="411"/>
      <c r="K34" s="461"/>
      <c r="L34" s="409"/>
      <c r="M34" s="409"/>
      <c r="N34" s="437"/>
      <c r="O34" s="447"/>
      <c r="P34" s="448"/>
      <c r="Q34" s="437"/>
      <c r="R34" s="437"/>
      <c r="S34" s="429"/>
      <c r="T34" s="429"/>
      <c r="U34" s="429"/>
      <c r="V34" s="429"/>
      <c r="W34" s="429"/>
      <c r="X34" s="25"/>
      <c r="Y34" s="124" t="s">
        <v>144</v>
      </c>
      <c r="Z34" s="117">
        <v>42104</v>
      </c>
      <c r="AA34" s="118">
        <v>11538</v>
      </c>
      <c r="AB34" s="20" t="s">
        <v>736</v>
      </c>
      <c r="AC34" s="117">
        <v>42104</v>
      </c>
      <c r="AD34" s="117">
        <v>42470</v>
      </c>
      <c r="AE34" s="1"/>
      <c r="AF34" s="2"/>
      <c r="AG34" s="65">
        <v>17280</v>
      </c>
      <c r="AH34" s="120"/>
      <c r="AI34" s="115"/>
      <c r="AJ34" s="115"/>
      <c r="AK34" s="115"/>
      <c r="AL34" s="498"/>
      <c r="AM34" s="532"/>
      <c r="AN34" s="530"/>
      <c r="AO34" s="498"/>
      <c r="AP34" s="463"/>
      <c r="AQ34" s="121"/>
      <c r="AR34" s="121"/>
      <c r="AS34" s="463"/>
      <c r="AT34" s="593"/>
      <c r="AU34" s="593"/>
      <c r="AV34" s="593"/>
      <c r="AW34" s="593"/>
      <c r="AX34" s="593"/>
      <c r="AY34" s="593"/>
      <c r="AZ34" s="593"/>
      <c r="BA34" s="593"/>
      <c r="BB34" s="411"/>
      <c r="BC34" s="411"/>
      <c r="BD34" s="411"/>
      <c r="BE34" s="411"/>
      <c r="BF34" s="411"/>
      <c r="BG34" s="411"/>
      <c r="BH34" s="411"/>
      <c r="BI34" s="411"/>
      <c r="BJ34" s="411"/>
      <c r="BK34" s="411"/>
      <c r="BL34" s="411"/>
      <c r="BM34" s="411"/>
    </row>
    <row r="35" spans="1:65" ht="38.25" x14ac:dyDescent="0.2">
      <c r="A35" s="420"/>
      <c r="B35" s="421"/>
      <c r="C35" s="423"/>
      <c r="D35" s="409"/>
      <c r="E35" s="411"/>
      <c r="F35" s="409"/>
      <c r="G35" s="426"/>
      <c r="H35" s="411"/>
      <c r="I35" s="411"/>
      <c r="J35" s="411"/>
      <c r="K35" s="461"/>
      <c r="L35" s="409"/>
      <c r="M35" s="409"/>
      <c r="N35" s="437"/>
      <c r="O35" s="447"/>
      <c r="P35" s="448"/>
      <c r="Q35" s="437"/>
      <c r="R35" s="437"/>
      <c r="S35" s="429"/>
      <c r="T35" s="429"/>
      <c r="U35" s="429"/>
      <c r="V35" s="429"/>
      <c r="W35" s="429"/>
      <c r="X35" s="26"/>
      <c r="Y35" s="124" t="s">
        <v>193</v>
      </c>
      <c r="Z35" s="117">
        <v>42467</v>
      </c>
      <c r="AA35" s="118">
        <v>11785</v>
      </c>
      <c r="AB35" s="20" t="s">
        <v>877</v>
      </c>
      <c r="AC35" s="117">
        <v>42470</v>
      </c>
      <c r="AD35" s="117" t="s">
        <v>878</v>
      </c>
      <c r="AE35" s="1"/>
      <c r="AF35" s="2"/>
      <c r="AG35" s="65">
        <v>17280</v>
      </c>
      <c r="AH35" s="120"/>
      <c r="AI35" s="114"/>
      <c r="AJ35" s="114"/>
      <c r="AK35" s="114"/>
      <c r="AL35" s="498"/>
      <c r="AM35" s="532"/>
      <c r="AN35" s="530"/>
      <c r="AO35" s="498"/>
      <c r="AP35" s="450"/>
      <c r="AQ35" s="30"/>
      <c r="AR35" s="30"/>
      <c r="AS35" s="450"/>
      <c r="AT35" s="594"/>
      <c r="AU35" s="594"/>
      <c r="AV35" s="594"/>
      <c r="AW35" s="594"/>
      <c r="AX35" s="594"/>
      <c r="AY35" s="594"/>
      <c r="AZ35" s="594"/>
      <c r="BA35" s="594"/>
      <c r="BB35" s="412"/>
      <c r="BC35" s="412"/>
      <c r="BD35" s="412"/>
      <c r="BE35" s="412"/>
      <c r="BF35" s="412"/>
      <c r="BG35" s="412"/>
      <c r="BH35" s="412"/>
      <c r="BI35" s="412"/>
      <c r="BJ35" s="412"/>
      <c r="BK35" s="412"/>
      <c r="BL35" s="412"/>
      <c r="BM35" s="412"/>
    </row>
    <row r="36" spans="1:65" ht="38.25" x14ac:dyDescent="0.2">
      <c r="A36" s="404"/>
      <c r="B36" s="419"/>
      <c r="C36" s="424"/>
      <c r="D36" s="406"/>
      <c r="E36" s="412"/>
      <c r="F36" s="406"/>
      <c r="G36" s="406"/>
      <c r="H36" s="412"/>
      <c r="I36" s="412"/>
      <c r="J36" s="412"/>
      <c r="K36" s="412"/>
      <c r="L36" s="406"/>
      <c r="M36" s="406"/>
      <c r="N36" s="428"/>
      <c r="O36" s="428"/>
      <c r="P36" s="428"/>
      <c r="Q36" s="428"/>
      <c r="R36" s="428"/>
      <c r="S36" s="428"/>
      <c r="T36" s="428"/>
      <c r="U36" s="428"/>
      <c r="V36" s="428"/>
      <c r="W36" s="428"/>
      <c r="X36" s="25" t="s">
        <v>1470</v>
      </c>
      <c r="Y36" s="124" t="s">
        <v>194</v>
      </c>
      <c r="Z36" s="117">
        <v>42835</v>
      </c>
      <c r="AA36" s="118">
        <v>12035</v>
      </c>
      <c r="AB36" s="20" t="s">
        <v>877</v>
      </c>
      <c r="AC36" s="117" t="s">
        <v>878</v>
      </c>
      <c r="AD36" s="117" t="s">
        <v>1512</v>
      </c>
      <c r="AE36" s="1"/>
      <c r="AF36" s="2"/>
      <c r="AG36" s="65">
        <v>17280</v>
      </c>
      <c r="AH36" s="120"/>
      <c r="AI36" s="115"/>
      <c r="AJ36" s="115"/>
      <c r="AK36" s="115"/>
      <c r="AL36" s="499"/>
      <c r="AM36" s="501"/>
      <c r="AN36" s="531"/>
      <c r="AO36" s="499"/>
      <c r="AP36" s="121"/>
      <c r="AQ36" s="121"/>
      <c r="AR36" s="121"/>
      <c r="AS36" s="121"/>
      <c r="AT36" s="126"/>
      <c r="AU36" s="126"/>
      <c r="AV36" s="126"/>
      <c r="AW36" s="126"/>
      <c r="AX36" s="126"/>
      <c r="AY36" s="126"/>
      <c r="AZ36" s="126"/>
      <c r="BA36" s="126"/>
      <c r="BB36" s="25"/>
      <c r="BC36" s="25"/>
      <c r="BD36" s="25"/>
      <c r="BE36" s="25"/>
      <c r="BF36" s="25"/>
      <c r="BG36" s="25"/>
      <c r="BH36" s="25"/>
      <c r="BI36" s="25"/>
      <c r="BJ36" s="25"/>
      <c r="BK36" s="25"/>
      <c r="BL36" s="25"/>
      <c r="BM36" s="25"/>
    </row>
    <row r="37" spans="1:65" ht="25.5" x14ac:dyDescent="0.2">
      <c r="A37" s="403">
        <v>5</v>
      </c>
      <c r="B37" s="418" t="s">
        <v>497</v>
      </c>
      <c r="C37" s="422" t="s">
        <v>149</v>
      </c>
      <c r="D37" s="405" t="s">
        <v>147</v>
      </c>
      <c r="E37" s="410" t="s">
        <v>372</v>
      </c>
      <c r="F37" s="405" t="s">
        <v>155</v>
      </c>
      <c r="G37" s="425" t="s">
        <v>819</v>
      </c>
      <c r="H37" s="410" t="s">
        <v>1199</v>
      </c>
      <c r="I37" s="453">
        <v>41353</v>
      </c>
      <c r="J37" s="453">
        <v>41718</v>
      </c>
      <c r="K37" s="460" t="s">
        <v>161</v>
      </c>
      <c r="L37" s="405" t="s">
        <v>162</v>
      </c>
      <c r="M37" s="405" t="s">
        <v>167</v>
      </c>
      <c r="N37" s="431">
        <v>41373</v>
      </c>
      <c r="O37" s="430">
        <v>17640</v>
      </c>
      <c r="P37" s="438" t="s">
        <v>763</v>
      </c>
      <c r="Q37" s="431">
        <v>41374</v>
      </c>
      <c r="R37" s="431">
        <v>41739</v>
      </c>
      <c r="S37" s="427" t="s">
        <v>135</v>
      </c>
      <c r="T37" s="427"/>
      <c r="U37" s="427" t="s">
        <v>420</v>
      </c>
      <c r="V37" s="427"/>
      <c r="W37" s="427" t="s">
        <v>117</v>
      </c>
      <c r="X37" s="60"/>
      <c r="Y37" s="124" t="s">
        <v>145</v>
      </c>
      <c r="Z37" s="117">
        <v>41738</v>
      </c>
      <c r="AA37" s="118">
        <v>11288</v>
      </c>
      <c r="AB37" s="20" t="s">
        <v>379</v>
      </c>
      <c r="AC37" s="117">
        <v>41739</v>
      </c>
      <c r="AD37" s="117">
        <v>42104</v>
      </c>
      <c r="AE37" s="1"/>
      <c r="AF37" s="2"/>
      <c r="AG37" s="65">
        <v>17640</v>
      </c>
      <c r="AH37" s="120"/>
      <c r="AI37" s="125"/>
      <c r="AJ37" s="125"/>
      <c r="AK37" s="125"/>
      <c r="AL37" s="497">
        <f>O37-AH37+AG37-AH38+AG38-AH39+AG39-AH40+AG40</f>
        <v>88200</v>
      </c>
      <c r="AM37" s="500">
        <f>30135+17640+1470+1470+1470+1470+1470+1470+2940+1470+1470+2940</f>
        <v>65415</v>
      </c>
      <c r="AN37" s="529">
        <f>1470+1470+1470+1470+1470+1470+2940+1470+1470</f>
        <v>14700</v>
      </c>
      <c r="AO37" s="497">
        <f>AM37+AN37</f>
        <v>80115</v>
      </c>
      <c r="AP37" s="449"/>
      <c r="AQ37" s="29"/>
      <c r="AR37" s="29"/>
      <c r="AS37" s="449"/>
      <c r="AT37" s="592"/>
      <c r="AU37" s="592"/>
      <c r="AV37" s="592"/>
      <c r="AW37" s="592"/>
      <c r="AX37" s="592"/>
      <c r="AY37" s="592"/>
      <c r="AZ37" s="592"/>
      <c r="BA37" s="592"/>
      <c r="BB37" s="410"/>
      <c r="BC37" s="410"/>
      <c r="BD37" s="410"/>
      <c r="BE37" s="410"/>
      <c r="BF37" s="410"/>
      <c r="BG37" s="410"/>
      <c r="BH37" s="410"/>
      <c r="BI37" s="410"/>
      <c r="BJ37" s="410"/>
      <c r="BK37" s="410"/>
      <c r="BL37" s="410"/>
      <c r="BM37" s="410"/>
    </row>
    <row r="38" spans="1:65" ht="25.5" x14ac:dyDescent="0.2">
      <c r="A38" s="420"/>
      <c r="B38" s="421"/>
      <c r="C38" s="423"/>
      <c r="D38" s="409"/>
      <c r="E38" s="411"/>
      <c r="F38" s="409"/>
      <c r="G38" s="426"/>
      <c r="H38" s="411"/>
      <c r="I38" s="411"/>
      <c r="J38" s="411"/>
      <c r="K38" s="461"/>
      <c r="L38" s="409"/>
      <c r="M38" s="409"/>
      <c r="N38" s="437"/>
      <c r="O38" s="447"/>
      <c r="P38" s="448"/>
      <c r="Q38" s="437"/>
      <c r="R38" s="437"/>
      <c r="S38" s="429"/>
      <c r="T38" s="429"/>
      <c r="U38" s="429"/>
      <c r="V38" s="429"/>
      <c r="W38" s="429"/>
      <c r="X38" s="61"/>
      <c r="Y38" s="124" t="s">
        <v>144</v>
      </c>
      <c r="Z38" s="117">
        <v>42104</v>
      </c>
      <c r="AA38" s="118">
        <v>11538</v>
      </c>
      <c r="AB38" s="20" t="s">
        <v>496</v>
      </c>
      <c r="AC38" s="117">
        <v>42104</v>
      </c>
      <c r="AD38" s="117">
        <v>42470</v>
      </c>
      <c r="AE38" s="1"/>
      <c r="AF38" s="2"/>
      <c r="AG38" s="65">
        <v>17640</v>
      </c>
      <c r="AH38" s="120"/>
      <c r="AI38" s="115"/>
      <c r="AJ38" s="115"/>
      <c r="AK38" s="115"/>
      <c r="AL38" s="498"/>
      <c r="AM38" s="532"/>
      <c r="AN38" s="530"/>
      <c r="AO38" s="498"/>
      <c r="AP38" s="463"/>
      <c r="AQ38" s="121"/>
      <c r="AR38" s="121"/>
      <c r="AS38" s="463"/>
      <c r="AT38" s="593"/>
      <c r="AU38" s="593"/>
      <c r="AV38" s="593"/>
      <c r="AW38" s="593"/>
      <c r="AX38" s="593"/>
      <c r="AY38" s="593"/>
      <c r="AZ38" s="593"/>
      <c r="BA38" s="593"/>
      <c r="BB38" s="411"/>
      <c r="BC38" s="411"/>
      <c r="BD38" s="411"/>
      <c r="BE38" s="411"/>
      <c r="BF38" s="411"/>
      <c r="BG38" s="411"/>
      <c r="BH38" s="411"/>
      <c r="BI38" s="411"/>
      <c r="BJ38" s="411"/>
      <c r="BK38" s="411"/>
      <c r="BL38" s="411"/>
      <c r="BM38" s="411"/>
    </row>
    <row r="39" spans="1:65" ht="38.25" x14ac:dyDescent="0.2">
      <c r="A39" s="420"/>
      <c r="B39" s="421"/>
      <c r="C39" s="423"/>
      <c r="D39" s="409"/>
      <c r="E39" s="411"/>
      <c r="F39" s="409"/>
      <c r="G39" s="409"/>
      <c r="H39" s="411"/>
      <c r="I39" s="411"/>
      <c r="J39" s="411"/>
      <c r="K39" s="411"/>
      <c r="L39" s="409"/>
      <c r="M39" s="409"/>
      <c r="N39" s="429"/>
      <c r="O39" s="429"/>
      <c r="P39" s="429"/>
      <c r="Q39" s="429"/>
      <c r="R39" s="429"/>
      <c r="S39" s="429"/>
      <c r="T39" s="429"/>
      <c r="U39" s="429"/>
      <c r="V39" s="429"/>
      <c r="W39" s="429"/>
      <c r="X39" s="111"/>
      <c r="Y39" s="124" t="s">
        <v>193</v>
      </c>
      <c r="Z39" s="117">
        <v>42467</v>
      </c>
      <c r="AA39" s="118">
        <v>11785</v>
      </c>
      <c r="AB39" s="20" t="s">
        <v>877</v>
      </c>
      <c r="AC39" s="117">
        <v>42470</v>
      </c>
      <c r="AD39" s="117" t="s">
        <v>878</v>
      </c>
      <c r="AE39" s="1"/>
      <c r="AF39" s="2"/>
      <c r="AG39" s="65">
        <v>17640</v>
      </c>
      <c r="AH39" s="120"/>
      <c r="AI39" s="114"/>
      <c r="AJ39" s="114"/>
      <c r="AK39" s="114"/>
      <c r="AL39" s="498"/>
      <c r="AM39" s="532"/>
      <c r="AN39" s="530"/>
      <c r="AO39" s="498"/>
      <c r="AP39" s="450"/>
      <c r="AQ39" s="30"/>
      <c r="AR39" s="30"/>
      <c r="AS39" s="450"/>
      <c r="AT39" s="594"/>
      <c r="AU39" s="594"/>
      <c r="AV39" s="594"/>
      <c r="AW39" s="594"/>
      <c r="AX39" s="594"/>
      <c r="AY39" s="594"/>
      <c r="AZ39" s="594"/>
      <c r="BA39" s="594"/>
      <c r="BB39" s="412"/>
      <c r="BC39" s="412"/>
      <c r="BD39" s="412"/>
      <c r="BE39" s="412"/>
      <c r="BF39" s="412"/>
      <c r="BG39" s="412"/>
      <c r="BH39" s="412"/>
      <c r="BI39" s="412"/>
      <c r="BJ39" s="412"/>
      <c r="BK39" s="412"/>
      <c r="BL39" s="412"/>
      <c r="BM39" s="412"/>
    </row>
    <row r="40" spans="1:65" ht="38.25" x14ac:dyDescent="0.2">
      <c r="A40" s="404"/>
      <c r="B40" s="419"/>
      <c r="C40" s="424"/>
      <c r="D40" s="406"/>
      <c r="E40" s="412"/>
      <c r="F40" s="406"/>
      <c r="G40" s="406"/>
      <c r="H40" s="412"/>
      <c r="I40" s="412"/>
      <c r="J40" s="412"/>
      <c r="K40" s="412"/>
      <c r="L40" s="406"/>
      <c r="M40" s="406"/>
      <c r="N40" s="428"/>
      <c r="O40" s="428"/>
      <c r="P40" s="428"/>
      <c r="Q40" s="428"/>
      <c r="R40" s="428"/>
      <c r="S40" s="428"/>
      <c r="T40" s="428"/>
      <c r="U40" s="428"/>
      <c r="V40" s="428"/>
      <c r="W40" s="428"/>
      <c r="X40" s="61" t="s">
        <v>1470</v>
      </c>
      <c r="Y40" s="124" t="s">
        <v>194</v>
      </c>
      <c r="Z40" s="117">
        <v>42835</v>
      </c>
      <c r="AA40" s="118">
        <v>12035</v>
      </c>
      <c r="AB40" s="20" t="s">
        <v>877</v>
      </c>
      <c r="AC40" s="117" t="s">
        <v>878</v>
      </c>
      <c r="AD40" s="117" t="s">
        <v>1512</v>
      </c>
      <c r="AE40" s="1"/>
      <c r="AF40" s="2"/>
      <c r="AG40" s="65">
        <v>17640</v>
      </c>
      <c r="AH40" s="120"/>
      <c r="AI40" s="115"/>
      <c r="AJ40" s="115"/>
      <c r="AK40" s="115"/>
      <c r="AL40" s="499"/>
      <c r="AM40" s="501"/>
      <c r="AN40" s="531"/>
      <c r="AO40" s="499"/>
      <c r="AP40" s="121"/>
      <c r="AQ40" s="121"/>
      <c r="AR40" s="121"/>
      <c r="AS40" s="121"/>
      <c r="AT40" s="126"/>
      <c r="AU40" s="126"/>
      <c r="AV40" s="126"/>
      <c r="AW40" s="126"/>
      <c r="AX40" s="126"/>
      <c r="AY40" s="126"/>
      <c r="AZ40" s="126"/>
      <c r="BA40" s="126"/>
      <c r="BB40" s="25"/>
      <c r="BC40" s="25"/>
      <c r="BD40" s="25"/>
      <c r="BE40" s="25"/>
      <c r="BF40" s="25"/>
      <c r="BG40" s="25"/>
      <c r="BH40" s="25"/>
      <c r="BI40" s="25"/>
      <c r="BJ40" s="25"/>
      <c r="BK40" s="25"/>
      <c r="BL40" s="25"/>
      <c r="BM40" s="25"/>
    </row>
    <row r="41" spans="1:65" ht="25.5" x14ac:dyDescent="0.2">
      <c r="A41" s="403">
        <v>6</v>
      </c>
      <c r="B41" s="418" t="s">
        <v>497</v>
      </c>
      <c r="C41" s="422" t="s">
        <v>149</v>
      </c>
      <c r="D41" s="405" t="s">
        <v>147</v>
      </c>
      <c r="E41" s="410" t="s">
        <v>372</v>
      </c>
      <c r="F41" s="405" t="s">
        <v>156</v>
      </c>
      <c r="G41" s="425" t="s">
        <v>819</v>
      </c>
      <c r="H41" s="410" t="s">
        <v>1199</v>
      </c>
      <c r="I41" s="453">
        <v>41353</v>
      </c>
      <c r="J41" s="453">
        <v>41718</v>
      </c>
      <c r="K41" s="460" t="s">
        <v>163</v>
      </c>
      <c r="L41" s="405" t="s">
        <v>164</v>
      </c>
      <c r="M41" s="405" t="s">
        <v>168</v>
      </c>
      <c r="N41" s="431">
        <v>41373</v>
      </c>
      <c r="O41" s="430">
        <v>38988</v>
      </c>
      <c r="P41" s="438" t="s">
        <v>764</v>
      </c>
      <c r="Q41" s="431">
        <v>41374</v>
      </c>
      <c r="R41" s="431">
        <v>41739</v>
      </c>
      <c r="S41" s="427" t="s">
        <v>135</v>
      </c>
      <c r="T41" s="427"/>
      <c r="U41" s="427"/>
      <c r="V41" s="427"/>
      <c r="W41" s="427" t="s">
        <v>117</v>
      </c>
      <c r="X41" s="24"/>
      <c r="Y41" s="124" t="s">
        <v>145</v>
      </c>
      <c r="Z41" s="117">
        <v>41738</v>
      </c>
      <c r="AA41" s="118">
        <v>11294</v>
      </c>
      <c r="AB41" s="20" t="s">
        <v>379</v>
      </c>
      <c r="AC41" s="117">
        <v>41739</v>
      </c>
      <c r="AD41" s="117">
        <v>42104</v>
      </c>
      <c r="AE41" s="1"/>
      <c r="AF41" s="2"/>
      <c r="AG41" s="65">
        <v>38988</v>
      </c>
      <c r="AH41" s="120"/>
      <c r="AI41" s="125"/>
      <c r="AJ41" s="125"/>
      <c r="AK41" s="125"/>
      <c r="AL41" s="497">
        <f>O41-AH41+AG41-AH42+AG42-AH43+AG43-AH44+AG44</f>
        <v>194940</v>
      </c>
      <c r="AM41" s="500">
        <f>66202.06+38988+3249+3249+3249+3249+3249+3249+6498+3249+3249+6498</f>
        <v>144178.06</v>
      </c>
      <c r="AN41" s="529">
        <f>3249+3249+3249+3249+3249+3249+6498+3249+3249</f>
        <v>32490</v>
      </c>
      <c r="AO41" s="497">
        <f>AM41+AN41</f>
        <v>176668.06</v>
      </c>
      <c r="AP41" s="449"/>
      <c r="AQ41" s="29"/>
      <c r="AR41" s="29"/>
      <c r="AS41" s="449"/>
      <c r="AT41" s="592"/>
      <c r="AU41" s="592"/>
      <c r="AV41" s="592"/>
      <c r="AW41" s="592"/>
      <c r="AX41" s="592"/>
      <c r="AY41" s="592"/>
      <c r="AZ41" s="592"/>
      <c r="BA41" s="592"/>
      <c r="BB41" s="410"/>
      <c r="BC41" s="410"/>
      <c r="BD41" s="410"/>
      <c r="BE41" s="410"/>
      <c r="BF41" s="410"/>
      <c r="BG41" s="410"/>
      <c r="BH41" s="410"/>
      <c r="BI41" s="410"/>
      <c r="BJ41" s="410"/>
      <c r="BK41" s="410"/>
      <c r="BL41" s="410"/>
      <c r="BM41" s="410"/>
    </row>
    <row r="42" spans="1:65" ht="25.5" x14ac:dyDescent="0.2">
      <c r="A42" s="420"/>
      <c r="B42" s="421"/>
      <c r="C42" s="423"/>
      <c r="D42" s="409"/>
      <c r="E42" s="411"/>
      <c r="F42" s="409"/>
      <c r="G42" s="426"/>
      <c r="H42" s="411"/>
      <c r="I42" s="411"/>
      <c r="J42" s="411"/>
      <c r="K42" s="461"/>
      <c r="L42" s="409"/>
      <c r="M42" s="409"/>
      <c r="N42" s="437"/>
      <c r="O42" s="447"/>
      <c r="P42" s="448"/>
      <c r="Q42" s="437"/>
      <c r="R42" s="437"/>
      <c r="S42" s="429"/>
      <c r="T42" s="429"/>
      <c r="U42" s="429"/>
      <c r="V42" s="429"/>
      <c r="W42" s="429"/>
      <c r="X42" s="25"/>
      <c r="Y42" s="124" t="s">
        <v>144</v>
      </c>
      <c r="Z42" s="117">
        <v>42104</v>
      </c>
      <c r="AA42" s="118">
        <v>11538</v>
      </c>
      <c r="AB42" s="20" t="s">
        <v>495</v>
      </c>
      <c r="AC42" s="117">
        <v>42104</v>
      </c>
      <c r="AD42" s="117">
        <v>42470</v>
      </c>
      <c r="AE42" s="1"/>
      <c r="AF42" s="2"/>
      <c r="AG42" s="65">
        <v>38988</v>
      </c>
      <c r="AH42" s="120"/>
      <c r="AI42" s="115"/>
      <c r="AJ42" s="115"/>
      <c r="AK42" s="115"/>
      <c r="AL42" s="498"/>
      <c r="AM42" s="532"/>
      <c r="AN42" s="530"/>
      <c r="AO42" s="498"/>
      <c r="AP42" s="463"/>
      <c r="AQ42" s="121"/>
      <c r="AR42" s="121"/>
      <c r="AS42" s="463"/>
      <c r="AT42" s="593"/>
      <c r="AU42" s="593"/>
      <c r="AV42" s="593"/>
      <c r="AW42" s="593"/>
      <c r="AX42" s="593"/>
      <c r="AY42" s="593"/>
      <c r="AZ42" s="593"/>
      <c r="BA42" s="593"/>
      <c r="BB42" s="411"/>
      <c r="BC42" s="411"/>
      <c r="BD42" s="411"/>
      <c r="BE42" s="411"/>
      <c r="BF42" s="411"/>
      <c r="BG42" s="411"/>
      <c r="BH42" s="411"/>
      <c r="BI42" s="411"/>
      <c r="BJ42" s="411"/>
      <c r="BK42" s="411"/>
      <c r="BL42" s="411"/>
      <c r="BM42" s="411"/>
    </row>
    <row r="43" spans="1:65" ht="38.25" x14ac:dyDescent="0.2">
      <c r="A43" s="420"/>
      <c r="B43" s="421"/>
      <c r="C43" s="423"/>
      <c r="D43" s="409"/>
      <c r="E43" s="411"/>
      <c r="F43" s="409"/>
      <c r="G43" s="426"/>
      <c r="H43" s="411"/>
      <c r="I43" s="411"/>
      <c r="J43" s="411"/>
      <c r="K43" s="461"/>
      <c r="L43" s="409"/>
      <c r="M43" s="409"/>
      <c r="N43" s="437"/>
      <c r="O43" s="447"/>
      <c r="P43" s="448"/>
      <c r="Q43" s="437"/>
      <c r="R43" s="437"/>
      <c r="S43" s="429"/>
      <c r="T43" s="429"/>
      <c r="U43" s="429"/>
      <c r="V43" s="429"/>
      <c r="W43" s="429"/>
      <c r="X43" s="26"/>
      <c r="Y43" s="124" t="s">
        <v>193</v>
      </c>
      <c r="Z43" s="117">
        <v>42467</v>
      </c>
      <c r="AA43" s="118">
        <v>11785</v>
      </c>
      <c r="AB43" s="20" t="s">
        <v>877</v>
      </c>
      <c r="AC43" s="117">
        <v>42470</v>
      </c>
      <c r="AD43" s="117" t="s">
        <v>878</v>
      </c>
      <c r="AE43" s="1"/>
      <c r="AF43" s="2"/>
      <c r="AG43" s="65">
        <v>38988</v>
      </c>
      <c r="AH43" s="120"/>
      <c r="AI43" s="114"/>
      <c r="AJ43" s="114"/>
      <c r="AK43" s="114"/>
      <c r="AL43" s="498"/>
      <c r="AM43" s="532"/>
      <c r="AN43" s="530"/>
      <c r="AO43" s="498"/>
      <c r="AP43" s="450"/>
      <c r="AQ43" s="30"/>
      <c r="AR43" s="30"/>
      <c r="AS43" s="450"/>
      <c r="AT43" s="594"/>
      <c r="AU43" s="594"/>
      <c r="AV43" s="594"/>
      <c r="AW43" s="594"/>
      <c r="AX43" s="594"/>
      <c r="AY43" s="594"/>
      <c r="AZ43" s="594"/>
      <c r="BA43" s="594"/>
      <c r="BB43" s="412"/>
      <c r="BC43" s="412"/>
      <c r="BD43" s="412"/>
      <c r="BE43" s="412"/>
      <c r="BF43" s="412"/>
      <c r="BG43" s="412"/>
      <c r="BH43" s="412"/>
      <c r="BI43" s="412"/>
      <c r="BJ43" s="412"/>
      <c r="BK43" s="412"/>
      <c r="BL43" s="412"/>
      <c r="BM43" s="412"/>
    </row>
    <row r="44" spans="1:65" ht="38.25" x14ac:dyDescent="0.2">
      <c r="A44" s="404"/>
      <c r="B44" s="419"/>
      <c r="C44" s="424"/>
      <c r="D44" s="406"/>
      <c r="E44" s="412"/>
      <c r="F44" s="406"/>
      <c r="G44" s="406"/>
      <c r="H44" s="412"/>
      <c r="I44" s="412"/>
      <c r="J44" s="412"/>
      <c r="K44" s="412"/>
      <c r="L44" s="406"/>
      <c r="M44" s="406"/>
      <c r="N44" s="428"/>
      <c r="O44" s="428"/>
      <c r="P44" s="428"/>
      <c r="Q44" s="428"/>
      <c r="R44" s="428"/>
      <c r="S44" s="428"/>
      <c r="T44" s="428"/>
      <c r="U44" s="428"/>
      <c r="V44" s="428"/>
      <c r="W44" s="428"/>
      <c r="X44" s="25" t="s">
        <v>1470</v>
      </c>
      <c r="Y44" s="124" t="s">
        <v>194</v>
      </c>
      <c r="Z44" s="117">
        <v>42835</v>
      </c>
      <c r="AA44" s="118">
        <v>12035</v>
      </c>
      <c r="AB44" s="20" t="s">
        <v>877</v>
      </c>
      <c r="AC44" s="117" t="s">
        <v>878</v>
      </c>
      <c r="AD44" s="117" t="s">
        <v>1512</v>
      </c>
      <c r="AE44" s="1"/>
      <c r="AF44" s="2"/>
      <c r="AG44" s="65">
        <v>38988</v>
      </c>
      <c r="AH44" s="120"/>
      <c r="AI44" s="115"/>
      <c r="AJ44" s="115"/>
      <c r="AK44" s="115"/>
      <c r="AL44" s="499"/>
      <c r="AM44" s="501"/>
      <c r="AN44" s="531"/>
      <c r="AO44" s="499"/>
      <c r="AP44" s="121"/>
      <c r="AQ44" s="121"/>
      <c r="AR44" s="121"/>
      <c r="AS44" s="121"/>
      <c r="AT44" s="126"/>
      <c r="AU44" s="126"/>
      <c r="AV44" s="126"/>
      <c r="AW44" s="126"/>
      <c r="AX44" s="126"/>
      <c r="AY44" s="126"/>
      <c r="AZ44" s="126"/>
      <c r="BA44" s="126"/>
      <c r="BB44" s="25"/>
      <c r="BC44" s="25"/>
      <c r="BD44" s="25"/>
      <c r="BE44" s="25"/>
      <c r="BF44" s="25"/>
      <c r="BG44" s="25"/>
      <c r="BH44" s="25"/>
      <c r="BI44" s="25"/>
      <c r="BJ44" s="25"/>
      <c r="BK44" s="25"/>
      <c r="BL44" s="25"/>
      <c r="BM44" s="25"/>
    </row>
    <row r="45" spans="1:65" ht="25.5" x14ac:dyDescent="0.2">
      <c r="A45" s="403">
        <v>7</v>
      </c>
      <c r="B45" s="418" t="s">
        <v>497</v>
      </c>
      <c r="C45" s="422" t="s">
        <v>149</v>
      </c>
      <c r="D45" s="405" t="s">
        <v>147</v>
      </c>
      <c r="E45" s="410" t="s">
        <v>372</v>
      </c>
      <c r="F45" s="405" t="s">
        <v>173</v>
      </c>
      <c r="G45" s="425" t="s">
        <v>819</v>
      </c>
      <c r="H45" s="410" t="s">
        <v>1199</v>
      </c>
      <c r="I45" s="453">
        <v>41353</v>
      </c>
      <c r="J45" s="453">
        <v>41718</v>
      </c>
      <c r="K45" s="460" t="s">
        <v>171</v>
      </c>
      <c r="L45" s="405" t="s">
        <v>169</v>
      </c>
      <c r="M45" s="405" t="s">
        <v>175</v>
      </c>
      <c r="N45" s="431">
        <v>41380</v>
      </c>
      <c r="O45" s="430">
        <v>39240</v>
      </c>
      <c r="P45" s="438" t="s">
        <v>763</v>
      </c>
      <c r="Q45" s="431">
        <v>41380</v>
      </c>
      <c r="R45" s="431">
        <v>41745</v>
      </c>
      <c r="S45" s="427" t="s">
        <v>135</v>
      </c>
      <c r="T45" s="427"/>
      <c r="U45" s="427"/>
      <c r="V45" s="427"/>
      <c r="W45" s="427" t="s">
        <v>117</v>
      </c>
      <c r="X45" s="24"/>
      <c r="Y45" s="124" t="s">
        <v>145</v>
      </c>
      <c r="Z45" s="117">
        <v>41744</v>
      </c>
      <c r="AA45" s="118">
        <v>11292</v>
      </c>
      <c r="AB45" s="20" t="s">
        <v>379</v>
      </c>
      <c r="AC45" s="117">
        <v>41745</v>
      </c>
      <c r="AD45" s="117">
        <v>42110</v>
      </c>
      <c r="AE45" s="1"/>
      <c r="AF45" s="2"/>
      <c r="AG45" s="65">
        <v>39240</v>
      </c>
      <c r="AH45" s="120"/>
      <c r="AI45" s="125"/>
      <c r="AJ45" s="125"/>
      <c r="AK45" s="125"/>
      <c r="AL45" s="497">
        <f>O45-AH45+AG45-AH46+AG46-AH47+AG47-AH48+AG48</f>
        <v>196200</v>
      </c>
      <c r="AM45" s="500">
        <f>66054+39240+3270+3270+3270+3270+3270+3270+6540+3270+3270+6540</f>
        <v>144534</v>
      </c>
      <c r="AN45" s="529">
        <f>3270+3270+3270+3270+3270+3270+6540+3270+3270</f>
        <v>32700</v>
      </c>
      <c r="AO45" s="497">
        <f>AM45+AN45</f>
        <v>177234</v>
      </c>
      <c r="AP45" s="449"/>
      <c r="AQ45" s="29"/>
      <c r="AR45" s="29"/>
      <c r="AS45" s="449"/>
      <c r="AT45" s="592"/>
      <c r="AU45" s="592"/>
      <c r="AV45" s="592"/>
      <c r="AW45" s="592"/>
      <c r="AX45" s="592"/>
      <c r="AY45" s="592"/>
      <c r="AZ45" s="592"/>
      <c r="BA45" s="592"/>
      <c r="BB45" s="410"/>
      <c r="BC45" s="410"/>
      <c r="BD45" s="410"/>
      <c r="BE45" s="410"/>
      <c r="BF45" s="410"/>
      <c r="BG45" s="410"/>
      <c r="BH45" s="410"/>
      <c r="BI45" s="410"/>
      <c r="BJ45" s="410"/>
      <c r="BK45" s="410"/>
      <c r="BL45" s="410"/>
      <c r="BM45" s="410"/>
    </row>
    <row r="46" spans="1:65" ht="25.5" x14ac:dyDescent="0.2">
      <c r="A46" s="420"/>
      <c r="B46" s="421"/>
      <c r="C46" s="423"/>
      <c r="D46" s="409"/>
      <c r="E46" s="411"/>
      <c r="F46" s="409"/>
      <c r="G46" s="426"/>
      <c r="H46" s="411"/>
      <c r="I46" s="411"/>
      <c r="J46" s="411"/>
      <c r="K46" s="461"/>
      <c r="L46" s="409"/>
      <c r="M46" s="409"/>
      <c r="N46" s="437"/>
      <c r="O46" s="447"/>
      <c r="P46" s="448"/>
      <c r="Q46" s="437"/>
      <c r="R46" s="437"/>
      <c r="S46" s="429"/>
      <c r="T46" s="429"/>
      <c r="U46" s="429"/>
      <c r="V46" s="429"/>
      <c r="W46" s="429"/>
      <c r="X46" s="25"/>
      <c r="Y46" s="124" t="s">
        <v>144</v>
      </c>
      <c r="Z46" s="117">
        <v>42104</v>
      </c>
      <c r="AA46" s="118">
        <v>11538</v>
      </c>
      <c r="AB46" s="20" t="s">
        <v>496</v>
      </c>
      <c r="AC46" s="117">
        <v>42110</v>
      </c>
      <c r="AD46" s="117">
        <v>42476</v>
      </c>
      <c r="AE46" s="1"/>
      <c r="AF46" s="2"/>
      <c r="AG46" s="65">
        <v>39240</v>
      </c>
      <c r="AH46" s="120"/>
      <c r="AI46" s="115"/>
      <c r="AJ46" s="115"/>
      <c r="AK46" s="115"/>
      <c r="AL46" s="498"/>
      <c r="AM46" s="532"/>
      <c r="AN46" s="530"/>
      <c r="AO46" s="498"/>
      <c r="AP46" s="463"/>
      <c r="AQ46" s="121"/>
      <c r="AR46" s="121"/>
      <c r="AS46" s="463"/>
      <c r="AT46" s="593"/>
      <c r="AU46" s="593"/>
      <c r="AV46" s="593"/>
      <c r="AW46" s="593"/>
      <c r="AX46" s="593"/>
      <c r="AY46" s="593"/>
      <c r="AZ46" s="593"/>
      <c r="BA46" s="593"/>
      <c r="BB46" s="411"/>
      <c r="BC46" s="411"/>
      <c r="BD46" s="411"/>
      <c r="BE46" s="411"/>
      <c r="BF46" s="411"/>
      <c r="BG46" s="411"/>
      <c r="BH46" s="411"/>
      <c r="BI46" s="411"/>
      <c r="BJ46" s="411"/>
      <c r="BK46" s="411"/>
      <c r="BL46" s="411"/>
      <c r="BM46" s="411"/>
    </row>
    <row r="47" spans="1:65" ht="38.25" x14ac:dyDescent="0.2">
      <c r="A47" s="420"/>
      <c r="B47" s="421"/>
      <c r="C47" s="423"/>
      <c r="D47" s="409"/>
      <c r="E47" s="411"/>
      <c r="F47" s="409"/>
      <c r="G47" s="426"/>
      <c r="H47" s="411"/>
      <c r="I47" s="411"/>
      <c r="J47" s="411"/>
      <c r="K47" s="461"/>
      <c r="L47" s="409"/>
      <c r="M47" s="409"/>
      <c r="N47" s="437"/>
      <c r="O47" s="447"/>
      <c r="P47" s="448"/>
      <c r="Q47" s="437"/>
      <c r="R47" s="437"/>
      <c r="S47" s="429"/>
      <c r="T47" s="429"/>
      <c r="U47" s="429"/>
      <c r="V47" s="429"/>
      <c r="W47" s="429"/>
      <c r="X47" s="26"/>
      <c r="Y47" s="124" t="s">
        <v>193</v>
      </c>
      <c r="Z47" s="117">
        <v>42467</v>
      </c>
      <c r="AA47" s="118">
        <v>11785</v>
      </c>
      <c r="AB47" s="20" t="s">
        <v>877</v>
      </c>
      <c r="AC47" s="117">
        <v>42476</v>
      </c>
      <c r="AD47" s="117" t="s">
        <v>879</v>
      </c>
      <c r="AE47" s="1"/>
      <c r="AF47" s="2"/>
      <c r="AG47" s="65">
        <v>39240</v>
      </c>
      <c r="AH47" s="120"/>
      <c r="AI47" s="114"/>
      <c r="AJ47" s="114"/>
      <c r="AK47" s="114"/>
      <c r="AL47" s="498"/>
      <c r="AM47" s="532"/>
      <c r="AN47" s="530"/>
      <c r="AO47" s="498"/>
      <c r="AP47" s="450"/>
      <c r="AQ47" s="30"/>
      <c r="AR47" s="30"/>
      <c r="AS47" s="450"/>
      <c r="AT47" s="594"/>
      <c r="AU47" s="594"/>
      <c r="AV47" s="594"/>
      <c r="AW47" s="594"/>
      <c r="AX47" s="594"/>
      <c r="AY47" s="594"/>
      <c r="AZ47" s="594"/>
      <c r="BA47" s="594"/>
      <c r="BB47" s="412"/>
      <c r="BC47" s="412"/>
      <c r="BD47" s="412"/>
      <c r="BE47" s="412"/>
      <c r="BF47" s="412"/>
      <c r="BG47" s="412"/>
      <c r="BH47" s="412"/>
      <c r="BI47" s="412"/>
      <c r="BJ47" s="412"/>
      <c r="BK47" s="412"/>
      <c r="BL47" s="412"/>
      <c r="BM47" s="412"/>
    </row>
    <row r="48" spans="1:65" ht="38.25" x14ac:dyDescent="0.2">
      <c r="A48" s="404"/>
      <c r="B48" s="419"/>
      <c r="C48" s="424"/>
      <c r="D48" s="406"/>
      <c r="E48" s="412"/>
      <c r="F48" s="406"/>
      <c r="G48" s="406"/>
      <c r="H48" s="412"/>
      <c r="I48" s="412"/>
      <c r="J48" s="412"/>
      <c r="K48" s="412"/>
      <c r="L48" s="406"/>
      <c r="M48" s="406"/>
      <c r="N48" s="428"/>
      <c r="O48" s="428"/>
      <c r="P48" s="428"/>
      <c r="Q48" s="428"/>
      <c r="R48" s="428"/>
      <c r="S48" s="428"/>
      <c r="T48" s="428"/>
      <c r="U48" s="428"/>
      <c r="V48" s="428"/>
      <c r="W48" s="428"/>
      <c r="X48" s="25" t="s">
        <v>1470</v>
      </c>
      <c r="Y48" s="124" t="s">
        <v>194</v>
      </c>
      <c r="Z48" s="117">
        <v>42835</v>
      </c>
      <c r="AA48" s="118">
        <v>12035</v>
      </c>
      <c r="AB48" s="20" t="s">
        <v>877</v>
      </c>
      <c r="AC48" s="117" t="s">
        <v>879</v>
      </c>
      <c r="AD48" s="117" t="s">
        <v>1513</v>
      </c>
      <c r="AE48" s="1"/>
      <c r="AF48" s="2"/>
      <c r="AG48" s="65">
        <v>39240</v>
      </c>
      <c r="AH48" s="120"/>
      <c r="AI48" s="115"/>
      <c r="AJ48" s="115"/>
      <c r="AK48" s="115"/>
      <c r="AL48" s="499"/>
      <c r="AM48" s="501"/>
      <c r="AN48" s="531"/>
      <c r="AO48" s="499"/>
      <c r="AP48" s="121"/>
      <c r="AQ48" s="121"/>
      <c r="AR48" s="121"/>
      <c r="AS48" s="121"/>
      <c r="AT48" s="126"/>
      <c r="AU48" s="126"/>
      <c r="AV48" s="126"/>
      <c r="AW48" s="126"/>
      <c r="AX48" s="126"/>
      <c r="AY48" s="126"/>
      <c r="AZ48" s="126"/>
      <c r="BA48" s="126"/>
      <c r="BB48" s="25"/>
      <c r="BC48" s="25"/>
      <c r="BD48" s="25"/>
      <c r="BE48" s="25"/>
      <c r="BF48" s="25"/>
      <c r="BG48" s="25"/>
      <c r="BH48" s="25"/>
      <c r="BI48" s="25"/>
      <c r="BJ48" s="25"/>
      <c r="BK48" s="25"/>
      <c r="BL48" s="25"/>
      <c r="BM48" s="25"/>
    </row>
    <row r="49" spans="1:65" ht="25.5" x14ac:dyDescent="0.2">
      <c r="A49" s="403">
        <v>8</v>
      </c>
      <c r="B49" s="418" t="s">
        <v>497</v>
      </c>
      <c r="C49" s="422" t="s">
        <v>149</v>
      </c>
      <c r="D49" s="405" t="s">
        <v>147</v>
      </c>
      <c r="E49" s="410" t="s">
        <v>372</v>
      </c>
      <c r="F49" s="405" t="s">
        <v>174</v>
      </c>
      <c r="G49" s="425" t="s">
        <v>819</v>
      </c>
      <c r="H49" s="410" t="s">
        <v>1199</v>
      </c>
      <c r="I49" s="453">
        <v>41353</v>
      </c>
      <c r="J49" s="453">
        <v>41718</v>
      </c>
      <c r="K49" s="460" t="s">
        <v>172</v>
      </c>
      <c r="L49" s="405" t="s">
        <v>170</v>
      </c>
      <c r="M49" s="405" t="s">
        <v>176</v>
      </c>
      <c r="N49" s="431">
        <v>41393</v>
      </c>
      <c r="O49" s="430">
        <v>19800</v>
      </c>
      <c r="P49" s="438" t="s">
        <v>765</v>
      </c>
      <c r="Q49" s="431">
        <v>41393</v>
      </c>
      <c r="R49" s="431">
        <v>41758</v>
      </c>
      <c r="S49" s="427" t="s">
        <v>135</v>
      </c>
      <c r="T49" s="427"/>
      <c r="U49" s="427"/>
      <c r="V49" s="427"/>
      <c r="W49" s="427" t="s">
        <v>117</v>
      </c>
      <c r="X49" s="24"/>
      <c r="Y49" s="124" t="s">
        <v>145</v>
      </c>
      <c r="Z49" s="117">
        <v>41757</v>
      </c>
      <c r="AA49" s="118">
        <v>11297</v>
      </c>
      <c r="AB49" s="20" t="s">
        <v>379</v>
      </c>
      <c r="AC49" s="117">
        <v>41758</v>
      </c>
      <c r="AD49" s="117">
        <v>42123</v>
      </c>
      <c r="AE49" s="1"/>
      <c r="AF49" s="2"/>
      <c r="AG49" s="65">
        <v>19800</v>
      </c>
      <c r="AH49" s="120"/>
      <c r="AI49" s="125"/>
      <c r="AJ49" s="125"/>
      <c r="AK49" s="125"/>
      <c r="AL49" s="497">
        <f>O49-AH49+AG49-AH50+AG50-AH51+AG51-AH52+AG52</f>
        <v>99000</v>
      </c>
      <c r="AM49" s="500">
        <f>32450+19800+1650+1650+1650+1650+1650+1650+1650+3300+1650+1650+3300</f>
        <v>73700</v>
      </c>
      <c r="AN49" s="529">
        <f>1650+1650+1650+1650+1650+1650+3300+1650+1650</f>
        <v>16500</v>
      </c>
      <c r="AO49" s="497">
        <f>AM49+AN49</f>
        <v>90200</v>
      </c>
      <c r="AP49" s="449"/>
      <c r="AQ49" s="29"/>
      <c r="AR49" s="29"/>
      <c r="AS49" s="449"/>
      <c r="AT49" s="592"/>
      <c r="AU49" s="592"/>
      <c r="AV49" s="592"/>
      <c r="AW49" s="592"/>
      <c r="AX49" s="592"/>
      <c r="AY49" s="592"/>
      <c r="AZ49" s="592"/>
      <c r="BA49" s="592"/>
      <c r="BB49" s="410"/>
      <c r="BC49" s="410"/>
      <c r="BD49" s="410"/>
      <c r="BE49" s="410"/>
      <c r="BF49" s="410"/>
      <c r="BG49" s="410"/>
      <c r="BH49" s="410"/>
      <c r="BI49" s="410"/>
      <c r="BJ49" s="410"/>
      <c r="BK49" s="410"/>
      <c r="BL49" s="410"/>
      <c r="BM49" s="410"/>
    </row>
    <row r="50" spans="1:65" ht="25.5" x14ac:dyDescent="0.2">
      <c r="A50" s="420"/>
      <c r="B50" s="421"/>
      <c r="C50" s="423"/>
      <c r="D50" s="409"/>
      <c r="E50" s="411"/>
      <c r="F50" s="409"/>
      <c r="G50" s="426"/>
      <c r="H50" s="411"/>
      <c r="I50" s="411"/>
      <c r="J50" s="411"/>
      <c r="K50" s="461"/>
      <c r="L50" s="409"/>
      <c r="M50" s="409"/>
      <c r="N50" s="437"/>
      <c r="O50" s="447"/>
      <c r="P50" s="448"/>
      <c r="Q50" s="437"/>
      <c r="R50" s="437"/>
      <c r="S50" s="429"/>
      <c r="T50" s="429"/>
      <c r="U50" s="429"/>
      <c r="V50" s="429"/>
      <c r="W50" s="429"/>
      <c r="X50" s="25"/>
      <c r="Y50" s="124" t="s">
        <v>144</v>
      </c>
      <c r="Z50" s="117">
        <v>42104</v>
      </c>
      <c r="AA50" s="118">
        <v>11538</v>
      </c>
      <c r="AB50" s="20" t="s">
        <v>496</v>
      </c>
      <c r="AC50" s="117">
        <v>42123</v>
      </c>
      <c r="AD50" s="117">
        <v>42489</v>
      </c>
      <c r="AE50" s="1"/>
      <c r="AF50" s="2"/>
      <c r="AG50" s="65">
        <v>19800</v>
      </c>
      <c r="AH50" s="120"/>
      <c r="AI50" s="115"/>
      <c r="AJ50" s="115"/>
      <c r="AK50" s="115"/>
      <c r="AL50" s="498"/>
      <c r="AM50" s="532"/>
      <c r="AN50" s="530"/>
      <c r="AO50" s="498"/>
      <c r="AP50" s="463"/>
      <c r="AQ50" s="121"/>
      <c r="AR50" s="121"/>
      <c r="AS50" s="463"/>
      <c r="AT50" s="593"/>
      <c r="AU50" s="593"/>
      <c r="AV50" s="593"/>
      <c r="AW50" s="593"/>
      <c r="AX50" s="593"/>
      <c r="AY50" s="593"/>
      <c r="AZ50" s="593"/>
      <c r="BA50" s="593"/>
      <c r="BB50" s="411"/>
      <c r="BC50" s="411"/>
      <c r="BD50" s="411"/>
      <c r="BE50" s="411"/>
      <c r="BF50" s="411"/>
      <c r="BG50" s="411"/>
      <c r="BH50" s="411"/>
      <c r="BI50" s="411"/>
      <c r="BJ50" s="411"/>
      <c r="BK50" s="411"/>
      <c r="BL50" s="411"/>
      <c r="BM50" s="411"/>
    </row>
    <row r="51" spans="1:65" ht="38.25" x14ac:dyDescent="0.2">
      <c r="A51" s="420"/>
      <c r="B51" s="421"/>
      <c r="C51" s="423"/>
      <c r="D51" s="409"/>
      <c r="E51" s="411"/>
      <c r="F51" s="409"/>
      <c r="G51" s="426"/>
      <c r="H51" s="411"/>
      <c r="I51" s="411"/>
      <c r="J51" s="411"/>
      <c r="K51" s="461"/>
      <c r="L51" s="409"/>
      <c r="M51" s="409"/>
      <c r="N51" s="437"/>
      <c r="O51" s="447"/>
      <c r="P51" s="448"/>
      <c r="Q51" s="437"/>
      <c r="R51" s="437"/>
      <c r="S51" s="429"/>
      <c r="T51" s="429"/>
      <c r="U51" s="429"/>
      <c r="V51" s="429"/>
      <c r="W51" s="429"/>
      <c r="X51" s="26"/>
      <c r="Y51" s="124" t="s">
        <v>193</v>
      </c>
      <c r="Z51" s="117">
        <v>42467</v>
      </c>
      <c r="AA51" s="118">
        <v>11785</v>
      </c>
      <c r="AB51" s="20" t="s">
        <v>877</v>
      </c>
      <c r="AC51" s="117">
        <v>42489</v>
      </c>
      <c r="AD51" s="117" t="s">
        <v>880</v>
      </c>
      <c r="AE51" s="1"/>
      <c r="AF51" s="2"/>
      <c r="AG51" s="65">
        <v>19800</v>
      </c>
      <c r="AH51" s="120"/>
      <c r="AI51" s="114"/>
      <c r="AJ51" s="114"/>
      <c r="AK51" s="114"/>
      <c r="AL51" s="498"/>
      <c r="AM51" s="532"/>
      <c r="AN51" s="530"/>
      <c r="AO51" s="498"/>
      <c r="AP51" s="450"/>
      <c r="AQ51" s="30"/>
      <c r="AR51" s="30"/>
      <c r="AS51" s="450"/>
      <c r="AT51" s="594"/>
      <c r="AU51" s="594"/>
      <c r="AV51" s="594"/>
      <c r="AW51" s="594"/>
      <c r="AX51" s="594"/>
      <c r="AY51" s="594"/>
      <c r="AZ51" s="594"/>
      <c r="BA51" s="594"/>
      <c r="BB51" s="412"/>
      <c r="BC51" s="412"/>
      <c r="BD51" s="412"/>
      <c r="BE51" s="412"/>
      <c r="BF51" s="412"/>
      <c r="BG51" s="412"/>
      <c r="BH51" s="412"/>
      <c r="BI51" s="412"/>
      <c r="BJ51" s="412"/>
      <c r="BK51" s="412"/>
      <c r="BL51" s="412"/>
      <c r="BM51" s="412"/>
    </row>
    <row r="52" spans="1:65" ht="38.25" x14ac:dyDescent="0.2">
      <c r="A52" s="404"/>
      <c r="B52" s="419"/>
      <c r="C52" s="424"/>
      <c r="D52" s="406"/>
      <c r="E52" s="412"/>
      <c r="F52" s="406"/>
      <c r="G52" s="406"/>
      <c r="H52" s="412"/>
      <c r="I52" s="412"/>
      <c r="J52" s="412"/>
      <c r="K52" s="412"/>
      <c r="L52" s="406"/>
      <c r="M52" s="406"/>
      <c r="N52" s="428"/>
      <c r="O52" s="428"/>
      <c r="P52" s="428"/>
      <c r="Q52" s="428"/>
      <c r="R52" s="428"/>
      <c r="S52" s="428"/>
      <c r="T52" s="428"/>
      <c r="U52" s="428"/>
      <c r="V52" s="428"/>
      <c r="W52" s="428"/>
      <c r="X52" s="25" t="s">
        <v>1470</v>
      </c>
      <c r="Y52" s="124" t="s">
        <v>194</v>
      </c>
      <c r="Z52" s="117">
        <v>42835</v>
      </c>
      <c r="AA52" s="118">
        <v>12035</v>
      </c>
      <c r="AB52" s="20" t="s">
        <v>877</v>
      </c>
      <c r="AC52" s="117" t="s">
        <v>880</v>
      </c>
      <c r="AD52" s="117" t="s">
        <v>1514</v>
      </c>
      <c r="AE52" s="1"/>
      <c r="AF52" s="2"/>
      <c r="AG52" s="65">
        <v>19800</v>
      </c>
      <c r="AH52" s="120"/>
      <c r="AI52" s="115"/>
      <c r="AJ52" s="115"/>
      <c r="AK52" s="115"/>
      <c r="AL52" s="499"/>
      <c r="AM52" s="501"/>
      <c r="AN52" s="531"/>
      <c r="AO52" s="499"/>
      <c r="AP52" s="121"/>
      <c r="AQ52" s="121"/>
      <c r="AR52" s="121"/>
      <c r="AS52" s="121"/>
      <c r="AT52" s="126"/>
      <c r="AU52" s="126"/>
      <c r="AV52" s="126"/>
      <c r="AW52" s="126"/>
      <c r="AX52" s="126"/>
      <c r="AY52" s="126"/>
      <c r="AZ52" s="126"/>
      <c r="BA52" s="126"/>
      <c r="BB52" s="25"/>
      <c r="BC52" s="25"/>
      <c r="BD52" s="25"/>
      <c r="BE52" s="25"/>
      <c r="BF52" s="25"/>
      <c r="BG52" s="25"/>
      <c r="BH52" s="25"/>
      <c r="BI52" s="25"/>
      <c r="BJ52" s="25"/>
      <c r="BK52" s="25"/>
      <c r="BL52" s="25"/>
      <c r="BM52" s="25"/>
    </row>
    <row r="53" spans="1:65" ht="102" x14ac:dyDescent="0.2">
      <c r="A53" s="403">
        <v>9</v>
      </c>
      <c r="B53" s="418" t="s">
        <v>1585</v>
      </c>
      <c r="C53" s="422" t="s">
        <v>217</v>
      </c>
      <c r="D53" s="405" t="s">
        <v>142</v>
      </c>
      <c r="E53" s="427"/>
      <c r="F53" s="545" t="s">
        <v>1367</v>
      </c>
      <c r="G53" s="425" t="s">
        <v>367</v>
      </c>
      <c r="H53" s="439"/>
      <c r="I53" s="439"/>
      <c r="J53" s="439"/>
      <c r="K53" s="460" t="s">
        <v>177</v>
      </c>
      <c r="L53" s="405" t="s">
        <v>178</v>
      </c>
      <c r="M53" s="405" t="s">
        <v>179</v>
      </c>
      <c r="N53" s="431">
        <v>41393</v>
      </c>
      <c r="O53" s="430">
        <v>13200</v>
      </c>
      <c r="P53" s="438" t="s">
        <v>766</v>
      </c>
      <c r="Q53" s="431">
        <v>41395</v>
      </c>
      <c r="R53" s="431">
        <v>41760</v>
      </c>
      <c r="S53" s="427" t="s">
        <v>136</v>
      </c>
      <c r="T53" s="427"/>
      <c r="U53" s="427"/>
      <c r="V53" s="427"/>
      <c r="W53" s="427" t="s">
        <v>117</v>
      </c>
      <c r="X53" s="24"/>
      <c r="Y53" s="124" t="s">
        <v>138</v>
      </c>
      <c r="Z53" s="117">
        <v>41759</v>
      </c>
      <c r="AA53" s="118">
        <v>11300</v>
      </c>
      <c r="AB53" s="20" t="s">
        <v>422</v>
      </c>
      <c r="AC53" s="127">
        <v>41760</v>
      </c>
      <c r="AD53" s="117">
        <v>42125</v>
      </c>
      <c r="AE53" s="1">
        <v>7.9835799999999999</v>
      </c>
      <c r="AF53" s="2"/>
      <c r="AG53" s="128">
        <v>14253.84</v>
      </c>
      <c r="AH53" s="120"/>
      <c r="AI53" s="125"/>
      <c r="AJ53" s="125"/>
      <c r="AK53" s="125"/>
      <c r="AL53" s="497">
        <f>O53-AH53+AG53-AH54+AG54-AH55+AG55-AH56+AG56</f>
        <v>64351.44</v>
      </c>
      <c r="AM53" s="500">
        <f>22702.56+14590.64+1229.92+1229.92+1229.92+1229.92+1229.92+1229.92+1229.92+1229.92+1229.92+1229.92+1229.92+1229.92</f>
        <v>52052.239999999976</v>
      </c>
      <c r="AN53" s="529">
        <f>1229.92+1229.92+1229.92+1229.92+1229.92+1229.92+1229.92+1229.92+1229.92+1229.92</f>
        <v>12299.2</v>
      </c>
      <c r="AO53" s="497">
        <f>AM53+AN53</f>
        <v>64351.439999999973</v>
      </c>
      <c r="AP53" s="449"/>
      <c r="AQ53" s="29"/>
      <c r="AR53" s="29"/>
      <c r="AS53" s="449"/>
      <c r="AT53" s="592"/>
      <c r="AU53" s="592"/>
      <c r="AV53" s="592" t="s">
        <v>122</v>
      </c>
      <c r="AW53" s="410" t="s">
        <v>375</v>
      </c>
      <c r="AX53" s="443" t="s">
        <v>840</v>
      </c>
      <c r="AY53" s="432">
        <v>41387</v>
      </c>
      <c r="AZ53" s="443" t="s">
        <v>845</v>
      </c>
      <c r="BA53" s="432">
        <v>41394</v>
      </c>
      <c r="BB53" s="410"/>
      <c r="BC53" s="410"/>
      <c r="BD53" s="410"/>
      <c r="BE53" s="410"/>
      <c r="BF53" s="410"/>
      <c r="BG53" s="410"/>
      <c r="BH53" s="410"/>
      <c r="BI53" s="410"/>
      <c r="BJ53" s="410"/>
      <c r="BK53" s="410"/>
      <c r="BL53" s="410"/>
      <c r="BM53" s="410"/>
    </row>
    <row r="54" spans="1:65" ht="102" x14ac:dyDescent="0.2">
      <c r="A54" s="420"/>
      <c r="B54" s="421"/>
      <c r="C54" s="423"/>
      <c r="D54" s="409"/>
      <c r="E54" s="429"/>
      <c r="F54" s="546"/>
      <c r="G54" s="426"/>
      <c r="H54" s="458"/>
      <c r="I54" s="458"/>
      <c r="J54" s="458"/>
      <c r="K54" s="461"/>
      <c r="L54" s="409"/>
      <c r="M54" s="409"/>
      <c r="N54" s="437"/>
      <c r="O54" s="447"/>
      <c r="P54" s="448"/>
      <c r="Q54" s="437"/>
      <c r="R54" s="437"/>
      <c r="S54" s="429"/>
      <c r="T54" s="429"/>
      <c r="U54" s="429"/>
      <c r="V54" s="429"/>
      <c r="W54" s="429"/>
      <c r="X54" s="25"/>
      <c r="Y54" s="124" t="s">
        <v>144</v>
      </c>
      <c r="Z54" s="117">
        <v>42124</v>
      </c>
      <c r="AA54" s="118">
        <v>11550</v>
      </c>
      <c r="AB54" s="20" t="s">
        <v>504</v>
      </c>
      <c r="AC54" s="129">
        <v>42125</v>
      </c>
      <c r="AD54" s="117">
        <v>42491</v>
      </c>
      <c r="AE54" s="1">
        <v>3.5442999999999998</v>
      </c>
      <c r="AF54" s="2"/>
      <c r="AG54" s="128">
        <v>14759.04</v>
      </c>
      <c r="AH54" s="120"/>
      <c r="AI54" s="115"/>
      <c r="AJ54" s="115"/>
      <c r="AK54" s="115"/>
      <c r="AL54" s="498"/>
      <c r="AM54" s="532"/>
      <c r="AN54" s="530"/>
      <c r="AO54" s="498"/>
      <c r="AP54" s="463"/>
      <c r="AQ54" s="121"/>
      <c r="AR54" s="121"/>
      <c r="AS54" s="463"/>
      <c r="AT54" s="593"/>
      <c r="AU54" s="593"/>
      <c r="AV54" s="593"/>
      <c r="AW54" s="411"/>
      <c r="AX54" s="444"/>
      <c r="AY54" s="433"/>
      <c r="AZ54" s="444"/>
      <c r="BA54" s="433"/>
      <c r="BB54" s="411"/>
      <c r="BC54" s="411"/>
      <c r="BD54" s="411"/>
      <c r="BE54" s="411"/>
      <c r="BF54" s="411"/>
      <c r="BG54" s="411"/>
      <c r="BH54" s="411"/>
      <c r="BI54" s="411"/>
      <c r="BJ54" s="411"/>
      <c r="BK54" s="411"/>
      <c r="BL54" s="411"/>
      <c r="BM54" s="411"/>
    </row>
    <row r="55" spans="1:65" ht="76.5" x14ac:dyDescent="0.2">
      <c r="A55" s="420"/>
      <c r="B55" s="421"/>
      <c r="C55" s="423"/>
      <c r="D55" s="409"/>
      <c r="E55" s="429"/>
      <c r="F55" s="546"/>
      <c r="G55" s="426"/>
      <c r="H55" s="458"/>
      <c r="I55" s="458"/>
      <c r="J55" s="458"/>
      <c r="K55" s="461"/>
      <c r="L55" s="409"/>
      <c r="M55" s="409"/>
      <c r="N55" s="437"/>
      <c r="O55" s="447"/>
      <c r="P55" s="448"/>
      <c r="Q55" s="437"/>
      <c r="R55" s="437"/>
      <c r="S55" s="429"/>
      <c r="T55" s="429"/>
      <c r="U55" s="429"/>
      <c r="V55" s="429"/>
      <c r="W55" s="429"/>
      <c r="X55" s="26"/>
      <c r="Y55" s="124" t="s">
        <v>193</v>
      </c>
      <c r="Z55" s="117">
        <v>42489</v>
      </c>
      <c r="AA55" s="118">
        <v>11798</v>
      </c>
      <c r="AB55" s="20" t="s">
        <v>904</v>
      </c>
      <c r="AC55" s="117">
        <v>42491</v>
      </c>
      <c r="AD55" s="117">
        <v>42856</v>
      </c>
      <c r="AE55" s="1"/>
      <c r="AF55" s="2"/>
      <c r="AG55" s="128">
        <v>14759.04</v>
      </c>
      <c r="AH55" s="120"/>
      <c r="AI55" s="114"/>
      <c r="AJ55" s="114"/>
      <c r="AK55" s="114"/>
      <c r="AL55" s="498"/>
      <c r="AM55" s="532"/>
      <c r="AN55" s="530"/>
      <c r="AO55" s="498"/>
      <c r="AP55" s="450"/>
      <c r="AQ55" s="30"/>
      <c r="AR55" s="30"/>
      <c r="AS55" s="450"/>
      <c r="AT55" s="594"/>
      <c r="AU55" s="594"/>
      <c r="AV55" s="594"/>
      <c r="AW55" s="412"/>
      <c r="AX55" s="445"/>
      <c r="AY55" s="434"/>
      <c r="AZ55" s="445"/>
      <c r="BA55" s="434"/>
      <c r="BB55" s="412"/>
      <c r="BC55" s="412"/>
      <c r="BD55" s="412"/>
      <c r="BE55" s="412"/>
      <c r="BF55" s="412"/>
      <c r="BG55" s="412"/>
      <c r="BH55" s="412"/>
      <c r="BI55" s="412"/>
      <c r="BJ55" s="412"/>
      <c r="BK55" s="412"/>
      <c r="BL55" s="412"/>
      <c r="BM55" s="412"/>
    </row>
    <row r="56" spans="1:65" ht="63.75" x14ac:dyDescent="0.2">
      <c r="A56" s="404"/>
      <c r="B56" s="419"/>
      <c r="C56" s="424"/>
      <c r="D56" s="406"/>
      <c r="E56" s="428"/>
      <c r="F56" s="406"/>
      <c r="G56" s="406"/>
      <c r="H56" s="412"/>
      <c r="I56" s="412"/>
      <c r="J56" s="412"/>
      <c r="K56" s="412"/>
      <c r="L56" s="406"/>
      <c r="M56" s="406"/>
      <c r="N56" s="428"/>
      <c r="O56" s="428"/>
      <c r="P56" s="428"/>
      <c r="Q56" s="428"/>
      <c r="R56" s="428"/>
      <c r="S56" s="428"/>
      <c r="T56" s="428"/>
      <c r="U56" s="428"/>
      <c r="V56" s="428"/>
      <c r="W56" s="428"/>
      <c r="X56" s="25" t="s">
        <v>1470</v>
      </c>
      <c r="Y56" s="124" t="s">
        <v>194</v>
      </c>
      <c r="Z56" s="117">
        <v>42850</v>
      </c>
      <c r="AA56" s="118">
        <v>12052</v>
      </c>
      <c r="AB56" s="20" t="s">
        <v>1586</v>
      </c>
      <c r="AC56" s="117">
        <v>42856</v>
      </c>
      <c r="AD56" s="117">
        <v>43040</v>
      </c>
      <c r="AE56" s="1"/>
      <c r="AF56" s="2"/>
      <c r="AG56" s="128">
        <v>7379.52</v>
      </c>
      <c r="AH56" s="120"/>
      <c r="AI56" s="115"/>
      <c r="AJ56" s="115"/>
      <c r="AK56" s="115"/>
      <c r="AL56" s="499"/>
      <c r="AM56" s="501"/>
      <c r="AN56" s="531"/>
      <c r="AO56" s="499"/>
      <c r="AP56" s="121"/>
      <c r="AQ56" s="121"/>
      <c r="AR56" s="121"/>
      <c r="AS56" s="121"/>
      <c r="AT56" s="126"/>
      <c r="AU56" s="126"/>
      <c r="AV56" s="126"/>
      <c r="AW56" s="25"/>
      <c r="AX56" s="130"/>
      <c r="AY56" s="131"/>
      <c r="AZ56" s="130"/>
      <c r="BA56" s="131"/>
      <c r="BB56" s="25"/>
      <c r="BC56" s="25"/>
      <c r="BD56" s="25"/>
      <c r="BE56" s="25"/>
      <c r="BF56" s="25"/>
      <c r="BG56" s="25"/>
      <c r="BH56" s="25"/>
      <c r="BI56" s="25"/>
      <c r="BJ56" s="25"/>
      <c r="BK56" s="25"/>
      <c r="BL56" s="25"/>
      <c r="BM56" s="25"/>
    </row>
    <row r="57" spans="1:65" ht="102" x14ac:dyDescent="0.2">
      <c r="A57" s="403">
        <v>10</v>
      </c>
      <c r="B57" s="418" t="s">
        <v>1600</v>
      </c>
      <c r="C57" s="422" t="s">
        <v>369</v>
      </c>
      <c r="D57" s="405" t="s">
        <v>142</v>
      </c>
      <c r="E57" s="410"/>
      <c r="F57" s="545" t="s">
        <v>1368</v>
      </c>
      <c r="G57" s="425" t="s">
        <v>367</v>
      </c>
      <c r="H57" s="132"/>
      <c r="I57" s="132"/>
      <c r="J57" s="132"/>
      <c r="K57" s="451" t="s">
        <v>180</v>
      </c>
      <c r="L57" s="405" t="s">
        <v>181</v>
      </c>
      <c r="M57" s="405" t="s">
        <v>182</v>
      </c>
      <c r="N57" s="431">
        <v>41414</v>
      </c>
      <c r="O57" s="430">
        <v>132000</v>
      </c>
      <c r="P57" s="438" t="s">
        <v>767</v>
      </c>
      <c r="Q57" s="431">
        <v>41414</v>
      </c>
      <c r="R57" s="431">
        <v>41779</v>
      </c>
      <c r="S57" s="427" t="s">
        <v>135</v>
      </c>
      <c r="T57" s="410"/>
      <c r="U57" s="410"/>
      <c r="V57" s="410"/>
      <c r="W57" s="427" t="s">
        <v>137</v>
      </c>
      <c r="X57" s="24"/>
      <c r="Y57" s="124" t="s">
        <v>138</v>
      </c>
      <c r="Z57" s="117">
        <v>41778</v>
      </c>
      <c r="AA57" s="118">
        <v>11311</v>
      </c>
      <c r="AB57" s="20" t="s">
        <v>423</v>
      </c>
      <c r="AC57" s="127">
        <v>41779</v>
      </c>
      <c r="AD57" s="117">
        <v>42144</v>
      </c>
      <c r="AE57" s="1">
        <v>7.9837199999999999</v>
      </c>
      <c r="AF57" s="2"/>
      <c r="AG57" s="128">
        <v>142538.51999999999</v>
      </c>
      <c r="AH57" s="120"/>
      <c r="AI57" s="125"/>
      <c r="AJ57" s="125"/>
      <c r="AK57" s="125"/>
      <c r="AL57" s="497">
        <f>O57-AH57+AG57-AH58+AG58-AH59+AG59-AH60+AG60</f>
        <v>717309.72000000009</v>
      </c>
      <c r="AM57" s="500">
        <f>219898.75+145653.81+12299.2+12299.2+12299.2+12299.2+12299.2+12299.2+12299.2+12299.2+12299.2+12299.2+12299.2+12299.2</f>
        <v>513142.96000000014</v>
      </c>
      <c r="AN57" s="529">
        <f>12299.2+12299.2+12299.2+12299.2+12299.2+12299.2+12299.2+12299.2+12299.2+12299.2+12299.2</f>
        <v>135291.19999999998</v>
      </c>
      <c r="AO57" s="497">
        <f>AM57+AN57</f>
        <v>648434.16000000015</v>
      </c>
      <c r="AP57" s="449"/>
      <c r="AQ57" s="29"/>
      <c r="AR57" s="29"/>
      <c r="AS57" s="449"/>
      <c r="AT57" s="449"/>
      <c r="AU57" s="449"/>
      <c r="AV57" s="592" t="s">
        <v>122</v>
      </c>
      <c r="AW57" s="410" t="s">
        <v>143</v>
      </c>
      <c r="AX57" s="443" t="s">
        <v>841</v>
      </c>
      <c r="AY57" s="432">
        <v>41403</v>
      </c>
      <c r="AZ57" s="443" t="s">
        <v>846</v>
      </c>
      <c r="BA57" s="432">
        <v>41411</v>
      </c>
      <c r="BB57" s="410"/>
      <c r="BC57" s="410"/>
      <c r="BD57" s="410"/>
      <c r="BE57" s="410"/>
      <c r="BF57" s="410"/>
      <c r="BG57" s="410"/>
      <c r="BH57" s="410"/>
      <c r="BI57" s="410"/>
      <c r="BJ57" s="410"/>
      <c r="BK57" s="410"/>
      <c r="BL57" s="410"/>
      <c r="BM57" s="410"/>
    </row>
    <row r="58" spans="1:65" ht="102" x14ac:dyDescent="0.2">
      <c r="A58" s="420"/>
      <c r="B58" s="421"/>
      <c r="C58" s="423"/>
      <c r="D58" s="409"/>
      <c r="E58" s="411"/>
      <c r="F58" s="546"/>
      <c r="G58" s="426"/>
      <c r="H58" s="133"/>
      <c r="I58" s="133"/>
      <c r="J58" s="133"/>
      <c r="K58" s="452"/>
      <c r="L58" s="409"/>
      <c r="M58" s="409"/>
      <c r="N58" s="437"/>
      <c r="O58" s="447"/>
      <c r="P58" s="448"/>
      <c r="Q58" s="437"/>
      <c r="R58" s="437"/>
      <c r="S58" s="429"/>
      <c r="T58" s="411"/>
      <c r="U58" s="411"/>
      <c r="V58" s="411"/>
      <c r="W58" s="429"/>
      <c r="X58" s="25"/>
      <c r="Y58" s="124" t="s">
        <v>144</v>
      </c>
      <c r="Z58" s="117">
        <v>42143</v>
      </c>
      <c r="AA58" s="118">
        <v>11559</v>
      </c>
      <c r="AB58" s="20" t="s">
        <v>508</v>
      </c>
      <c r="AC58" s="127">
        <v>42144</v>
      </c>
      <c r="AD58" s="117">
        <v>42510</v>
      </c>
      <c r="AE58" s="1">
        <v>3.5442</v>
      </c>
      <c r="AF58" s="2"/>
      <c r="AG58" s="128">
        <v>147590.39999999999</v>
      </c>
      <c r="AH58" s="120"/>
      <c r="AI58" s="115"/>
      <c r="AJ58" s="115"/>
      <c r="AK58" s="115"/>
      <c r="AL58" s="498"/>
      <c r="AM58" s="532"/>
      <c r="AN58" s="530"/>
      <c r="AO58" s="498"/>
      <c r="AP58" s="463"/>
      <c r="AQ58" s="121"/>
      <c r="AR58" s="121"/>
      <c r="AS58" s="463"/>
      <c r="AT58" s="463"/>
      <c r="AU58" s="463"/>
      <c r="AV58" s="593"/>
      <c r="AW58" s="411"/>
      <c r="AX58" s="444"/>
      <c r="AY58" s="433"/>
      <c r="AZ58" s="444"/>
      <c r="BA58" s="433"/>
      <c r="BB58" s="411"/>
      <c r="BC58" s="411"/>
      <c r="BD58" s="411"/>
      <c r="BE58" s="411"/>
      <c r="BF58" s="411"/>
      <c r="BG58" s="411"/>
      <c r="BH58" s="411"/>
      <c r="BI58" s="411"/>
      <c r="BJ58" s="411"/>
      <c r="BK58" s="411"/>
      <c r="BL58" s="411"/>
      <c r="BM58" s="411"/>
    </row>
    <row r="59" spans="1:65" ht="89.25" x14ac:dyDescent="0.2">
      <c r="A59" s="420"/>
      <c r="B59" s="421"/>
      <c r="C59" s="423"/>
      <c r="D59" s="409"/>
      <c r="E59" s="411"/>
      <c r="F59" s="546"/>
      <c r="G59" s="426"/>
      <c r="H59" s="134"/>
      <c r="I59" s="134"/>
      <c r="J59" s="134"/>
      <c r="K59" s="452"/>
      <c r="L59" s="409"/>
      <c r="M59" s="409"/>
      <c r="N59" s="437"/>
      <c r="O59" s="447"/>
      <c r="P59" s="448"/>
      <c r="Q59" s="437"/>
      <c r="R59" s="437"/>
      <c r="S59" s="429"/>
      <c r="T59" s="412"/>
      <c r="U59" s="412"/>
      <c r="V59" s="412"/>
      <c r="W59" s="429"/>
      <c r="X59" s="26"/>
      <c r="Y59" s="124" t="s">
        <v>193</v>
      </c>
      <c r="Z59" s="117">
        <v>42506</v>
      </c>
      <c r="AA59" s="118">
        <v>11807</v>
      </c>
      <c r="AB59" s="20" t="s">
        <v>909</v>
      </c>
      <c r="AC59" s="127">
        <v>42510</v>
      </c>
      <c r="AD59" s="117">
        <v>42875</v>
      </c>
      <c r="AE59" s="1"/>
      <c r="AF59" s="2"/>
      <c r="AG59" s="128">
        <v>147590.39999999999</v>
      </c>
      <c r="AH59" s="120"/>
      <c r="AI59" s="114"/>
      <c r="AJ59" s="114"/>
      <c r="AK59" s="114"/>
      <c r="AL59" s="498"/>
      <c r="AM59" s="532"/>
      <c r="AN59" s="530"/>
      <c r="AO59" s="498"/>
      <c r="AP59" s="450"/>
      <c r="AQ59" s="30"/>
      <c r="AR59" s="30"/>
      <c r="AS59" s="450"/>
      <c r="AT59" s="450"/>
      <c r="AU59" s="450"/>
      <c r="AV59" s="594"/>
      <c r="AW59" s="412"/>
      <c r="AX59" s="445"/>
      <c r="AY59" s="434"/>
      <c r="AZ59" s="445"/>
      <c r="BA59" s="434"/>
      <c r="BB59" s="412"/>
      <c r="BC59" s="412"/>
      <c r="BD59" s="412"/>
      <c r="BE59" s="412"/>
      <c r="BF59" s="412"/>
      <c r="BG59" s="412"/>
      <c r="BH59" s="412"/>
      <c r="BI59" s="412"/>
      <c r="BJ59" s="412"/>
      <c r="BK59" s="412"/>
      <c r="BL59" s="412"/>
      <c r="BM59" s="412"/>
    </row>
    <row r="60" spans="1:65" ht="76.5" x14ac:dyDescent="0.2">
      <c r="A60" s="404"/>
      <c r="B60" s="419"/>
      <c r="C60" s="424"/>
      <c r="D60" s="406"/>
      <c r="E60" s="412"/>
      <c r="F60" s="406"/>
      <c r="G60" s="406"/>
      <c r="H60" s="133"/>
      <c r="I60" s="133"/>
      <c r="J60" s="133"/>
      <c r="K60" s="428"/>
      <c r="L60" s="406"/>
      <c r="M60" s="406"/>
      <c r="N60" s="428"/>
      <c r="O60" s="428"/>
      <c r="P60" s="428"/>
      <c r="Q60" s="428"/>
      <c r="R60" s="428"/>
      <c r="S60" s="428"/>
      <c r="T60" s="25"/>
      <c r="U60" s="25"/>
      <c r="V60" s="25"/>
      <c r="W60" s="428"/>
      <c r="X60" s="25" t="s">
        <v>1470</v>
      </c>
      <c r="Y60" s="124" t="s">
        <v>194</v>
      </c>
      <c r="Z60" s="117">
        <v>42871</v>
      </c>
      <c r="AA60" s="118">
        <v>12057</v>
      </c>
      <c r="AB60" s="20" t="s">
        <v>1601</v>
      </c>
      <c r="AC60" s="117">
        <v>42875</v>
      </c>
      <c r="AD60" s="117">
        <v>43240</v>
      </c>
      <c r="AE60" s="1"/>
      <c r="AF60" s="2"/>
      <c r="AG60" s="128">
        <v>147590.39999999999</v>
      </c>
      <c r="AH60" s="120"/>
      <c r="AI60" s="115"/>
      <c r="AJ60" s="115"/>
      <c r="AK60" s="115"/>
      <c r="AL60" s="499"/>
      <c r="AM60" s="501"/>
      <c r="AN60" s="531"/>
      <c r="AO60" s="499"/>
      <c r="AP60" s="121"/>
      <c r="AQ60" s="121"/>
      <c r="AR60" s="121"/>
      <c r="AS60" s="121"/>
      <c r="AT60" s="121"/>
      <c r="AU60" s="121"/>
      <c r="AV60" s="126"/>
      <c r="AW60" s="25"/>
      <c r="AX60" s="130"/>
      <c r="AY60" s="131"/>
      <c r="AZ60" s="130"/>
      <c r="BA60" s="131"/>
      <c r="BB60" s="25"/>
      <c r="BC60" s="25"/>
      <c r="BD60" s="25"/>
      <c r="BE60" s="25"/>
      <c r="BF60" s="25"/>
      <c r="BG60" s="25"/>
      <c r="BH60" s="25"/>
      <c r="BI60" s="25"/>
      <c r="BJ60" s="25"/>
      <c r="BK60" s="25"/>
      <c r="BL60" s="25"/>
      <c r="BM60" s="25"/>
    </row>
    <row r="61" spans="1:65" ht="25.5" x14ac:dyDescent="0.2">
      <c r="A61" s="403">
        <v>11</v>
      </c>
      <c r="B61" s="418" t="s">
        <v>1751</v>
      </c>
      <c r="C61" s="422" t="s">
        <v>189</v>
      </c>
      <c r="D61" s="405" t="s">
        <v>130</v>
      </c>
      <c r="E61" s="410" t="s">
        <v>372</v>
      </c>
      <c r="F61" s="405" t="s">
        <v>190</v>
      </c>
      <c r="G61" s="425" t="s">
        <v>820</v>
      </c>
      <c r="H61" s="489" t="s">
        <v>1200</v>
      </c>
      <c r="I61" s="456">
        <v>41451</v>
      </c>
      <c r="J61" s="456">
        <v>41816</v>
      </c>
      <c r="K61" s="451" t="s">
        <v>187</v>
      </c>
      <c r="L61" s="405" t="s">
        <v>188</v>
      </c>
      <c r="M61" s="494" t="s">
        <v>191</v>
      </c>
      <c r="N61" s="431">
        <v>41457</v>
      </c>
      <c r="O61" s="430">
        <v>264000</v>
      </c>
      <c r="P61" s="438" t="s">
        <v>768</v>
      </c>
      <c r="Q61" s="431">
        <v>41457</v>
      </c>
      <c r="R61" s="431">
        <v>41822</v>
      </c>
      <c r="S61" s="427" t="s">
        <v>135</v>
      </c>
      <c r="T61" s="427"/>
      <c r="U61" s="427"/>
      <c r="V61" s="427"/>
      <c r="W61" s="427" t="s">
        <v>192</v>
      </c>
      <c r="X61" s="60"/>
      <c r="Y61" s="2" t="s">
        <v>145</v>
      </c>
      <c r="Z61" s="117">
        <v>41779</v>
      </c>
      <c r="AA61" s="118">
        <v>11316</v>
      </c>
      <c r="AB61" s="20" t="s">
        <v>424</v>
      </c>
      <c r="AC61" s="117">
        <v>41779</v>
      </c>
      <c r="AD61" s="117">
        <v>41822</v>
      </c>
      <c r="AE61" s="135">
        <f>AG61/O61*100</f>
        <v>25</v>
      </c>
      <c r="AF61" s="20"/>
      <c r="AG61" s="65">
        <v>66000</v>
      </c>
      <c r="AH61" s="120"/>
      <c r="AI61" s="125"/>
      <c r="AJ61" s="125"/>
      <c r="AK61" s="125"/>
      <c r="AL61" s="497">
        <f>O61-AH61+AG61-AH62+AG62-AH63+AG63-AH64+AG64-AH65+AG65</f>
        <v>1650000</v>
      </c>
      <c r="AM61" s="500">
        <f>440690.99+275132+0+27346+27456+28182+26510+25718+29810+30866+30976+30294+29480+28820</f>
        <v>1031280.99</v>
      </c>
      <c r="AN61" s="529">
        <f>0+26268+25564+27016+25960+26114+22682+24288+22110+21450</f>
        <v>221452</v>
      </c>
      <c r="AO61" s="497">
        <f>AM61+AN61</f>
        <v>1252732.99</v>
      </c>
      <c r="AP61" s="449"/>
      <c r="AQ61" s="29"/>
      <c r="AR61" s="29"/>
      <c r="AS61" s="449"/>
      <c r="AT61" s="592"/>
      <c r="AU61" s="592"/>
      <c r="AV61" s="592"/>
      <c r="AW61" s="592"/>
      <c r="AX61" s="592"/>
      <c r="AY61" s="592"/>
      <c r="AZ61" s="592"/>
      <c r="BA61" s="592"/>
      <c r="BB61" s="410"/>
      <c r="BC61" s="410"/>
      <c r="BD61" s="410"/>
      <c r="BE61" s="410"/>
      <c r="BF61" s="410"/>
      <c r="BG61" s="410"/>
      <c r="BH61" s="410"/>
      <c r="BI61" s="410"/>
      <c r="BJ61" s="410"/>
      <c r="BK61" s="410"/>
      <c r="BL61" s="410"/>
      <c r="BM61" s="410"/>
    </row>
    <row r="62" spans="1:65" ht="25.5" x14ac:dyDescent="0.2">
      <c r="A62" s="420"/>
      <c r="B62" s="421"/>
      <c r="C62" s="423"/>
      <c r="D62" s="409"/>
      <c r="E62" s="411"/>
      <c r="F62" s="409"/>
      <c r="G62" s="426"/>
      <c r="H62" s="457"/>
      <c r="I62" s="457"/>
      <c r="J62" s="457"/>
      <c r="K62" s="452"/>
      <c r="L62" s="409"/>
      <c r="M62" s="495"/>
      <c r="N62" s="437"/>
      <c r="O62" s="447"/>
      <c r="P62" s="448"/>
      <c r="Q62" s="437"/>
      <c r="R62" s="437"/>
      <c r="S62" s="429"/>
      <c r="T62" s="429"/>
      <c r="U62" s="429"/>
      <c r="V62" s="429"/>
      <c r="W62" s="429"/>
      <c r="X62" s="61"/>
      <c r="Y62" s="2" t="s">
        <v>144</v>
      </c>
      <c r="Z62" s="117">
        <v>41821</v>
      </c>
      <c r="AA62" s="118">
        <v>11348</v>
      </c>
      <c r="AB62" s="20" t="s">
        <v>425</v>
      </c>
      <c r="AC62" s="117">
        <v>41822</v>
      </c>
      <c r="AD62" s="117">
        <v>42187</v>
      </c>
      <c r="AE62" s="136"/>
      <c r="AF62" s="20"/>
      <c r="AG62" s="65">
        <v>330000</v>
      </c>
      <c r="AH62" s="120"/>
      <c r="AI62" s="115"/>
      <c r="AJ62" s="115"/>
      <c r="AK62" s="115"/>
      <c r="AL62" s="498"/>
      <c r="AM62" s="532"/>
      <c r="AN62" s="530"/>
      <c r="AO62" s="498"/>
      <c r="AP62" s="463"/>
      <c r="AQ62" s="121"/>
      <c r="AR62" s="121"/>
      <c r="AS62" s="463"/>
      <c r="AT62" s="593"/>
      <c r="AU62" s="593"/>
      <c r="AV62" s="593"/>
      <c r="AW62" s="593"/>
      <c r="AX62" s="593"/>
      <c r="AY62" s="593"/>
      <c r="AZ62" s="593"/>
      <c r="BA62" s="593"/>
      <c r="BB62" s="411"/>
      <c r="BC62" s="411"/>
      <c r="BD62" s="411"/>
      <c r="BE62" s="411"/>
      <c r="BF62" s="411"/>
      <c r="BG62" s="411"/>
      <c r="BH62" s="411"/>
      <c r="BI62" s="411"/>
      <c r="BJ62" s="411"/>
      <c r="BK62" s="411"/>
      <c r="BL62" s="411"/>
      <c r="BM62" s="411"/>
    </row>
    <row r="63" spans="1:65" ht="25.5" x14ac:dyDescent="0.2">
      <c r="A63" s="420"/>
      <c r="B63" s="421"/>
      <c r="C63" s="423"/>
      <c r="D63" s="409"/>
      <c r="E63" s="411"/>
      <c r="F63" s="409"/>
      <c r="G63" s="426"/>
      <c r="H63" s="457"/>
      <c r="I63" s="457"/>
      <c r="J63" s="457"/>
      <c r="K63" s="452"/>
      <c r="L63" s="409"/>
      <c r="M63" s="495"/>
      <c r="N63" s="437"/>
      <c r="O63" s="447"/>
      <c r="P63" s="448"/>
      <c r="Q63" s="437"/>
      <c r="R63" s="437"/>
      <c r="S63" s="429"/>
      <c r="T63" s="429"/>
      <c r="U63" s="429"/>
      <c r="V63" s="429"/>
      <c r="W63" s="429"/>
      <c r="X63" s="61"/>
      <c r="Y63" s="2" t="s">
        <v>193</v>
      </c>
      <c r="Z63" s="117">
        <v>42185</v>
      </c>
      <c r="AA63" s="118">
        <v>11590</v>
      </c>
      <c r="AB63" s="20" t="s">
        <v>532</v>
      </c>
      <c r="AC63" s="117">
        <v>42187</v>
      </c>
      <c r="AD63" s="117">
        <v>42553</v>
      </c>
      <c r="AE63" s="136"/>
      <c r="AF63" s="20"/>
      <c r="AG63" s="65">
        <v>330000</v>
      </c>
      <c r="AH63" s="120"/>
      <c r="AI63" s="115"/>
      <c r="AJ63" s="115"/>
      <c r="AK63" s="115"/>
      <c r="AL63" s="498"/>
      <c r="AM63" s="532"/>
      <c r="AN63" s="530"/>
      <c r="AO63" s="498"/>
      <c r="AP63" s="463"/>
      <c r="AQ63" s="121"/>
      <c r="AR63" s="121"/>
      <c r="AS63" s="463"/>
      <c r="AT63" s="593"/>
      <c r="AU63" s="593"/>
      <c r="AV63" s="593"/>
      <c r="AW63" s="593"/>
      <c r="AX63" s="593"/>
      <c r="AY63" s="593"/>
      <c r="AZ63" s="593"/>
      <c r="BA63" s="593"/>
      <c r="BB63" s="411"/>
      <c r="BC63" s="411"/>
      <c r="BD63" s="411"/>
      <c r="BE63" s="411"/>
      <c r="BF63" s="411"/>
      <c r="BG63" s="411"/>
      <c r="BH63" s="411"/>
      <c r="BI63" s="411"/>
      <c r="BJ63" s="411"/>
      <c r="BK63" s="411"/>
      <c r="BL63" s="411"/>
      <c r="BM63" s="411"/>
    </row>
    <row r="64" spans="1:65" ht="38.25" x14ac:dyDescent="0.2">
      <c r="A64" s="420"/>
      <c r="B64" s="421"/>
      <c r="C64" s="423"/>
      <c r="D64" s="409"/>
      <c r="E64" s="411"/>
      <c r="F64" s="409"/>
      <c r="G64" s="426"/>
      <c r="H64" s="457"/>
      <c r="I64" s="457"/>
      <c r="J64" s="457"/>
      <c r="K64" s="452"/>
      <c r="L64" s="409"/>
      <c r="M64" s="409"/>
      <c r="N64" s="429"/>
      <c r="O64" s="429"/>
      <c r="P64" s="429"/>
      <c r="Q64" s="429"/>
      <c r="R64" s="429"/>
      <c r="S64" s="429"/>
      <c r="T64" s="429"/>
      <c r="U64" s="429"/>
      <c r="V64" s="429"/>
      <c r="W64" s="429"/>
      <c r="X64" s="111"/>
      <c r="Y64" s="2" t="s">
        <v>194</v>
      </c>
      <c r="Z64" s="117">
        <v>42552</v>
      </c>
      <c r="AA64" s="118">
        <v>11848</v>
      </c>
      <c r="AB64" s="20" t="s">
        <v>944</v>
      </c>
      <c r="AC64" s="117">
        <v>42553</v>
      </c>
      <c r="AD64" s="117">
        <v>42918</v>
      </c>
      <c r="AE64" s="136"/>
      <c r="AF64" s="20"/>
      <c r="AG64" s="65">
        <v>330000</v>
      </c>
      <c r="AH64" s="120"/>
      <c r="AI64" s="114"/>
      <c r="AJ64" s="114"/>
      <c r="AK64" s="114"/>
      <c r="AL64" s="498"/>
      <c r="AM64" s="532"/>
      <c r="AN64" s="530"/>
      <c r="AO64" s="498"/>
      <c r="AP64" s="450"/>
      <c r="AQ64" s="30"/>
      <c r="AR64" s="30"/>
      <c r="AS64" s="450"/>
      <c r="AT64" s="594"/>
      <c r="AU64" s="594"/>
      <c r="AV64" s="594"/>
      <c r="AW64" s="594"/>
      <c r="AX64" s="594"/>
      <c r="AY64" s="594"/>
      <c r="AZ64" s="594"/>
      <c r="BA64" s="594"/>
      <c r="BB64" s="412"/>
      <c r="BC64" s="412"/>
      <c r="BD64" s="412"/>
      <c r="BE64" s="412"/>
      <c r="BF64" s="412"/>
      <c r="BG64" s="412"/>
      <c r="BH64" s="412"/>
      <c r="BI64" s="412"/>
      <c r="BJ64" s="412"/>
      <c r="BK64" s="412"/>
      <c r="BL64" s="412"/>
      <c r="BM64" s="412"/>
    </row>
    <row r="65" spans="1:65" ht="38.25" x14ac:dyDescent="0.2">
      <c r="A65" s="404"/>
      <c r="B65" s="419"/>
      <c r="C65" s="424"/>
      <c r="D65" s="406"/>
      <c r="E65" s="412"/>
      <c r="F65" s="406"/>
      <c r="G65" s="406"/>
      <c r="H65" s="428"/>
      <c r="I65" s="428"/>
      <c r="J65" s="428"/>
      <c r="K65" s="428"/>
      <c r="L65" s="406"/>
      <c r="M65" s="406"/>
      <c r="N65" s="428"/>
      <c r="O65" s="428"/>
      <c r="P65" s="428"/>
      <c r="Q65" s="428"/>
      <c r="R65" s="428"/>
      <c r="S65" s="428"/>
      <c r="T65" s="428"/>
      <c r="U65" s="428"/>
      <c r="V65" s="428"/>
      <c r="W65" s="428"/>
      <c r="X65" s="25" t="s">
        <v>1470</v>
      </c>
      <c r="Y65" s="2" t="s">
        <v>195</v>
      </c>
      <c r="Z65" s="117">
        <v>42916</v>
      </c>
      <c r="AA65" s="118">
        <v>12093</v>
      </c>
      <c r="AB65" s="20" t="s">
        <v>944</v>
      </c>
      <c r="AC65" s="117">
        <v>42918</v>
      </c>
      <c r="AD65" s="117">
        <v>43283</v>
      </c>
      <c r="AE65" s="136"/>
      <c r="AF65" s="20"/>
      <c r="AG65" s="65">
        <v>330000</v>
      </c>
      <c r="AH65" s="120"/>
      <c r="AI65" s="115"/>
      <c r="AJ65" s="115"/>
      <c r="AK65" s="115"/>
      <c r="AL65" s="499"/>
      <c r="AM65" s="501"/>
      <c r="AN65" s="531"/>
      <c r="AO65" s="499"/>
      <c r="AP65" s="3"/>
      <c r="AQ65" s="3"/>
      <c r="AR65" s="3"/>
      <c r="AS65" s="3"/>
      <c r="AT65" s="137"/>
      <c r="AU65" s="137"/>
      <c r="AV65" s="137"/>
      <c r="AW65" s="137"/>
      <c r="AX65" s="137"/>
      <c r="AY65" s="137"/>
      <c r="AZ65" s="137"/>
      <c r="BA65" s="137"/>
      <c r="BB65" s="2"/>
      <c r="BC65" s="25"/>
      <c r="BD65" s="25"/>
      <c r="BE65" s="25"/>
      <c r="BF65" s="25"/>
      <c r="BG65" s="25"/>
      <c r="BH65" s="25"/>
      <c r="BI65" s="25"/>
      <c r="BJ65" s="25"/>
      <c r="BK65" s="25"/>
      <c r="BL65" s="25"/>
      <c r="BM65" s="25"/>
    </row>
    <row r="66" spans="1:65" ht="25.5" x14ac:dyDescent="0.2">
      <c r="A66" s="403">
        <v>12</v>
      </c>
      <c r="B66" s="418" t="s">
        <v>1695</v>
      </c>
      <c r="C66" s="422" t="s">
        <v>185</v>
      </c>
      <c r="D66" s="405" t="s">
        <v>1694</v>
      </c>
      <c r="E66" s="410" t="s">
        <v>126</v>
      </c>
      <c r="F66" s="405" t="s">
        <v>199</v>
      </c>
      <c r="G66" s="425" t="s">
        <v>200</v>
      </c>
      <c r="H66" s="439" t="s">
        <v>1201</v>
      </c>
      <c r="I66" s="453">
        <v>41446</v>
      </c>
      <c r="J66" s="453">
        <v>41811</v>
      </c>
      <c r="K66" s="460" t="s">
        <v>197</v>
      </c>
      <c r="L66" s="405" t="s">
        <v>198</v>
      </c>
      <c r="M66" s="405" t="s">
        <v>567</v>
      </c>
      <c r="N66" s="432">
        <v>41502</v>
      </c>
      <c r="O66" s="497">
        <v>421880.16</v>
      </c>
      <c r="P66" s="443" t="s">
        <v>769</v>
      </c>
      <c r="Q66" s="432">
        <v>41502</v>
      </c>
      <c r="R66" s="432">
        <v>41867</v>
      </c>
      <c r="S66" s="410" t="s">
        <v>136</v>
      </c>
      <c r="T66" s="410"/>
      <c r="U66" s="410"/>
      <c r="V66" s="410"/>
      <c r="W66" s="410" t="s">
        <v>201</v>
      </c>
      <c r="X66" s="60"/>
      <c r="Y66" s="124" t="s">
        <v>138</v>
      </c>
      <c r="Z66" s="117">
        <v>41829</v>
      </c>
      <c r="AA66" s="118">
        <v>11347</v>
      </c>
      <c r="AB66" s="20" t="s">
        <v>543</v>
      </c>
      <c r="AC66" s="117"/>
      <c r="AD66" s="117"/>
      <c r="AE66" s="1">
        <f>AG66/O66*100</f>
        <v>8.6098692102515564</v>
      </c>
      <c r="AF66" s="20"/>
      <c r="AG66" s="65">
        <v>36323.33</v>
      </c>
      <c r="AH66" s="138"/>
      <c r="AI66" s="139"/>
      <c r="AJ66" s="139"/>
      <c r="AK66" s="139"/>
      <c r="AL66" s="487">
        <f>O66-AH66+AG66-AH67+AG67-AH68+AG68-AH69+AG69-AH70+AG70-AH71+AG71-AH72+AG72-AH73+AG73-AH74+AG74</f>
        <v>2606765.2399999998</v>
      </c>
      <c r="AM66" s="500">
        <f>730775.24+656055+60072.8+84466.84+60072.8+60072.8+60072.8+60072.8+60072.8+60072.8+60072.8+60072.8+60072.8+60072.8</f>
        <v>2132097.8800000004</v>
      </c>
      <c r="AN66" s="529">
        <f>64237.25+64237.25+64237.25+64237.25+64237.25+68218.45+88124.45+68218.39+68218.45+68218.45+68218.45</f>
        <v>750402.8899999999</v>
      </c>
      <c r="AO66" s="497">
        <f>AM66+AN66</f>
        <v>2882500.7700000005</v>
      </c>
      <c r="AP66" s="140" t="s">
        <v>1201</v>
      </c>
      <c r="AQ66" s="141">
        <v>41446</v>
      </c>
      <c r="AR66" s="141">
        <v>41811</v>
      </c>
      <c r="AS66" s="142" t="s">
        <v>1202</v>
      </c>
      <c r="AT66" s="143" t="s">
        <v>371</v>
      </c>
      <c r="AU66" s="463"/>
      <c r="AV66" s="463"/>
      <c r="AW66" s="463"/>
      <c r="AX66" s="463"/>
      <c r="AY66" s="463"/>
      <c r="AZ66" s="463"/>
      <c r="BA66" s="463"/>
      <c r="BB66" s="463"/>
      <c r="BC66" s="449"/>
      <c r="BD66" s="449"/>
      <c r="BE66" s="449"/>
      <c r="BF66" s="449"/>
      <c r="BG66" s="449"/>
      <c r="BH66" s="449"/>
      <c r="BI66" s="449"/>
      <c r="BJ66" s="449"/>
      <c r="BK66" s="449"/>
      <c r="BL66" s="449"/>
      <c r="BM66" s="449"/>
    </row>
    <row r="67" spans="1:65" ht="25.5" x14ac:dyDescent="0.2">
      <c r="A67" s="420"/>
      <c r="B67" s="421"/>
      <c r="C67" s="423"/>
      <c r="D67" s="409"/>
      <c r="E67" s="411"/>
      <c r="F67" s="409"/>
      <c r="G67" s="426"/>
      <c r="H67" s="458"/>
      <c r="I67" s="454"/>
      <c r="J67" s="454"/>
      <c r="K67" s="461"/>
      <c r="L67" s="409"/>
      <c r="M67" s="409"/>
      <c r="N67" s="433"/>
      <c r="O67" s="498"/>
      <c r="P67" s="444"/>
      <c r="Q67" s="433"/>
      <c r="R67" s="433"/>
      <c r="S67" s="411"/>
      <c r="T67" s="411"/>
      <c r="U67" s="411"/>
      <c r="V67" s="411"/>
      <c r="W67" s="411"/>
      <c r="X67" s="61"/>
      <c r="Y67" s="124" t="s">
        <v>144</v>
      </c>
      <c r="Z67" s="117">
        <v>41864</v>
      </c>
      <c r="AA67" s="118">
        <v>11373</v>
      </c>
      <c r="AB67" s="20" t="s">
        <v>410</v>
      </c>
      <c r="AC67" s="117">
        <v>41867</v>
      </c>
      <c r="AD67" s="117">
        <v>42232</v>
      </c>
      <c r="AE67" s="1"/>
      <c r="AF67" s="20"/>
      <c r="AG67" s="65">
        <v>524844</v>
      </c>
      <c r="AH67" s="138"/>
      <c r="AI67" s="144"/>
      <c r="AJ67" s="144"/>
      <c r="AK67" s="144"/>
      <c r="AL67" s="528"/>
      <c r="AM67" s="532"/>
      <c r="AN67" s="530"/>
      <c r="AO67" s="498"/>
      <c r="AP67" s="142"/>
      <c r="AQ67" s="121"/>
      <c r="AR67" s="121"/>
      <c r="AS67" s="142"/>
      <c r="AT67" s="145"/>
      <c r="AU67" s="463"/>
      <c r="AV67" s="463"/>
      <c r="AW67" s="463"/>
      <c r="AX67" s="463"/>
      <c r="AY67" s="463"/>
      <c r="AZ67" s="463"/>
      <c r="BA67" s="463"/>
      <c r="BB67" s="463"/>
      <c r="BC67" s="463"/>
      <c r="BD67" s="463"/>
      <c r="BE67" s="463"/>
      <c r="BF67" s="463"/>
      <c r="BG67" s="463"/>
      <c r="BH67" s="463"/>
      <c r="BI67" s="463"/>
      <c r="BJ67" s="463"/>
      <c r="BK67" s="463"/>
      <c r="BL67" s="463"/>
      <c r="BM67" s="463"/>
    </row>
    <row r="68" spans="1:65" ht="89.25" x14ac:dyDescent="0.2">
      <c r="A68" s="420"/>
      <c r="B68" s="421"/>
      <c r="C68" s="423"/>
      <c r="D68" s="409"/>
      <c r="E68" s="411"/>
      <c r="F68" s="409"/>
      <c r="G68" s="426"/>
      <c r="H68" s="458"/>
      <c r="I68" s="454"/>
      <c r="J68" s="454"/>
      <c r="K68" s="461"/>
      <c r="L68" s="409"/>
      <c r="M68" s="409"/>
      <c r="N68" s="433"/>
      <c r="O68" s="498"/>
      <c r="P68" s="444"/>
      <c r="Q68" s="433"/>
      <c r="R68" s="433"/>
      <c r="S68" s="411"/>
      <c r="T68" s="411"/>
      <c r="U68" s="411"/>
      <c r="V68" s="411"/>
      <c r="W68" s="411"/>
      <c r="X68" s="61"/>
      <c r="Y68" s="124" t="s">
        <v>193</v>
      </c>
      <c r="Z68" s="117">
        <v>41977</v>
      </c>
      <c r="AA68" s="118">
        <v>11452</v>
      </c>
      <c r="AB68" s="20" t="s">
        <v>544</v>
      </c>
      <c r="AC68" s="117"/>
      <c r="AD68" s="117"/>
      <c r="AE68" s="1">
        <v>25</v>
      </c>
      <c r="AF68" s="20"/>
      <c r="AG68" s="65">
        <v>90753.69</v>
      </c>
      <c r="AH68" s="138"/>
      <c r="AI68" s="144"/>
      <c r="AJ68" s="144"/>
      <c r="AK68" s="144"/>
      <c r="AL68" s="528"/>
      <c r="AM68" s="532"/>
      <c r="AN68" s="530"/>
      <c r="AO68" s="498"/>
      <c r="AP68" s="142"/>
      <c r="AQ68" s="121"/>
      <c r="AR68" s="121"/>
      <c r="AS68" s="142"/>
      <c r="AT68" s="145"/>
      <c r="AU68" s="463"/>
      <c r="AV68" s="463"/>
      <c r="AW68" s="463"/>
      <c r="AX68" s="463"/>
      <c r="AY68" s="463"/>
      <c r="AZ68" s="463"/>
      <c r="BA68" s="463"/>
      <c r="BB68" s="463"/>
      <c r="BC68" s="463"/>
      <c r="BD68" s="463"/>
      <c r="BE68" s="463"/>
      <c r="BF68" s="463"/>
      <c r="BG68" s="463"/>
      <c r="BH68" s="463"/>
      <c r="BI68" s="463"/>
      <c r="BJ68" s="463"/>
      <c r="BK68" s="463"/>
      <c r="BL68" s="463"/>
      <c r="BM68" s="463"/>
    </row>
    <row r="69" spans="1:65" ht="38.25" x14ac:dyDescent="0.2">
      <c r="A69" s="420"/>
      <c r="B69" s="421"/>
      <c r="C69" s="423"/>
      <c r="D69" s="409"/>
      <c r="E69" s="411"/>
      <c r="F69" s="409"/>
      <c r="G69" s="426"/>
      <c r="H69" s="458"/>
      <c r="I69" s="454"/>
      <c r="J69" s="454"/>
      <c r="K69" s="461"/>
      <c r="L69" s="409"/>
      <c r="M69" s="409"/>
      <c r="N69" s="433"/>
      <c r="O69" s="498"/>
      <c r="P69" s="444"/>
      <c r="Q69" s="433"/>
      <c r="R69" s="433"/>
      <c r="S69" s="411"/>
      <c r="T69" s="411"/>
      <c r="U69" s="411"/>
      <c r="V69" s="411"/>
      <c r="W69" s="411"/>
      <c r="X69" s="61"/>
      <c r="Y69" s="124" t="s">
        <v>194</v>
      </c>
      <c r="Z69" s="117">
        <v>42230</v>
      </c>
      <c r="AA69" s="118">
        <v>11622</v>
      </c>
      <c r="AB69" s="20" t="s">
        <v>566</v>
      </c>
      <c r="AC69" s="117">
        <v>42232</v>
      </c>
      <c r="AD69" s="117">
        <v>42598</v>
      </c>
      <c r="AE69" s="1"/>
      <c r="AF69" s="20"/>
      <c r="AG69" s="65">
        <v>656055</v>
      </c>
      <c r="AH69" s="138"/>
      <c r="AI69" s="144"/>
      <c r="AJ69" s="144"/>
      <c r="AK69" s="144"/>
      <c r="AL69" s="528"/>
      <c r="AM69" s="532"/>
      <c r="AN69" s="530"/>
      <c r="AO69" s="498"/>
      <c r="AP69" s="142"/>
      <c r="AQ69" s="121"/>
      <c r="AR69" s="121"/>
      <c r="AS69" s="142"/>
      <c r="AT69" s="145"/>
      <c r="AU69" s="463"/>
      <c r="AV69" s="463"/>
      <c r="AW69" s="463"/>
      <c r="AX69" s="463"/>
      <c r="AY69" s="463"/>
      <c r="AZ69" s="463"/>
      <c r="BA69" s="463"/>
      <c r="BB69" s="463"/>
      <c r="BC69" s="463"/>
      <c r="BD69" s="463"/>
      <c r="BE69" s="463"/>
      <c r="BF69" s="463"/>
      <c r="BG69" s="463"/>
      <c r="BH69" s="463"/>
      <c r="BI69" s="463"/>
      <c r="BJ69" s="463"/>
      <c r="BK69" s="463"/>
      <c r="BL69" s="463"/>
      <c r="BM69" s="463"/>
    </row>
    <row r="70" spans="1:65" ht="165.75" x14ac:dyDescent="0.2">
      <c r="A70" s="420"/>
      <c r="B70" s="421"/>
      <c r="C70" s="423"/>
      <c r="D70" s="409"/>
      <c r="E70" s="411"/>
      <c r="F70" s="409"/>
      <c r="G70" s="426"/>
      <c r="H70" s="458"/>
      <c r="I70" s="454"/>
      <c r="J70" s="454"/>
      <c r="K70" s="461"/>
      <c r="L70" s="409"/>
      <c r="M70" s="409"/>
      <c r="N70" s="433"/>
      <c r="O70" s="498"/>
      <c r="P70" s="444"/>
      <c r="Q70" s="433"/>
      <c r="R70" s="433"/>
      <c r="S70" s="411"/>
      <c r="T70" s="411"/>
      <c r="U70" s="411"/>
      <c r="V70" s="411"/>
      <c r="W70" s="411"/>
      <c r="X70" s="61"/>
      <c r="Y70" s="124" t="s">
        <v>195</v>
      </c>
      <c r="Z70" s="117">
        <v>42376</v>
      </c>
      <c r="AA70" s="118">
        <v>11724</v>
      </c>
      <c r="AB70" s="20" t="s">
        <v>702</v>
      </c>
      <c r="AC70" s="117"/>
      <c r="AD70" s="117"/>
      <c r="AE70" s="1">
        <v>9.8800000000000008</v>
      </c>
      <c r="AF70" s="138"/>
      <c r="AG70" s="65">
        <v>64818.49</v>
      </c>
      <c r="AH70" s="138"/>
      <c r="AI70" s="144"/>
      <c r="AJ70" s="144"/>
      <c r="AK70" s="144"/>
      <c r="AL70" s="528"/>
      <c r="AM70" s="532"/>
      <c r="AN70" s="530"/>
      <c r="AO70" s="498"/>
      <c r="AP70" s="142"/>
      <c r="AQ70" s="121"/>
      <c r="AR70" s="121"/>
      <c r="AS70" s="142"/>
      <c r="AT70" s="145"/>
      <c r="AU70" s="463"/>
      <c r="AV70" s="463"/>
      <c r="AW70" s="463"/>
      <c r="AX70" s="463"/>
      <c r="AY70" s="463"/>
      <c r="AZ70" s="463"/>
      <c r="BA70" s="463"/>
      <c r="BB70" s="463"/>
      <c r="BC70" s="463"/>
      <c r="BD70" s="463"/>
      <c r="BE70" s="463"/>
      <c r="BF70" s="463"/>
      <c r="BG70" s="463"/>
      <c r="BH70" s="463"/>
      <c r="BI70" s="463"/>
      <c r="BJ70" s="463"/>
      <c r="BK70" s="463"/>
      <c r="BL70" s="463"/>
      <c r="BM70" s="463"/>
    </row>
    <row r="71" spans="1:65" ht="25.5" x14ac:dyDescent="0.2">
      <c r="A71" s="420"/>
      <c r="B71" s="421"/>
      <c r="C71" s="423"/>
      <c r="D71" s="409"/>
      <c r="E71" s="411"/>
      <c r="F71" s="409"/>
      <c r="G71" s="426"/>
      <c r="H71" s="458"/>
      <c r="I71" s="454"/>
      <c r="J71" s="454"/>
      <c r="K71" s="461"/>
      <c r="L71" s="409"/>
      <c r="M71" s="409"/>
      <c r="N71" s="433"/>
      <c r="O71" s="498"/>
      <c r="P71" s="444"/>
      <c r="Q71" s="433"/>
      <c r="R71" s="433"/>
      <c r="S71" s="411"/>
      <c r="T71" s="411"/>
      <c r="U71" s="411"/>
      <c r="V71" s="411"/>
      <c r="W71" s="411"/>
      <c r="X71" s="61"/>
      <c r="Y71" s="124" t="s">
        <v>118</v>
      </c>
      <c r="Z71" s="117">
        <v>42597</v>
      </c>
      <c r="AA71" s="118">
        <v>11878</v>
      </c>
      <c r="AB71" s="20" t="s">
        <v>979</v>
      </c>
      <c r="AC71" s="117">
        <v>42598</v>
      </c>
      <c r="AD71" s="117">
        <v>42963</v>
      </c>
      <c r="AE71" s="1"/>
      <c r="AF71" s="138"/>
      <c r="AG71" s="65">
        <v>720873.6</v>
      </c>
      <c r="AH71" s="138"/>
      <c r="AI71" s="144"/>
      <c r="AJ71" s="144"/>
      <c r="AK71" s="144"/>
      <c r="AL71" s="528"/>
      <c r="AM71" s="532"/>
      <c r="AN71" s="530"/>
      <c r="AO71" s="498"/>
      <c r="AP71" s="143"/>
      <c r="AQ71" s="30"/>
      <c r="AR71" s="30"/>
      <c r="AS71" s="143"/>
      <c r="AT71" s="145"/>
      <c r="AU71" s="450"/>
      <c r="AV71" s="450"/>
      <c r="AW71" s="450"/>
      <c r="AX71" s="450"/>
      <c r="AY71" s="450"/>
      <c r="AZ71" s="450"/>
      <c r="BA71" s="450"/>
      <c r="BB71" s="450"/>
      <c r="BC71" s="450"/>
      <c r="BD71" s="450"/>
      <c r="BE71" s="450"/>
      <c r="BF71" s="450"/>
      <c r="BG71" s="450"/>
      <c r="BH71" s="450"/>
      <c r="BI71" s="450"/>
      <c r="BJ71" s="450"/>
      <c r="BK71" s="450"/>
      <c r="BL71" s="450"/>
      <c r="BM71" s="450"/>
    </row>
    <row r="72" spans="1:65" ht="153" x14ac:dyDescent="0.2">
      <c r="A72" s="420"/>
      <c r="B72" s="421"/>
      <c r="C72" s="423"/>
      <c r="D72" s="409"/>
      <c r="E72" s="411"/>
      <c r="F72" s="409"/>
      <c r="G72" s="426"/>
      <c r="H72" s="458"/>
      <c r="I72" s="454"/>
      <c r="J72" s="454"/>
      <c r="K72" s="461"/>
      <c r="L72" s="409"/>
      <c r="M72" s="409"/>
      <c r="N72" s="433"/>
      <c r="O72" s="498"/>
      <c r="P72" s="444"/>
      <c r="Q72" s="433"/>
      <c r="R72" s="433"/>
      <c r="S72" s="411"/>
      <c r="T72" s="411"/>
      <c r="U72" s="411"/>
      <c r="V72" s="411"/>
      <c r="W72" s="411"/>
      <c r="X72" s="111"/>
      <c r="Y72" s="124" t="s">
        <v>121</v>
      </c>
      <c r="Z72" s="117">
        <v>42719</v>
      </c>
      <c r="AA72" s="118">
        <v>11964</v>
      </c>
      <c r="AB72" s="20" t="s">
        <v>1064</v>
      </c>
      <c r="AC72" s="117"/>
      <c r="AD72" s="117"/>
      <c r="AE72" s="1"/>
      <c r="AF72" s="138"/>
      <c r="AG72" s="65">
        <v>31233.45</v>
      </c>
      <c r="AH72" s="138"/>
      <c r="AI72" s="146"/>
      <c r="AJ72" s="146"/>
      <c r="AK72" s="146"/>
      <c r="AL72" s="528"/>
      <c r="AM72" s="532"/>
      <c r="AN72" s="530"/>
      <c r="AO72" s="498"/>
      <c r="AP72" s="121"/>
      <c r="AQ72" s="121"/>
      <c r="AR72" s="121"/>
      <c r="AS72" s="121"/>
      <c r="AT72" s="147"/>
      <c r="AU72" s="121"/>
      <c r="AV72" s="121"/>
      <c r="AW72" s="121"/>
      <c r="AX72" s="121"/>
      <c r="AY72" s="121"/>
      <c r="AZ72" s="121"/>
      <c r="BA72" s="121"/>
      <c r="BB72" s="121"/>
      <c r="BC72" s="121"/>
      <c r="BD72" s="121"/>
      <c r="BE72" s="121"/>
      <c r="BF72" s="121"/>
      <c r="BG72" s="121"/>
      <c r="BH72" s="121"/>
      <c r="BI72" s="121"/>
      <c r="BJ72" s="121"/>
      <c r="BK72" s="121"/>
      <c r="BL72" s="121"/>
      <c r="BM72" s="121"/>
    </row>
    <row r="73" spans="1:65" ht="127.5" x14ac:dyDescent="0.2">
      <c r="A73" s="420"/>
      <c r="B73" s="421"/>
      <c r="C73" s="423"/>
      <c r="D73" s="409"/>
      <c r="E73" s="411"/>
      <c r="F73" s="409"/>
      <c r="G73" s="426"/>
      <c r="H73" s="458"/>
      <c r="I73" s="454"/>
      <c r="J73" s="454"/>
      <c r="K73" s="461"/>
      <c r="L73" s="409"/>
      <c r="M73" s="409"/>
      <c r="N73" s="433"/>
      <c r="O73" s="498"/>
      <c r="P73" s="444"/>
      <c r="Q73" s="433"/>
      <c r="R73" s="433"/>
      <c r="S73" s="411"/>
      <c r="T73" s="411"/>
      <c r="U73" s="411"/>
      <c r="V73" s="411"/>
      <c r="W73" s="411"/>
      <c r="X73" s="61" t="s">
        <v>498</v>
      </c>
      <c r="Y73" s="124" t="s">
        <v>119</v>
      </c>
      <c r="Z73" s="117">
        <v>42895</v>
      </c>
      <c r="AA73" s="118">
        <v>12080</v>
      </c>
      <c r="AB73" s="20" t="s">
        <v>1687</v>
      </c>
      <c r="AC73" s="117"/>
      <c r="AD73" s="117"/>
      <c r="AE73" s="1"/>
      <c r="AF73" s="138"/>
      <c r="AG73" s="65">
        <v>29991.759999999998</v>
      </c>
      <c r="AH73" s="138"/>
      <c r="AI73" s="144"/>
      <c r="AJ73" s="144"/>
      <c r="AK73" s="144"/>
      <c r="AL73" s="528"/>
      <c r="AM73" s="532"/>
      <c r="AN73" s="530"/>
      <c r="AO73" s="498"/>
      <c r="AP73" s="121"/>
      <c r="AQ73" s="121"/>
      <c r="AR73" s="121"/>
      <c r="AS73" s="121"/>
      <c r="AT73" s="147"/>
      <c r="AU73" s="121"/>
      <c r="AV73" s="121"/>
      <c r="AW73" s="121"/>
      <c r="AX73" s="121"/>
      <c r="AY73" s="121"/>
      <c r="AZ73" s="121"/>
      <c r="BA73" s="121"/>
      <c r="BB73" s="121"/>
      <c r="BC73" s="121"/>
      <c r="BD73" s="121"/>
      <c r="BE73" s="121"/>
      <c r="BF73" s="121"/>
      <c r="BG73" s="121"/>
      <c r="BH73" s="121"/>
      <c r="BI73" s="121"/>
      <c r="BJ73" s="121"/>
      <c r="BK73" s="121"/>
      <c r="BL73" s="121"/>
      <c r="BM73" s="121"/>
    </row>
    <row r="74" spans="1:65" ht="38.25" x14ac:dyDescent="0.2">
      <c r="A74" s="404"/>
      <c r="B74" s="419"/>
      <c r="C74" s="424"/>
      <c r="D74" s="406"/>
      <c r="E74" s="412"/>
      <c r="F74" s="406"/>
      <c r="G74" s="459"/>
      <c r="H74" s="440"/>
      <c r="I74" s="455"/>
      <c r="J74" s="455"/>
      <c r="K74" s="462"/>
      <c r="L74" s="406"/>
      <c r="M74" s="406"/>
      <c r="N74" s="434"/>
      <c r="O74" s="499"/>
      <c r="P74" s="445"/>
      <c r="Q74" s="434"/>
      <c r="R74" s="434"/>
      <c r="S74" s="412"/>
      <c r="T74" s="412"/>
      <c r="U74" s="412"/>
      <c r="V74" s="412"/>
      <c r="W74" s="412"/>
      <c r="X74" s="62" t="s">
        <v>1470</v>
      </c>
      <c r="Y74" s="124" t="s">
        <v>374</v>
      </c>
      <c r="Z74" s="117">
        <v>42963</v>
      </c>
      <c r="AA74" s="118">
        <v>12123</v>
      </c>
      <c r="AB74" s="20" t="s">
        <v>1833</v>
      </c>
      <c r="AC74" s="117">
        <v>42963</v>
      </c>
      <c r="AD74" s="117">
        <v>43328</v>
      </c>
      <c r="AE74" s="1"/>
      <c r="AF74" s="138"/>
      <c r="AG74" s="65">
        <v>29991.759999999998</v>
      </c>
      <c r="AH74" s="138"/>
      <c r="AI74" s="144"/>
      <c r="AJ74" s="144"/>
      <c r="AK74" s="144"/>
      <c r="AL74" s="488"/>
      <c r="AM74" s="501"/>
      <c r="AN74" s="531"/>
      <c r="AO74" s="499"/>
      <c r="AP74" s="121"/>
      <c r="AQ74" s="121"/>
      <c r="AR74" s="121"/>
      <c r="AS74" s="121"/>
      <c r="AT74" s="147"/>
      <c r="AU74" s="121"/>
      <c r="AV74" s="121"/>
      <c r="AW74" s="121"/>
      <c r="AX74" s="121"/>
      <c r="AY74" s="121"/>
      <c r="AZ74" s="121"/>
      <c r="BA74" s="121"/>
      <c r="BB74" s="121"/>
      <c r="BC74" s="121"/>
      <c r="BD74" s="121"/>
      <c r="BE74" s="121"/>
      <c r="BF74" s="121"/>
      <c r="BG74" s="121"/>
      <c r="BH74" s="121"/>
      <c r="BI74" s="121"/>
      <c r="BJ74" s="121"/>
      <c r="BK74" s="121"/>
      <c r="BL74" s="121"/>
      <c r="BM74" s="121"/>
    </row>
    <row r="75" spans="1:65" ht="38.25" x14ac:dyDescent="0.2">
      <c r="A75" s="403">
        <v>13</v>
      </c>
      <c r="B75" s="418" t="s">
        <v>202</v>
      </c>
      <c r="C75" s="422" t="s">
        <v>149</v>
      </c>
      <c r="D75" s="405" t="s">
        <v>142</v>
      </c>
      <c r="E75" s="410" t="s">
        <v>126</v>
      </c>
      <c r="F75" s="545" t="s">
        <v>1369</v>
      </c>
      <c r="G75" s="425" t="s">
        <v>367</v>
      </c>
      <c r="H75" s="489"/>
      <c r="I75" s="489"/>
      <c r="J75" s="489"/>
      <c r="K75" s="451" t="s">
        <v>203</v>
      </c>
      <c r="L75" s="405" t="s">
        <v>204</v>
      </c>
      <c r="M75" s="405" t="s">
        <v>205</v>
      </c>
      <c r="N75" s="431">
        <v>41519</v>
      </c>
      <c r="O75" s="430">
        <v>18000</v>
      </c>
      <c r="P75" s="438" t="s">
        <v>770</v>
      </c>
      <c r="Q75" s="431">
        <v>41519</v>
      </c>
      <c r="R75" s="431">
        <v>41884</v>
      </c>
      <c r="S75" s="427" t="s">
        <v>136</v>
      </c>
      <c r="T75" s="427"/>
      <c r="U75" s="427"/>
      <c r="V75" s="427"/>
      <c r="W75" s="427" t="s">
        <v>117</v>
      </c>
      <c r="X75" s="60"/>
      <c r="Y75" s="124" t="s">
        <v>138</v>
      </c>
      <c r="Z75" s="117">
        <v>41883</v>
      </c>
      <c r="AA75" s="118">
        <v>11390</v>
      </c>
      <c r="AB75" s="62" t="s">
        <v>389</v>
      </c>
      <c r="AC75" s="117">
        <v>41883</v>
      </c>
      <c r="AD75" s="117">
        <v>42248</v>
      </c>
      <c r="AE75" s="1">
        <v>4.8846600000000002</v>
      </c>
      <c r="AF75" s="2"/>
      <c r="AG75" s="65">
        <v>18879.240000000002</v>
      </c>
      <c r="AH75" s="120"/>
      <c r="AI75" s="125"/>
      <c r="AJ75" s="125"/>
      <c r="AK75" s="125"/>
      <c r="AL75" s="497">
        <f>O75-AH75+AG75-AH76+AG76-AH77+AG77-AH78+AG78</f>
        <v>97795.200000000012</v>
      </c>
      <c r="AM75" s="500">
        <f>24293.08+19318.6+1692.11+1692.11+1692.11+1692.11+1692.11+1692.11+1692.11+1692.11+1692.11+1692.11+1692.11+1692.11</f>
        <v>63917.000000000007</v>
      </c>
      <c r="AN75" s="529">
        <f>1692.11+1692.11+1692.11+1692.11+1692.11+1692.11+1692.11+1692.11+1692.11+1692.11+1692.11</f>
        <v>18613.210000000003</v>
      </c>
      <c r="AO75" s="497">
        <f>AM75+AN75</f>
        <v>82530.210000000006</v>
      </c>
      <c r="AP75" s="449"/>
      <c r="AQ75" s="29"/>
      <c r="AR75" s="29"/>
      <c r="AS75" s="449"/>
      <c r="AT75" s="592"/>
      <c r="AU75" s="592"/>
      <c r="AV75" s="592" t="s">
        <v>122</v>
      </c>
      <c r="AW75" s="410" t="s">
        <v>375</v>
      </c>
      <c r="AX75" s="443" t="s">
        <v>842</v>
      </c>
      <c r="AY75" s="432">
        <v>41515</v>
      </c>
      <c r="AZ75" s="443" t="s">
        <v>847</v>
      </c>
      <c r="BA75" s="432">
        <v>41520</v>
      </c>
      <c r="BB75" s="410"/>
      <c r="BC75" s="410"/>
      <c r="BD75" s="410"/>
      <c r="BE75" s="410"/>
      <c r="BF75" s="410"/>
      <c r="BG75" s="410"/>
      <c r="BH75" s="410"/>
      <c r="BI75" s="410"/>
      <c r="BJ75" s="410"/>
      <c r="BK75" s="410"/>
      <c r="BL75" s="410"/>
      <c r="BM75" s="410"/>
    </row>
    <row r="76" spans="1:65" ht="63.75" x14ac:dyDescent="0.2">
      <c r="A76" s="420"/>
      <c r="B76" s="421"/>
      <c r="C76" s="423"/>
      <c r="D76" s="409"/>
      <c r="E76" s="411"/>
      <c r="F76" s="546"/>
      <c r="G76" s="426"/>
      <c r="H76" s="429"/>
      <c r="I76" s="429"/>
      <c r="J76" s="429"/>
      <c r="K76" s="452"/>
      <c r="L76" s="409"/>
      <c r="M76" s="409"/>
      <c r="N76" s="437"/>
      <c r="O76" s="447"/>
      <c r="P76" s="448"/>
      <c r="Q76" s="437"/>
      <c r="R76" s="437"/>
      <c r="S76" s="429"/>
      <c r="T76" s="429"/>
      <c r="U76" s="429"/>
      <c r="V76" s="429"/>
      <c r="W76" s="429"/>
      <c r="X76" s="61"/>
      <c r="Y76" s="124" t="s">
        <v>144</v>
      </c>
      <c r="Z76" s="117">
        <v>42248</v>
      </c>
      <c r="AA76" s="118">
        <v>11634</v>
      </c>
      <c r="AB76" s="62" t="s">
        <v>575</v>
      </c>
      <c r="AC76" s="117">
        <v>42248</v>
      </c>
      <c r="AD76" s="117">
        <v>42614</v>
      </c>
      <c r="AE76" s="1">
        <v>7.5537999999999998</v>
      </c>
      <c r="AF76" s="2"/>
      <c r="AG76" s="65">
        <v>20305.32</v>
      </c>
      <c r="AH76" s="120"/>
      <c r="AI76" s="115"/>
      <c r="AJ76" s="115"/>
      <c r="AK76" s="115"/>
      <c r="AL76" s="498"/>
      <c r="AM76" s="532"/>
      <c r="AN76" s="530"/>
      <c r="AO76" s="498"/>
      <c r="AP76" s="463"/>
      <c r="AQ76" s="121"/>
      <c r="AR76" s="121"/>
      <c r="AS76" s="463"/>
      <c r="AT76" s="593"/>
      <c r="AU76" s="593"/>
      <c r="AV76" s="593"/>
      <c r="AW76" s="411"/>
      <c r="AX76" s="444"/>
      <c r="AY76" s="433"/>
      <c r="AZ76" s="444"/>
      <c r="BA76" s="433"/>
      <c r="BB76" s="411"/>
      <c r="BC76" s="411"/>
      <c r="BD76" s="411"/>
      <c r="BE76" s="411"/>
      <c r="BF76" s="411"/>
      <c r="BG76" s="411"/>
      <c r="BH76" s="411"/>
      <c r="BI76" s="411"/>
      <c r="BJ76" s="411"/>
      <c r="BK76" s="411"/>
      <c r="BL76" s="411"/>
      <c r="BM76" s="411"/>
    </row>
    <row r="77" spans="1:65" ht="76.5" x14ac:dyDescent="0.2">
      <c r="A77" s="420"/>
      <c r="B77" s="421"/>
      <c r="C77" s="423"/>
      <c r="D77" s="409"/>
      <c r="E77" s="411"/>
      <c r="F77" s="546"/>
      <c r="G77" s="426"/>
      <c r="H77" s="429"/>
      <c r="I77" s="429"/>
      <c r="J77" s="429"/>
      <c r="K77" s="429"/>
      <c r="L77" s="409"/>
      <c r="M77" s="409"/>
      <c r="N77" s="429"/>
      <c r="O77" s="429"/>
      <c r="P77" s="429"/>
      <c r="Q77" s="429"/>
      <c r="R77" s="429"/>
      <c r="S77" s="429"/>
      <c r="T77" s="429"/>
      <c r="U77" s="429"/>
      <c r="V77" s="429"/>
      <c r="W77" s="429"/>
      <c r="X77" s="111"/>
      <c r="Y77" s="124" t="s">
        <v>193</v>
      </c>
      <c r="Z77" s="117">
        <v>42614</v>
      </c>
      <c r="AA77" s="118">
        <v>11889</v>
      </c>
      <c r="AB77" s="62" t="s">
        <v>989</v>
      </c>
      <c r="AC77" s="117">
        <v>42614</v>
      </c>
      <c r="AD77" s="117" t="s">
        <v>988</v>
      </c>
      <c r="AE77" s="1"/>
      <c r="AF77" s="2"/>
      <c r="AG77" s="65">
        <v>20305.32</v>
      </c>
      <c r="AH77" s="120"/>
      <c r="AI77" s="114"/>
      <c r="AJ77" s="114"/>
      <c r="AK77" s="114"/>
      <c r="AL77" s="498"/>
      <c r="AM77" s="532"/>
      <c r="AN77" s="530"/>
      <c r="AO77" s="498"/>
      <c r="AP77" s="450"/>
      <c r="AQ77" s="30"/>
      <c r="AR77" s="30"/>
      <c r="AS77" s="450"/>
      <c r="AT77" s="594"/>
      <c r="AU77" s="594"/>
      <c r="AV77" s="594"/>
      <c r="AW77" s="412"/>
      <c r="AX77" s="445"/>
      <c r="AY77" s="434"/>
      <c r="AZ77" s="445"/>
      <c r="BA77" s="434"/>
      <c r="BB77" s="412"/>
      <c r="BC77" s="412"/>
      <c r="BD77" s="412"/>
      <c r="BE77" s="412"/>
      <c r="BF77" s="412"/>
      <c r="BG77" s="412"/>
      <c r="BH77" s="412"/>
      <c r="BI77" s="412"/>
      <c r="BJ77" s="412"/>
      <c r="BK77" s="412"/>
      <c r="BL77" s="412"/>
      <c r="BM77" s="412"/>
    </row>
    <row r="78" spans="1:65" ht="76.5" x14ac:dyDescent="0.2">
      <c r="A78" s="404"/>
      <c r="B78" s="419"/>
      <c r="C78" s="424"/>
      <c r="D78" s="406"/>
      <c r="E78" s="412"/>
      <c r="F78" s="547"/>
      <c r="G78" s="459"/>
      <c r="H78" s="428"/>
      <c r="I78" s="428"/>
      <c r="J78" s="428"/>
      <c r="K78" s="428"/>
      <c r="L78" s="406"/>
      <c r="M78" s="406"/>
      <c r="N78" s="428"/>
      <c r="O78" s="428"/>
      <c r="P78" s="428"/>
      <c r="Q78" s="428"/>
      <c r="R78" s="428"/>
      <c r="S78" s="428"/>
      <c r="T78" s="428"/>
      <c r="U78" s="428"/>
      <c r="V78" s="428"/>
      <c r="W78" s="428"/>
      <c r="X78" s="61" t="s">
        <v>1470</v>
      </c>
      <c r="Y78" s="124" t="s">
        <v>194</v>
      </c>
      <c r="Z78" s="117">
        <v>42979</v>
      </c>
      <c r="AA78" s="118">
        <v>12139</v>
      </c>
      <c r="AB78" s="62" t="s">
        <v>989</v>
      </c>
      <c r="AC78" s="117" t="s">
        <v>988</v>
      </c>
      <c r="AD78" s="117" t="s">
        <v>1919</v>
      </c>
      <c r="AE78" s="1"/>
      <c r="AF78" s="2"/>
      <c r="AG78" s="65">
        <v>20305.32</v>
      </c>
      <c r="AH78" s="120"/>
      <c r="AI78" s="115"/>
      <c r="AJ78" s="115"/>
      <c r="AK78" s="115"/>
      <c r="AL78" s="499"/>
      <c r="AM78" s="501"/>
      <c r="AN78" s="531"/>
      <c r="AO78" s="499"/>
      <c r="AP78" s="121"/>
      <c r="AQ78" s="121"/>
      <c r="AR78" s="121"/>
      <c r="AS78" s="121"/>
      <c r="AT78" s="126"/>
      <c r="AU78" s="126"/>
      <c r="AV78" s="126"/>
      <c r="AW78" s="25"/>
      <c r="AX78" s="130"/>
      <c r="AY78" s="131"/>
      <c r="AZ78" s="130"/>
      <c r="BA78" s="131"/>
      <c r="BB78" s="25"/>
      <c r="BC78" s="25"/>
      <c r="BD78" s="25"/>
      <c r="BE78" s="25"/>
      <c r="BF78" s="25"/>
      <c r="BG78" s="25"/>
      <c r="BH78" s="25"/>
      <c r="BI78" s="25"/>
      <c r="BJ78" s="25"/>
      <c r="BK78" s="25"/>
      <c r="BL78" s="25"/>
      <c r="BM78" s="25"/>
    </row>
    <row r="79" spans="1:65" ht="38.25" x14ac:dyDescent="0.2">
      <c r="A79" s="403">
        <v>14</v>
      </c>
      <c r="B79" s="418">
        <v>1234200149</v>
      </c>
      <c r="C79" s="422" t="s">
        <v>217</v>
      </c>
      <c r="D79" s="405" t="s">
        <v>218</v>
      </c>
      <c r="E79" s="410" t="s">
        <v>372</v>
      </c>
      <c r="F79" s="405" t="s">
        <v>219</v>
      </c>
      <c r="G79" s="425" t="s">
        <v>821</v>
      </c>
      <c r="H79" s="439" t="s">
        <v>1203</v>
      </c>
      <c r="I79" s="453">
        <v>41323</v>
      </c>
      <c r="J79" s="453">
        <v>41688</v>
      </c>
      <c r="K79" s="460" t="s">
        <v>208</v>
      </c>
      <c r="L79" s="405" t="s">
        <v>220</v>
      </c>
      <c r="M79" s="405" t="s">
        <v>221</v>
      </c>
      <c r="N79" s="431">
        <v>41641</v>
      </c>
      <c r="O79" s="430">
        <v>167677</v>
      </c>
      <c r="P79" s="438" t="s">
        <v>771</v>
      </c>
      <c r="Q79" s="431">
        <v>41641</v>
      </c>
      <c r="R79" s="431">
        <v>42004</v>
      </c>
      <c r="S79" s="427" t="s">
        <v>135</v>
      </c>
      <c r="T79" s="427"/>
      <c r="U79" s="427"/>
      <c r="V79" s="427"/>
      <c r="W79" s="427" t="s">
        <v>222</v>
      </c>
      <c r="X79" s="60"/>
      <c r="Y79" s="124" t="s">
        <v>138</v>
      </c>
      <c r="Z79" s="117">
        <v>42004</v>
      </c>
      <c r="AA79" s="118">
        <v>11472</v>
      </c>
      <c r="AB79" s="20" t="s">
        <v>586</v>
      </c>
      <c r="AC79" s="117">
        <v>42004</v>
      </c>
      <c r="AD79" s="117">
        <v>42369</v>
      </c>
      <c r="AE79" s="1"/>
      <c r="AF79" s="2"/>
      <c r="AG79" s="65">
        <v>167677</v>
      </c>
      <c r="AH79" s="120"/>
      <c r="AI79" s="125"/>
      <c r="AJ79" s="125"/>
      <c r="AK79" s="125"/>
      <c r="AL79" s="497">
        <f>O79-AH79+AG79-AH80+AG80-AH81+AG81</f>
        <v>670708</v>
      </c>
      <c r="AM79" s="500">
        <f>167677+38243+0+0+0+5674+5562+1837+2474+2531+2768+2874+2478</f>
        <v>232118</v>
      </c>
      <c r="AN79" s="529">
        <f>0+2857+1629+2030+2011+2055+1867+1544+1212+1449+1440</f>
        <v>18094</v>
      </c>
      <c r="AO79" s="497">
        <f>AM79+AN79</f>
        <v>250212</v>
      </c>
      <c r="AP79" s="410"/>
      <c r="AQ79" s="24"/>
      <c r="AR79" s="24"/>
      <c r="AS79" s="410"/>
      <c r="AT79" s="410"/>
      <c r="AU79" s="410"/>
      <c r="AV79" s="410"/>
      <c r="AW79" s="410"/>
      <c r="AX79" s="410"/>
      <c r="AY79" s="410"/>
      <c r="AZ79" s="410"/>
      <c r="BA79" s="410"/>
      <c r="BB79" s="410"/>
      <c r="BC79" s="410"/>
      <c r="BD79" s="410"/>
      <c r="BE79" s="410"/>
      <c r="BF79" s="410"/>
      <c r="BG79" s="410"/>
      <c r="BH79" s="410"/>
      <c r="BI79" s="410"/>
      <c r="BJ79" s="410"/>
      <c r="BK79" s="410"/>
      <c r="BL79" s="410"/>
      <c r="BM79" s="410"/>
    </row>
    <row r="80" spans="1:65" ht="38.25" x14ac:dyDescent="0.2">
      <c r="A80" s="420"/>
      <c r="B80" s="421"/>
      <c r="C80" s="423"/>
      <c r="D80" s="409"/>
      <c r="E80" s="411"/>
      <c r="F80" s="409"/>
      <c r="G80" s="426"/>
      <c r="H80" s="458"/>
      <c r="I80" s="454"/>
      <c r="J80" s="454"/>
      <c r="K80" s="461"/>
      <c r="L80" s="409"/>
      <c r="M80" s="409"/>
      <c r="N80" s="437"/>
      <c r="O80" s="447"/>
      <c r="P80" s="448"/>
      <c r="Q80" s="437"/>
      <c r="R80" s="437"/>
      <c r="S80" s="429"/>
      <c r="T80" s="429"/>
      <c r="U80" s="429"/>
      <c r="V80" s="429"/>
      <c r="W80" s="429"/>
      <c r="X80" s="61"/>
      <c r="Y80" s="124" t="s">
        <v>144</v>
      </c>
      <c r="Z80" s="117">
        <v>42369</v>
      </c>
      <c r="AA80" s="118">
        <v>11716</v>
      </c>
      <c r="AB80" s="20" t="s">
        <v>639</v>
      </c>
      <c r="AC80" s="117">
        <v>42369</v>
      </c>
      <c r="AD80" s="117">
        <v>42735</v>
      </c>
      <c r="AE80" s="1"/>
      <c r="AF80" s="2"/>
      <c r="AG80" s="65">
        <v>167677</v>
      </c>
      <c r="AH80" s="120"/>
      <c r="AI80" s="115"/>
      <c r="AJ80" s="115"/>
      <c r="AK80" s="115"/>
      <c r="AL80" s="498"/>
      <c r="AM80" s="532"/>
      <c r="AN80" s="530"/>
      <c r="AO80" s="498"/>
      <c r="AP80" s="412"/>
      <c r="AQ80" s="26"/>
      <c r="AR80" s="26"/>
      <c r="AS80" s="412"/>
      <c r="AT80" s="412"/>
      <c r="AU80" s="412"/>
      <c r="AV80" s="412"/>
      <c r="AW80" s="412"/>
      <c r="AX80" s="412"/>
      <c r="AY80" s="412"/>
      <c r="AZ80" s="412"/>
      <c r="BA80" s="412"/>
      <c r="BB80" s="412"/>
      <c r="BC80" s="412"/>
      <c r="BD80" s="412"/>
      <c r="BE80" s="412"/>
      <c r="BF80" s="412"/>
      <c r="BG80" s="412"/>
      <c r="BH80" s="412"/>
      <c r="BI80" s="412"/>
      <c r="BJ80" s="412"/>
      <c r="BK80" s="412"/>
      <c r="BL80" s="412"/>
      <c r="BM80" s="412"/>
    </row>
    <row r="81" spans="1:65" ht="51" x14ac:dyDescent="0.2">
      <c r="A81" s="404"/>
      <c r="B81" s="419"/>
      <c r="C81" s="424"/>
      <c r="D81" s="406"/>
      <c r="E81" s="412"/>
      <c r="F81" s="406"/>
      <c r="G81" s="406"/>
      <c r="H81" s="440"/>
      <c r="I81" s="455"/>
      <c r="J81" s="455"/>
      <c r="K81" s="412"/>
      <c r="L81" s="406"/>
      <c r="M81" s="406"/>
      <c r="N81" s="428"/>
      <c r="O81" s="428"/>
      <c r="P81" s="428"/>
      <c r="Q81" s="428"/>
      <c r="R81" s="428"/>
      <c r="S81" s="428"/>
      <c r="T81" s="428"/>
      <c r="U81" s="428"/>
      <c r="V81" s="428"/>
      <c r="W81" s="428"/>
      <c r="X81" s="111"/>
      <c r="Y81" s="124" t="s">
        <v>193</v>
      </c>
      <c r="Z81" s="117">
        <v>42725</v>
      </c>
      <c r="AA81" s="118">
        <v>11964</v>
      </c>
      <c r="AB81" s="20" t="s">
        <v>636</v>
      </c>
      <c r="AC81" s="117">
        <v>42735</v>
      </c>
      <c r="AD81" s="117">
        <v>43100</v>
      </c>
      <c r="AE81" s="1"/>
      <c r="AF81" s="2"/>
      <c r="AG81" s="65">
        <v>167677</v>
      </c>
      <c r="AH81" s="120"/>
      <c r="AI81" s="114"/>
      <c r="AJ81" s="114"/>
      <c r="AK81" s="114"/>
      <c r="AL81" s="499"/>
      <c r="AM81" s="501"/>
      <c r="AN81" s="531"/>
      <c r="AO81" s="499"/>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row>
    <row r="82" spans="1:65" ht="38.25" x14ac:dyDescent="0.2">
      <c r="A82" s="403">
        <v>15</v>
      </c>
      <c r="B82" s="418" t="s">
        <v>225</v>
      </c>
      <c r="C82" s="422" t="s">
        <v>171</v>
      </c>
      <c r="D82" s="405" t="s">
        <v>218</v>
      </c>
      <c r="E82" s="410" t="s">
        <v>126</v>
      </c>
      <c r="F82" s="405" t="s">
        <v>226</v>
      </c>
      <c r="G82" s="425" t="s">
        <v>822</v>
      </c>
      <c r="H82" s="439" t="s">
        <v>1204</v>
      </c>
      <c r="I82" s="453">
        <v>41626</v>
      </c>
      <c r="J82" s="453">
        <v>41991</v>
      </c>
      <c r="K82" s="460" t="s">
        <v>209</v>
      </c>
      <c r="L82" s="405" t="s">
        <v>223</v>
      </c>
      <c r="M82" s="405" t="s">
        <v>224</v>
      </c>
      <c r="N82" s="431">
        <v>41641</v>
      </c>
      <c r="O82" s="430">
        <v>2331504</v>
      </c>
      <c r="P82" s="438" t="s">
        <v>772</v>
      </c>
      <c r="Q82" s="431">
        <v>41641</v>
      </c>
      <c r="R82" s="431">
        <v>42006</v>
      </c>
      <c r="S82" s="427" t="s">
        <v>135</v>
      </c>
      <c r="T82" s="427"/>
      <c r="U82" s="427"/>
      <c r="V82" s="427"/>
      <c r="W82" s="427" t="s">
        <v>227</v>
      </c>
      <c r="X82" s="60"/>
      <c r="Y82" s="124" t="s">
        <v>138</v>
      </c>
      <c r="Z82" s="117">
        <v>41652</v>
      </c>
      <c r="AA82" s="118">
        <v>11226</v>
      </c>
      <c r="AB82" s="20" t="s">
        <v>428</v>
      </c>
      <c r="AC82" s="117"/>
      <c r="AD82" s="117"/>
      <c r="AE82" s="1">
        <f>AG82/O82*100</f>
        <v>16.688283614353651</v>
      </c>
      <c r="AF82" s="2"/>
      <c r="AG82" s="65">
        <v>389088</v>
      </c>
      <c r="AH82" s="120"/>
      <c r="AI82" s="125"/>
      <c r="AJ82" s="125"/>
      <c r="AK82" s="125"/>
      <c r="AL82" s="497">
        <f>O82-AH82+AG82-AH83+AG83-AH84+AG84-AH85+AG85</f>
        <v>10882368</v>
      </c>
      <c r="AM82" s="500">
        <f>2720592+2720592+0+226716+226716+453432+226716+226716+226716+226716+226716+226716+226716+226716</f>
        <v>8161776</v>
      </c>
      <c r="AN82" s="529">
        <f>226716+226716+226716+226716+226716+226716+226716+226716+226716+226716+226716</f>
        <v>2493876</v>
      </c>
      <c r="AO82" s="497">
        <f>AM82+AN82</f>
        <v>10655652</v>
      </c>
      <c r="AP82" s="410"/>
      <c r="AQ82" s="24"/>
      <c r="AR82" s="24"/>
      <c r="AS82" s="410"/>
      <c r="AT82" s="410"/>
      <c r="AU82" s="410"/>
      <c r="AV82" s="410"/>
      <c r="AW82" s="410"/>
      <c r="AX82" s="410"/>
      <c r="AY82" s="410"/>
      <c r="AZ82" s="410"/>
      <c r="BA82" s="410"/>
      <c r="BB82" s="410"/>
      <c r="BC82" s="410"/>
      <c r="BD82" s="410"/>
      <c r="BE82" s="410"/>
      <c r="BF82" s="410"/>
      <c r="BG82" s="410"/>
      <c r="BH82" s="410"/>
      <c r="BI82" s="410"/>
      <c r="BJ82" s="410"/>
      <c r="BK82" s="410"/>
      <c r="BL82" s="410"/>
      <c r="BM82" s="410"/>
    </row>
    <row r="83" spans="1:65" ht="25.5" x14ac:dyDescent="0.2">
      <c r="A83" s="420"/>
      <c r="B83" s="421"/>
      <c r="C83" s="423"/>
      <c r="D83" s="409"/>
      <c r="E83" s="411"/>
      <c r="F83" s="409"/>
      <c r="G83" s="426"/>
      <c r="H83" s="458"/>
      <c r="I83" s="454"/>
      <c r="J83" s="454"/>
      <c r="K83" s="461"/>
      <c r="L83" s="409"/>
      <c r="M83" s="409"/>
      <c r="N83" s="437"/>
      <c r="O83" s="447"/>
      <c r="P83" s="448"/>
      <c r="Q83" s="437"/>
      <c r="R83" s="437"/>
      <c r="S83" s="429"/>
      <c r="T83" s="429"/>
      <c r="U83" s="429"/>
      <c r="V83" s="429"/>
      <c r="W83" s="429"/>
      <c r="X83" s="61"/>
      <c r="Y83" s="124" t="s">
        <v>144</v>
      </c>
      <c r="Z83" s="117">
        <v>42006</v>
      </c>
      <c r="AA83" s="118">
        <v>11476</v>
      </c>
      <c r="AB83" s="20" t="s">
        <v>587</v>
      </c>
      <c r="AC83" s="117">
        <v>42006</v>
      </c>
      <c r="AD83" s="117">
        <v>42371</v>
      </c>
      <c r="AE83" s="1"/>
      <c r="AF83" s="2"/>
      <c r="AG83" s="65">
        <v>2720592</v>
      </c>
      <c r="AH83" s="120"/>
      <c r="AI83" s="115"/>
      <c r="AJ83" s="115"/>
      <c r="AK83" s="115"/>
      <c r="AL83" s="498"/>
      <c r="AM83" s="532"/>
      <c r="AN83" s="530"/>
      <c r="AO83" s="498"/>
      <c r="AP83" s="411"/>
      <c r="AQ83" s="25"/>
      <c r="AR83" s="25"/>
      <c r="AS83" s="411"/>
      <c r="AT83" s="411"/>
      <c r="AU83" s="411"/>
      <c r="AV83" s="411"/>
      <c r="AW83" s="411"/>
      <c r="AX83" s="411"/>
      <c r="AY83" s="411"/>
      <c r="AZ83" s="411"/>
      <c r="BA83" s="411"/>
      <c r="BB83" s="411"/>
      <c r="BC83" s="411"/>
      <c r="BD83" s="411"/>
      <c r="BE83" s="411"/>
      <c r="BF83" s="411"/>
      <c r="BG83" s="411"/>
      <c r="BH83" s="411"/>
      <c r="BI83" s="411"/>
      <c r="BJ83" s="411"/>
      <c r="BK83" s="411"/>
      <c r="BL83" s="411"/>
      <c r="BM83" s="411"/>
    </row>
    <row r="84" spans="1:65" ht="38.25" x14ac:dyDescent="0.2">
      <c r="A84" s="420"/>
      <c r="B84" s="421"/>
      <c r="C84" s="423"/>
      <c r="D84" s="409"/>
      <c r="E84" s="411"/>
      <c r="F84" s="409"/>
      <c r="G84" s="426"/>
      <c r="H84" s="458"/>
      <c r="I84" s="454"/>
      <c r="J84" s="454"/>
      <c r="K84" s="461"/>
      <c r="L84" s="409"/>
      <c r="M84" s="409"/>
      <c r="N84" s="437"/>
      <c r="O84" s="447"/>
      <c r="P84" s="448"/>
      <c r="Q84" s="437"/>
      <c r="R84" s="437"/>
      <c r="S84" s="429"/>
      <c r="T84" s="429"/>
      <c r="U84" s="429"/>
      <c r="V84" s="429"/>
      <c r="W84" s="429"/>
      <c r="X84" s="61"/>
      <c r="Y84" s="124" t="s">
        <v>193</v>
      </c>
      <c r="Z84" s="117">
        <v>42355</v>
      </c>
      <c r="AA84" s="118">
        <v>11713</v>
      </c>
      <c r="AB84" s="20" t="s">
        <v>584</v>
      </c>
      <c r="AC84" s="117">
        <v>42371</v>
      </c>
      <c r="AD84" s="117">
        <v>42737</v>
      </c>
      <c r="AE84" s="1"/>
      <c r="AF84" s="2"/>
      <c r="AG84" s="65">
        <v>2720592</v>
      </c>
      <c r="AH84" s="120"/>
      <c r="AI84" s="115"/>
      <c r="AJ84" s="115"/>
      <c r="AK84" s="115"/>
      <c r="AL84" s="498"/>
      <c r="AM84" s="532"/>
      <c r="AN84" s="530"/>
      <c r="AO84" s="498"/>
      <c r="AP84" s="412"/>
      <c r="AQ84" s="26"/>
      <c r="AR84" s="26"/>
      <c r="AS84" s="412"/>
      <c r="AT84" s="412"/>
      <c r="AU84" s="412"/>
      <c r="AV84" s="412"/>
      <c r="AW84" s="412"/>
      <c r="AX84" s="412"/>
      <c r="AY84" s="412"/>
      <c r="AZ84" s="412"/>
      <c r="BA84" s="412"/>
      <c r="BB84" s="412"/>
      <c r="BC84" s="412"/>
      <c r="BD84" s="412"/>
      <c r="BE84" s="412"/>
      <c r="BF84" s="412"/>
      <c r="BG84" s="412"/>
      <c r="BH84" s="412"/>
      <c r="BI84" s="412"/>
      <c r="BJ84" s="412"/>
      <c r="BK84" s="412"/>
      <c r="BL84" s="412"/>
      <c r="BM84" s="412"/>
    </row>
    <row r="85" spans="1:65" ht="38.25" x14ac:dyDescent="0.2">
      <c r="A85" s="404"/>
      <c r="B85" s="419"/>
      <c r="C85" s="424"/>
      <c r="D85" s="406"/>
      <c r="E85" s="412"/>
      <c r="F85" s="406"/>
      <c r="G85" s="406"/>
      <c r="H85" s="440"/>
      <c r="I85" s="455"/>
      <c r="J85" s="455"/>
      <c r="K85" s="412"/>
      <c r="L85" s="406"/>
      <c r="M85" s="406"/>
      <c r="N85" s="428"/>
      <c r="O85" s="428"/>
      <c r="P85" s="428"/>
      <c r="Q85" s="428"/>
      <c r="R85" s="428"/>
      <c r="S85" s="428"/>
      <c r="T85" s="428"/>
      <c r="U85" s="428"/>
      <c r="V85" s="428"/>
      <c r="W85" s="428"/>
      <c r="X85" s="111"/>
      <c r="Y85" s="124" t="s">
        <v>194</v>
      </c>
      <c r="Z85" s="117">
        <v>42720</v>
      </c>
      <c r="AA85" s="118">
        <v>11964</v>
      </c>
      <c r="AB85" s="20" t="s">
        <v>584</v>
      </c>
      <c r="AC85" s="117">
        <v>42737</v>
      </c>
      <c r="AD85" s="117">
        <v>43102</v>
      </c>
      <c r="AE85" s="1"/>
      <c r="AF85" s="2"/>
      <c r="AG85" s="65">
        <v>2720592</v>
      </c>
      <c r="AH85" s="120"/>
      <c r="AI85" s="114"/>
      <c r="AJ85" s="114"/>
      <c r="AK85" s="114"/>
      <c r="AL85" s="499"/>
      <c r="AM85" s="501"/>
      <c r="AN85" s="531"/>
      <c r="AO85" s="499"/>
      <c r="AP85" s="26"/>
      <c r="AQ85" s="26"/>
      <c r="AR85" s="26"/>
      <c r="AS85" s="26"/>
      <c r="AT85" s="26"/>
      <c r="AU85" s="26"/>
      <c r="AV85" s="26"/>
      <c r="AW85" s="26"/>
      <c r="AX85" s="26"/>
      <c r="AY85" s="26"/>
      <c r="AZ85" s="26"/>
      <c r="BA85" s="26"/>
      <c r="BB85" s="25"/>
      <c r="BC85" s="25"/>
      <c r="BD85" s="26"/>
      <c r="BE85" s="26"/>
      <c r="BF85" s="26"/>
      <c r="BG85" s="26"/>
      <c r="BH85" s="25"/>
      <c r="BI85" s="26"/>
      <c r="BJ85" s="26"/>
      <c r="BK85" s="26"/>
      <c r="BL85" s="26"/>
      <c r="BM85" s="26"/>
    </row>
    <row r="86" spans="1:65" ht="25.5" x14ac:dyDescent="0.2">
      <c r="A86" s="403">
        <v>16</v>
      </c>
      <c r="B86" s="418" t="s">
        <v>254</v>
      </c>
      <c r="C86" s="422" t="s">
        <v>210</v>
      </c>
      <c r="D86" s="405" t="s">
        <v>257</v>
      </c>
      <c r="E86" s="410" t="s">
        <v>126</v>
      </c>
      <c r="F86" s="405" t="s">
        <v>258</v>
      </c>
      <c r="G86" s="425" t="s">
        <v>367</v>
      </c>
      <c r="H86" s="489" t="s">
        <v>1205</v>
      </c>
      <c r="I86" s="456">
        <v>41460</v>
      </c>
      <c r="J86" s="456">
        <v>41825</v>
      </c>
      <c r="K86" s="451" t="s">
        <v>240</v>
      </c>
      <c r="L86" s="405" t="s">
        <v>255</v>
      </c>
      <c r="M86" s="405" t="s">
        <v>256</v>
      </c>
      <c r="N86" s="431">
        <v>41680</v>
      </c>
      <c r="O86" s="430">
        <v>71310.600000000006</v>
      </c>
      <c r="P86" s="438" t="s">
        <v>774</v>
      </c>
      <c r="Q86" s="431">
        <v>41680</v>
      </c>
      <c r="R86" s="431">
        <v>42045</v>
      </c>
      <c r="S86" s="427" t="s">
        <v>136</v>
      </c>
      <c r="T86" s="427"/>
      <c r="U86" s="427"/>
      <c r="V86" s="427"/>
      <c r="W86" s="427" t="s">
        <v>137</v>
      </c>
      <c r="X86" s="427"/>
      <c r="Y86" s="124" t="s">
        <v>138</v>
      </c>
      <c r="Z86" s="117">
        <v>42038</v>
      </c>
      <c r="AA86" s="118">
        <v>11498</v>
      </c>
      <c r="AB86" s="20" t="s">
        <v>478</v>
      </c>
      <c r="AC86" s="117">
        <v>42044</v>
      </c>
      <c r="AD86" s="117">
        <v>42409</v>
      </c>
      <c r="AE86" s="1"/>
      <c r="AF86" s="2"/>
      <c r="AG86" s="65">
        <v>71310.600000000006</v>
      </c>
      <c r="AH86" s="120"/>
      <c r="AI86" s="487"/>
      <c r="AJ86" s="487"/>
      <c r="AK86" s="487"/>
      <c r="AL86" s="497">
        <f>71310.6-AH86+AG86-AH87+AG87-AH88+AG88</f>
        <v>285242.40000000002</v>
      </c>
      <c r="AM86" s="500">
        <f>71310.6+57013.44+0+10441.75+5175.43+5175.43+5489.38+5161.1+5175.43+5175.43+5175.43</f>
        <v>175293.41999999998</v>
      </c>
      <c r="AN86" s="529">
        <f>0+10622.04+5448.18+5432.23+5541.81</f>
        <v>27044.260000000002</v>
      </c>
      <c r="AO86" s="497">
        <f>AM86+AN86</f>
        <v>202337.68</v>
      </c>
      <c r="AP86" s="148" t="s">
        <v>1205</v>
      </c>
      <c r="AQ86" s="149">
        <v>41460</v>
      </c>
      <c r="AR86" s="149">
        <v>41825</v>
      </c>
      <c r="AS86" s="148" t="s">
        <v>370</v>
      </c>
      <c r="AT86" s="150" t="s">
        <v>371</v>
      </c>
      <c r="AU86" s="150"/>
      <c r="AV86" s="137"/>
      <c r="AW86" s="150"/>
      <c r="AX86" s="150"/>
      <c r="AY86" s="150"/>
      <c r="AZ86" s="150"/>
      <c r="BA86" s="150"/>
      <c r="BB86" s="2"/>
      <c r="BC86" s="2"/>
      <c r="BD86" s="2"/>
      <c r="BE86" s="2"/>
      <c r="BF86" s="2"/>
      <c r="BG86" s="2"/>
      <c r="BH86" s="2"/>
      <c r="BI86" s="2"/>
      <c r="BJ86" s="2"/>
      <c r="BK86" s="2"/>
      <c r="BL86" s="2"/>
      <c r="BM86" s="2"/>
    </row>
    <row r="87" spans="1:65" ht="51" x14ac:dyDescent="0.2">
      <c r="A87" s="420"/>
      <c r="B87" s="421"/>
      <c r="C87" s="423"/>
      <c r="D87" s="409"/>
      <c r="E87" s="411"/>
      <c r="F87" s="409"/>
      <c r="G87" s="426"/>
      <c r="H87" s="457"/>
      <c r="I87" s="457"/>
      <c r="J87" s="457"/>
      <c r="K87" s="452"/>
      <c r="L87" s="409"/>
      <c r="M87" s="409"/>
      <c r="N87" s="437"/>
      <c r="O87" s="447"/>
      <c r="P87" s="448"/>
      <c r="Q87" s="437"/>
      <c r="R87" s="437"/>
      <c r="S87" s="429"/>
      <c r="T87" s="429"/>
      <c r="U87" s="429"/>
      <c r="V87" s="429"/>
      <c r="W87" s="429"/>
      <c r="X87" s="429"/>
      <c r="Y87" s="124" t="s">
        <v>144</v>
      </c>
      <c r="Z87" s="117">
        <v>42405</v>
      </c>
      <c r="AA87" s="118">
        <v>11742</v>
      </c>
      <c r="AB87" s="20" t="s">
        <v>707</v>
      </c>
      <c r="AC87" s="117">
        <v>42409</v>
      </c>
      <c r="AD87" s="117">
        <v>42775</v>
      </c>
      <c r="AE87" s="1"/>
      <c r="AF87" s="2"/>
      <c r="AG87" s="65">
        <v>71310.600000000006</v>
      </c>
      <c r="AH87" s="120"/>
      <c r="AI87" s="528"/>
      <c r="AJ87" s="528"/>
      <c r="AK87" s="528"/>
      <c r="AL87" s="498"/>
      <c r="AM87" s="532"/>
      <c r="AN87" s="530"/>
      <c r="AO87" s="498"/>
      <c r="AP87" s="148"/>
      <c r="AQ87" s="148"/>
      <c r="AR87" s="148"/>
      <c r="AS87" s="148"/>
      <c r="AT87" s="150"/>
      <c r="AU87" s="150"/>
      <c r="AV87" s="137"/>
      <c r="AW87" s="150"/>
      <c r="AX87" s="150"/>
      <c r="AY87" s="150"/>
      <c r="AZ87" s="150"/>
      <c r="BA87" s="150"/>
      <c r="BB87" s="2"/>
      <c r="BC87" s="2"/>
      <c r="BD87" s="2"/>
      <c r="BE87" s="2"/>
      <c r="BF87" s="2"/>
      <c r="BG87" s="2"/>
      <c r="BH87" s="2"/>
      <c r="BI87" s="2"/>
      <c r="BJ87" s="2"/>
      <c r="BK87" s="2"/>
      <c r="BL87" s="2"/>
      <c r="BM87" s="2"/>
    </row>
    <row r="88" spans="1:65" ht="51" x14ac:dyDescent="0.2">
      <c r="A88" s="420"/>
      <c r="B88" s="421"/>
      <c r="C88" s="423"/>
      <c r="D88" s="409"/>
      <c r="E88" s="411"/>
      <c r="F88" s="409"/>
      <c r="G88" s="409"/>
      <c r="H88" s="429"/>
      <c r="I88" s="429"/>
      <c r="J88" s="429"/>
      <c r="K88" s="429"/>
      <c r="L88" s="409"/>
      <c r="M88" s="409"/>
      <c r="N88" s="429"/>
      <c r="O88" s="429"/>
      <c r="P88" s="429"/>
      <c r="Q88" s="429"/>
      <c r="R88" s="429"/>
      <c r="S88" s="429"/>
      <c r="T88" s="428"/>
      <c r="U88" s="428"/>
      <c r="V88" s="428"/>
      <c r="W88" s="429"/>
      <c r="X88" s="428"/>
      <c r="Y88" s="124" t="s">
        <v>193</v>
      </c>
      <c r="Z88" s="117">
        <v>42775</v>
      </c>
      <c r="AA88" s="118">
        <v>12008</v>
      </c>
      <c r="AB88" s="20" t="s">
        <v>1405</v>
      </c>
      <c r="AC88" s="117" t="s">
        <v>1406</v>
      </c>
      <c r="AD88" s="117">
        <v>43140</v>
      </c>
      <c r="AE88" s="1"/>
      <c r="AF88" s="2"/>
      <c r="AG88" s="65">
        <v>71310.600000000006</v>
      </c>
      <c r="AH88" s="120"/>
      <c r="AI88" s="488"/>
      <c r="AJ88" s="488"/>
      <c r="AK88" s="488"/>
      <c r="AL88" s="498"/>
      <c r="AM88" s="532"/>
      <c r="AN88" s="530"/>
      <c r="AO88" s="498"/>
      <c r="AP88" s="151"/>
      <c r="AQ88" s="151"/>
      <c r="AR88" s="151"/>
      <c r="AS88" s="151"/>
      <c r="AT88" s="152"/>
      <c r="AU88" s="152"/>
      <c r="AV88" s="153"/>
      <c r="AW88" s="152"/>
      <c r="AX88" s="152"/>
      <c r="AY88" s="152"/>
      <c r="AZ88" s="152"/>
      <c r="BA88" s="152"/>
      <c r="BB88" s="24"/>
      <c r="BC88" s="24"/>
      <c r="BD88" s="24"/>
      <c r="BE88" s="24"/>
      <c r="BF88" s="24"/>
      <c r="BG88" s="24"/>
      <c r="BH88" s="24"/>
      <c r="BI88" s="24"/>
      <c r="BJ88" s="24"/>
      <c r="BK88" s="24"/>
      <c r="BL88" s="24"/>
      <c r="BM88" s="24"/>
    </row>
    <row r="89" spans="1:65" ht="76.5" x14ac:dyDescent="0.2">
      <c r="A89" s="404"/>
      <c r="B89" s="419"/>
      <c r="C89" s="424"/>
      <c r="D89" s="406"/>
      <c r="E89" s="412"/>
      <c r="F89" s="406"/>
      <c r="G89" s="406"/>
      <c r="H89" s="428"/>
      <c r="I89" s="428"/>
      <c r="J89" s="428"/>
      <c r="K89" s="428"/>
      <c r="L89" s="406"/>
      <c r="M89" s="406"/>
      <c r="N89" s="428"/>
      <c r="O89" s="428"/>
      <c r="P89" s="428"/>
      <c r="Q89" s="428"/>
      <c r="R89" s="428"/>
      <c r="S89" s="428"/>
      <c r="T89" s="61"/>
      <c r="U89" s="61"/>
      <c r="V89" s="61"/>
      <c r="W89" s="428"/>
      <c r="X89" s="61" t="s">
        <v>742</v>
      </c>
      <c r="Y89" s="124" t="s">
        <v>742</v>
      </c>
      <c r="Z89" s="117">
        <v>42908</v>
      </c>
      <c r="AA89" s="118">
        <v>12081</v>
      </c>
      <c r="AB89" s="20" t="s">
        <v>1689</v>
      </c>
      <c r="AC89" s="117"/>
      <c r="AD89" s="117"/>
      <c r="AE89" s="1"/>
      <c r="AF89" s="2"/>
      <c r="AG89" s="65"/>
      <c r="AH89" s="120"/>
      <c r="AI89" s="115"/>
      <c r="AJ89" s="115"/>
      <c r="AK89" s="115"/>
      <c r="AL89" s="499"/>
      <c r="AM89" s="501"/>
      <c r="AN89" s="531"/>
      <c r="AO89" s="499"/>
      <c r="AP89" s="151"/>
      <c r="AQ89" s="151"/>
      <c r="AR89" s="151"/>
      <c r="AS89" s="151"/>
      <c r="AT89" s="152"/>
      <c r="AU89" s="152"/>
      <c r="AV89" s="153"/>
      <c r="AW89" s="152"/>
      <c r="AX89" s="152"/>
      <c r="AY89" s="152"/>
      <c r="AZ89" s="152"/>
      <c r="BA89" s="152"/>
      <c r="BB89" s="24"/>
      <c r="BC89" s="24"/>
      <c r="BD89" s="24"/>
      <c r="BE89" s="24"/>
      <c r="BF89" s="24"/>
      <c r="BG89" s="24"/>
      <c r="BH89" s="24"/>
      <c r="BI89" s="24"/>
      <c r="BJ89" s="24"/>
      <c r="BK89" s="24"/>
      <c r="BL89" s="24"/>
      <c r="BM89" s="24"/>
    </row>
    <row r="90" spans="1:65" ht="38.25" x14ac:dyDescent="0.2">
      <c r="A90" s="403">
        <v>17</v>
      </c>
      <c r="B90" s="418" t="s">
        <v>261</v>
      </c>
      <c r="C90" s="422" t="s">
        <v>211</v>
      </c>
      <c r="D90" s="405" t="s">
        <v>218</v>
      </c>
      <c r="E90" s="410" t="s">
        <v>372</v>
      </c>
      <c r="F90" s="405" t="s">
        <v>262</v>
      </c>
      <c r="G90" s="425" t="s">
        <v>823</v>
      </c>
      <c r="H90" s="439" t="s">
        <v>213</v>
      </c>
      <c r="I90" s="453">
        <v>41675</v>
      </c>
      <c r="J90" s="453">
        <v>42040</v>
      </c>
      <c r="K90" s="460" t="s">
        <v>239</v>
      </c>
      <c r="L90" s="405" t="s">
        <v>263</v>
      </c>
      <c r="M90" s="405" t="s">
        <v>264</v>
      </c>
      <c r="N90" s="431">
        <v>41687</v>
      </c>
      <c r="O90" s="430">
        <v>450000</v>
      </c>
      <c r="P90" s="438" t="s">
        <v>775</v>
      </c>
      <c r="Q90" s="431">
        <v>41687</v>
      </c>
      <c r="R90" s="431">
        <v>42004</v>
      </c>
      <c r="S90" s="427" t="s">
        <v>135</v>
      </c>
      <c r="T90" s="427"/>
      <c r="U90" s="427"/>
      <c r="V90" s="427"/>
      <c r="W90" s="427" t="s">
        <v>137</v>
      </c>
      <c r="X90" s="60"/>
      <c r="Y90" s="124" t="s">
        <v>138</v>
      </c>
      <c r="Z90" s="117">
        <v>42004</v>
      </c>
      <c r="AA90" s="118">
        <v>11472</v>
      </c>
      <c r="AB90" s="20" t="s">
        <v>586</v>
      </c>
      <c r="AC90" s="117">
        <v>42004</v>
      </c>
      <c r="AD90" s="117">
        <v>42369</v>
      </c>
      <c r="AE90" s="1"/>
      <c r="AF90" s="2"/>
      <c r="AG90" s="65">
        <v>450000</v>
      </c>
      <c r="AH90" s="120"/>
      <c r="AI90" s="125"/>
      <c r="AJ90" s="125"/>
      <c r="AK90" s="125"/>
      <c r="AL90" s="497">
        <f>450000-AH90+AG90-AH91+AG91-AH92+AG92</f>
        <v>1800000</v>
      </c>
      <c r="AM90" s="500">
        <f>450000+350734+0+29850+28850+65442+25160+64290+104692+31020+26120+25960+19560+26690</f>
        <v>1248368</v>
      </c>
      <c r="AN90" s="529">
        <f>0+39330+25000+27000+40040+23180+24948+19890+20000+20000</f>
        <v>239388</v>
      </c>
      <c r="AO90" s="497">
        <f>AM90+AN90</f>
        <v>1487756</v>
      </c>
      <c r="AP90" s="449"/>
      <c r="AQ90" s="29"/>
      <c r="AR90" s="29"/>
      <c r="AS90" s="449"/>
      <c r="AT90" s="592"/>
      <c r="AU90" s="592"/>
      <c r="AV90" s="592"/>
      <c r="AW90" s="592"/>
      <c r="AX90" s="592"/>
      <c r="AY90" s="592"/>
      <c r="AZ90" s="592"/>
      <c r="BA90" s="592"/>
      <c r="BB90" s="410"/>
      <c r="BC90" s="410"/>
      <c r="BD90" s="410"/>
      <c r="BE90" s="410"/>
      <c r="BF90" s="410"/>
      <c r="BG90" s="410"/>
      <c r="BH90" s="410"/>
      <c r="BI90" s="410"/>
      <c r="BJ90" s="410"/>
      <c r="BK90" s="410"/>
      <c r="BL90" s="410"/>
      <c r="BM90" s="410"/>
    </row>
    <row r="91" spans="1:65" ht="51" x14ac:dyDescent="0.2">
      <c r="A91" s="420"/>
      <c r="B91" s="421"/>
      <c r="C91" s="423"/>
      <c r="D91" s="409"/>
      <c r="E91" s="411"/>
      <c r="F91" s="409"/>
      <c r="G91" s="426"/>
      <c r="H91" s="458"/>
      <c r="I91" s="454"/>
      <c r="J91" s="454"/>
      <c r="K91" s="461"/>
      <c r="L91" s="409"/>
      <c r="M91" s="409"/>
      <c r="N91" s="437"/>
      <c r="O91" s="447"/>
      <c r="P91" s="448"/>
      <c r="Q91" s="437"/>
      <c r="R91" s="437"/>
      <c r="S91" s="429"/>
      <c r="T91" s="429"/>
      <c r="U91" s="429"/>
      <c r="V91" s="429"/>
      <c r="W91" s="429"/>
      <c r="X91" s="61"/>
      <c r="Y91" s="124" t="s">
        <v>144</v>
      </c>
      <c r="Z91" s="117">
        <v>42355</v>
      </c>
      <c r="AA91" s="118">
        <v>11713</v>
      </c>
      <c r="AB91" s="20" t="s">
        <v>618</v>
      </c>
      <c r="AC91" s="117">
        <v>42369</v>
      </c>
      <c r="AD91" s="117">
        <v>42735</v>
      </c>
      <c r="AE91" s="1"/>
      <c r="AF91" s="2"/>
      <c r="AG91" s="65">
        <v>450000</v>
      </c>
      <c r="AH91" s="120"/>
      <c r="AI91" s="115"/>
      <c r="AJ91" s="115"/>
      <c r="AK91" s="115"/>
      <c r="AL91" s="498"/>
      <c r="AM91" s="532"/>
      <c r="AN91" s="530"/>
      <c r="AO91" s="498"/>
      <c r="AP91" s="450"/>
      <c r="AQ91" s="30"/>
      <c r="AR91" s="30"/>
      <c r="AS91" s="450"/>
      <c r="AT91" s="594"/>
      <c r="AU91" s="594"/>
      <c r="AV91" s="594"/>
      <c r="AW91" s="594"/>
      <c r="AX91" s="594"/>
      <c r="AY91" s="594"/>
      <c r="AZ91" s="594"/>
      <c r="BA91" s="594"/>
      <c r="BB91" s="412"/>
      <c r="BC91" s="412"/>
      <c r="BD91" s="412"/>
      <c r="BE91" s="412"/>
      <c r="BF91" s="412"/>
      <c r="BG91" s="412"/>
      <c r="BH91" s="412"/>
      <c r="BI91" s="412"/>
      <c r="BJ91" s="412"/>
      <c r="BK91" s="412"/>
      <c r="BL91" s="412"/>
      <c r="BM91" s="412"/>
    </row>
    <row r="92" spans="1:65" ht="51" x14ac:dyDescent="0.2">
      <c r="A92" s="404"/>
      <c r="B92" s="419"/>
      <c r="C92" s="424"/>
      <c r="D92" s="406"/>
      <c r="E92" s="412"/>
      <c r="F92" s="406"/>
      <c r="G92" s="406"/>
      <c r="H92" s="440"/>
      <c r="I92" s="455"/>
      <c r="J92" s="455"/>
      <c r="K92" s="412"/>
      <c r="L92" s="406"/>
      <c r="M92" s="406"/>
      <c r="N92" s="428"/>
      <c r="O92" s="428"/>
      <c r="P92" s="428"/>
      <c r="Q92" s="428"/>
      <c r="R92" s="428"/>
      <c r="S92" s="428"/>
      <c r="T92" s="428"/>
      <c r="U92" s="428"/>
      <c r="V92" s="428"/>
      <c r="W92" s="428"/>
      <c r="X92" s="111"/>
      <c r="Y92" s="124" t="s">
        <v>193</v>
      </c>
      <c r="Z92" s="117">
        <v>42720</v>
      </c>
      <c r="AA92" s="118">
        <v>11964</v>
      </c>
      <c r="AB92" s="20" t="s">
        <v>618</v>
      </c>
      <c r="AC92" s="117">
        <v>42735</v>
      </c>
      <c r="AD92" s="117">
        <v>43100</v>
      </c>
      <c r="AE92" s="1"/>
      <c r="AF92" s="2"/>
      <c r="AG92" s="65">
        <v>450000</v>
      </c>
      <c r="AH92" s="120"/>
      <c r="AI92" s="114"/>
      <c r="AJ92" s="114"/>
      <c r="AK92" s="114"/>
      <c r="AL92" s="499"/>
      <c r="AM92" s="501"/>
      <c r="AN92" s="531"/>
      <c r="AO92" s="499"/>
      <c r="AP92" s="121"/>
      <c r="AQ92" s="121"/>
      <c r="AR92" s="121"/>
      <c r="AS92" s="121"/>
      <c r="AT92" s="126"/>
      <c r="AU92" s="126"/>
      <c r="AV92" s="126"/>
      <c r="AW92" s="126"/>
      <c r="AX92" s="126"/>
      <c r="AY92" s="126"/>
      <c r="AZ92" s="126"/>
      <c r="BA92" s="126"/>
      <c r="BB92" s="25"/>
      <c r="BC92" s="25"/>
      <c r="BD92" s="25"/>
      <c r="BE92" s="25"/>
      <c r="BF92" s="25"/>
      <c r="BG92" s="25"/>
      <c r="BH92" s="25"/>
      <c r="BI92" s="25"/>
      <c r="BJ92" s="25"/>
      <c r="BK92" s="25"/>
      <c r="BL92" s="25"/>
      <c r="BM92" s="25"/>
    </row>
    <row r="93" spans="1:65" ht="63.75" x14ac:dyDescent="0.2">
      <c r="A93" s="403">
        <v>18</v>
      </c>
      <c r="B93" s="418" t="s">
        <v>265</v>
      </c>
      <c r="C93" s="422" t="s">
        <v>216</v>
      </c>
      <c r="D93" s="405" t="s">
        <v>218</v>
      </c>
      <c r="E93" s="410" t="s">
        <v>372</v>
      </c>
      <c r="F93" s="405" t="s">
        <v>266</v>
      </c>
      <c r="G93" s="425" t="s">
        <v>773</v>
      </c>
      <c r="H93" s="439" t="s">
        <v>1206</v>
      </c>
      <c r="I93" s="456">
        <v>41676</v>
      </c>
      <c r="J93" s="456">
        <v>42041</v>
      </c>
      <c r="K93" s="460" t="s">
        <v>238</v>
      </c>
      <c r="L93" s="405" t="s">
        <v>267</v>
      </c>
      <c r="M93" s="405" t="s">
        <v>268</v>
      </c>
      <c r="N93" s="431">
        <v>41688</v>
      </c>
      <c r="O93" s="430">
        <v>81999.960000000006</v>
      </c>
      <c r="P93" s="438" t="s">
        <v>776</v>
      </c>
      <c r="Q93" s="431">
        <v>41688</v>
      </c>
      <c r="R93" s="431">
        <v>42052</v>
      </c>
      <c r="S93" s="427" t="s">
        <v>135</v>
      </c>
      <c r="T93" s="427"/>
      <c r="U93" s="427"/>
      <c r="V93" s="427"/>
      <c r="W93" s="427" t="s">
        <v>137</v>
      </c>
      <c r="X93" s="427"/>
      <c r="Y93" s="124" t="s">
        <v>145</v>
      </c>
      <c r="Z93" s="117">
        <v>41941</v>
      </c>
      <c r="AA93" s="118">
        <v>11432</v>
      </c>
      <c r="AB93" s="62" t="s">
        <v>429</v>
      </c>
      <c r="AC93" s="117"/>
      <c r="AD93" s="117"/>
      <c r="AE93" s="154">
        <f>AG93/O93*100</f>
        <v>25</v>
      </c>
      <c r="AF93" s="2"/>
      <c r="AG93" s="65">
        <v>20499.990000000002</v>
      </c>
      <c r="AH93" s="120"/>
      <c r="AI93" s="125"/>
      <c r="AJ93" s="125"/>
      <c r="AK93" s="125"/>
      <c r="AL93" s="497">
        <f>81999.96-AH93+AG93-AH94+AG94-AH95+AG95-AH96+AG96</f>
        <v>409999.80000000005</v>
      </c>
      <c r="AM93" s="500">
        <f>95024.93+68333.3+0+0+0+20499.99+6833.33+13666.66+6833.33+6833.33+6833.33+6833.33+6833.33</f>
        <v>238524.8599999999</v>
      </c>
      <c r="AN93" s="529">
        <f>0+6833.33+6833.33+6833.33+6833.33+6833.33+6833.33+6833.33+6833.33+12960+13666.66</f>
        <v>81293.300000000017</v>
      </c>
      <c r="AO93" s="497">
        <f>AM93+AN93</f>
        <v>319818.15999999992</v>
      </c>
      <c r="AP93" s="449"/>
      <c r="AQ93" s="29"/>
      <c r="AR93" s="29"/>
      <c r="AS93" s="449"/>
      <c r="AT93" s="449"/>
      <c r="AU93" s="449"/>
      <c r="AV93" s="449"/>
      <c r="AW93" s="449"/>
      <c r="AX93" s="449"/>
      <c r="AY93" s="449"/>
      <c r="AZ93" s="449"/>
      <c r="BA93" s="449"/>
      <c r="BB93" s="449"/>
      <c r="BC93" s="449"/>
      <c r="BD93" s="449"/>
      <c r="BE93" s="449"/>
      <c r="BF93" s="449"/>
      <c r="BG93" s="449"/>
      <c r="BH93" s="449" t="s">
        <v>419</v>
      </c>
      <c r="BI93" s="449"/>
      <c r="BJ93" s="449"/>
      <c r="BK93" s="449"/>
      <c r="BL93" s="449"/>
      <c r="BM93" s="449"/>
    </row>
    <row r="94" spans="1:65" ht="89.25" x14ac:dyDescent="0.2">
      <c r="A94" s="420"/>
      <c r="B94" s="421"/>
      <c r="C94" s="423"/>
      <c r="D94" s="409"/>
      <c r="E94" s="411"/>
      <c r="F94" s="409"/>
      <c r="G94" s="426"/>
      <c r="H94" s="458"/>
      <c r="I94" s="457"/>
      <c r="J94" s="457"/>
      <c r="K94" s="461"/>
      <c r="L94" s="409"/>
      <c r="M94" s="409"/>
      <c r="N94" s="437"/>
      <c r="O94" s="447"/>
      <c r="P94" s="448"/>
      <c r="Q94" s="437"/>
      <c r="R94" s="437"/>
      <c r="S94" s="429"/>
      <c r="T94" s="429"/>
      <c r="U94" s="429"/>
      <c r="V94" s="429"/>
      <c r="W94" s="429"/>
      <c r="X94" s="429"/>
      <c r="Y94" s="124" t="s">
        <v>144</v>
      </c>
      <c r="Z94" s="117">
        <v>42048</v>
      </c>
      <c r="AA94" s="118">
        <v>11509</v>
      </c>
      <c r="AB94" s="62" t="s">
        <v>483</v>
      </c>
      <c r="AC94" s="117">
        <v>42052</v>
      </c>
      <c r="AD94" s="117">
        <v>42417</v>
      </c>
      <c r="AE94" s="154"/>
      <c r="AF94" s="2"/>
      <c r="AG94" s="65">
        <v>102499.95</v>
      </c>
      <c r="AH94" s="120"/>
      <c r="AI94" s="115"/>
      <c r="AJ94" s="115"/>
      <c r="AK94" s="115"/>
      <c r="AL94" s="498"/>
      <c r="AM94" s="532"/>
      <c r="AN94" s="530"/>
      <c r="AO94" s="498"/>
      <c r="AP94" s="463"/>
      <c r="AQ94" s="121"/>
      <c r="AR94" s="121"/>
      <c r="AS94" s="463"/>
      <c r="AT94" s="463"/>
      <c r="AU94" s="463"/>
      <c r="AV94" s="463"/>
      <c r="AW94" s="463"/>
      <c r="AX94" s="463"/>
      <c r="AY94" s="463"/>
      <c r="AZ94" s="463"/>
      <c r="BA94" s="463"/>
      <c r="BB94" s="463"/>
      <c r="BC94" s="463"/>
      <c r="BD94" s="463"/>
      <c r="BE94" s="463"/>
      <c r="BF94" s="463"/>
      <c r="BG94" s="463"/>
      <c r="BH94" s="463"/>
      <c r="BI94" s="463"/>
      <c r="BJ94" s="463"/>
      <c r="BK94" s="463"/>
      <c r="BL94" s="463"/>
      <c r="BM94" s="463"/>
    </row>
    <row r="95" spans="1:65" ht="51" x14ac:dyDescent="0.2">
      <c r="A95" s="420"/>
      <c r="B95" s="421"/>
      <c r="C95" s="423"/>
      <c r="D95" s="409"/>
      <c r="E95" s="411"/>
      <c r="F95" s="409"/>
      <c r="G95" s="426"/>
      <c r="H95" s="458"/>
      <c r="I95" s="457"/>
      <c r="J95" s="457"/>
      <c r="K95" s="461"/>
      <c r="L95" s="409"/>
      <c r="M95" s="409"/>
      <c r="N95" s="437"/>
      <c r="O95" s="447"/>
      <c r="P95" s="448"/>
      <c r="Q95" s="437"/>
      <c r="R95" s="437"/>
      <c r="S95" s="429"/>
      <c r="T95" s="429"/>
      <c r="U95" s="429"/>
      <c r="V95" s="429"/>
      <c r="W95" s="429"/>
      <c r="X95" s="429"/>
      <c r="Y95" s="124" t="s">
        <v>193</v>
      </c>
      <c r="Z95" s="117">
        <v>42417</v>
      </c>
      <c r="AA95" s="118">
        <v>11752</v>
      </c>
      <c r="AB95" s="62" t="s">
        <v>724</v>
      </c>
      <c r="AC95" s="117">
        <v>42417</v>
      </c>
      <c r="AD95" s="117">
        <v>42783</v>
      </c>
      <c r="AE95" s="154"/>
      <c r="AF95" s="2"/>
      <c r="AG95" s="65">
        <v>102499.95</v>
      </c>
      <c r="AH95" s="120"/>
      <c r="AI95" s="114"/>
      <c r="AJ95" s="114"/>
      <c r="AK95" s="114"/>
      <c r="AL95" s="498"/>
      <c r="AM95" s="532"/>
      <c r="AN95" s="530"/>
      <c r="AO95" s="498"/>
      <c r="AP95" s="450"/>
      <c r="AQ95" s="30"/>
      <c r="AR95" s="30"/>
      <c r="AS95" s="450"/>
      <c r="AT95" s="450"/>
      <c r="AU95" s="450"/>
      <c r="AV95" s="450"/>
      <c r="AW95" s="450"/>
      <c r="AX95" s="450"/>
      <c r="AY95" s="450"/>
      <c r="AZ95" s="450"/>
      <c r="BA95" s="450"/>
      <c r="BB95" s="450"/>
      <c r="BC95" s="450"/>
      <c r="BD95" s="450"/>
      <c r="BE95" s="450"/>
      <c r="BF95" s="450"/>
      <c r="BG95" s="450"/>
      <c r="BH95" s="450"/>
      <c r="BI95" s="450"/>
      <c r="BJ95" s="450"/>
      <c r="BK95" s="450"/>
      <c r="BL95" s="450"/>
      <c r="BM95" s="450"/>
    </row>
    <row r="96" spans="1:65" ht="89.25" x14ac:dyDescent="0.2">
      <c r="A96" s="404"/>
      <c r="B96" s="419"/>
      <c r="C96" s="424"/>
      <c r="D96" s="406"/>
      <c r="E96" s="412"/>
      <c r="F96" s="406"/>
      <c r="G96" s="406"/>
      <c r="H96" s="412"/>
      <c r="I96" s="428"/>
      <c r="J96" s="428"/>
      <c r="K96" s="412"/>
      <c r="L96" s="406"/>
      <c r="M96" s="406"/>
      <c r="N96" s="428"/>
      <c r="O96" s="428"/>
      <c r="P96" s="428"/>
      <c r="Q96" s="428"/>
      <c r="R96" s="428"/>
      <c r="S96" s="428"/>
      <c r="T96" s="428"/>
      <c r="U96" s="428"/>
      <c r="V96" s="428"/>
      <c r="W96" s="428"/>
      <c r="X96" s="428"/>
      <c r="Y96" s="124" t="s">
        <v>194</v>
      </c>
      <c r="Z96" s="117">
        <v>42783</v>
      </c>
      <c r="AA96" s="118">
        <v>12011</v>
      </c>
      <c r="AB96" s="62" t="s">
        <v>1426</v>
      </c>
      <c r="AC96" s="117">
        <v>42783</v>
      </c>
      <c r="AD96" s="117">
        <v>43148</v>
      </c>
      <c r="AE96" s="154"/>
      <c r="AF96" s="2"/>
      <c r="AG96" s="65">
        <v>102499.95</v>
      </c>
      <c r="AH96" s="120"/>
      <c r="AI96" s="115"/>
      <c r="AJ96" s="115"/>
      <c r="AK96" s="115"/>
      <c r="AL96" s="499"/>
      <c r="AM96" s="501"/>
      <c r="AN96" s="531"/>
      <c r="AO96" s="499"/>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row>
    <row r="97" spans="1:65" ht="76.5" x14ac:dyDescent="0.2">
      <c r="A97" s="403">
        <v>19</v>
      </c>
      <c r="B97" s="418" t="s">
        <v>271</v>
      </c>
      <c r="C97" s="422" t="s">
        <v>208</v>
      </c>
      <c r="D97" s="405" t="s">
        <v>272</v>
      </c>
      <c r="E97" s="410" t="s">
        <v>126</v>
      </c>
      <c r="F97" s="405" t="s">
        <v>1370</v>
      </c>
      <c r="G97" s="425" t="s">
        <v>367</v>
      </c>
      <c r="H97" s="489"/>
      <c r="I97" s="489"/>
      <c r="J97" s="489"/>
      <c r="K97" s="460" t="s">
        <v>236</v>
      </c>
      <c r="L97" s="405" t="s">
        <v>273</v>
      </c>
      <c r="M97" s="405" t="s">
        <v>274</v>
      </c>
      <c r="N97" s="431">
        <v>41698</v>
      </c>
      <c r="O97" s="430">
        <v>15600</v>
      </c>
      <c r="P97" s="438" t="s">
        <v>777</v>
      </c>
      <c r="Q97" s="431">
        <v>41699</v>
      </c>
      <c r="R97" s="431">
        <v>42064</v>
      </c>
      <c r="S97" s="427" t="s">
        <v>135</v>
      </c>
      <c r="T97" s="427"/>
      <c r="U97" s="427"/>
      <c r="V97" s="427"/>
      <c r="W97" s="427" t="s">
        <v>275</v>
      </c>
      <c r="X97" s="427"/>
      <c r="Y97" s="124" t="s">
        <v>138</v>
      </c>
      <c r="Z97" s="117">
        <v>42062</v>
      </c>
      <c r="AA97" s="118">
        <v>11513</v>
      </c>
      <c r="AB97" s="20" t="s">
        <v>484</v>
      </c>
      <c r="AC97" s="117">
        <v>42063</v>
      </c>
      <c r="AD97" s="117">
        <v>42428</v>
      </c>
      <c r="AE97" s="1">
        <v>3.8498999999999999</v>
      </c>
      <c r="AF97" s="2"/>
      <c r="AG97" s="65">
        <v>16200.6</v>
      </c>
      <c r="AH97" s="120"/>
      <c r="AI97" s="125"/>
      <c r="AJ97" s="125"/>
      <c r="AK97" s="125"/>
      <c r="AL97" s="497">
        <f>O97-AH97+AG97-AH98+AG98-AH99+AG99-AH100+AG100</f>
        <v>64201.799999999996</v>
      </c>
      <c r="AM97" s="500">
        <f>13000+16100.5+1350.05+1350.05+1350.05+1350.05+1350.05+1350.05+1350.05+1350.05+1350.05+1350.05+1350.05+1350.05</f>
        <v>45301.100000000028</v>
      </c>
      <c r="AN97" s="529">
        <f>1350.05+1350.05+1350.05+495</f>
        <v>4545.1499999999996</v>
      </c>
      <c r="AO97" s="497">
        <f>AM97+AN97</f>
        <v>49846.250000000029</v>
      </c>
      <c r="AP97" s="449"/>
      <c r="AQ97" s="29"/>
      <c r="AR97" s="29"/>
      <c r="AS97" s="449"/>
      <c r="AT97" s="592"/>
      <c r="AU97" s="592"/>
      <c r="AV97" s="592" t="s">
        <v>122</v>
      </c>
      <c r="AW97" s="410" t="s">
        <v>375</v>
      </c>
      <c r="AX97" s="548" t="s">
        <v>774</v>
      </c>
      <c r="AY97" s="453">
        <v>41684</v>
      </c>
      <c r="AZ97" s="548" t="s">
        <v>848</v>
      </c>
      <c r="BA97" s="453">
        <v>41689</v>
      </c>
      <c r="BB97" s="410"/>
      <c r="BC97" s="410"/>
      <c r="BD97" s="410"/>
      <c r="BE97" s="410"/>
      <c r="BF97" s="410"/>
      <c r="BG97" s="410"/>
      <c r="BH97" s="410"/>
      <c r="BI97" s="410"/>
      <c r="BJ97" s="410"/>
      <c r="BK97" s="410"/>
      <c r="BL97" s="410"/>
      <c r="BM97" s="410"/>
    </row>
    <row r="98" spans="1:65" ht="76.5" x14ac:dyDescent="0.2">
      <c r="A98" s="420"/>
      <c r="B98" s="421"/>
      <c r="C98" s="423"/>
      <c r="D98" s="409"/>
      <c r="E98" s="411"/>
      <c r="F98" s="409"/>
      <c r="G98" s="426"/>
      <c r="H98" s="429"/>
      <c r="I98" s="429"/>
      <c r="J98" s="429"/>
      <c r="K98" s="461"/>
      <c r="L98" s="409"/>
      <c r="M98" s="409"/>
      <c r="N98" s="437"/>
      <c r="O98" s="447"/>
      <c r="P98" s="448"/>
      <c r="Q98" s="437"/>
      <c r="R98" s="437"/>
      <c r="S98" s="429"/>
      <c r="T98" s="429"/>
      <c r="U98" s="429"/>
      <c r="V98" s="429"/>
      <c r="W98" s="429"/>
      <c r="X98" s="429"/>
      <c r="Y98" s="124" t="s">
        <v>144</v>
      </c>
      <c r="Z98" s="117">
        <v>42426</v>
      </c>
      <c r="AA98" s="118">
        <v>11752</v>
      </c>
      <c r="AB98" s="20" t="s">
        <v>725</v>
      </c>
      <c r="AC98" s="117">
        <v>42063</v>
      </c>
      <c r="AD98" s="117">
        <v>42794</v>
      </c>
      <c r="AE98" s="1"/>
      <c r="AF98" s="2"/>
      <c r="AG98" s="65">
        <v>16200.6</v>
      </c>
      <c r="AH98" s="120"/>
      <c r="AI98" s="114"/>
      <c r="AJ98" s="114"/>
      <c r="AK98" s="114"/>
      <c r="AL98" s="498"/>
      <c r="AM98" s="532"/>
      <c r="AN98" s="530"/>
      <c r="AO98" s="498"/>
      <c r="AP98" s="463"/>
      <c r="AQ98" s="463"/>
      <c r="AR98" s="30"/>
      <c r="AS98" s="450"/>
      <c r="AT98" s="594"/>
      <c r="AU98" s="594"/>
      <c r="AV98" s="594"/>
      <c r="AW98" s="412"/>
      <c r="AX98" s="550"/>
      <c r="AY98" s="455"/>
      <c r="AZ98" s="550"/>
      <c r="BA98" s="455"/>
      <c r="BB98" s="412"/>
      <c r="BC98" s="412"/>
      <c r="BD98" s="412"/>
      <c r="BE98" s="412"/>
      <c r="BF98" s="412"/>
      <c r="BG98" s="412"/>
      <c r="BH98" s="412"/>
      <c r="BI98" s="412"/>
      <c r="BJ98" s="412"/>
      <c r="BK98" s="412"/>
      <c r="BL98" s="412"/>
      <c r="BM98" s="412"/>
    </row>
    <row r="99" spans="1:65" ht="76.5" x14ac:dyDescent="0.2">
      <c r="A99" s="420"/>
      <c r="B99" s="421"/>
      <c r="C99" s="423"/>
      <c r="D99" s="409"/>
      <c r="E99" s="411"/>
      <c r="F99" s="409"/>
      <c r="G99" s="409"/>
      <c r="H99" s="429"/>
      <c r="I99" s="429"/>
      <c r="J99" s="429"/>
      <c r="K99" s="411"/>
      <c r="L99" s="409"/>
      <c r="M99" s="409"/>
      <c r="N99" s="429"/>
      <c r="O99" s="429"/>
      <c r="P99" s="429"/>
      <c r="Q99" s="429"/>
      <c r="R99" s="429"/>
      <c r="S99" s="429"/>
      <c r="T99" s="429"/>
      <c r="U99" s="429"/>
      <c r="V99" s="429"/>
      <c r="W99" s="429"/>
      <c r="X99" s="428"/>
      <c r="Y99" s="124" t="s">
        <v>193</v>
      </c>
      <c r="Z99" s="117">
        <v>42790</v>
      </c>
      <c r="AA99" s="118">
        <v>12012</v>
      </c>
      <c r="AB99" s="20" t="s">
        <v>1434</v>
      </c>
      <c r="AC99" s="117">
        <v>42794</v>
      </c>
      <c r="AD99" s="117">
        <v>43159</v>
      </c>
      <c r="AE99" s="1"/>
      <c r="AF99" s="2"/>
      <c r="AG99" s="65">
        <v>16200.6</v>
      </c>
      <c r="AH99" s="120"/>
      <c r="AI99" s="115"/>
      <c r="AJ99" s="115"/>
      <c r="AK99" s="115"/>
      <c r="AL99" s="498"/>
      <c r="AM99" s="532"/>
      <c r="AN99" s="530"/>
      <c r="AO99" s="498"/>
      <c r="AP99" s="450"/>
      <c r="AQ99" s="450"/>
      <c r="AR99" s="121"/>
      <c r="AS99" s="121"/>
      <c r="AT99" s="126"/>
      <c r="AU99" s="126"/>
      <c r="AV99" s="126"/>
      <c r="AW99" s="25"/>
      <c r="AX99" s="155"/>
      <c r="AY99" s="156"/>
      <c r="AZ99" s="155"/>
      <c r="BA99" s="156"/>
      <c r="BB99" s="25"/>
      <c r="BC99" s="25"/>
      <c r="BD99" s="25"/>
      <c r="BE99" s="25"/>
      <c r="BF99" s="25"/>
      <c r="BG99" s="25"/>
      <c r="BH99" s="25"/>
      <c r="BI99" s="25"/>
      <c r="BJ99" s="25"/>
      <c r="BK99" s="26"/>
      <c r="BL99" s="26"/>
      <c r="BM99" s="26"/>
    </row>
    <row r="100" spans="1:65" ht="89.25" x14ac:dyDescent="0.2">
      <c r="A100" s="404"/>
      <c r="B100" s="419"/>
      <c r="C100" s="424"/>
      <c r="D100" s="406"/>
      <c r="E100" s="412"/>
      <c r="F100" s="406"/>
      <c r="G100" s="406"/>
      <c r="H100" s="428"/>
      <c r="I100" s="428"/>
      <c r="J100" s="428"/>
      <c r="K100" s="412"/>
      <c r="L100" s="406"/>
      <c r="M100" s="406"/>
      <c r="N100" s="428"/>
      <c r="O100" s="428"/>
      <c r="P100" s="428"/>
      <c r="Q100" s="428"/>
      <c r="R100" s="428"/>
      <c r="S100" s="428"/>
      <c r="T100" s="428"/>
      <c r="U100" s="428"/>
      <c r="V100" s="428"/>
      <c r="W100" s="428"/>
      <c r="X100" s="61"/>
      <c r="Y100" s="124" t="s">
        <v>742</v>
      </c>
      <c r="Z100" s="117">
        <v>42837</v>
      </c>
      <c r="AA100" s="118">
        <v>12040</v>
      </c>
      <c r="AB100" s="20" t="s">
        <v>1519</v>
      </c>
      <c r="AC100" s="117"/>
      <c r="AD100" s="117"/>
      <c r="AE100" s="1"/>
      <c r="AF100" s="2"/>
      <c r="AG100" s="65"/>
      <c r="AH100" s="120"/>
      <c r="AI100" s="115"/>
      <c r="AJ100" s="115"/>
      <c r="AK100" s="115"/>
      <c r="AL100" s="499"/>
      <c r="AM100" s="501"/>
      <c r="AN100" s="531"/>
      <c r="AO100" s="499"/>
      <c r="AP100" s="121"/>
      <c r="AQ100" s="121"/>
      <c r="AR100" s="121"/>
      <c r="AS100" s="121"/>
      <c r="AT100" s="126"/>
      <c r="AU100" s="126"/>
      <c r="AV100" s="126"/>
      <c r="AW100" s="25"/>
      <c r="AX100" s="155"/>
      <c r="AY100" s="156"/>
      <c r="AZ100" s="155"/>
      <c r="BA100" s="156"/>
      <c r="BB100" s="25"/>
      <c r="BC100" s="25"/>
      <c r="BD100" s="25"/>
      <c r="BE100" s="25"/>
      <c r="BF100" s="25"/>
      <c r="BG100" s="25"/>
      <c r="BH100" s="25"/>
      <c r="BI100" s="25"/>
      <c r="BJ100" s="25"/>
      <c r="BK100" s="26"/>
      <c r="BL100" s="26"/>
      <c r="BM100" s="26"/>
    </row>
    <row r="101" spans="1:65" ht="140.25" x14ac:dyDescent="0.2">
      <c r="A101" s="403">
        <v>20</v>
      </c>
      <c r="B101" s="418" t="s">
        <v>277</v>
      </c>
      <c r="C101" s="422" t="s">
        <v>965</v>
      </c>
      <c r="D101" s="405" t="s">
        <v>278</v>
      </c>
      <c r="E101" s="410" t="s">
        <v>126</v>
      </c>
      <c r="F101" s="405" t="s">
        <v>564</v>
      </c>
      <c r="G101" s="425" t="s">
        <v>824</v>
      </c>
      <c r="H101" s="132"/>
      <c r="I101" s="132"/>
      <c r="J101" s="132"/>
      <c r="K101" s="460" t="s">
        <v>234</v>
      </c>
      <c r="L101" s="405" t="s">
        <v>279</v>
      </c>
      <c r="M101" s="405" t="s">
        <v>280</v>
      </c>
      <c r="N101" s="432">
        <v>41751</v>
      </c>
      <c r="O101" s="487">
        <v>3591779.25</v>
      </c>
      <c r="P101" s="443" t="s">
        <v>778</v>
      </c>
      <c r="Q101" s="432">
        <v>41751</v>
      </c>
      <c r="R101" s="432">
        <v>42110</v>
      </c>
      <c r="S101" s="410" t="s">
        <v>433</v>
      </c>
      <c r="T101" s="410" t="s">
        <v>434</v>
      </c>
      <c r="U101" s="529">
        <v>4055081.96</v>
      </c>
      <c r="V101" s="660"/>
      <c r="W101" s="410" t="s">
        <v>251</v>
      </c>
      <c r="X101" s="24"/>
      <c r="Y101" s="124" t="s">
        <v>138</v>
      </c>
      <c r="Z101" s="117">
        <v>41814</v>
      </c>
      <c r="AA101" s="118">
        <v>11337</v>
      </c>
      <c r="AB101" s="20" t="s">
        <v>502</v>
      </c>
      <c r="AC101" s="117"/>
      <c r="AD101" s="117"/>
      <c r="AE101" s="157">
        <f>AG101/O101*100</f>
        <v>8.8355095876229028E-2</v>
      </c>
      <c r="AF101" s="158">
        <f>AH101/O101*100</f>
        <v>7.874760120628238E-2</v>
      </c>
      <c r="AG101" s="65">
        <v>3173.52</v>
      </c>
      <c r="AH101" s="119">
        <v>2828.44</v>
      </c>
      <c r="AI101" s="159"/>
      <c r="AJ101" s="159"/>
      <c r="AK101" s="159"/>
      <c r="AL101" s="487">
        <f>O101-AH101+AG101-AH102+AG102-AH103+AG103-AH104+AG104-AH105+AG105-AH106+AG106-AH107+AG107-AH108+AG108-AH109+AG109-AH110+AG110-AH111+AG111</f>
        <v>4895636.5600000015</v>
      </c>
      <c r="AM101" s="500">
        <f>852159.19+1765716.01+58882.18+224152.63+278464.33+222951.42+281997.02+297554.13+338695.38+71070.69+77177.66+16150+134022.92</f>
        <v>4618993.5600000005</v>
      </c>
      <c r="AN101" s="529">
        <f>136438.95+134022.92</f>
        <v>270461.87</v>
      </c>
      <c r="AO101" s="497">
        <f>AM101+AN101</f>
        <v>4889455.4300000006</v>
      </c>
      <c r="AP101" s="449"/>
      <c r="AQ101" s="29"/>
      <c r="AR101" s="29"/>
      <c r="AS101" s="449"/>
      <c r="AT101" s="592"/>
      <c r="AU101" s="592"/>
      <c r="AV101" s="592"/>
      <c r="AW101" s="592"/>
      <c r="AX101" s="592"/>
      <c r="AY101" s="592"/>
      <c r="AZ101" s="592"/>
      <c r="BA101" s="592"/>
      <c r="BB101" s="410" t="s">
        <v>373</v>
      </c>
      <c r="BC101" s="480" t="s">
        <v>184</v>
      </c>
      <c r="BD101" s="432">
        <v>41780</v>
      </c>
      <c r="BE101" s="432">
        <f>BD101+360</f>
        <v>42140</v>
      </c>
      <c r="BF101" s="410"/>
      <c r="BG101" s="410"/>
      <c r="BH101" s="432">
        <v>41780</v>
      </c>
      <c r="BI101" s="410" t="s">
        <v>1216</v>
      </c>
      <c r="BJ101" s="410" t="s">
        <v>1217</v>
      </c>
      <c r="BK101" s="2"/>
      <c r="BL101" s="2"/>
      <c r="BM101" s="2"/>
    </row>
    <row r="102" spans="1:65" ht="63.75" x14ac:dyDescent="0.2">
      <c r="A102" s="420"/>
      <c r="B102" s="421"/>
      <c r="C102" s="423"/>
      <c r="D102" s="409"/>
      <c r="E102" s="411"/>
      <c r="F102" s="409"/>
      <c r="G102" s="426"/>
      <c r="H102" s="133"/>
      <c r="I102" s="133"/>
      <c r="J102" s="133"/>
      <c r="K102" s="461"/>
      <c r="L102" s="409"/>
      <c r="M102" s="409"/>
      <c r="N102" s="433"/>
      <c r="O102" s="528"/>
      <c r="P102" s="444"/>
      <c r="Q102" s="433"/>
      <c r="R102" s="433"/>
      <c r="S102" s="411"/>
      <c r="T102" s="411"/>
      <c r="U102" s="530"/>
      <c r="V102" s="661"/>
      <c r="W102" s="411"/>
      <c r="X102" s="25"/>
      <c r="Y102" s="124" t="s">
        <v>144</v>
      </c>
      <c r="Z102" s="117">
        <v>41824</v>
      </c>
      <c r="AA102" s="118">
        <v>11344</v>
      </c>
      <c r="AB102" s="20" t="s">
        <v>427</v>
      </c>
      <c r="AC102" s="117"/>
      <c r="AD102" s="117"/>
      <c r="AE102" s="1"/>
      <c r="AF102" s="160">
        <f>AH102/O101*100</f>
        <v>2.2621935911011234E-2</v>
      </c>
      <c r="AG102" s="65"/>
      <c r="AH102" s="119">
        <v>812.53</v>
      </c>
      <c r="AI102" s="161"/>
      <c r="AJ102" s="161"/>
      <c r="AK102" s="161"/>
      <c r="AL102" s="528"/>
      <c r="AM102" s="532"/>
      <c r="AN102" s="530"/>
      <c r="AO102" s="498"/>
      <c r="AP102" s="463"/>
      <c r="AQ102" s="121"/>
      <c r="AR102" s="121"/>
      <c r="AS102" s="463"/>
      <c r="AT102" s="593"/>
      <c r="AU102" s="593"/>
      <c r="AV102" s="593"/>
      <c r="AW102" s="593"/>
      <c r="AX102" s="593"/>
      <c r="AY102" s="593"/>
      <c r="AZ102" s="593"/>
      <c r="BA102" s="593"/>
      <c r="BB102" s="411"/>
      <c r="BC102" s="481"/>
      <c r="BD102" s="434"/>
      <c r="BE102" s="434"/>
      <c r="BF102" s="412"/>
      <c r="BG102" s="412"/>
      <c r="BH102" s="433"/>
      <c r="BI102" s="411"/>
      <c r="BJ102" s="411"/>
      <c r="BK102" s="2"/>
      <c r="BL102" s="2"/>
      <c r="BM102" s="2"/>
    </row>
    <row r="103" spans="1:65" ht="114.75" x14ac:dyDescent="0.2">
      <c r="A103" s="420"/>
      <c r="B103" s="421"/>
      <c r="C103" s="423"/>
      <c r="D103" s="409"/>
      <c r="E103" s="411"/>
      <c r="F103" s="409"/>
      <c r="G103" s="426"/>
      <c r="H103" s="133"/>
      <c r="I103" s="133"/>
      <c r="J103" s="133"/>
      <c r="K103" s="461"/>
      <c r="L103" s="409"/>
      <c r="M103" s="409"/>
      <c r="N103" s="433"/>
      <c r="O103" s="528"/>
      <c r="P103" s="444"/>
      <c r="Q103" s="433"/>
      <c r="R103" s="433"/>
      <c r="S103" s="411"/>
      <c r="T103" s="411"/>
      <c r="U103" s="530"/>
      <c r="V103" s="661"/>
      <c r="W103" s="411"/>
      <c r="X103" s="25"/>
      <c r="Y103" s="124" t="s">
        <v>193</v>
      </c>
      <c r="Z103" s="117">
        <v>41970</v>
      </c>
      <c r="AA103" s="118">
        <v>11447</v>
      </c>
      <c r="AB103" s="20" t="s">
        <v>435</v>
      </c>
      <c r="AC103" s="117"/>
      <c r="AD103" s="117"/>
      <c r="AE103" s="1">
        <v>9.1600079999999995</v>
      </c>
      <c r="AF103" s="158">
        <v>1.2609589999999999</v>
      </c>
      <c r="AG103" s="65">
        <v>329007.28000000003</v>
      </c>
      <c r="AH103" s="119">
        <v>45290.87</v>
      </c>
      <c r="AI103" s="161"/>
      <c r="AJ103" s="161"/>
      <c r="AK103" s="161"/>
      <c r="AL103" s="528"/>
      <c r="AM103" s="532"/>
      <c r="AN103" s="530"/>
      <c r="AO103" s="498"/>
      <c r="AP103" s="463"/>
      <c r="AQ103" s="121"/>
      <c r="AR103" s="121"/>
      <c r="AS103" s="463"/>
      <c r="AT103" s="593"/>
      <c r="AU103" s="593"/>
      <c r="AV103" s="593"/>
      <c r="AW103" s="593"/>
      <c r="AX103" s="593"/>
      <c r="AY103" s="593"/>
      <c r="AZ103" s="593"/>
      <c r="BA103" s="593"/>
      <c r="BB103" s="411"/>
      <c r="BC103" s="481"/>
      <c r="BD103" s="117"/>
      <c r="BE103" s="117"/>
      <c r="BF103" s="2"/>
      <c r="BG103" s="2"/>
      <c r="BH103" s="433"/>
      <c r="BI103" s="411"/>
      <c r="BJ103" s="411"/>
      <c r="BK103" s="2"/>
      <c r="BL103" s="2"/>
      <c r="BM103" s="2"/>
    </row>
    <row r="104" spans="1:65" ht="102" x14ac:dyDescent="0.2">
      <c r="A104" s="420"/>
      <c r="B104" s="421"/>
      <c r="C104" s="423"/>
      <c r="D104" s="409"/>
      <c r="E104" s="411"/>
      <c r="F104" s="409"/>
      <c r="G104" s="426"/>
      <c r="H104" s="133"/>
      <c r="I104" s="133"/>
      <c r="J104" s="133"/>
      <c r="K104" s="461"/>
      <c r="L104" s="409"/>
      <c r="M104" s="409"/>
      <c r="N104" s="433"/>
      <c r="O104" s="528"/>
      <c r="P104" s="444"/>
      <c r="Q104" s="433"/>
      <c r="R104" s="433"/>
      <c r="S104" s="411"/>
      <c r="T104" s="411"/>
      <c r="U104" s="530"/>
      <c r="V104" s="661"/>
      <c r="W104" s="411"/>
      <c r="X104" s="25"/>
      <c r="Y104" s="124" t="s">
        <v>576</v>
      </c>
      <c r="Z104" s="117">
        <v>41975</v>
      </c>
      <c r="AA104" s="118"/>
      <c r="AB104" s="20" t="s">
        <v>577</v>
      </c>
      <c r="AC104" s="117"/>
      <c r="AD104" s="117"/>
      <c r="AE104" s="1"/>
      <c r="AF104" s="158"/>
      <c r="AG104" s="65">
        <v>214201.43</v>
      </c>
      <c r="AH104" s="65"/>
      <c r="AI104" s="162"/>
      <c r="AJ104" s="162"/>
      <c r="AK104" s="162"/>
      <c r="AL104" s="528"/>
      <c r="AM104" s="532"/>
      <c r="AN104" s="530"/>
      <c r="AO104" s="498"/>
      <c r="AP104" s="463"/>
      <c r="AQ104" s="121"/>
      <c r="AR104" s="121"/>
      <c r="AS104" s="463"/>
      <c r="AT104" s="593"/>
      <c r="AU104" s="593"/>
      <c r="AV104" s="593"/>
      <c r="AW104" s="593"/>
      <c r="AX104" s="593"/>
      <c r="AY104" s="593"/>
      <c r="AZ104" s="593"/>
      <c r="BA104" s="593"/>
      <c r="BB104" s="411"/>
      <c r="BC104" s="481"/>
      <c r="BD104" s="117"/>
      <c r="BE104" s="117"/>
      <c r="BF104" s="2"/>
      <c r="BG104" s="2"/>
      <c r="BH104" s="433"/>
      <c r="BI104" s="411"/>
      <c r="BJ104" s="411"/>
      <c r="BK104" s="2"/>
      <c r="BL104" s="2"/>
      <c r="BM104" s="2"/>
    </row>
    <row r="105" spans="1:65" ht="63.75" x14ac:dyDescent="0.2">
      <c r="A105" s="420"/>
      <c r="B105" s="421"/>
      <c r="C105" s="423"/>
      <c r="D105" s="409"/>
      <c r="E105" s="411"/>
      <c r="F105" s="409"/>
      <c r="G105" s="426"/>
      <c r="H105" s="133"/>
      <c r="I105" s="133"/>
      <c r="J105" s="133"/>
      <c r="K105" s="461"/>
      <c r="L105" s="409"/>
      <c r="M105" s="409"/>
      <c r="N105" s="433"/>
      <c r="O105" s="528"/>
      <c r="P105" s="444"/>
      <c r="Q105" s="433"/>
      <c r="R105" s="433"/>
      <c r="S105" s="411"/>
      <c r="T105" s="411"/>
      <c r="U105" s="530"/>
      <c r="V105" s="661"/>
      <c r="W105" s="411"/>
      <c r="X105" s="25"/>
      <c r="Y105" s="124" t="s">
        <v>194</v>
      </c>
      <c r="Z105" s="117">
        <v>42107</v>
      </c>
      <c r="AA105" s="118">
        <v>11545</v>
      </c>
      <c r="AB105" s="20" t="s">
        <v>501</v>
      </c>
      <c r="AC105" s="117">
        <v>42110</v>
      </c>
      <c r="AD105" s="117">
        <v>42470</v>
      </c>
      <c r="AE105" s="1"/>
      <c r="AF105" s="158"/>
      <c r="AG105" s="65"/>
      <c r="AH105" s="65"/>
      <c r="AI105" s="162"/>
      <c r="AJ105" s="162"/>
      <c r="AK105" s="162"/>
      <c r="AL105" s="528"/>
      <c r="AM105" s="532"/>
      <c r="AN105" s="530"/>
      <c r="AO105" s="498"/>
      <c r="AP105" s="463"/>
      <c r="AQ105" s="121"/>
      <c r="AR105" s="121"/>
      <c r="AS105" s="463"/>
      <c r="AT105" s="593"/>
      <c r="AU105" s="593"/>
      <c r="AV105" s="593"/>
      <c r="AW105" s="593"/>
      <c r="AX105" s="593"/>
      <c r="AY105" s="593"/>
      <c r="AZ105" s="593"/>
      <c r="BA105" s="593"/>
      <c r="BB105" s="411"/>
      <c r="BC105" s="481"/>
      <c r="BD105" s="117">
        <v>42140</v>
      </c>
      <c r="BE105" s="117">
        <v>42500</v>
      </c>
      <c r="BF105" s="2"/>
      <c r="BG105" s="2"/>
      <c r="BH105" s="434"/>
      <c r="BI105" s="411"/>
      <c r="BJ105" s="411"/>
      <c r="BK105" s="2"/>
      <c r="BL105" s="2"/>
      <c r="BM105" s="2"/>
    </row>
    <row r="106" spans="1:65" ht="114.75" x14ac:dyDescent="0.2">
      <c r="A106" s="420"/>
      <c r="B106" s="421"/>
      <c r="C106" s="423"/>
      <c r="D106" s="409"/>
      <c r="E106" s="411"/>
      <c r="F106" s="409"/>
      <c r="G106" s="426"/>
      <c r="H106" s="133"/>
      <c r="I106" s="133"/>
      <c r="J106" s="133"/>
      <c r="K106" s="461"/>
      <c r="L106" s="409"/>
      <c r="M106" s="409"/>
      <c r="N106" s="433"/>
      <c r="O106" s="528"/>
      <c r="P106" s="444"/>
      <c r="Q106" s="433"/>
      <c r="R106" s="433"/>
      <c r="S106" s="411"/>
      <c r="T106" s="411"/>
      <c r="U106" s="530"/>
      <c r="V106" s="661"/>
      <c r="W106" s="411"/>
      <c r="X106" s="25"/>
      <c r="Y106" s="124" t="s">
        <v>195</v>
      </c>
      <c r="Z106" s="117">
        <v>42236</v>
      </c>
      <c r="AA106" s="118">
        <v>11626</v>
      </c>
      <c r="AB106" s="20" t="s">
        <v>565</v>
      </c>
      <c r="AC106" s="117"/>
      <c r="AD106" s="117"/>
      <c r="AE106" s="1"/>
      <c r="AF106" s="158"/>
      <c r="AG106" s="65">
        <v>201344.75</v>
      </c>
      <c r="AH106" s="65">
        <v>88046.17</v>
      </c>
      <c r="AI106" s="162"/>
      <c r="AJ106" s="162"/>
      <c r="AK106" s="162"/>
      <c r="AL106" s="528"/>
      <c r="AM106" s="532"/>
      <c r="AN106" s="530"/>
      <c r="AO106" s="498"/>
      <c r="AP106" s="463"/>
      <c r="AQ106" s="121"/>
      <c r="AR106" s="121"/>
      <c r="AS106" s="463"/>
      <c r="AT106" s="593"/>
      <c r="AU106" s="593"/>
      <c r="AV106" s="593"/>
      <c r="AW106" s="593"/>
      <c r="AX106" s="593"/>
      <c r="AY106" s="593"/>
      <c r="AZ106" s="593"/>
      <c r="BA106" s="593"/>
      <c r="BB106" s="411"/>
      <c r="BC106" s="481"/>
      <c r="BD106" s="117"/>
      <c r="BE106" s="117"/>
      <c r="BF106" s="2"/>
      <c r="BG106" s="2"/>
      <c r="BH106" s="117"/>
      <c r="BI106" s="411"/>
      <c r="BJ106" s="411"/>
      <c r="BK106" s="2"/>
      <c r="BL106" s="2"/>
      <c r="BM106" s="2"/>
    </row>
    <row r="107" spans="1:65" ht="63.75" x14ac:dyDescent="0.2">
      <c r="A107" s="420"/>
      <c r="B107" s="421"/>
      <c r="C107" s="423"/>
      <c r="D107" s="409"/>
      <c r="E107" s="411"/>
      <c r="F107" s="409"/>
      <c r="G107" s="426"/>
      <c r="H107" s="133"/>
      <c r="I107" s="133"/>
      <c r="J107" s="133"/>
      <c r="K107" s="461"/>
      <c r="L107" s="409"/>
      <c r="M107" s="409"/>
      <c r="N107" s="433"/>
      <c r="O107" s="528"/>
      <c r="P107" s="444"/>
      <c r="Q107" s="433"/>
      <c r="R107" s="433"/>
      <c r="S107" s="411"/>
      <c r="T107" s="411"/>
      <c r="U107" s="530"/>
      <c r="V107" s="661"/>
      <c r="W107" s="411"/>
      <c r="X107" s="25"/>
      <c r="Y107" s="124" t="s">
        <v>118</v>
      </c>
      <c r="Z107" s="117">
        <v>42464</v>
      </c>
      <c r="AA107" s="118">
        <v>11778</v>
      </c>
      <c r="AB107" s="20" t="s">
        <v>862</v>
      </c>
      <c r="AC107" s="117"/>
      <c r="AD107" s="117"/>
      <c r="AE107" s="1"/>
      <c r="AF107" s="158"/>
      <c r="AG107" s="65">
        <v>265367.48</v>
      </c>
      <c r="AH107" s="65"/>
      <c r="AI107" s="162"/>
      <c r="AJ107" s="162"/>
      <c r="AK107" s="162"/>
      <c r="AL107" s="528"/>
      <c r="AM107" s="532"/>
      <c r="AN107" s="530"/>
      <c r="AO107" s="498"/>
      <c r="AP107" s="463"/>
      <c r="AQ107" s="121"/>
      <c r="AR107" s="121"/>
      <c r="AS107" s="463"/>
      <c r="AT107" s="593"/>
      <c r="AU107" s="593"/>
      <c r="AV107" s="593"/>
      <c r="AW107" s="593"/>
      <c r="AX107" s="593"/>
      <c r="AY107" s="593"/>
      <c r="AZ107" s="593"/>
      <c r="BA107" s="593"/>
      <c r="BB107" s="411"/>
      <c r="BC107" s="481"/>
      <c r="BD107" s="117"/>
      <c r="BE107" s="117"/>
      <c r="BF107" s="2"/>
      <c r="BG107" s="2"/>
      <c r="BH107" s="117"/>
      <c r="BI107" s="411"/>
      <c r="BJ107" s="411"/>
      <c r="BK107" s="24"/>
      <c r="BL107" s="24"/>
      <c r="BM107" s="24"/>
    </row>
    <row r="108" spans="1:65" ht="102" x14ac:dyDescent="0.2">
      <c r="A108" s="420"/>
      <c r="B108" s="421"/>
      <c r="C108" s="423"/>
      <c r="D108" s="409"/>
      <c r="E108" s="411"/>
      <c r="F108" s="409"/>
      <c r="G108" s="426"/>
      <c r="H108" s="133"/>
      <c r="I108" s="133"/>
      <c r="J108" s="133"/>
      <c r="K108" s="461"/>
      <c r="L108" s="409"/>
      <c r="M108" s="409"/>
      <c r="N108" s="433"/>
      <c r="O108" s="528"/>
      <c r="P108" s="444"/>
      <c r="Q108" s="433"/>
      <c r="R108" s="433"/>
      <c r="S108" s="411"/>
      <c r="T108" s="411"/>
      <c r="U108" s="530"/>
      <c r="V108" s="661"/>
      <c r="W108" s="411"/>
      <c r="X108" s="25"/>
      <c r="Y108" s="124" t="s">
        <v>121</v>
      </c>
      <c r="Z108" s="117">
        <v>42468</v>
      </c>
      <c r="AA108" s="118">
        <v>11787</v>
      </c>
      <c r="AB108" s="20" t="s">
        <v>882</v>
      </c>
      <c r="AC108" s="117">
        <v>42470</v>
      </c>
      <c r="AD108" s="117">
        <v>42830</v>
      </c>
      <c r="AE108" s="163"/>
      <c r="AF108" s="158"/>
      <c r="AG108" s="65"/>
      <c r="AH108" s="65"/>
      <c r="AI108" s="162"/>
      <c r="AJ108" s="162"/>
      <c r="AK108" s="162"/>
      <c r="AL108" s="528"/>
      <c r="AM108" s="532"/>
      <c r="AN108" s="530"/>
      <c r="AO108" s="498"/>
      <c r="AP108" s="463"/>
      <c r="AQ108" s="121"/>
      <c r="AR108" s="121"/>
      <c r="AS108" s="463"/>
      <c r="AT108" s="593"/>
      <c r="AU108" s="593"/>
      <c r="AV108" s="593"/>
      <c r="AW108" s="593"/>
      <c r="AX108" s="593"/>
      <c r="AY108" s="593"/>
      <c r="AZ108" s="593"/>
      <c r="BA108" s="593"/>
      <c r="BB108" s="411"/>
      <c r="BC108" s="481"/>
      <c r="BD108" s="117">
        <v>42500</v>
      </c>
      <c r="BE108" s="117">
        <v>42860</v>
      </c>
      <c r="BF108" s="2"/>
      <c r="BG108" s="2"/>
      <c r="BH108" s="164"/>
      <c r="BI108" s="411"/>
      <c r="BJ108" s="411"/>
      <c r="BK108" s="24"/>
      <c r="BL108" s="24"/>
      <c r="BM108" s="24"/>
    </row>
    <row r="109" spans="1:65" ht="114.75" x14ac:dyDescent="0.2">
      <c r="A109" s="420"/>
      <c r="B109" s="421"/>
      <c r="C109" s="423"/>
      <c r="D109" s="409"/>
      <c r="E109" s="411"/>
      <c r="F109" s="409"/>
      <c r="G109" s="426"/>
      <c r="H109" s="133"/>
      <c r="I109" s="133"/>
      <c r="J109" s="133"/>
      <c r="K109" s="461"/>
      <c r="L109" s="409"/>
      <c r="M109" s="409"/>
      <c r="N109" s="433"/>
      <c r="O109" s="528"/>
      <c r="P109" s="444"/>
      <c r="Q109" s="433"/>
      <c r="R109" s="433"/>
      <c r="S109" s="411"/>
      <c r="T109" s="411"/>
      <c r="U109" s="530"/>
      <c r="V109" s="661"/>
      <c r="W109" s="411"/>
      <c r="X109" s="25"/>
      <c r="Y109" s="124" t="s">
        <v>119</v>
      </c>
      <c r="Z109" s="117">
        <v>42606</v>
      </c>
      <c r="AA109" s="118">
        <v>11879</v>
      </c>
      <c r="AB109" s="20" t="s">
        <v>978</v>
      </c>
      <c r="AC109" s="117"/>
      <c r="AD109" s="117"/>
      <c r="AE109" s="1"/>
      <c r="AF109" s="158"/>
      <c r="AG109" s="65">
        <v>83256.12</v>
      </c>
      <c r="AH109" s="65">
        <v>73470.69</v>
      </c>
      <c r="AI109" s="162"/>
      <c r="AJ109" s="162"/>
      <c r="AK109" s="162"/>
      <c r="AL109" s="528"/>
      <c r="AM109" s="532"/>
      <c r="AN109" s="530"/>
      <c r="AO109" s="498"/>
      <c r="AP109" s="450"/>
      <c r="AQ109" s="30"/>
      <c r="AR109" s="30"/>
      <c r="AS109" s="450"/>
      <c r="AT109" s="594"/>
      <c r="AU109" s="594"/>
      <c r="AV109" s="594"/>
      <c r="AW109" s="594"/>
      <c r="AX109" s="594"/>
      <c r="AY109" s="594"/>
      <c r="AZ109" s="594"/>
      <c r="BA109" s="594"/>
      <c r="BB109" s="412"/>
      <c r="BC109" s="482"/>
      <c r="BD109" s="117"/>
      <c r="BE109" s="117"/>
      <c r="BF109" s="2"/>
      <c r="BG109" s="2"/>
      <c r="BH109" s="164"/>
      <c r="BI109" s="412"/>
      <c r="BJ109" s="412"/>
      <c r="BK109" s="24"/>
      <c r="BL109" s="24"/>
      <c r="BM109" s="24"/>
    </row>
    <row r="110" spans="1:65" ht="76.5" x14ac:dyDescent="0.2">
      <c r="A110" s="420"/>
      <c r="B110" s="421"/>
      <c r="C110" s="423"/>
      <c r="D110" s="409"/>
      <c r="E110" s="411"/>
      <c r="F110" s="409"/>
      <c r="G110" s="426"/>
      <c r="H110" s="133"/>
      <c r="I110" s="133"/>
      <c r="J110" s="133"/>
      <c r="K110" s="461"/>
      <c r="L110" s="409"/>
      <c r="M110" s="409"/>
      <c r="N110" s="433"/>
      <c r="O110" s="528"/>
      <c r="P110" s="444"/>
      <c r="Q110" s="433"/>
      <c r="R110" s="433"/>
      <c r="S110" s="411"/>
      <c r="T110" s="411"/>
      <c r="U110" s="530"/>
      <c r="V110" s="661"/>
      <c r="W110" s="411"/>
      <c r="X110" s="25"/>
      <c r="Y110" s="124" t="s">
        <v>374</v>
      </c>
      <c r="Z110" s="117">
        <v>42642</v>
      </c>
      <c r="AA110" s="118">
        <v>11912</v>
      </c>
      <c r="AB110" s="20" t="s">
        <v>1012</v>
      </c>
      <c r="AC110" s="117"/>
      <c r="AD110" s="117"/>
      <c r="AE110" s="1"/>
      <c r="AF110" s="158"/>
      <c r="AG110" s="65">
        <v>15886.65</v>
      </c>
      <c r="AH110" s="65"/>
      <c r="AI110" s="162"/>
      <c r="AJ110" s="162"/>
      <c r="AK110" s="162"/>
      <c r="AL110" s="528"/>
      <c r="AM110" s="532"/>
      <c r="AN110" s="530"/>
      <c r="AO110" s="498"/>
      <c r="AP110" s="121"/>
      <c r="AQ110" s="121"/>
      <c r="AR110" s="121"/>
      <c r="AS110" s="121"/>
      <c r="AT110" s="126"/>
      <c r="AU110" s="126"/>
      <c r="AV110" s="126"/>
      <c r="AW110" s="126"/>
      <c r="AX110" s="126"/>
      <c r="AY110" s="126"/>
      <c r="AZ110" s="126"/>
      <c r="BA110" s="126"/>
      <c r="BB110" s="25"/>
      <c r="BC110" s="165"/>
      <c r="BD110" s="117"/>
      <c r="BE110" s="117"/>
      <c r="BF110" s="2"/>
      <c r="BG110" s="2"/>
      <c r="BH110" s="164"/>
      <c r="BI110" s="24"/>
      <c r="BJ110" s="24"/>
      <c r="BK110" s="24"/>
      <c r="BL110" s="24"/>
      <c r="BM110" s="24"/>
    </row>
    <row r="111" spans="1:65" ht="76.5" x14ac:dyDescent="0.2">
      <c r="A111" s="404"/>
      <c r="B111" s="419"/>
      <c r="C111" s="424"/>
      <c r="D111" s="406"/>
      <c r="E111" s="412"/>
      <c r="F111" s="406"/>
      <c r="G111" s="459"/>
      <c r="H111" s="134"/>
      <c r="I111" s="134"/>
      <c r="J111" s="134"/>
      <c r="K111" s="462"/>
      <c r="L111" s="406"/>
      <c r="M111" s="406"/>
      <c r="N111" s="434"/>
      <c r="O111" s="488"/>
      <c r="P111" s="445"/>
      <c r="Q111" s="434"/>
      <c r="R111" s="434"/>
      <c r="S111" s="412"/>
      <c r="T111" s="412"/>
      <c r="U111" s="531"/>
      <c r="V111" s="662"/>
      <c r="W111" s="412"/>
      <c r="X111" s="26"/>
      <c r="Y111" s="124" t="s">
        <v>518</v>
      </c>
      <c r="Z111" s="117">
        <v>42723</v>
      </c>
      <c r="AA111" s="118">
        <v>11963</v>
      </c>
      <c r="AB111" s="20" t="s">
        <v>1060</v>
      </c>
      <c r="AC111" s="117"/>
      <c r="AD111" s="117"/>
      <c r="AE111" s="1"/>
      <c r="AF111" s="158"/>
      <c r="AG111" s="65">
        <v>402068.78</v>
      </c>
      <c r="AH111" s="65"/>
      <c r="AI111" s="166"/>
      <c r="AJ111" s="166"/>
      <c r="AK111" s="166"/>
      <c r="AL111" s="488"/>
      <c r="AM111" s="501"/>
      <c r="AN111" s="531"/>
      <c r="AO111" s="499"/>
      <c r="AP111" s="121"/>
      <c r="AQ111" s="121"/>
      <c r="AR111" s="121"/>
      <c r="AS111" s="121"/>
      <c r="AT111" s="126"/>
      <c r="AU111" s="126"/>
      <c r="AV111" s="126"/>
      <c r="AW111" s="126"/>
      <c r="AX111" s="126"/>
      <c r="AY111" s="126"/>
      <c r="AZ111" s="126"/>
      <c r="BA111" s="126"/>
      <c r="BB111" s="25"/>
      <c r="BC111" s="165"/>
      <c r="BD111" s="117"/>
      <c r="BE111" s="117"/>
      <c r="BF111" s="2"/>
      <c r="BG111" s="2"/>
      <c r="BH111" s="164"/>
      <c r="BI111" s="24"/>
      <c r="BJ111" s="24"/>
      <c r="BK111" s="24"/>
      <c r="BL111" s="24"/>
      <c r="BM111" s="24"/>
    </row>
    <row r="112" spans="1:65" ht="51" x14ac:dyDescent="0.2">
      <c r="A112" s="403">
        <v>21</v>
      </c>
      <c r="B112" s="418" t="s">
        <v>284</v>
      </c>
      <c r="C112" s="422" t="s">
        <v>213</v>
      </c>
      <c r="D112" s="405" t="s">
        <v>183</v>
      </c>
      <c r="E112" s="410" t="s">
        <v>126</v>
      </c>
      <c r="F112" s="405" t="s">
        <v>285</v>
      </c>
      <c r="G112" s="425" t="s">
        <v>825</v>
      </c>
      <c r="H112" s="439"/>
      <c r="I112" s="439"/>
      <c r="J112" s="439"/>
      <c r="K112" s="460" t="s">
        <v>233</v>
      </c>
      <c r="L112" s="405" t="s">
        <v>942</v>
      </c>
      <c r="M112" s="405" t="s">
        <v>283</v>
      </c>
      <c r="N112" s="432">
        <v>41774</v>
      </c>
      <c r="O112" s="487">
        <v>484635.86</v>
      </c>
      <c r="P112" s="443" t="s">
        <v>779</v>
      </c>
      <c r="Q112" s="432">
        <v>41788</v>
      </c>
      <c r="R112" s="432">
        <v>41972</v>
      </c>
      <c r="S112" s="410" t="s">
        <v>286</v>
      </c>
      <c r="T112" s="410"/>
      <c r="U112" s="410"/>
      <c r="V112" s="410"/>
      <c r="W112" s="410" t="s">
        <v>251</v>
      </c>
      <c r="X112" s="24"/>
      <c r="Y112" s="124"/>
      <c r="Z112" s="117"/>
      <c r="AA112" s="2"/>
      <c r="AB112" s="20"/>
      <c r="AC112" s="117"/>
      <c r="AD112" s="117"/>
      <c r="AE112" s="1"/>
      <c r="AF112" s="2"/>
      <c r="AG112" s="65"/>
      <c r="AH112" s="120"/>
      <c r="AI112" s="125"/>
      <c r="AJ112" s="125"/>
      <c r="AK112" s="125"/>
      <c r="AL112" s="487">
        <f>O112-AH113+AG113-AH114+AG114-AH115+AG115-AH116+AG116-AH117+AG117-AH118+AG118-AH119+AG119-AH120+AG120-AH121+AG121</f>
        <v>429954.44</v>
      </c>
      <c r="AM112" s="500">
        <f>0+143363.45+18075.61+14080.48+14771.1+105007.45+55322.04+37147.89</f>
        <v>387768.02</v>
      </c>
      <c r="AN112" s="529">
        <f>11477.31+2753.62+21635.9</f>
        <v>35866.83</v>
      </c>
      <c r="AO112" s="497">
        <f>AM112+AN112</f>
        <v>423634.85000000003</v>
      </c>
      <c r="AP112" s="148"/>
      <c r="AQ112" s="148"/>
      <c r="AR112" s="148"/>
      <c r="AS112" s="148"/>
      <c r="AT112" s="150"/>
      <c r="AU112" s="150"/>
      <c r="AV112" s="137"/>
      <c r="AW112" s="150"/>
      <c r="AX112" s="150"/>
      <c r="AY112" s="150"/>
      <c r="AZ112" s="150"/>
      <c r="BA112" s="150"/>
      <c r="BB112" s="123" t="s">
        <v>373</v>
      </c>
      <c r="BC112" s="21" t="s">
        <v>184</v>
      </c>
      <c r="BD112" s="117">
        <v>41788</v>
      </c>
      <c r="BE112" s="117">
        <v>41972</v>
      </c>
      <c r="BF112" s="2"/>
      <c r="BG112" s="2"/>
      <c r="BH112" s="117">
        <v>41788</v>
      </c>
      <c r="BI112" s="410" t="s">
        <v>1216</v>
      </c>
      <c r="BJ112" s="410" t="s">
        <v>1217</v>
      </c>
      <c r="BK112" s="2"/>
      <c r="BL112" s="2"/>
      <c r="BM112" s="2"/>
    </row>
    <row r="113" spans="1:65" ht="153" x14ac:dyDescent="0.2">
      <c r="A113" s="420"/>
      <c r="B113" s="421"/>
      <c r="C113" s="423"/>
      <c r="D113" s="409"/>
      <c r="E113" s="411"/>
      <c r="F113" s="409"/>
      <c r="G113" s="426"/>
      <c r="H113" s="458"/>
      <c r="I113" s="458"/>
      <c r="J113" s="458"/>
      <c r="K113" s="461"/>
      <c r="L113" s="409"/>
      <c r="M113" s="409"/>
      <c r="N113" s="433"/>
      <c r="O113" s="528"/>
      <c r="P113" s="444"/>
      <c r="Q113" s="433"/>
      <c r="R113" s="433"/>
      <c r="S113" s="411"/>
      <c r="T113" s="411"/>
      <c r="U113" s="411"/>
      <c r="V113" s="411"/>
      <c r="W113" s="411"/>
      <c r="X113" s="25"/>
      <c r="Y113" s="124" t="s">
        <v>138</v>
      </c>
      <c r="Z113" s="117">
        <v>41962</v>
      </c>
      <c r="AA113" s="118">
        <v>11449</v>
      </c>
      <c r="AB113" s="20" t="s">
        <v>863</v>
      </c>
      <c r="AC113" s="117">
        <v>41972</v>
      </c>
      <c r="AD113" s="117">
        <v>42152</v>
      </c>
      <c r="AE113" s="1"/>
      <c r="AF113" s="2"/>
      <c r="AG113" s="65"/>
      <c r="AH113" s="120"/>
      <c r="AI113" s="115"/>
      <c r="AJ113" s="115"/>
      <c r="AK113" s="115"/>
      <c r="AL113" s="528"/>
      <c r="AM113" s="532"/>
      <c r="AN113" s="530"/>
      <c r="AO113" s="498"/>
      <c r="AP113" s="148"/>
      <c r="AQ113" s="148"/>
      <c r="AR113" s="148"/>
      <c r="AS113" s="148"/>
      <c r="AT113" s="150"/>
      <c r="AU113" s="150"/>
      <c r="AV113" s="137"/>
      <c r="AW113" s="150"/>
      <c r="AX113" s="150"/>
      <c r="AY113" s="150"/>
      <c r="AZ113" s="150"/>
      <c r="BA113" s="150"/>
      <c r="BB113" s="167"/>
      <c r="BC113" s="168"/>
      <c r="BD113" s="117"/>
      <c r="BE113" s="117"/>
      <c r="BF113" s="2"/>
      <c r="BG113" s="2"/>
      <c r="BH113" s="117"/>
      <c r="BI113" s="411"/>
      <c r="BJ113" s="411"/>
      <c r="BK113" s="117">
        <v>41799</v>
      </c>
      <c r="BL113" s="2"/>
      <c r="BM113" s="62" t="s">
        <v>436</v>
      </c>
    </row>
    <row r="114" spans="1:65" ht="51" x14ac:dyDescent="0.2">
      <c r="A114" s="420"/>
      <c r="B114" s="421"/>
      <c r="C114" s="423"/>
      <c r="D114" s="409"/>
      <c r="E114" s="411"/>
      <c r="F114" s="409"/>
      <c r="G114" s="426"/>
      <c r="H114" s="458"/>
      <c r="I114" s="458"/>
      <c r="J114" s="458"/>
      <c r="K114" s="461"/>
      <c r="L114" s="409"/>
      <c r="M114" s="409"/>
      <c r="N114" s="433"/>
      <c r="O114" s="528"/>
      <c r="P114" s="444"/>
      <c r="Q114" s="433"/>
      <c r="R114" s="433"/>
      <c r="S114" s="411"/>
      <c r="T114" s="411"/>
      <c r="U114" s="411"/>
      <c r="V114" s="411"/>
      <c r="W114" s="411"/>
      <c r="X114" s="25"/>
      <c r="Y114" s="124" t="s">
        <v>144</v>
      </c>
      <c r="Z114" s="117">
        <v>42151</v>
      </c>
      <c r="AA114" s="118">
        <v>11568</v>
      </c>
      <c r="AB114" s="20" t="s">
        <v>513</v>
      </c>
      <c r="AC114" s="117">
        <v>42152</v>
      </c>
      <c r="AD114" s="117">
        <v>42332</v>
      </c>
      <c r="AE114" s="1"/>
      <c r="AF114" s="2"/>
      <c r="AG114" s="65"/>
      <c r="AH114" s="120"/>
      <c r="AI114" s="115"/>
      <c r="AJ114" s="115"/>
      <c r="AK114" s="115"/>
      <c r="AL114" s="528"/>
      <c r="AM114" s="532"/>
      <c r="AN114" s="530"/>
      <c r="AO114" s="498"/>
      <c r="AP114" s="148"/>
      <c r="AQ114" s="148"/>
      <c r="AR114" s="148"/>
      <c r="AS114" s="148"/>
      <c r="AT114" s="150"/>
      <c r="AU114" s="150"/>
      <c r="AV114" s="137"/>
      <c r="AW114" s="150"/>
      <c r="AX114" s="150"/>
      <c r="AY114" s="150"/>
      <c r="AZ114" s="150"/>
      <c r="BA114" s="150"/>
      <c r="BB114" s="167"/>
      <c r="BC114" s="168"/>
      <c r="BD114" s="117">
        <v>42278</v>
      </c>
      <c r="BE114" s="117">
        <v>42430</v>
      </c>
      <c r="BF114" s="2"/>
      <c r="BG114" s="2"/>
      <c r="BH114" s="117">
        <v>42278</v>
      </c>
      <c r="BI114" s="411"/>
      <c r="BJ114" s="411"/>
      <c r="BK114" s="117">
        <v>42278</v>
      </c>
      <c r="BL114" s="2"/>
      <c r="BM114" s="2"/>
    </row>
    <row r="115" spans="1:65" ht="63.75" x14ac:dyDescent="0.2">
      <c r="A115" s="420"/>
      <c r="B115" s="421"/>
      <c r="C115" s="423"/>
      <c r="D115" s="409"/>
      <c r="E115" s="411"/>
      <c r="F115" s="409"/>
      <c r="G115" s="426"/>
      <c r="H115" s="458"/>
      <c r="I115" s="458"/>
      <c r="J115" s="458"/>
      <c r="K115" s="461"/>
      <c r="L115" s="409"/>
      <c r="M115" s="409"/>
      <c r="N115" s="433"/>
      <c r="O115" s="528"/>
      <c r="P115" s="444"/>
      <c r="Q115" s="433"/>
      <c r="R115" s="433"/>
      <c r="S115" s="411"/>
      <c r="T115" s="411"/>
      <c r="U115" s="411"/>
      <c r="V115" s="411"/>
      <c r="W115" s="411"/>
      <c r="X115" s="167"/>
      <c r="Y115" s="124" t="s">
        <v>193</v>
      </c>
      <c r="Z115" s="117">
        <v>42332</v>
      </c>
      <c r="AA115" s="118">
        <v>11742</v>
      </c>
      <c r="AB115" s="20" t="s">
        <v>708</v>
      </c>
      <c r="AC115" s="117">
        <v>42332</v>
      </c>
      <c r="AD115" s="117">
        <v>42512</v>
      </c>
      <c r="AE115" s="1"/>
      <c r="AF115" s="2"/>
      <c r="AG115" s="65"/>
      <c r="AH115" s="120"/>
      <c r="AI115" s="115"/>
      <c r="AJ115" s="115"/>
      <c r="AK115" s="115"/>
      <c r="AL115" s="528"/>
      <c r="AM115" s="532"/>
      <c r="AN115" s="530"/>
      <c r="AO115" s="498"/>
      <c r="AP115" s="148"/>
      <c r="AQ115" s="148"/>
      <c r="AR115" s="148"/>
      <c r="AS115" s="148"/>
      <c r="AT115" s="150"/>
      <c r="AU115" s="150"/>
      <c r="AV115" s="137"/>
      <c r="AW115" s="150"/>
      <c r="AX115" s="150"/>
      <c r="AY115" s="150"/>
      <c r="AZ115" s="150"/>
      <c r="BA115" s="150"/>
      <c r="BB115" s="167"/>
      <c r="BC115" s="168"/>
      <c r="BD115" s="117"/>
      <c r="BE115" s="117"/>
      <c r="BF115" s="2"/>
      <c r="BG115" s="2"/>
      <c r="BH115" s="117"/>
      <c r="BI115" s="411"/>
      <c r="BJ115" s="411"/>
      <c r="BK115" s="117"/>
      <c r="BL115" s="2"/>
      <c r="BM115" s="2"/>
    </row>
    <row r="116" spans="1:65" ht="102" x14ac:dyDescent="0.2">
      <c r="A116" s="420"/>
      <c r="B116" s="421"/>
      <c r="C116" s="423"/>
      <c r="D116" s="409"/>
      <c r="E116" s="411"/>
      <c r="F116" s="409"/>
      <c r="G116" s="426"/>
      <c r="H116" s="458"/>
      <c r="I116" s="458"/>
      <c r="J116" s="458"/>
      <c r="K116" s="461"/>
      <c r="L116" s="409"/>
      <c r="M116" s="409"/>
      <c r="N116" s="433"/>
      <c r="O116" s="528"/>
      <c r="P116" s="444"/>
      <c r="Q116" s="433"/>
      <c r="R116" s="433"/>
      <c r="S116" s="411"/>
      <c r="T116" s="411"/>
      <c r="U116" s="411"/>
      <c r="V116" s="411"/>
      <c r="W116" s="411"/>
      <c r="X116" s="167"/>
      <c r="Y116" s="124" t="s">
        <v>194</v>
      </c>
      <c r="Z116" s="117">
        <v>42430</v>
      </c>
      <c r="AA116" s="118">
        <v>11776</v>
      </c>
      <c r="AB116" s="20" t="s">
        <v>864</v>
      </c>
      <c r="AC116" s="117" t="s">
        <v>856</v>
      </c>
      <c r="AD116" s="117" t="s">
        <v>857</v>
      </c>
      <c r="AE116" s="169"/>
      <c r="AF116" s="24"/>
      <c r="AG116" s="170"/>
      <c r="AH116" s="125"/>
      <c r="AI116" s="115"/>
      <c r="AJ116" s="115"/>
      <c r="AK116" s="115"/>
      <c r="AL116" s="528"/>
      <c r="AM116" s="532"/>
      <c r="AN116" s="530"/>
      <c r="AO116" s="498"/>
      <c r="AP116" s="151"/>
      <c r="AQ116" s="151"/>
      <c r="AR116" s="151"/>
      <c r="AS116" s="151"/>
      <c r="AT116" s="152"/>
      <c r="AU116" s="152"/>
      <c r="AV116" s="153"/>
      <c r="AW116" s="152"/>
      <c r="AX116" s="152"/>
      <c r="AY116" s="152"/>
      <c r="AZ116" s="152"/>
      <c r="BA116" s="152"/>
      <c r="BB116" s="167"/>
      <c r="BC116" s="168"/>
      <c r="BD116" s="164" t="s">
        <v>858</v>
      </c>
      <c r="BE116" s="164">
        <v>42580</v>
      </c>
      <c r="BF116" s="24"/>
      <c r="BG116" s="24"/>
      <c r="BH116" s="164"/>
      <c r="BI116" s="411"/>
      <c r="BJ116" s="411"/>
      <c r="BK116" s="164"/>
      <c r="BL116" s="24"/>
      <c r="BM116" s="24"/>
    </row>
    <row r="117" spans="1:65" ht="102" x14ac:dyDescent="0.2">
      <c r="A117" s="420"/>
      <c r="B117" s="421"/>
      <c r="C117" s="423"/>
      <c r="D117" s="409"/>
      <c r="E117" s="411"/>
      <c r="F117" s="409"/>
      <c r="G117" s="426"/>
      <c r="H117" s="458"/>
      <c r="I117" s="458"/>
      <c r="J117" s="458"/>
      <c r="K117" s="461"/>
      <c r="L117" s="409"/>
      <c r="M117" s="409"/>
      <c r="N117" s="433"/>
      <c r="O117" s="528"/>
      <c r="P117" s="444"/>
      <c r="Q117" s="433"/>
      <c r="R117" s="433"/>
      <c r="S117" s="411"/>
      <c r="T117" s="411"/>
      <c r="U117" s="411"/>
      <c r="V117" s="411"/>
      <c r="W117" s="411"/>
      <c r="X117" s="167"/>
      <c r="Y117" s="124" t="s">
        <v>195</v>
      </c>
      <c r="Z117" s="117">
        <v>42528</v>
      </c>
      <c r="AA117" s="118">
        <v>11830</v>
      </c>
      <c r="AB117" s="20" t="s">
        <v>935</v>
      </c>
      <c r="AC117" s="117"/>
      <c r="AD117" s="117"/>
      <c r="AE117" s="169"/>
      <c r="AF117" s="24"/>
      <c r="AG117" s="170">
        <v>51020.23</v>
      </c>
      <c r="AH117" s="125"/>
      <c r="AI117" s="115"/>
      <c r="AJ117" s="115"/>
      <c r="AK117" s="115"/>
      <c r="AL117" s="528"/>
      <c r="AM117" s="532"/>
      <c r="AN117" s="530"/>
      <c r="AO117" s="498"/>
      <c r="AP117" s="151"/>
      <c r="AQ117" s="151"/>
      <c r="AR117" s="151"/>
      <c r="AS117" s="151"/>
      <c r="AT117" s="152"/>
      <c r="AU117" s="152"/>
      <c r="AV117" s="153"/>
      <c r="AW117" s="152"/>
      <c r="AX117" s="152"/>
      <c r="AY117" s="152"/>
      <c r="AZ117" s="152"/>
      <c r="BA117" s="152"/>
      <c r="BB117" s="167"/>
      <c r="BC117" s="168"/>
      <c r="BD117" s="164"/>
      <c r="BE117" s="164"/>
      <c r="BF117" s="24"/>
      <c r="BG117" s="24"/>
      <c r="BH117" s="164"/>
      <c r="BI117" s="411"/>
      <c r="BJ117" s="411"/>
      <c r="BK117" s="164"/>
      <c r="BL117" s="24"/>
      <c r="BM117" s="24"/>
    </row>
    <row r="118" spans="1:65" ht="76.5" x14ac:dyDescent="0.2">
      <c r="A118" s="420"/>
      <c r="B118" s="421"/>
      <c r="C118" s="423"/>
      <c r="D118" s="409"/>
      <c r="E118" s="411"/>
      <c r="F118" s="409"/>
      <c r="G118" s="426"/>
      <c r="H118" s="458"/>
      <c r="I118" s="458"/>
      <c r="J118" s="458"/>
      <c r="K118" s="461"/>
      <c r="L118" s="409"/>
      <c r="M118" s="409"/>
      <c r="N118" s="433"/>
      <c r="O118" s="528"/>
      <c r="P118" s="444"/>
      <c r="Q118" s="433"/>
      <c r="R118" s="433"/>
      <c r="S118" s="411"/>
      <c r="T118" s="411"/>
      <c r="U118" s="411"/>
      <c r="V118" s="411"/>
      <c r="W118" s="411"/>
      <c r="X118" s="167"/>
      <c r="Y118" s="124" t="s">
        <v>118</v>
      </c>
      <c r="Z118" s="117">
        <v>42580</v>
      </c>
      <c r="AA118" s="118">
        <v>11910</v>
      </c>
      <c r="AB118" s="20" t="s">
        <v>1009</v>
      </c>
      <c r="AC118" s="117" t="s">
        <v>857</v>
      </c>
      <c r="AD118" s="117" t="s">
        <v>1010</v>
      </c>
      <c r="AE118" s="169"/>
      <c r="AF118" s="24"/>
      <c r="AG118" s="170"/>
      <c r="AH118" s="125"/>
      <c r="AI118" s="115"/>
      <c r="AJ118" s="115"/>
      <c r="AK118" s="115"/>
      <c r="AL118" s="528"/>
      <c r="AM118" s="532"/>
      <c r="AN118" s="530"/>
      <c r="AO118" s="498"/>
      <c r="AP118" s="151"/>
      <c r="AQ118" s="151"/>
      <c r="AR118" s="151"/>
      <c r="AS118" s="151"/>
      <c r="AT118" s="152"/>
      <c r="AU118" s="152"/>
      <c r="AV118" s="153"/>
      <c r="AW118" s="152"/>
      <c r="AX118" s="152"/>
      <c r="AY118" s="152"/>
      <c r="AZ118" s="152"/>
      <c r="BA118" s="152"/>
      <c r="BB118" s="167"/>
      <c r="BC118" s="168"/>
      <c r="BD118" s="164">
        <v>42580</v>
      </c>
      <c r="BE118" s="164">
        <v>42730</v>
      </c>
      <c r="BF118" s="24"/>
      <c r="BG118" s="24"/>
      <c r="BH118" s="164"/>
      <c r="BI118" s="411"/>
      <c r="BJ118" s="411"/>
      <c r="BK118" s="164"/>
      <c r="BL118" s="24"/>
      <c r="BM118" s="24"/>
    </row>
    <row r="119" spans="1:65" ht="127.5" x14ac:dyDescent="0.2">
      <c r="A119" s="420"/>
      <c r="B119" s="421"/>
      <c r="C119" s="423"/>
      <c r="D119" s="409"/>
      <c r="E119" s="411"/>
      <c r="F119" s="409"/>
      <c r="G119" s="426"/>
      <c r="H119" s="458"/>
      <c r="I119" s="458"/>
      <c r="J119" s="458"/>
      <c r="K119" s="461"/>
      <c r="L119" s="409"/>
      <c r="M119" s="409"/>
      <c r="N119" s="433"/>
      <c r="O119" s="528"/>
      <c r="P119" s="444"/>
      <c r="Q119" s="433"/>
      <c r="R119" s="433"/>
      <c r="S119" s="411"/>
      <c r="T119" s="411"/>
      <c r="U119" s="411"/>
      <c r="V119" s="411"/>
      <c r="W119" s="411"/>
      <c r="X119" s="167"/>
      <c r="Y119" s="124" t="s">
        <v>121</v>
      </c>
      <c r="Z119" s="117">
        <v>42668</v>
      </c>
      <c r="AA119" s="118">
        <v>11924</v>
      </c>
      <c r="AB119" s="20" t="s">
        <v>1034</v>
      </c>
      <c r="AC119" s="117"/>
      <c r="AD119" s="117"/>
      <c r="AE119" s="169"/>
      <c r="AF119" s="24"/>
      <c r="AG119" s="170">
        <v>47579.77</v>
      </c>
      <c r="AH119" s="125">
        <v>156498.51</v>
      </c>
      <c r="AI119" s="115"/>
      <c r="AJ119" s="115"/>
      <c r="AK119" s="115"/>
      <c r="AL119" s="528"/>
      <c r="AM119" s="532"/>
      <c r="AN119" s="530"/>
      <c r="AO119" s="498"/>
      <c r="AP119" s="151"/>
      <c r="AQ119" s="151"/>
      <c r="AR119" s="151"/>
      <c r="AS119" s="151"/>
      <c r="AT119" s="152"/>
      <c r="AU119" s="152"/>
      <c r="AV119" s="153"/>
      <c r="AW119" s="152"/>
      <c r="AX119" s="152"/>
      <c r="AY119" s="152"/>
      <c r="AZ119" s="152"/>
      <c r="BA119" s="152"/>
      <c r="BB119" s="167"/>
      <c r="BC119" s="171"/>
      <c r="BD119" s="164"/>
      <c r="BE119" s="164"/>
      <c r="BF119" s="24"/>
      <c r="BG119" s="24"/>
      <c r="BH119" s="164"/>
      <c r="BI119" s="412"/>
      <c r="BJ119" s="412"/>
      <c r="BK119" s="164"/>
      <c r="BL119" s="24"/>
      <c r="BM119" s="24"/>
    </row>
    <row r="120" spans="1:65" ht="63.75" x14ac:dyDescent="0.2">
      <c r="A120" s="420"/>
      <c r="B120" s="421"/>
      <c r="C120" s="423"/>
      <c r="D120" s="409"/>
      <c r="E120" s="411"/>
      <c r="F120" s="409"/>
      <c r="G120" s="426"/>
      <c r="H120" s="458"/>
      <c r="I120" s="458"/>
      <c r="J120" s="458"/>
      <c r="K120" s="461"/>
      <c r="L120" s="409"/>
      <c r="M120" s="409"/>
      <c r="N120" s="433"/>
      <c r="O120" s="528"/>
      <c r="P120" s="444"/>
      <c r="Q120" s="433"/>
      <c r="R120" s="433"/>
      <c r="S120" s="411"/>
      <c r="T120" s="411"/>
      <c r="U120" s="411"/>
      <c r="V120" s="411"/>
      <c r="W120" s="411"/>
      <c r="X120" s="167"/>
      <c r="Y120" s="124" t="s">
        <v>119</v>
      </c>
      <c r="Z120" s="117">
        <v>42729</v>
      </c>
      <c r="AA120" s="118">
        <v>11978</v>
      </c>
      <c r="AB120" s="20" t="s">
        <v>1151</v>
      </c>
      <c r="AC120" s="117">
        <v>42872</v>
      </c>
      <c r="AD120" s="117">
        <v>42932</v>
      </c>
      <c r="AE120" s="169"/>
      <c r="AF120" s="24"/>
      <c r="AG120" s="170"/>
      <c r="AH120" s="125"/>
      <c r="AI120" s="115"/>
      <c r="AJ120" s="115"/>
      <c r="AK120" s="115"/>
      <c r="AL120" s="528"/>
      <c r="AM120" s="532"/>
      <c r="AN120" s="530"/>
      <c r="AO120" s="498"/>
      <c r="AP120" s="151"/>
      <c r="AQ120" s="151"/>
      <c r="AR120" s="151"/>
      <c r="AS120" s="151"/>
      <c r="AT120" s="152"/>
      <c r="AU120" s="152"/>
      <c r="AV120" s="153"/>
      <c r="AW120" s="152"/>
      <c r="AX120" s="152"/>
      <c r="AY120" s="152"/>
      <c r="AZ120" s="152"/>
      <c r="BA120" s="152"/>
      <c r="BB120" s="167"/>
      <c r="BC120" s="165"/>
      <c r="BD120" s="164">
        <v>42730</v>
      </c>
      <c r="BE120" s="164">
        <v>42790</v>
      </c>
      <c r="BF120" s="24"/>
      <c r="BG120" s="24"/>
      <c r="BH120" s="164"/>
      <c r="BI120" s="25"/>
      <c r="BJ120" s="25"/>
      <c r="BK120" s="164"/>
      <c r="BL120" s="24"/>
      <c r="BM120" s="24"/>
    </row>
    <row r="121" spans="1:65" ht="114.75" x14ac:dyDescent="0.2">
      <c r="A121" s="420"/>
      <c r="B121" s="421"/>
      <c r="C121" s="423"/>
      <c r="D121" s="409"/>
      <c r="E121" s="411"/>
      <c r="F121" s="409"/>
      <c r="G121" s="426"/>
      <c r="H121" s="458"/>
      <c r="I121" s="458"/>
      <c r="J121" s="458"/>
      <c r="K121" s="461"/>
      <c r="L121" s="409"/>
      <c r="M121" s="409"/>
      <c r="N121" s="433"/>
      <c r="O121" s="528"/>
      <c r="P121" s="444"/>
      <c r="Q121" s="433"/>
      <c r="R121" s="433"/>
      <c r="S121" s="411"/>
      <c r="T121" s="411"/>
      <c r="U121" s="411"/>
      <c r="V121" s="411"/>
      <c r="W121" s="411"/>
      <c r="X121" s="167"/>
      <c r="Y121" s="124" t="s">
        <v>374</v>
      </c>
      <c r="Z121" s="117">
        <v>42787</v>
      </c>
      <c r="AA121" s="118">
        <v>12002</v>
      </c>
      <c r="AB121" s="20" t="s">
        <v>1363</v>
      </c>
      <c r="AC121" s="117"/>
      <c r="AD121" s="117"/>
      <c r="AE121" s="169"/>
      <c r="AF121" s="24"/>
      <c r="AG121" s="170">
        <v>4025.52</v>
      </c>
      <c r="AH121" s="125">
        <v>808.43</v>
      </c>
      <c r="AI121" s="115"/>
      <c r="AJ121" s="115"/>
      <c r="AK121" s="115"/>
      <c r="AL121" s="528"/>
      <c r="AM121" s="532"/>
      <c r="AN121" s="530"/>
      <c r="AO121" s="498"/>
      <c r="AP121" s="151"/>
      <c r="AQ121" s="151"/>
      <c r="AR121" s="151"/>
      <c r="AS121" s="151"/>
      <c r="AT121" s="152"/>
      <c r="AU121" s="152"/>
      <c r="AV121" s="153"/>
      <c r="AW121" s="152"/>
      <c r="AX121" s="152"/>
      <c r="AY121" s="152"/>
      <c r="AZ121" s="152"/>
      <c r="BA121" s="152"/>
      <c r="BB121" s="109"/>
      <c r="BC121" s="165"/>
      <c r="BD121" s="164"/>
      <c r="BE121" s="164"/>
      <c r="BF121" s="24"/>
      <c r="BG121" s="24"/>
      <c r="BH121" s="164"/>
      <c r="BI121" s="25"/>
      <c r="BJ121" s="25"/>
      <c r="BK121" s="164"/>
      <c r="BL121" s="24"/>
      <c r="BM121" s="24"/>
    </row>
    <row r="122" spans="1:65" ht="51" x14ac:dyDescent="0.2">
      <c r="A122" s="404"/>
      <c r="B122" s="419"/>
      <c r="C122" s="424"/>
      <c r="D122" s="406"/>
      <c r="E122" s="412"/>
      <c r="F122" s="406"/>
      <c r="G122" s="459"/>
      <c r="H122" s="440"/>
      <c r="I122" s="440"/>
      <c r="J122" s="440"/>
      <c r="K122" s="462"/>
      <c r="L122" s="406"/>
      <c r="M122" s="406"/>
      <c r="N122" s="434"/>
      <c r="O122" s="488"/>
      <c r="P122" s="445"/>
      <c r="Q122" s="434"/>
      <c r="R122" s="434"/>
      <c r="S122" s="412"/>
      <c r="T122" s="412"/>
      <c r="U122" s="412"/>
      <c r="V122" s="412"/>
      <c r="W122" s="412"/>
      <c r="X122" s="20" t="s">
        <v>1470</v>
      </c>
      <c r="Y122" s="124" t="s">
        <v>518</v>
      </c>
      <c r="Z122" s="117">
        <v>42930</v>
      </c>
      <c r="AA122" s="118">
        <v>12115</v>
      </c>
      <c r="AB122" s="20" t="s">
        <v>1777</v>
      </c>
      <c r="AC122" s="117">
        <v>42932</v>
      </c>
      <c r="AD122" s="117">
        <v>43112</v>
      </c>
      <c r="AE122" s="169"/>
      <c r="AF122" s="24"/>
      <c r="AG122" s="170"/>
      <c r="AH122" s="125"/>
      <c r="AI122" s="115"/>
      <c r="AJ122" s="115"/>
      <c r="AK122" s="115"/>
      <c r="AL122" s="488"/>
      <c r="AM122" s="501"/>
      <c r="AN122" s="531"/>
      <c r="AO122" s="499"/>
      <c r="AP122" s="151"/>
      <c r="AQ122" s="151"/>
      <c r="AR122" s="151"/>
      <c r="AS122" s="151"/>
      <c r="AT122" s="152"/>
      <c r="AU122" s="152"/>
      <c r="AV122" s="153"/>
      <c r="AW122" s="152"/>
      <c r="AX122" s="152"/>
      <c r="AY122" s="152"/>
      <c r="AZ122" s="152"/>
      <c r="BA122" s="152"/>
      <c r="BB122" s="167"/>
      <c r="BC122" s="165"/>
      <c r="BD122" s="164"/>
      <c r="BE122" s="164"/>
      <c r="BF122" s="24"/>
      <c r="BG122" s="24"/>
      <c r="BH122" s="164"/>
      <c r="BI122" s="25"/>
      <c r="BJ122" s="25"/>
      <c r="BK122" s="164"/>
      <c r="BL122" s="24"/>
      <c r="BM122" s="24"/>
    </row>
    <row r="123" spans="1:65" ht="25.5" x14ac:dyDescent="0.2">
      <c r="A123" s="403">
        <v>22</v>
      </c>
      <c r="B123" s="418" t="s">
        <v>412</v>
      </c>
      <c r="C123" s="422" t="s">
        <v>215</v>
      </c>
      <c r="D123" s="405" t="s">
        <v>183</v>
      </c>
      <c r="E123" s="410" t="s">
        <v>126</v>
      </c>
      <c r="F123" s="405" t="s">
        <v>416</v>
      </c>
      <c r="G123" s="425" t="s">
        <v>826</v>
      </c>
      <c r="H123" s="132"/>
      <c r="I123" s="132"/>
      <c r="J123" s="132"/>
      <c r="K123" s="460" t="s">
        <v>411</v>
      </c>
      <c r="L123" s="20" t="s">
        <v>2049</v>
      </c>
      <c r="M123" s="20" t="s">
        <v>414</v>
      </c>
      <c r="N123" s="432">
        <v>41795</v>
      </c>
      <c r="O123" s="487">
        <v>666377.13</v>
      </c>
      <c r="P123" s="443" t="s">
        <v>780</v>
      </c>
      <c r="Q123" s="432">
        <v>41878</v>
      </c>
      <c r="R123" s="432">
        <v>42062</v>
      </c>
      <c r="S123" s="410" t="s">
        <v>415</v>
      </c>
      <c r="T123" s="427"/>
      <c r="U123" s="427"/>
      <c r="V123" s="427"/>
      <c r="W123" s="410" t="s">
        <v>251</v>
      </c>
      <c r="X123" s="24"/>
      <c r="Y123" s="172"/>
      <c r="Z123" s="173"/>
      <c r="AA123" s="172"/>
      <c r="AB123" s="173"/>
      <c r="AC123" s="173"/>
      <c r="AD123" s="173"/>
      <c r="AE123" s="595"/>
      <c r="AF123" s="410"/>
      <c r="AG123" s="497"/>
      <c r="AH123" s="487"/>
      <c r="AI123" s="125"/>
      <c r="AJ123" s="125"/>
      <c r="AK123" s="125"/>
      <c r="AL123" s="487">
        <f>666377.13-AH125+AG125-AH126+AG126-AH127+AG127-AH128+AG128-AH129+AG129-AH130+AG130-AH131+AG131-AH132+AG132-AH134+AG134</f>
        <v>800837.03</v>
      </c>
      <c r="AM123" s="500">
        <f>0+426410.28+45437.22+0+19555.74+42458.72+32793.4+26670.72</f>
        <v>593326.07999999996</v>
      </c>
      <c r="AN123" s="529">
        <f>0+25145.4+29082.18+40000+102400</f>
        <v>196627.58000000002</v>
      </c>
      <c r="AO123" s="497">
        <f>AM123+AN123</f>
        <v>789953.65999999992</v>
      </c>
      <c r="AP123" s="592"/>
      <c r="AQ123" s="153"/>
      <c r="AR123" s="153"/>
      <c r="AS123" s="592"/>
      <c r="AT123" s="592"/>
      <c r="AU123" s="592"/>
      <c r="AV123" s="592"/>
      <c r="AW123" s="592"/>
      <c r="AX123" s="592"/>
      <c r="AY123" s="592"/>
      <c r="AZ123" s="592"/>
      <c r="BA123" s="592"/>
      <c r="BB123" s="410" t="s">
        <v>373</v>
      </c>
      <c r="BC123" s="410" t="s">
        <v>184</v>
      </c>
      <c r="BD123" s="432">
        <v>41880</v>
      </c>
      <c r="BE123" s="432">
        <v>42063</v>
      </c>
      <c r="BF123" s="410"/>
      <c r="BG123" s="410"/>
      <c r="BH123" s="432">
        <v>41880</v>
      </c>
      <c r="BI123" s="410" t="s">
        <v>1216</v>
      </c>
      <c r="BJ123" s="410" t="s">
        <v>1217</v>
      </c>
      <c r="BK123" s="410"/>
      <c r="BL123" s="432">
        <v>41995</v>
      </c>
      <c r="BM123" s="410" t="s">
        <v>613</v>
      </c>
    </row>
    <row r="124" spans="1:65" x14ac:dyDescent="0.2">
      <c r="A124" s="420"/>
      <c r="B124" s="421"/>
      <c r="C124" s="423"/>
      <c r="D124" s="409"/>
      <c r="E124" s="411"/>
      <c r="F124" s="409"/>
      <c r="G124" s="426"/>
      <c r="H124" s="133"/>
      <c r="I124" s="133"/>
      <c r="J124" s="133"/>
      <c r="K124" s="461"/>
      <c r="L124" s="20" t="s">
        <v>413</v>
      </c>
      <c r="M124" s="20" t="s">
        <v>125</v>
      </c>
      <c r="N124" s="433"/>
      <c r="O124" s="528"/>
      <c r="P124" s="444"/>
      <c r="Q124" s="433"/>
      <c r="R124" s="433"/>
      <c r="S124" s="411"/>
      <c r="T124" s="429"/>
      <c r="U124" s="429"/>
      <c r="V124" s="429"/>
      <c r="W124" s="411"/>
      <c r="X124" s="25"/>
      <c r="Y124" s="124"/>
      <c r="Z124" s="59"/>
      <c r="AA124" s="2"/>
      <c r="AB124" s="20"/>
      <c r="AC124" s="59"/>
      <c r="AD124" s="59"/>
      <c r="AE124" s="424"/>
      <c r="AF124" s="412"/>
      <c r="AG124" s="499"/>
      <c r="AH124" s="488"/>
      <c r="AI124" s="115"/>
      <c r="AJ124" s="115"/>
      <c r="AK124" s="115"/>
      <c r="AL124" s="528"/>
      <c r="AM124" s="532"/>
      <c r="AN124" s="530"/>
      <c r="AO124" s="498"/>
      <c r="AP124" s="594"/>
      <c r="AQ124" s="174"/>
      <c r="AR124" s="174"/>
      <c r="AS124" s="594"/>
      <c r="AT124" s="594"/>
      <c r="AU124" s="594"/>
      <c r="AV124" s="594"/>
      <c r="AW124" s="594"/>
      <c r="AX124" s="594"/>
      <c r="AY124" s="594"/>
      <c r="AZ124" s="594"/>
      <c r="BA124" s="594"/>
      <c r="BB124" s="411"/>
      <c r="BC124" s="411"/>
      <c r="BD124" s="434"/>
      <c r="BE124" s="434"/>
      <c r="BF124" s="412"/>
      <c r="BG124" s="412"/>
      <c r="BH124" s="434"/>
      <c r="BI124" s="411"/>
      <c r="BJ124" s="411"/>
      <c r="BK124" s="412"/>
      <c r="BL124" s="434"/>
      <c r="BM124" s="412"/>
    </row>
    <row r="125" spans="1:65" ht="140.25" x14ac:dyDescent="0.2">
      <c r="A125" s="420"/>
      <c r="B125" s="421"/>
      <c r="C125" s="423"/>
      <c r="D125" s="409"/>
      <c r="E125" s="411"/>
      <c r="F125" s="409"/>
      <c r="G125" s="426"/>
      <c r="H125" s="133"/>
      <c r="I125" s="133"/>
      <c r="J125" s="133"/>
      <c r="K125" s="461"/>
      <c r="L125" s="405"/>
      <c r="M125" s="405"/>
      <c r="N125" s="433"/>
      <c r="O125" s="528"/>
      <c r="P125" s="444"/>
      <c r="Q125" s="433"/>
      <c r="R125" s="433"/>
      <c r="S125" s="411"/>
      <c r="T125" s="429"/>
      <c r="U125" s="429"/>
      <c r="V125" s="429"/>
      <c r="W125" s="411"/>
      <c r="X125" s="25"/>
      <c r="Y125" s="175" t="s">
        <v>138</v>
      </c>
      <c r="Z125" s="176">
        <v>42062</v>
      </c>
      <c r="AA125" s="177">
        <v>11540</v>
      </c>
      <c r="AB125" s="123" t="s">
        <v>499</v>
      </c>
      <c r="AC125" s="176">
        <v>42062</v>
      </c>
      <c r="AD125" s="176">
        <v>42212</v>
      </c>
      <c r="AE125" s="112"/>
      <c r="AF125" s="26"/>
      <c r="AG125" s="113"/>
      <c r="AH125" s="114"/>
      <c r="AI125" s="115"/>
      <c r="AJ125" s="115"/>
      <c r="AK125" s="115"/>
      <c r="AL125" s="528"/>
      <c r="AM125" s="532"/>
      <c r="AN125" s="530"/>
      <c r="AO125" s="498"/>
      <c r="AP125" s="173"/>
      <c r="AQ125" s="173"/>
      <c r="AR125" s="173"/>
      <c r="AS125" s="173"/>
      <c r="AT125" s="173"/>
      <c r="AU125" s="173"/>
      <c r="AV125" s="173"/>
      <c r="AW125" s="173"/>
      <c r="AX125" s="173"/>
      <c r="AY125" s="173"/>
      <c r="AZ125" s="173"/>
      <c r="BA125" s="173"/>
      <c r="BB125" s="411"/>
      <c r="BC125" s="411"/>
      <c r="BD125" s="178">
        <v>42062</v>
      </c>
      <c r="BE125" s="178">
        <v>42212</v>
      </c>
      <c r="BF125" s="173"/>
      <c r="BG125" s="173"/>
      <c r="BH125" s="173"/>
      <c r="BI125" s="411"/>
      <c r="BJ125" s="411"/>
      <c r="BK125" s="173"/>
      <c r="BL125" s="178">
        <v>42284</v>
      </c>
      <c r="BM125" s="20" t="s">
        <v>612</v>
      </c>
    </row>
    <row r="126" spans="1:65" ht="51" x14ac:dyDescent="0.2">
      <c r="A126" s="420"/>
      <c r="B126" s="421"/>
      <c r="C126" s="423"/>
      <c r="D126" s="409"/>
      <c r="E126" s="411"/>
      <c r="F126" s="409"/>
      <c r="G126" s="426"/>
      <c r="H126" s="133"/>
      <c r="I126" s="133"/>
      <c r="J126" s="133"/>
      <c r="K126" s="461"/>
      <c r="L126" s="409"/>
      <c r="M126" s="409"/>
      <c r="N126" s="433"/>
      <c r="O126" s="528"/>
      <c r="P126" s="444"/>
      <c r="Q126" s="433"/>
      <c r="R126" s="433"/>
      <c r="S126" s="411"/>
      <c r="T126" s="429"/>
      <c r="U126" s="429"/>
      <c r="V126" s="429"/>
      <c r="W126" s="411"/>
      <c r="X126" s="25"/>
      <c r="Y126" s="175" t="s">
        <v>144</v>
      </c>
      <c r="Z126" s="176">
        <v>42212</v>
      </c>
      <c r="AA126" s="177">
        <v>11630</v>
      </c>
      <c r="AB126" s="123" t="s">
        <v>572</v>
      </c>
      <c r="AC126" s="176">
        <v>42212</v>
      </c>
      <c r="AD126" s="176">
        <v>42365</v>
      </c>
      <c r="AE126" s="112"/>
      <c r="AF126" s="26"/>
      <c r="AG126" s="113"/>
      <c r="AH126" s="114"/>
      <c r="AI126" s="115"/>
      <c r="AJ126" s="115"/>
      <c r="AK126" s="115"/>
      <c r="AL126" s="528"/>
      <c r="AM126" s="532"/>
      <c r="AN126" s="530"/>
      <c r="AO126" s="498"/>
      <c r="AP126" s="179"/>
      <c r="AQ126" s="179"/>
      <c r="AR126" s="179"/>
      <c r="AS126" s="179"/>
      <c r="AT126" s="179"/>
      <c r="AU126" s="179"/>
      <c r="AV126" s="179"/>
      <c r="AW126" s="179"/>
      <c r="AX126" s="179"/>
      <c r="AY126" s="179"/>
      <c r="AZ126" s="179"/>
      <c r="BA126" s="179"/>
      <c r="BB126" s="412"/>
      <c r="BC126" s="412"/>
      <c r="BD126" s="178"/>
      <c r="BE126" s="178"/>
      <c r="BF126" s="179"/>
      <c r="BG126" s="179"/>
      <c r="BH126" s="179"/>
      <c r="BI126" s="411"/>
      <c r="BJ126" s="411"/>
      <c r="BK126" s="179"/>
      <c r="BL126" s="179"/>
      <c r="BM126" s="180"/>
    </row>
    <row r="127" spans="1:65" ht="76.5" x14ac:dyDescent="0.2">
      <c r="A127" s="420"/>
      <c r="B127" s="421"/>
      <c r="C127" s="423"/>
      <c r="D127" s="409"/>
      <c r="E127" s="411"/>
      <c r="F127" s="409"/>
      <c r="G127" s="426"/>
      <c r="H127" s="133"/>
      <c r="I127" s="133"/>
      <c r="J127" s="133"/>
      <c r="K127" s="461"/>
      <c r="L127" s="409"/>
      <c r="M127" s="409"/>
      <c r="N127" s="433"/>
      <c r="O127" s="528"/>
      <c r="P127" s="444"/>
      <c r="Q127" s="433"/>
      <c r="R127" s="433"/>
      <c r="S127" s="411"/>
      <c r="T127" s="429"/>
      <c r="U127" s="429"/>
      <c r="V127" s="429"/>
      <c r="W127" s="411"/>
      <c r="X127" s="25"/>
      <c r="Y127" s="175" t="s">
        <v>193</v>
      </c>
      <c r="Z127" s="176">
        <v>42361</v>
      </c>
      <c r="AA127" s="177">
        <v>11738</v>
      </c>
      <c r="AB127" s="123" t="s">
        <v>900</v>
      </c>
      <c r="AC127" s="176">
        <v>42365</v>
      </c>
      <c r="AD127" s="176">
        <v>42517</v>
      </c>
      <c r="AE127" s="112"/>
      <c r="AF127" s="26"/>
      <c r="AG127" s="113"/>
      <c r="AH127" s="114"/>
      <c r="AI127" s="115"/>
      <c r="AJ127" s="115"/>
      <c r="AK127" s="115"/>
      <c r="AL127" s="528"/>
      <c r="AM127" s="532"/>
      <c r="AN127" s="530"/>
      <c r="AO127" s="498"/>
      <c r="AP127" s="179"/>
      <c r="AQ127" s="179"/>
      <c r="AR127" s="179"/>
      <c r="AS127" s="179"/>
      <c r="AT127" s="179"/>
      <c r="AU127" s="179"/>
      <c r="AV127" s="179"/>
      <c r="AW127" s="179"/>
      <c r="AX127" s="179"/>
      <c r="AY127" s="179"/>
      <c r="AZ127" s="179"/>
      <c r="BA127" s="179"/>
      <c r="BB127" s="25"/>
      <c r="BC127" s="25"/>
      <c r="BD127" s="178">
        <v>42365</v>
      </c>
      <c r="BE127" s="178" t="s">
        <v>899</v>
      </c>
      <c r="BF127" s="179"/>
      <c r="BG127" s="179"/>
      <c r="BH127" s="179"/>
      <c r="BI127" s="411"/>
      <c r="BJ127" s="411"/>
      <c r="BK127" s="179"/>
      <c r="BL127" s="179"/>
      <c r="BM127" s="180"/>
    </row>
    <row r="128" spans="1:65" ht="127.5" x14ac:dyDescent="0.2">
      <c r="A128" s="420"/>
      <c r="B128" s="421"/>
      <c r="C128" s="423"/>
      <c r="D128" s="409"/>
      <c r="E128" s="411"/>
      <c r="F128" s="409"/>
      <c r="G128" s="426"/>
      <c r="H128" s="133"/>
      <c r="I128" s="133"/>
      <c r="J128" s="133"/>
      <c r="K128" s="461"/>
      <c r="L128" s="409"/>
      <c r="M128" s="409"/>
      <c r="N128" s="433"/>
      <c r="O128" s="528"/>
      <c r="P128" s="444"/>
      <c r="Q128" s="433"/>
      <c r="R128" s="433"/>
      <c r="S128" s="411"/>
      <c r="T128" s="429"/>
      <c r="U128" s="429"/>
      <c r="V128" s="429"/>
      <c r="W128" s="411"/>
      <c r="X128" s="25"/>
      <c r="Y128" s="175" t="s">
        <v>194</v>
      </c>
      <c r="Z128" s="176">
        <v>42488</v>
      </c>
      <c r="AA128" s="177">
        <v>11796</v>
      </c>
      <c r="AB128" s="123" t="s">
        <v>901</v>
      </c>
      <c r="AC128" s="176"/>
      <c r="AD128" s="176"/>
      <c r="AE128" s="112"/>
      <c r="AF128" s="26"/>
      <c r="AG128" s="113">
        <v>46091.18</v>
      </c>
      <c r="AH128" s="114">
        <v>3780.74</v>
      </c>
      <c r="AI128" s="115"/>
      <c r="AJ128" s="115"/>
      <c r="AK128" s="115"/>
      <c r="AL128" s="528"/>
      <c r="AM128" s="532"/>
      <c r="AN128" s="530"/>
      <c r="AO128" s="498"/>
      <c r="AP128" s="179"/>
      <c r="AQ128" s="179"/>
      <c r="AR128" s="179"/>
      <c r="AS128" s="179"/>
      <c r="AT128" s="179"/>
      <c r="AU128" s="179"/>
      <c r="AV128" s="179"/>
      <c r="AW128" s="179"/>
      <c r="AX128" s="179"/>
      <c r="AY128" s="179"/>
      <c r="AZ128" s="179"/>
      <c r="BA128" s="179"/>
      <c r="BB128" s="25"/>
      <c r="BC128" s="25"/>
      <c r="BD128" s="178"/>
      <c r="BE128" s="178"/>
      <c r="BF128" s="179"/>
      <c r="BG128" s="179"/>
      <c r="BH128" s="179"/>
      <c r="BI128" s="411"/>
      <c r="BJ128" s="411"/>
      <c r="BK128" s="179"/>
      <c r="BL128" s="179"/>
      <c r="BM128" s="180"/>
    </row>
    <row r="129" spans="1:65" ht="63.75" x14ac:dyDescent="0.2">
      <c r="A129" s="420"/>
      <c r="B129" s="421"/>
      <c r="C129" s="423"/>
      <c r="D129" s="409"/>
      <c r="E129" s="411"/>
      <c r="F129" s="409"/>
      <c r="G129" s="426"/>
      <c r="H129" s="133"/>
      <c r="I129" s="133"/>
      <c r="J129" s="133"/>
      <c r="K129" s="461"/>
      <c r="L129" s="409"/>
      <c r="M129" s="409"/>
      <c r="N129" s="433"/>
      <c r="O129" s="528"/>
      <c r="P129" s="444"/>
      <c r="Q129" s="433"/>
      <c r="R129" s="433"/>
      <c r="S129" s="411"/>
      <c r="T129" s="429"/>
      <c r="U129" s="429"/>
      <c r="V129" s="429"/>
      <c r="W129" s="411"/>
      <c r="X129" s="25"/>
      <c r="Y129" s="175" t="s">
        <v>195</v>
      </c>
      <c r="Z129" s="176">
        <v>42515</v>
      </c>
      <c r="AA129" s="177">
        <v>11821</v>
      </c>
      <c r="AB129" s="123" t="s">
        <v>921</v>
      </c>
      <c r="AC129" s="176">
        <v>42517</v>
      </c>
      <c r="AD129" s="176">
        <v>42701</v>
      </c>
      <c r="AE129" s="112"/>
      <c r="AF129" s="26"/>
      <c r="AG129" s="113"/>
      <c r="AH129" s="114"/>
      <c r="AI129" s="115"/>
      <c r="AJ129" s="115"/>
      <c r="AK129" s="115"/>
      <c r="AL129" s="528"/>
      <c r="AM129" s="532"/>
      <c r="AN129" s="530"/>
      <c r="AO129" s="498"/>
      <c r="AP129" s="179"/>
      <c r="AQ129" s="179"/>
      <c r="AR129" s="179"/>
      <c r="AS129" s="179"/>
      <c r="AT129" s="179"/>
      <c r="AU129" s="179"/>
      <c r="AV129" s="179"/>
      <c r="AW129" s="179"/>
      <c r="AX129" s="179"/>
      <c r="AY129" s="179"/>
      <c r="AZ129" s="179"/>
      <c r="BA129" s="179"/>
      <c r="BB129" s="25"/>
      <c r="BC129" s="25"/>
      <c r="BD129" s="178">
        <v>42517</v>
      </c>
      <c r="BE129" s="178" t="s">
        <v>920</v>
      </c>
      <c r="BF129" s="179"/>
      <c r="BG129" s="179"/>
      <c r="BH129" s="179"/>
      <c r="BI129" s="411"/>
      <c r="BJ129" s="411"/>
      <c r="BK129" s="179"/>
      <c r="BL129" s="179"/>
      <c r="BM129" s="180"/>
    </row>
    <row r="130" spans="1:65" ht="102" x14ac:dyDescent="0.2">
      <c r="A130" s="420"/>
      <c r="B130" s="421"/>
      <c r="C130" s="423"/>
      <c r="D130" s="409"/>
      <c r="E130" s="411"/>
      <c r="F130" s="409"/>
      <c r="G130" s="426"/>
      <c r="H130" s="458"/>
      <c r="I130" s="457"/>
      <c r="J130" s="457"/>
      <c r="K130" s="461"/>
      <c r="L130" s="409"/>
      <c r="M130" s="409"/>
      <c r="N130" s="433"/>
      <c r="O130" s="528"/>
      <c r="P130" s="444"/>
      <c r="Q130" s="433"/>
      <c r="R130" s="433"/>
      <c r="S130" s="411"/>
      <c r="T130" s="429"/>
      <c r="U130" s="429"/>
      <c r="V130" s="429"/>
      <c r="W130" s="411"/>
      <c r="X130" s="25"/>
      <c r="Y130" s="175" t="s">
        <v>118</v>
      </c>
      <c r="Z130" s="176">
        <v>42528</v>
      </c>
      <c r="AA130" s="177">
        <v>11826</v>
      </c>
      <c r="AB130" s="123" t="s">
        <v>922</v>
      </c>
      <c r="AC130" s="176"/>
      <c r="AD130" s="176"/>
      <c r="AE130" s="112"/>
      <c r="AF130" s="26"/>
      <c r="AG130" s="113">
        <v>61875.58</v>
      </c>
      <c r="AH130" s="114"/>
      <c r="AI130" s="528"/>
      <c r="AJ130" s="528"/>
      <c r="AK130" s="528"/>
      <c r="AL130" s="528"/>
      <c r="AM130" s="532"/>
      <c r="AN130" s="530"/>
      <c r="AO130" s="498"/>
      <c r="AP130" s="179"/>
      <c r="AQ130" s="179"/>
      <c r="AR130" s="179"/>
      <c r="AS130" s="179"/>
      <c r="AT130" s="179"/>
      <c r="AU130" s="179"/>
      <c r="AV130" s="179"/>
      <c r="AW130" s="179"/>
      <c r="AX130" s="179"/>
      <c r="AY130" s="179"/>
      <c r="AZ130" s="179"/>
      <c r="BA130" s="179"/>
      <c r="BB130" s="25"/>
      <c r="BC130" s="25"/>
      <c r="BD130" s="178"/>
      <c r="BE130" s="178"/>
      <c r="BF130" s="179"/>
      <c r="BG130" s="179"/>
      <c r="BH130" s="179"/>
      <c r="BI130" s="412"/>
      <c r="BJ130" s="412"/>
      <c r="BK130" s="179"/>
      <c r="BL130" s="179"/>
      <c r="BM130" s="180"/>
    </row>
    <row r="131" spans="1:65" ht="63.75" x14ac:dyDescent="0.2">
      <c r="A131" s="420"/>
      <c r="B131" s="421"/>
      <c r="C131" s="423"/>
      <c r="D131" s="409"/>
      <c r="E131" s="411"/>
      <c r="F131" s="409"/>
      <c r="G131" s="426"/>
      <c r="H131" s="412"/>
      <c r="I131" s="428"/>
      <c r="J131" s="428"/>
      <c r="K131" s="461"/>
      <c r="L131" s="409"/>
      <c r="M131" s="406"/>
      <c r="N131" s="433"/>
      <c r="O131" s="528"/>
      <c r="P131" s="444"/>
      <c r="Q131" s="433"/>
      <c r="R131" s="433"/>
      <c r="S131" s="411"/>
      <c r="T131" s="429"/>
      <c r="U131" s="429"/>
      <c r="V131" s="429"/>
      <c r="W131" s="411"/>
      <c r="X131" s="25"/>
      <c r="Y131" s="175" t="s">
        <v>121</v>
      </c>
      <c r="Z131" s="176">
        <v>42699</v>
      </c>
      <c r="AA131" s="177">
        <v>11978</v>
      </c>
      <c r="AB131" s="123" t="s">
        <v>1150</v>
      </c>
      <c r="AC131" s="176">
        <v>42701</v>
      </c>
      <c r="AD131" s="176">
        <v>42882</v>
      </c>
      <c r="AE131" s="112"/>
      <c r="AF131" s="26"/>
      <c r="AG131" s="113"/>
      <c r="AH131" s="114"/>
      <c r="AI131" s="488"/>
      <c r="AJ131" s="488"/>
      <c r="AK131" s="488"/>
      <c r="AL131" s="528"/>
      <c r="AM131" s="532"/>
      <c r="AN131" s="530"/>
      <c r="AO131" s="498"/>
      <c r="AP131" s="179"/>
      <c r="AQ131" s="179"/>
      <c r="AR131" s="179"/>
      <c r="AS131" s="179"/>
      <c r="AT131" s="179"/>
      <c r="AU131" s="179"/>
      <c r="AV131" s="179"/>
      <c r="AW131" s="179"/>
      <c r="AX131" s="179"/>
      <c r="AY131" s="179"/>
      <c r="AZ131" s="179"/>
      <c r="BA131" s="179"/>
      <c r="BB131" s="25"/>
      <c r="BC131" s="25"/>
      <c r="BD131" s="178">
        <v>42701</v>
      </c>
      <c r="BE131" s="178">
        <v>42882</v>
      </c>
      <c r="BF131" s="179"/>
      <c r="BG131" s="179"/>
      <c r="BH131" s="179"/>
      <c r="BI131" s="25"/>
      <c r="BJ131" s="25"/>
      <c r="BK131" s="179"/>
      <c r="BL131" s="179"/>
      <c r="BM131" s="180"/>
    </row>
    <row r="132" spans="1:65" ht="114.75" x14ac:dyDescent="0.2">
      <c r="A132" s="420"/>
      <c r="B132" s="421"/>
      <c r="C132" s="423"/>
      <c r="D132" s="409"/>
      <c r="E132" s="411"/>
      <c r="F132" s="409"/>
      <c r="G132" s="426"/>
      <c r="H132" s="25"/>
      <c r="I132" s="61"/>
      <c r="J132" s="61"/>
      <c r="K132" s="461"/>
      <c r="L132" s="406"/>
      <c r="M132" s="167"/>
      <c r="N132" s="433"/>
      <c r="O132" s="528"/>
      <c r="P132" s="444"/>
      <c r="Q132" s="433"/>
      <c r="R132" s="433"/>
      <c r="S132" s="411"/>
      <c r="T132" s="428"/>
      <c r="U132" s="428"/>
      <c r="V132" s="428"/>
      <c r="W132" s="411"/>
      <c r="X132" s="25"/>
      <c r="Y132" s="175" t="s">
        <v>119</v>
      </c>
      <c r="Z132" s="176">
        <v>42852</v>
      </c>
      <c r="AA132" s="177">
        <v>12043</v>
      </c>
      <c r="AB132" s="123" t="s">
        <v>1534</v>
      </c>
      <c r="AC132" s="176"/>
      <c r="AD132" s="176"/>
      <c r="AE132" s="112"/>
      <c r="AF132" s="26"/>
      <c r="AG132" s="113">
        <v>6325.41</v>
      </c>
      <c r="AH132" s="114"/>
      <c r="AI132" s="115"/>
      <c r="AJ132" s="115"/>
      <c r="AK132" s="115"/>
      <c r="AL132" s="528"/>
      <c r="AM132" s="532"/>
      <c r="AN132" s="530"/>
      <c r="AO132" s="498"/>
      <c r="AP132" s="179"/>
      <c r="AQ132" s="179"/>
      <c r="AR132" s="179"/>
      <c r="AS132" s="179"/>
      <c r="AT132" s="179"/>
      <c r="AU132" s="179"/>
      <c r="AV132" s="179"/>
      <c r="AW132" s="179"/>
      <c r="AX132" s="179"/>
      <c r="AY132" s="179"/>
      <c r="AZ132" s="179"/>
      <c r="BA132" s="179"/>
      <c r="BB132" s="25"/>
      <c r="BC132" s="25"/>
      <c r="BD132" s="178"/>
      <c r="BE132" s="178"/>
      <c r="BF132" s="179"/>
      <c r="BG132" s="179"/>
      <c r="BH132" s="179"/>
      <c r="BI132" s="25"/>
      <c r="BJ132" s="25"/>
      <c r="BK132" s="179"/>
      <c r="BL132" s="179"/>
      <c r="BM132" s="180"/>
    </row>
    <row r="133" spans="1:65" ht="63.75" x14ac:dyDescent="0.2">
      <c r="A133" s="420"/>
      <c r="B133" s="421"/>
      <c r="C133" s="423"/>
      <c r="D133" s="409"/>
      <c r="E133" s="411"/>
      <c r="F133" s="409"/>
      <c r="G133" s="426"/>
      <c r="H133" s="25"/>
      <c r="I133" s="61"/>
      <c r="J133" s="61"/>
      <c r="K133" s="461"/>
      <c r="L133" s="167"/>
      <c r="M133" s="167"/>
      <c r="N133" s="433"/>
      <c r="O133" s="528"/>
      <c r="P133" s="444"/>
      <c r="Q133" s="433"/>
      <c r="R133" s="433"/>
      <c r="S133" s="411"/>
      <c r="T133" s="61"/>
      <c r="U133" s="61"/>
      <c r="V133" s="61"/>
      <c r="W133" s="411"/>
      <c r="X133" s="2" t="s">
        <v>1470</v>
      </c>
      <c r="Y133" s="175" t="s">
        <v>374</v>
      </c>
      <c r="Z133" s="176">
        <v>42880</v>
      </c>
      <c r="AA133" s="177">
        <v>12077</v>
      </c>
      <c r="AB133" s="123" t="s">
        <v>1647</v>
      </c>
      <c r="AC133" s="176">
        <v>42882</v>
      </c>
      <c r="AD133" s="176">
        <v>43066</v>
      </c>
      <c r="AE133" s="112"/>
      <c r="AF133" s="26"/>
      <c r="AG133" s="113"/>
      <c r="AH133" s="114"/>
      <c r="AI133" s="115"/>
      <c r="AJ133" s="115"/>
      <c r="AK133" s="115"/>
      <c r="AL133" s="528"/>
      <c r="AM133" s="532"/>
      <c r="AN133" s="530"/>
      <c r="AO133" s="498"/>
      <c r="AP133" s="179"/>
      <c r="AQ133" s="179"/>
      <c r="AR133" s="179"/>
      <c r="AS133" s="179"/>
      <c r="AT133" s="179"/>
      <c r="AU133" s="179"/>
      <c r="AV133" s="179"/>
      <c r="AW133" s="179"/>
      <c r="AX133" s="179"/>
      <c r="AY133" s="179"/>
      <c r="AZ133" s="179"/>
      <c r="BA133" s="179"/>
      <c r="BB133" s="25"/>
      <c r="BC133" s="25"/>
      <c r="BD133" s="178"/>
      <c r="BE133" s="178"/>
      <c r="BF133" s="179"/>
      <c r="BG133" s="179"/>
      <c r="BH133" s="179"/>
      <c r="BI133" s="25"/>
      <c r="BJ133" s="25"/>
      <c r="BK133" s="179"/>
      <c r="BL133" s="179"/>
      <c r="BM133" s="180"/>
    </row>
    <row r="134" spans="1:65" ht="76.5" x14ac:dyDescent="0.2">
      <c r="A134" s="404"/>
      <c r="B134" s="419"/>
      <c r="C134" s="424"/>
      <c r="D134" s="406"/>
      <c r="E134" s="412"/>
      <c r="F134" s="406"/>
      <c r="G134" s="459"/>
      <c r="H134" s="25"/>
      <c r="I134" s="61"/>
      <c r="J134" s="61"/>
      <c r="K134" s="462"/>
      <c r="L134" s="167"/>
      <c r="M134" s="167"/>
      <c r="N134" s="434"/>
      <c r="O134" s="488"/>
      <c r="P134" s="445"/>
      <c r="Q134" s="434"/>
      <c r="R134" s="434"/>
      <c r="S134" s="412"/>
      <c r="T134" s="61"/>
      <c r="U134" s="61"/>
      <c r="V134" s="61"/>
      <c r="W134" s="412"/>
      <c r="X134" s="2" t="s">
        <v>498</v>
      </c>
      <c r="Y134" s="175" t="s">
        <v>518</v>
      </c>
      <c r="Z134" s="176">
        <v>42900</v>
      </c>
      <c r="AA134" s="177">
        <v>12077</v>
      </c>
      <c r="AB134" s="123" t="s">
        <v>1648</v>
      </c>
      <c r="AC134" s="176"/>
      <c r="AD134" s="176"/>
      <c r="AE134" s="112"/>
      <c r="AF134" s="26"/>
      <c r="AG134" s="113">
        <v>23948.47</v>
      </c>
      <c r="AH134" s="114"/>
      <c r="AI134" s="115"/>
      <c r="AJ134" s="115"/>
      <c r="AK134" s="115"/>
      <c r="AL134" s="488"/>
      <c r="AM134" s="501"/>
      <c r="AN134" s="531"/>
      <c r="AO134" s="499"/>
      <c r="AP134" s="179"/>
      <c r="AQ134" s="179"/>
      <c r="AR134" s="179"/>
      <c r="AS134" s="179"/>
      <c r="AT134" s="179"/>
      <c r="AU134" s="179"/>
      <c r="AV134" s="179"/>
      <c r="AW134" s="179"/>
      <c r="AX134" s="179"/>
      <c r="AY134" s="179"/>
      <c r="AZ134" s="179"/>
      <c r="BA134" s="179"/>
      <c r="BB134" s="25"/>
      <c r="BC134" s="25"/>
      <c r="BD134" s="178"/>
      <c r="BE134" s="178"/>
      <c r="BF134" s="179"/>
      <c r="BG134" s="179"/>
      <c r="BH134" s="179"/>
      <c r="BI134" s="25"/>
      <c r="BJ134" s="25"/>
      <c r="BK134" s="179"/>
      <c r="BL134" s="179"/>
      <c r="BM134" s="180"/>
    </row>
    <row r="135" spans="1:65" x14ac:dyDescent="0.2">
      <c r="A135" s="403">
        <v>23</v>
      </c>
      <c r="B135" s="418" t="s">
        <v>291</v>
      </c>
      <c r="C135" s="422" t="s">
        <v>214</v>
      </c>
      <c r="D135" s="405" t="s">
        <v>183</v>
      </c>
      <c r="E135" s="410" t="s">
        <v>126</v>
      </c>
      <c r="F135" s="405" t="s">
        <v>292</v>
      </c>
      <c r="G135" s="425" t="s">
        <v>827</v>
      </c>
      <c r="H135" s="132"/>
      <c r="I135" s="132"/>
      <c r="J135" s="132"/>
      <c r="K135" s="460" t="s">
        <v>232</v>
      </c>
      <c r="L135" s="405" t="s">
        <v>282</v>
      </c>
      <c r="M135" s="405" t="s">
        <v>293</v>
      </c>
      <c r="N135" s="432">
        <v>41795</v>
      </c>
      <c r="O135" s="487">
        <v>533749.26</v>
      </c>
      <c r="P135" s="443" t="s">
        <v>781</v>
      </c>
      <c r="Q135" s="432">
        <v>41821</v>
      </c>
      <c r="R135" s="432">
        <v>42005</v>
      </c>
      <c r="S135" s="410" t="s">
        <v>294</v>
      </c>
      <c r="T135" s="410"/>
      <c r="U135" s="410"/>
      <c r="V135" s="410"/>
      <c r="W135" s="410" t="s">
        <v>251</v>
      </c>
      <c r="X135" s="24"/>
      <c r="Y135" s="124"/>
      <c r="Z135" s="117"/>
      <c r="AA135" s="2"/>
      <c r="AB135" s="20"/>
      <c r="AC135" s="117"/>
      <c r="AD135" s="117"/>
      <c r="AE135" s="1"/>
      <c r="AF135" s="2"/>
      <c r="AG135" s="65"/>
      <c r="AH135" s="120"/>
      <c r="AI135" s="125"/>
      <c r="AJ135" s="125"/>
      <c r="AK135" s="125"/>
      <c r="AL135" s="487">
        <f>533749.26-AH136+AG136-AH137+AG137-AH138+AG138-AH139+AG139-AH140+AG140-AH141+AG141-AH142+AG142-AH143+AG143-AH144+AG144</f>
        <v>557034.29</v>
      </c>
      <c r="AM135" s="500">
        <f>134100.03+206649.58+0+46594.35+44111.86+89021.45</f>
        <v>520477.26999999996</v>
      </c>
      <c r="AN135" s="529">
        <f>0+36557.02</f>
        <v>36557.019999999997</v>
      </c>
      <c r="AO135" s="497">
        <f>AM135+AN135</f>
        <v>557034.28999999992</v>
      </c>
      <c r="AP135" s="449"/>
      <c r="AQ135" s="29"/>
      <c r="AR135" s="29"/>
      <c r="AS135" s="449"/>
      <c r="AT135" s="592"/>
      <c r="AU135" s="592"/>
      <c r="AV135" s="592"/>
      <c r="AW135" s="592"/>
      <c r="AX135" s="592"/>
      <c r="AY135" s="592"/>
      <c r="AZ135" s="592"/>
      <c r="BA135" s="592"/>
      <c r="BB135" s="410" t="s">
        <v>373</v>
      </c>
      <c r="BC135" s="480" t="s">
        <v>184</v>
      </c>
      <c r="BD135" s="117">
        <v>41821</v>
      </c>
      <c r="BE135" s="59">
        <v>41974</v>
      </c>
      <c r="BF135" s="410"/>
      <c r="BG135" s="410"/>
      <c r="BH135" s="432">
        <v>41821</v>
      </c>
      <c r="BI135" s="410" t="s">
        <v>1217</v>
      </c>
      <c r="BJ135" s="410" t="s">
        <v>1216</v>
      </c>
      <c r="BK135" s="410"/>
      <c r="BL135" s="410"/>
      <c r="BM135" s="410"/>
    </row>
    <row r="136" spans="1:65" ht="63.75" x14ac:dyDescent="0.2">
      <c r="A136" s="420"/>
      <c r="B136" s="421"/>
      <c r="C136" s="423"/>
      <c r="D136" s="409"/>
      <c r="E136" s="411"/>
      <c r="F136" s="409"/>
      <c r="G136" s="426"/>
      <c r="H136" s="133"/>
      <c r="I136" s="133"/>
      <c r="J136" s="133"/>
      <c r="K136" s="461"/>
      <c r="L136" s="409"/>
      <c r="M136" s="409"/>
      <c r="N136" s="433"/>
      <c r="O136" s="528"/>
      <c r="P136" s="444"/>
      <c r="Q136" s="433"/>
      <c r="R136" s="433"/>
      <c r="S136" s="411"/>
      <c r="T136" s="411"/>
      <c r="U136" s="411"/>
      <c r="V136" s="411"/>
      <c r="W136" s="411"/>
      <c r="X136" s="25"/>
      <c r="Y136" s="124" t="s">
        <v>138</v>
      </c>
      <c r="Z136" s="117">
        <v>41970</v>
      </c>
      <c r="AA136" s="118">
        <v>11451</v>
      </c>
      <c r="AB136" s="20" t="s">
        <v>589</v>
      </c>
      <c r="AC136" s="117">
        <v>42005</v>
      </c>
      <c r="AD136" s="117">
        <v>42095</v>
      </c>
      <c r="AE136" s="1"/>
      <c r="AF136" s="2"/>
      <c r="AG136" s="65"/>
      <c r="AH136" s="120"/>
      <c r="AI136" s="115"/>
      <c r="AJ136" s="115"/>
      <c r="AK136" s="115"/>
      <c r="AL136" s="528"/>
      <c r="AM136" s="532"/>
      <c r="AN136" s="530"/>
      <c r="AO136" s="498"/>
      <c r="AP136" s="463"/>
      <c r="AQ136" s="121"/>
      <c r="AR136" s="121"/>
      <c r="AS136" s="463"/>
      <c r="AT136" s="593"/>
      <c r="AU136" s="593"/>
      <c r="AV136" s="593"/>
      <c r="AW136" s="593"/>
      <c r="AX136" s="593"/>
      <c r="AY136" s="593"/>
      <c r="AZ136" s="593"/>
      <c r="BA136" s="593"/>
      <c r="BB136" s="411"/>
      <c r="BC136" s="481"/>
      <c r="BD136" s="117">
        <v>41974</v>
      </c>
      <c r="BE136" s="59">
        <v>42064</v>
      </c>
      <c r="BF136" s="411"/>
      <c r="BG136" s="411"/>
      <c r="BH136" s="433"/>
      <c r="BI136" s="411"/>
      <c r="BJ136" s="411"/>
      <c r="BK136" s="411"/>
      <c r="BL136" s="411"/>
      <c r="BM136" s="411"/>
    </row>
    <row r="137" spans="1:65" ht="63.75" x14ac:dyDescent="0.2">
      <c r="A137" s="420"/>
      <c r="B137" s="421"/>
      <c r="C137" s="423"/>
      <c r="D137" s="409"/>
      <c r="E137" s="411"/>
      <c r="F137" s="409"/>
      <c r="G137" s="426"/>
      <c r="H137" s="133"/>
      <c r="I137" s="133"/>
      <c r="J137" s="133"/>
      <c r="K137" s="461"/>
      <c r="L137" s="409"/>
      <c r="M137" s="409"/>
      <c r="N137" s="433"/>
      <c r="O137" s="528"/>
      <c r="P137" s="444"/>
      <c r="Q137" s="433"/>
      <c r="R137" s="433"/>
      <c r="S137" s="411"/>
      <c r="T137" s="411"/>
      <c r="U137" s="411"/>
      <c r="V137" s="411"/>
      <c r="W137" s="411"/>
      <c r="X137" s="25"/>
      <c r="Y137" s="124" t="s">
        <v>144</v>
      </c>
      <c r="Z137" s="117">
        <v>42062</v>
      </c>
      <c r="AA137" s="118">
        <v>11521</v>
      </c>
      <c r="AB137" s="20" t="s">
        <v>588</v>
      </c>
      <c r="AC137" s="117">
        <v>42095</v>
      </c>
      <c r="AD137" s="117">
        <v>42186</v>
      </c>
      <c r="AE137" s="1"/>
      <c r="AF137" s="2"/>
      <c r="AG137" s="65"/>
      <c r="AH137" s="120"/>
      <c r="AI137" s="115"/>
      <c r="AJ137" s="115"/>
      <c r="AK137" s="115"/>
      <c r="AL137" s="528"/>
      <c r="AM137" s="532"/>
      <c r="AN137" s="530"/>
      <c r="AO137" s="498"/>
      <c r="AP137" s="463"/>
      <c r="AQ137" s="121"/>
      <c r="AR137" s="121"/>
      <c r="AS137" s="463"/>
      <c r="AT137" s="593"/>
      <c r="AU137" s="593"/>
      <c r="AV137" s="593"/>
      <c r="AW137" s="593"/>
      <c r="AX137" s="593"/>
      <c r="AY137" s="593"/>
      <c r="AZ137" s="593"/>
      <c r="BA137" s="593"/>
      <c r="BB137" s="411"/>
      <c r="BC137" s="481"/>
      <c r="BD137" s="117">
        <v>42064</v>
      </c>
      <c r="BE137" s="59">
        <v>42156</v>
      </c>
      <c r="BF137" s="411"/>
      <c r="BG137" s="411"/>
      <c r="BH137" s="433"/>
      <c r="BI137" s="411"/>
      <c r="BJ137" s="411"/>
      <c r="BK137" s="411"/>
      <c r="BL137" s="411"/>
      <c r="BM137" s="411"/>
    </row>
    <row r="138" spans="1:65" ht="63.75" x14ac:dyDescent="0.2">
      <c r="A138" s="420"/>
      <c r="B138" s="421"/>
      <c r="C138" s="423"/>
      <c r="D138" s="409"/>
      <c r="E138" s="411"/>
      <c r="F138" s="409"/>
      <c r="G138" s="426"/>
      <c r="H138" s="133"/>
      <c r="I138" s="133"/>
      <c r="J138" s="133"/>
      <c r="K138" s="461"/>
      <c r="L138" s="409"/>
      <c r="M138" s="409"/>
      <c r="N138" s="433"/>
      <c r="O138" s="528"/>
      <c r="P138" s="444"/>
      <c r="Q138" s="433"/>
      <c r="R138" s="433"/>
      <c r="S138" s="411"/>
      <c r="T138" s="411"/>
      <c r="U138" s="411"/>
      <c r="V138" s="411"/>
      <c r="W138" s="411"/>
      <c r="X138" s="25"/>
      <c r="Y138" s="124" t="s">
        <v>193</v>
      </c>
      <c r="Z138" s="117">
        <v>42156</v>
      </c>
      <c r="AA138" s="118">
        <v>11573</v>
      </c>
      <c r="AB138" s="20" t="s">
        <v>517</v>
      </c>
      <c r="AC138" s="117">
        <v>42186</v>
      </c>
      <c r="AD138" s="117">
        <v>42278</v>
      </c>
      <c r="AE138" s="1"/>
      <c r="AF138" s="2"/>
      <c r="AG138" s="65"/>
      <c r="AH138" s="120"/>
      <c r="AI138" s="115"/>
      <c r="AJ138" s="115"/>
      <c r="AK138" s="115"/>
      <c r="AL138" s="528"/>
      <c r="AM138" s="532"/>
      <c r="AN138" s="530"/>
      <c r="AO138" s="498"/>
      <c r="AP138" s="463"/>
      <c r="AQ138" s="121"/>
      <c r="AR138" s="121"/>
      <c r="AS138" s="463"/>
      <c r="AT138" s="593"/>
      <c r="AU138" s="593"/>
      <c r="AV138" s="593"/>
      <c r="AW138" s="593"/>
      <c r="AX138" s="593"/>
      <c r="AY138" s="593"/>
      <c r="AZ138" s="593"/>
      <c r="BA138" s="593"/>
      <c r="BB138" s="411"/>
      <c r="BC138" s="481"/>
      <c r="BD138" s="117">
        <v>42156</v>
      </c>
      <c r="BE138" s="59">
        <v>42248</v>
      </c>
      <c r="BF138" s="411"/>
      <c r="BG138" s="411"/>
      <c r="BH138" s="433"/>
      <c r="BI138" s="411"/>
      <c r="BJ138" s="411"/>
      <c r="BK138" s="411"/>
      <c r="BL138" s="411"/>
      <c r="BM138" s="411"/>
    </row>
    <row r="139" spans="1:65" ht="51" x14ac:dyDescent="0.2">
      <c r="A139" s="420"/>
      <c r="B139" s="421"/>
      <c r="C139" s="423"/>
      <c r="D139" s="409"/>
      <c r="E139" s="411"/>
      <c r="F139" s="409"/>
      <c r="G139" s="426"/>
      <c r="H139" s="133"/>
      <c r="I139" s="133"/>
      <c r="J139" s="133"/>
      <c r="K139" s="461"/>
      <c r="L139" s="409"/>
      <c r="M139" s="409"/>
      <c r="N139" s="433"/>
      <c r="O139" s="528"/>
      <c r="P139" s="444"/>
      <c r="Q139" s="433"/>
      <c r="R139" s="433"/>
      <c r="S139" s="411"/>
      <c r="T139" s="411"/>
      <c r="U139" s="411"/>
      <c r="V139" s="411"/>
      <c r="W139" s="411"/>
      <c r="X139" s="25"/>
      <c r="Y139" s="124" t="s">
        <v>194</v>
      </c>
      <c r="Z139" s="117">
        <v>42278</v>
      </c>
      <c r="AA139" s="118">
        <v>11686</v>
      </c>
      <c r="AB139" s="20" t="s">
        <v>616</v>
      </c>
      <c r="AC139" s="117">
        <v>42278</v>
      </c>
      <c r="AD139" s="117">
        <v>42461</v>
      </c>
      <c r="AE139" s="1"/>
      <c r="AF139" s="2"/>
      <c r="AG139" s="65"/>
      <c r="AH139" s="120"/>
      <c r="AI139" s="115"/>
      <c r="AJ139" s="115"/>
      <c r="AK139" s="115"/>
      <c r="AL139" s="528"/>
      <c r="AM139" s="532"/>
      <c r="AN139" s="530"/>
      <c r="AO139" s="498"/>
      <c r="AP139" s="463"/>
      <c r="AQ139" s="121"/>
      <c r="AR139" s="121"/>
      <c r="AS139" s="463"/>
      <c r="AT139" s="593"/>
      <c r="AU139" s="593"/>
      <c r="AV139" s="593"/>
      <c r="AW139" s="593"/>
      <c r="AX139" s="593"/>
      <c r="AY139" s="593"/>
      <c r="AZ139" s="593"/>
      <c r="BA139" s="593"/>
      <c r="BB139" s="411"/>
      <c r="BC139" s="481"/>
      <c r="BD139" s="117"/>
      <c r="BE139" s="59"/>
      <c r="BF139" s="412"/>
      <c r="BG139" s="412"/>
      <c r="BH139" s="434"/>
      <c r="BI139" s="411"/>
      <c r="BJ139" s="411"/>
      <c r="BK139" s="412"/>
      <c r="BL139" s="412"/>
      <c r="BM139" s="412"/>
    </row>
    <row r="140" spans="1:65" ht="76.5" x14ac:dyDescent="0.2">
      <c r="A140" s="420"/>
      <c r="B140" s="421"/>
      <c r="C140" s="423"/>
      <c r="D140" s="409"/>
      <c r="E140" s="411"/>
      <c r="F140" s="409"/>
      <c r="G140" s="426"/>
      <c r="H140" s="133"/>
      <c r="I140" s="133"/>
      <c r="J140" s="133"/>
      <c r="K140" s="461"/>
      <c r="L140" s="409"/>
      <c r="M140" s="409"/>
      <c r="N140" s="433"/>
      <c r="O140" s="528"/>
      <c r="P140" s="444"/>
      <c r="Q140" s="433"/>
      <c r="R140" s="433"/>
      <c r="S140" s="411"/>
      <c r="T140" s="411"/>
      <c r="U140" s="411"/>
      <c r="V140" s="411"/>
      <c r="W140" s="411"/>
      <c r="X140" s="25"/>
      <c r="Y140" s="124" t="s">
        <v>195</v>
      </c>
      <c r="Z140" s="117">
        <v>42461</v>
      </c>
      <c r="AA140" s="118">
        <v>11785</v>
      </c>
      <c r="AB140" s="20" t="s">
        <v>881</v>
      </c>
      <c r="AC140" s="117">
        <v>42461</v>
      </c>
      <c r="AD140" s="117">
        <v>42552</v>
      </c>
      <c r="AE140" s="1"/>
      <c r="AF140" s="2"/>
      <c r="AG140" s="65"/>
      <c r="AH140" s="120"/>
      <c r="AI140" s="115"/>
      <c r="AJ140" s="115"/>
      <c r="AK140" s="115"/>
      <c r="AL140" s="528"/>
      <c r="AM140" s="532"/>
      <c r="AN140" s="530"/>
      <c r="AO140" s="498"/>
      <c r="AP140" s="463"/>
      <c r="AQ140" s="121"/>
      <c r="AR140" s="121"/>
      <c r="AS140" s="463"/>
      <c r="AT140" s="593"/>
      <c r="AU140" s="593"/>
      <c r="AV140" s="593"/>
      <c r="AW140" s="593"/>
      <c r="AX140" s="593"/>
      <c r="AY140" s="593"/>
      <c r="AZ140" s="593"/>
      <c r="BA140" s="593"/>
      <c r="BB140" s="411"/>
      <c r="BC140" s="481"/>
      <c r="BD140" s="117"/>
      <c r="BE140" s="59"/>
      <c r="BF140" s="25"/>
      <c r="BG140" s="25"/>
      <c r="BH140" s="131"/>
      <c r="BI140" s="411"/>
      <c r="BJ140" s="411"/>
      <c r="BK140" s="25"/>
      <c r="BL140" s="25"/>
      <c r="BM140" s="25"/>
    </row>
    <row r="141" spans="1:65" ht="114.75" x14ac:dyDescent="0.2">
      <c r="A141" s="420"/>
      <c r="B141" s="421"/>
      <c r="C141" s="423"/>
      <c r="D141" s="409"/>
      <c r="E141" s="411"/>
      <c r="F141" s="409"/>
      <c r="G141" s="426"/>
      <c r="H141" s="133"/>
      <c r="I141" s="133"/>
      <c r="J141" s="133"/>
      <c r="K141" s="461"/>
      <c r="L141" s="409"/>
      <c r="M141" s="409"/>
      <c r="N141" s="433"/>
      <c r="O141" s="528"/>
      <c r="P141" s="444"/>
      <c r="Q141" s="433"/>
      <c r="R141" s="433"/>
      <c r="S141" s="411"/>
      <c r="T141" s="411"/>
      <c r="U141" s="411"/>
      <c r="V141" s="411"/>
      <c r="W141" s="411"/>
      <c r="X141" s="25"/>
      <c r="Y141" s="124" t="s">
        <v>118</v>
      </c>
      <c r="Z141" s="117">
        <v>42527</v>
      </c>
      <c r="AA141" s="118">
        <v>11826</v>
      </c>
      <c r="AB141" s="20" t="s">
        <v>923</v>
      </c>
      <c r="AC141" s="117"/>
      <c r="AD141" s="117"/>
      <c r="AE141" s="1"/>
      <c r="AF141" s="2"/>
      <c r="AG141" s="65">
        <v>36722.699999999997</v>
      </c>
      <c r="AH141" s="120">
        <v>49994.69</v>
      </c>
      <c r="AI141" s="115"/>
      <c r="AJ141" s="115"/>
      <c r="AK141" s="115"/>
      <c r="AL141" s="528"/>
      <c r="AM141" s="532"/>
      <c r="AN141" s="530"/>
      <c r="AO141" s="498"/>
      <c r="AP141" s="463"/>
      <c r="AQ141" s="121"/>
      <c r="AR141" s="121"/>
      <c r="AS141" s="463"/>
      <c r="AT141" s="593"/>
      <c r="AU141" s="593"/>
      <c r="AV141" s="593"/>
      <c r="AW141" s="593"/>
      <c r="AX141" s="593"/>
      <c r="AY141" s="593"/>
      <c r="AZ141" s="593"/>
      <c r="BA141" s="593"/>
      <c r="BB141" s="411"/>
      <c r="BC141" s="481"/>
      <c r="BD141" s="117"/>
      <c r="BE141" s="59"/>
      <c r="BF141" s="25"/>
      <c r="BG141" s="25"/>
      <c r="BH141" s="131"/>
      <c r="BI141" s="411"/>
      <c r="BJ141" s="411"/>
      <c r="BK141" s="25"/>
      <c r="BL141" s="25"/>
      <c r="BM141" s="25"/>
    </row>
    <row r="142" spans="1:65" ht="76.5" x14ac:dyDescent="0.2">
      <c r="A142" s="420"/>
      <c r="B142" s="421"/>
      <c r="C142" s="423"/>
      <c r="D142" s="409"/>
      <c r="E142" s="411"/>
      <c r="F142" s="409"/>
      <c r="G142" s="426"/>
      <c r="H142" s="133"/>
      <c r="I142" s="133"/>
      <c r="J142" s="133"/>
      <c r="K142" s="461"/>
      <c r="L142" s="409"/>
      <c r="M142" s="409"/>
      <c r="N142" s="433"/>
      <c r="O142" s="528"/>
      <c r="P142" s="444"/>
      <c r="Q142" s="433"/>
      <c r="R142" s="433"/>
      <c r="S142" s="411"/>
      <c r="T142" s="411"/>
      <c r="U142" s="411"/>
      <c r="V142" s="411"/>
      <c r="W142" s="411"/>
      <c r="X142" s="25"/>
      <c r="Y142" s="124" t="s">
        <v>121</v>
      </c>
      <c r="Z142" s="117">
        <v>42552</v>
      </c>
      <c r="AA142" s="118">
        <v>11867</v>
      </c>
      <c r="AB142" s="20" t="s">
        <v>963</v>
      </c>
      <c r="AC142" s="117">
        <v>42552</v>
      </c>
      <c r="AD142" s="117">
        <v>42644</v>
      </c>
      <c r="AE142" s="1"/>
      <c r="AF142" s="2"/>
      <c r="AG142" s="65"/>
      <c r="AH142" s="120"/>
      <c r="AI142" s="115"/>
      <c r="AJ142" s="115"/>
      <c r="AK142" s="115"/>
      <c r="AL142" s="528"/>
      <c r="AM142" s="532"/>
      <c r="AN142" s="530"/>
      <c r="AO142" s="498"/>
      <c r="AP142" s="450"/>
      <c r="AQ142" s="30"/>
      <c r="AR142" s="30"/>
      <c r="AS142" s="450"/>
      <c r="AT142" s="594"/>
      <c r="AU142" s="594"/>
      <c r="AV142" s="594"/>
      <c r="AW142" s="594"/>
      <c r="AX142" s="594"/>
      <c r="AY142" s="594"/>
      <c r="AZ142" s="594"/>
      <c r="BA142" s="594"/>
      <c r="BB142" s="412"/>
      <c r="BC142" s="482"/>
      <c r="BD142" s="117"/>
      <c r="BE142" s="59"/>
      <c r="BF142" s="25"/>
      <c r="BG142" s="25"/>
      <c r="BH142" s="131"/>
      <c r="BI142" s="411"/>
      <c r="BJ142" s="411"/>
      <c r="BK142" s="25"/>
      <c r="BL142" s="25"/>
      <c r="BM142" s="25"/>
    </row>
    <row r="143" spans="1:65" ht="51" x14ac:dyDescent="0.2">
      <c r="A143" s="420"/>
      <c r="B143" s="421"/>
      <c r="C143" s="423"/>
      <c r="D143" s="409"/>
      <c r="E143" s="411"/>
      <c r="F143" s="409"/>
      <c r="G143" s="426"/>
      <c r="H143" s="133"/>
      <c r="I143" s="133"/>
      <c r="J143" s="133"/>
      <c r="K143" s="461"/>
      <c r="L143" s="409"/>
      <c r="M143" s="409"/>
      <c r="N143" s="433"/>
      <c r="O143" s="528"/>
      <c r="P143" s="444"/>
      <c r="Q143" s="433"/>
      <c r="R143" s="433"/>
      <c r="S143" s="411"/>
      <c r="T143" s="411"/>
      <c r="U143" s="411"/>
      <c r="V143" s="411"/>
      <c r="W143" s="411"/>
      <c r="X143" s="25"/>
      <c r="Y143" s="124" t="s">
        <v>119</v>
      </c>
      <c r="Z143" s="117">
        <v>42641</v>
      </c>
      <c r="AA143" s="118">
        <v>11909</v>
      </c>
      <c r="AB143" s="20" t="s">
        <v>1007</v>
      </c>
      <c r="AC143" s="117">
        <v>42644</v>
      </c>
      <c r="AD143" s="117">
        <v>42736</v>
      </c>
      <c r="AE143" s="1"/>
      <c r="AF143" s="2"/>
      <c r="AG143" s="65"/>
      <c r="AH143" s="120"/>
      <c r="AI143" s="115"/>
      <c r="AJ143" s="115"/>
      <c r="AK143" s="115"/>
      <c r="AL143" s="528"/>
      <c r="AM143" s="532"/>
      <c r="AN143" s="530"/>
      <c r="AO143" s="498"/>
      <c r="AP143" s="121"/>
      <c r="AQ143" s="121"/>
      <c r="AR143" s="121"/>
      <c r="AS143" s="121"/>
      <c r="AT143" s="126"/>
      <c r="AU143" s="126"/>
      <c r="AV143" s="126"/>
      <c r="AW143" s="126"/>
      <c r="AX143" s="126"/>
      <c r="AY143" s="126"/>
      <c r="AZ143" s="126"/>
      <c r="BA143" s="126"/>
      <c r="BB143" s="25"/>
      <c r="BC143" s="165"/>
      <c r="BD143" s="117"/>
      <c r="BE143" s="59"/>
      <c r="BF143" s="25"/>
      <c r="BG143" s="25"/>
      <c r="BH143" s="131"/>
      <c r="BI143" s="411"/>
      <c r="BJ143" s="411"/>
      <c r="BK143" s="25"/>
      <c r="BL143" s="25"/>
      <c r="BM143" s="25"/>
    </row>
    <row r="144" spans="1:65" ht="102" x14ac:dyDescent="0.2">
      <c r="A144" s="420"/>
      <c r="B144" s="421"/>
      <c r="C144" s="423"/>
      <c r="D144" s="409"/>
      <c r="E144" s="411"/>
      <c r="F144" s="409"/>
      <c r="G144" s="426"/>
      <c r="H144" s="133"/>
      <c r="I144" s="133"/>
      <c r="J144" s="458"/>
      <c r="K144" s="461"/>
      <c r="L144" s="409"/>
      <c r="M144" s="409"/>
      <c r="N144" s="433"/>
      <c r="O144" s="528"/>
      <c r="P144" s="444"/>
      <c r="Q144" s="433"/>
      <c r="R144" s="433"/>
      <c r="S144" s="411"/>
      <c r="T144" s="411"/>
      <c r="U144" s="411"/>
      <c r="V144" s="411"/>
      <c r="W144" s="411"/>
      <c r="X144" s="25"/>
      <c r="Y144" s="175" t="s">
        <v>374</v>
      </c>
      <c r="Z144" s="164">
        <v>42643</v>
      </c>
      <c r="AA144" s="177">
        <v>11909</v>
      </c>
      <c r="AB144" s="123" t="s">
        <v>1008</v>
      </c>
      <c r="AC144" s="164"/>
      <c r="AD144" s="164"/>
      <c r="AE144" s="169"/>
      <c r="AF144" s="24"/>
      <c r="AG144" s="170">
        <v>36557.019999999997</v>
      </c>
      <c r="AH144" s="125"/>
      <c r="AI144" s="115"/>
      <c r="AJ144" s="115"/>
      <c r="AK144" s="115"/>
      <c r="AL144" s="528"/>
      <c r="AM144" s="532"/>
      <c r="AN144" s="530"/>
      <c r="AO144" s="498"/>
      <c r="AP144" s="121"/>
      <c r="AQ144" s="121"/>
      <c r="AR144" s="121"/>
      <c r="AS144" s="121"/>
      <c r="AT144" s="126"/>
      <c r="AU144" s="126"/>
      <c r="AV144" s="126"/>
      <c r="AW144" s="126"/>
      <c r="AX144" s="126"/>
      <c r="AY144" s="126"/>
      <c r="AZ144" s="126"/>
      <c r="BA144" s="126"/>
      <c r="BB144" s="25"/>
      <c r="BC144" s="165"/>
      <c r="BD144" s="164"/>
      <c r="BE144" s="176"/>
      <c r="BF144" s="25"/>
      <c r="BG144" s="25"/>
      <c r="BH144" s="131"/>
      <c r="BI144" s="411"/>
      <c r="BJ144" s="411"/>
      <c r="BK144" s="25"/>
      <c r="BL144" s="25"/>
      <c r="BM144" s="25"/>
    </row>
    <row r="145" spans="1:65" ht="38.25" x14ac:dyDescent="0.2">
      <c r="A145" s="404"/>
      <c r="B145" s="419"/>
      <c r="C145" s="424"/>
      <c r="D145" s="406"/>
      <c r="E145" s="412"/>
      <c r="F145" s="406"/>
      <c r="G145" s="181"/>
      <c r="H145" s="133"/>
      <c r="I145" s="133"/>
      <c r="J145" s="440"/>
      <c r="K145" s="462"/>
      <c r="L145" s="406"/>
      <c r="M145" s="406"/>
      <c r="N145" s="434"/>
      <c r="O145" s="488"/>
      <c r="P145" s="445"/>
      <c r="Q145" s="434"/>
      <c r="R145" s="434"/>
      <c r="S145" s="412"/>
      <c r="T145" s="412"/>
      <c r="U145" s="412"/>
      <c r="V145" s="412"/>
      <c r="W145" s="412"/>
      <c r="X145" s="25"/>
      <c r="Y145" s="175" t="s">
        <v>518</v>
      </c>
      <c r="Z145" s="164">
        <v>42732</v>
      </c>
      <c r="AA145" s="177">
        <v>11981</v>
      </c>
      <c r="AB145" s="123" t="s">
        <v>1807</v>
      </c>
      <c r="AC145" s="164">
        <v>42736</v>
      </c>
      <c r="AD145" s="164">
        <v>42826</v>
      </c>
      <c r="AE145" s="169"/>
      <c r="AF145" s="24"/>
      <c r="AG145" s="170"/>
      <c r="AH145" s="125"/>
      <c r="AI145" s="115"/>
      <c r="AJ145" s="115"/>
      <c r="AK145" s="115"/>
      <c r="AL145" s="488"/>
      <c r="AM145" s="501"/>
      <c r="AN145" s="531"/>
      <c r="AO145" s="161"/>
      <c r="AP145" s="121"/>
      <c r="AQ145" s="121"/>
      <c r="AR145" s="121"/>
      <c r="AS145" s="121"/>
      <c r="AT145" s="126"/>
      <c r="AU145" s="126"/>
      <c r="AV145" s="126"/>
      <c r="AW145" s="126"/>
      <c r="AX145" s="126"/>
      <c r="AY145" s="126"/>
      <c r="AZ145" s="126"/>
      <c r="BA145" s="126"/>
      <c r="BB145" s="25"/>
      <c r="BC145" s="165"/>
      <c r="BD145" s="164"/>
      <c r="BE145" s="176"/>
      <c r="BF145" s="25"/>
      <c r="BG145" s="25"/>
      <c r="BH145" s="131"/>
      <c r="BI145" s="25"/>
      <c r="BJ145" s="25"/>
      <c r="BK145" s="25"/>
      <c r="BL145" s="25"/>
      <c r="BM145" s="25"/>
    </row>
    <row r="146" spans="1:65" x14ac:dyDescent="0.2">
      <c r="A146" s="403">
        <v>24</v>
      </c>
      <c r="B146" s="418" t="s">
        <v>1457</v>
      </c>
      <c r="C146" s="422" t="s">
        <v>1458</v>
      </c>
      <c r="D146" s="405" t="s">
        <v>395</v>
      </c>
      <c r="E146" s="410" t="s">
        <v>126</v>
      </c>
      <c r="F146" s="405" t="s">
        <v>1459</v>
      </c>
      <c r="G146" s="407" t="s">
        <v>828</v>
      </c>
      <c r="H146" s="2"/>
      <c r="I146" s="20"/>
      <c r="J146" s="20"/>
      <c r="K146" s="427" t="s">
        <v>1460</v>
      </c>
      <c r="L146" s="405" t="s">
        <v>1461</v>
      </c>
      <c r="M146" s="405" t="s">
        <v>186</v>
      </c>
      <c r="N146" s="431">
        <v>41855</v>
      </c>
      <c r="O146" s="435">
        <v>986137.36</v>
      </c>
      <c r="P146" s="438" t="s">
        <v>1462</v>
      </c>
      <c r="Q146" s="431">
        <v>41907</v>
      </c>
      <c r="R146" s="431">
        <f>Q146+240</f>
        <v>42147</v>
      </c>
      <c r="S146" s="427" t="s">
        <v>1463</v>
      </c>
      <c r="T146" s="431"/>
      <c r="U146" s="431"/>
      <c r="V146" s="427"/>
      <c r="W146" s="427" t="s">
        <v>251</v>
      </c>
      <c r="X146" s="20"/>
      <c r="Y146" s="2"/>
      <c r="Z146" s="20"/>
      <c r="AA146" s="2"/>
      <c r="AB146" s="20"/>
      <c r="AC146" s="20"/>
      <c r="AD146" s="20"/>
      <c r="AE146" s="1"/>
      <c r="AF146" s="20"/>
      <c r="AG146" s="65"/>
      <c r="AH146" s="138"/>
      <c r="AI146" s="173"/>
      <c r="AJ146" s="173"/>
      <c r="AK146" s="173"/>
      <c r="AL146" s="487">
        <f>986137.36-AH147+AG147-AH148+AG148-AH149+AG149-AH150+AG150-AH151+AG151-AH152+AG152-AH153+AG153-AH154+AG154</f>
        <v>1118668.4400000002</v>
      </c>
      <c r="AM146" s="497">
        <f>149759.64+470503.04+125000</f>
        <v>745262.67999999993</v>
      </c>
      <c r="AN146" s="497">
        <f>38642.79+69088.4+0+127380.04+11696.57+21613.44+33260.02+24190.36+39170.69</f>
        <v>365042.31</v>
      </c>
      <c r="AO146" s="497">
        <f>AM146+AN146</f>
        <v>1110304.99</v>
      </c>
      <c r="AP146" s="410"/>
      <c r="AQ146" s="410"/>
      <c r="AR146" s="410"/>
      <c r="AS146" s="410"/>
      <c r="AT146" s="410"/>
      <c r="AU146" s="410"/>
      <c r="AV146" s="410"/>
      <c r="AW146" s="20"/>
      <c r="AX146" s="20"/>
      <c r="AY146" s="20"/>
      <c r="AZ146" s="20"/>
      <c r="BA146" s="20"/>
      <c r="BB146" s="410" t="s">
        <v>396</v>
      </c>
      <c r="BC146" s="480" t="s">
        <v>184</v>
      </c>
      <c r="BD146" s="59">
        <v>41914</v>
      </c>
      <c r="BE146" s="59">
        <f>BD146+210</f>
        <v>42124</v>
      </c>
      <c r="BF146" s="20"/>
      <c r="BG146" s="20"/>
      <c r="BH146" s="164">
        <v>41914</v>
      </c>
      <c r="BI146" s="2"/>
      <c r="BJ146" s="2"/>
      <c r="BK146" s="2"/>
      <c r="BL146" s="2"/>
      <c r="BM146" s="2"/>
    </row>
    <row r="147" spans="1:65" ht="63.75" x14ac:dyDescent="0.2">
      <c r="A147" s="420"/>
      <c r="B147" s="421"/>
      <c r="C147" s="423"/>
      <c r="D147" s="409"/>
      <c r="E147" s="411"/>
      <c r="F147" s="409"/>
      <c r="G147" s="446"/>
      <c r="H147" s="2"/>
      <c r="I147" s="20"/>
      <c r="J147" s="20"/>
      <c r="K147" s="429"/>
      <c r="L147" s="409"/>
      <c r="M147" s="409"/>
      <c r="N147" s="437"/>
      <c r="O147" s="436"/>
      <c r="P147" s="448"/>
      <c r="Q147" s="437"/>
      <c r="R147" s="437"/>
      <c r="S147" s="429"/>
      <c r="T147" s="437"/>
      <c r="U147" s="437"/>
      <c r="V147" s="429"/>
      <c r="W147" s="429"/>
      <c r="X147" s="25" t="s">
        <v>1470</v>
      </c>
      <c r="Y147" s="2" t="s">
        <v>138</v>
      </c>
      <c r="Z147" s="59">
        <v>42124</v>
      </c>
      <c r="AA147" s="118">
        <v>11565</v>
      </c>
      <c r="AB147" s="20" t="s">
        <v>1464</v>
      </c>
      <c r="AC147" s="59">
        <v>42147</v>
      </c>
      <c r="AD147" s="59">
        <v>42022</v>
      </c>
      <c r="AE147" s="1"/>
      <c r="AF147" s="20"/>
      <c r="AG147" s="65"/>
      <c r="AH147" s="138"/>
      <c r="AI147" s="173"/>
      <c r="AJ147" s="173"/>
      <c r="AK147" s="173"/>
      <c r="AL147" s="528"/>
      <c r="AM147" s="498"/>
      <c r="AN147" s="498"/>
      <c r="AO147" s="498"/>
      <c r="AP147" s="411"/>
      <c r="AQ147" s="411"/>
      <c r="AR147" s="411"/>
      <c r="AS147" s="411"/>
      <c r="AT147" s="411"/>
      <c r="AU147" s="411"/>
      <c r="AV147" s="411"/>
      <c r="AW147" s="20"/>
      <c r="AX147" s="20"/>
      <c r="AY147" s="20"/>
      <c r="AZ147" s="20"/>
      <c r="BA147" s="20"/>
      <c r="BB147" s="411"/>
      <c r="BC147" s="481"/>
      <c r="BD147" s="59">
        <v>42124</v>
      </c>
      <c r="BE147" s="59">
        <v>42334</v>
      </c>
      <c r="BF147" s="20"/>
      <c r="BG147" s="20"/>
      <c r="BH147" s="131"/>
      <c r="BI147" s="2"/>
      <c r="BJ147" s="2"/>
      <c r="BK147" s="2"/>
      <c r="BL147" s="2"/>
      <c r="BM147" s="2"/>
    </row>
    <row r="148" spans="1:65" ht="102" x14ac:dyDescent="0.2">
      <c r="A148" s="420"/>
      <c r="B148" s="421"/>
      <c r="C148" s="423"/>
      <c r="D148" s="409"/>
      <c r="E148" s="411"/>
      <c r="F148" s="409"/>
      <c r="G148" s="446"/>
      <c r="H148" s="2"/>
      <c r="I148" s="20"/>
      <c r="J148" s="20"/>
      <c r="K148" s="429"/>
      <c r="L148" s="409"/>
      <c r="M148" s="409"/>
      <c r="N148" s="437"/>
      <c r="O148" s="436"/>
      <c r="P148" s="448"/>
      <c r="Q148" s="437"/>
      <c r="R148" s="437"/>
      <c r="S148" s="429"/>
      <c r="T148" s="437"/>
      <c r="U148" s="437"/>
      <c r="V148" s="429"/>
      <c r="W148" s="429"/>
      <c r="X148" s="25" t="s">
        <v>1470</v>
      </c>
      <c r="Y148" s="2" t="s">
        <v>144</v>
      </c>
      <c r="Z148" s="59">
        <v>42334</v>
      </c>
      <c r="AA148" s="118">
        <v>11731</v>
      </c>
      <c r="AB148" s="20" t="s">
        <v>1465</v>
      </c>
      <c r="AC148" s="59">
        <v>42387</v>
      </c>
      <c r="AD148" s="59">
        <v>42569</v>
      </c>
      <c r="AE148" s="1"/>
      <c r="AF148" s="20"/>
      <c r="AG148" s="65"/>
      <c r="AH148" s="138"/>
      <c r="AI148" s="173"/>
      <c r="AJ148" s="173"/>
      <c r="AK148" s="173"/>
      <c r="AL148" s="528"/>
      <c r="AM148" s="498"/>
      <c r="AN148" s="498"/>
      <c r="AO148" s="498"/>
      <c r="AP148" s="411"/>
      <c r="AQ148" s="411"/>
      <c r="AR148" s="411"/>
      <c r="AS148" s="411"/>
      <c r="AT148" s="411"/>
      <c r="AU148" s="411"/>
      <c r="AV148" s="411"/>
      <c r="AW148" s="20"/>
      <c r="AX148" s="20"/>
      <c r="AY148" s="20"/>
      <c r="AZ148" s="20"/>
      <c r="BA148" s="20"/>
      <c r="BB148" s="411"/>
      <c r="BC148" s="481"/>
      <c r="BD148" s="59">
        <v>42334</v>
      </c>
      <c r="BE148" s="59">
        <v>42516</v>
      </c>
      <c r="BF148" s="20"/>
      <c r="BG148" s="20"/>
      <c r="BH148" s="131"/>
      <c r="BI148" s="2"/>
      <c r="BJ148" s="2"/>
      <c r="BK148" s="2"/>
      <c r="BL148" s="2"/>
      <c r="BM148" s="2"/>
    </row>
    <row r="149" spans="1:65" ht="76.5" x14ac:dyDescent="0.2">
      <c r="A149" s="420"/>
      <c r="B149" s="421"/>
      <c r="C149" s="423"/>
      <c r="D149" s="409"/>
      <c r="E149" s="411"/>
      <c r="F149" s="409"/>
      <c r="G149" s="446"/>
      <c r="H149" s="2"/>
      <c r="I149" s="20"/>
      <c r="J149" s="20"/>
      <c r="K149" s="429"/>
      <c r="L149" s="409"/>
      <c r="M149" s="409"/>
      <c r="N149" s="437"/>
      <c r="O149" s="436"/>
      <c r="P149" s="448"/>
      <c r="Q149" s="437"/>
      <c r="R149" s="437"/>
      <c r="S149" s="429"/>
      <c r="T149" s="437"/>
      <c r="U149" s="437"/>
      <c r="V149" s="429"/>
      <c r="W149" s="429"/>
      <c r="X149" s="25" t="s">
        <v>1470</v>
      </c>
      <c r="Y149" s="2" t="s">
        <v>193</v>
      </c>
      <c r="Z149" s="59">
        <v>42515</v>
      </c>
      <c r="AA149" s="118">
        <v>11828</v>
      </c>
      <c r="AB149" s="20" t="s">
        <v>1466</v>
      </c>
      <c r="AC149" s="59">
        <v>42569</v>
      </c>
      <c r="AD149" s="59">
        <v>42692</v>
      </c>
      <c r="AE149" s="1"/>
      <c r="AF149" s="20"/>
      <c r="AG149" s="65"/>
      <c r="AH149" s="138"/>
      <c r="AI149" s="173"/>
      <c r="AJ149" s="173"/>
      <c r="AK149" s="173"/>
      <c r="AL149" s="528"/>
      <c r="AM149" s="498"/>
      <c r="AN149" s="498"/>
      <c r="AO149" s="498"/>
      <c r="AP149" s="411"/>
      <c r="AQ149" s="411"/>
      <c r="AR149" s="411"/>
      <c r="AS149" s="411"/>
      <c r="AT149" s="411"/>
      <c r="AU149" s="411"/>
      <c r="AV149" s="411"/>
      <c r="AW149" s="20"/>
      <c r="AX149" s="20"/>
      <c r="AY149" s="20"/>
      <c r="AZ149" s="20"/>
      <c r="BA149" s="20"/>
      <c r="BB149" s="411"/>
      <c r="BC149" s="481"/>
      <c r="BD149" s="59">
        <v>42516</v>
      </c>
      <c r="BE149" s="59">
        <v>42639</v>
      </c>
      <c r="BF149" s="20"/>
      <c r="BG149" s="20"/>
      <c r="BH149" s="131"/>
      <c r="BI149" s="2"/>
      <c r="BJ149" s="2"/>
      <c r="BK149" s="2"/>
      <c r="BL149" s="2"/>
      <c r="BM149" s="2"/>
    </row>
    <row r="150" spans="1:65" ht="114.75" x14ac:dyDescent="0.2">
      <c r="A150" s="420"/>
      <c r="B150" s="421"/>
      <c r="C150" s="423"/>
      <c r="D150" s="409"/>
      <c r="E150" s="411"/>
      <c r="F150" s="409"/>
      <c r="G150" s="446"/>
      <c r="H150" s="2"/>
      <c r="I150" s="20"/>
      <c r="J150" s="20"/>
      <c r="K150" s="429"/>
      <c r="L150" s="409"/>
      <c r="M150" s="409"/>
      <c r="N150" s="437"/>
      <c r="O150" s="436"/>
      <c r="P150" s="448"/>
      <c r="Q150" s="437"/>
      <c r="R150" s="437"/>
      <c r="S150" s="429"/>
      <c r="T150" s="437"/>
      <c r="U150" s="437"/>
      <c r="V150" s="429"/>
      <c r="W150" s="429"/>
      <c r="X150" s="2" t="s">
        <v>498</v>
      </c>
      <c r="Y150" s="2" t="s">
        <v>194</v>
      </c>
      <c r="Z150" s="59">
        <v>42534</v>
      </c>
      <c r="AA150" s="118">
        <v>11829</v>
      </c>
      <c r="AB150" s="20" t="s">
        <v>1467</v>
      </c>
      <c r="AC150" s="59"/>
      <c r="AD150" s="59"/>
      <c r="AE150" s="1"/>
      <c r="AF150" s="20"/>
      <c r="AG150" s="65">
        <v>68471.94</v>
      </c>
      <c r="AH150" s="138"/>
      <c r="AI150" s="173"/>
      <c r="AJ150" s="173"/>
      <c r="AK150" s="173"/>
      <c r="AL150" s="528"/>
      <c r="AM150" s="498"/>
      <c r="AN150" s="498"/>
      <c r="AO150" s="498"/>
      <c r="AP150" s="412"/>
      <c r="AQ150" s="412"/>
      <c r="AR150" s="412"/>
      <c r="AS150" s="412"/>
      <c r="AT150" s="412"/>
      <c r="AU150" s="412"/>
      <c r="AV150" s="412"/>
      <c r="AW150" s="20"/>
      <c r="AX150" s="20"/>
      <c r="AY150" s="20"/>
      <c r="AZ150" s="20"/>
      <c r="BA150" s="20"/>
      <c r="BB150" s="411"/>
      <c r="BC150" s="481"/>
      <c r="BD150" s="59"/>
      <c r="BE150" s="59"/>
      <c r="BF150" s="20"/>
      <c r="BG150" s="20"/>
      <c r="BH150" s="182"/>
      <c r="BI150" s="2"/>
      <c r="BJ150" s="2"/>
      <c r="BK150" s="2"/>
      <c r="BL150" s="2"/>
      <c r="BM150" s="2"/>
    </row>
    <row r="151" spans="1:65" ht="127.5" x14ac:dyDescent="0.2">
      <c r="A151" s="420"/>
      <c r="B151" s="421"/>
      <c r="C151" s="423"/>
      <c r="D151" s="409"/>
      <c r="E151" s="411"/>
      <c r="F151" s="409"/>
      <c r="G151" s="409"/>
      <c r="H151" s="2"/>
      <c r="I151" s="20"/>
      <c r="J151" s="20"/>
      <c r="K151" s="429"/>
      <c r="L151" s="409"/>
      <c r="M151" s="409"/>
      <c r="N151" s="437"/>
      <c r="O151" s="436"/>
      <c r="P151" s="448"/>
      <c r="Q151" s="437"/>
      <c r="R151" s="437"/>
      <c r="S151" s="429"/>
      <c r="T151" s="437"/>
      <c r="U151" s="437"/>
      <c r="V151" s="429"/>
      <c r="W151" s="429"/>
      <c r="X151" s="2" t="s">
        <v>498</v>
      </c>
      <c r="Y151" s="2" t="s">
        <v>195</v>
      </c>
      <c r="Z151" s="59">
        <v>42642</v>
      </c>
      <c r="AA151" s="118">
        <v>11906</v>
      </c>
      <c r="AB151" s="20" t="s">
        <v>1468</v>
      </c>
      <c r="AC151" s="59"/>
      <c r="AD151" s="59"/>
      <c r="AE151" s="1"/>
      <c r="AF151" s="20"/>
      <c r="AG151" s="65">
        <v>55727.83</v>
      </c>
      <c r="AH151" s="138"/>
      <c r="AI151" s="183"/>
      <c r="AJ151" s="173"/>
      <c r="AK151" s="173"/>
      <c r="AL151" s="528"/>
      <c r="AM151" s="498"/>
      <c r="AN151" s="498"/>
      <c r="AO151" s="498"/>
      <c r="AP151" s="114"/>
      <c r="AQ151" s="26"/>
      <c r="AR151" s="26"/>
      <c r="AS151" s="26"/>
      <c r="AT151" s="26"/>
      <c r="AU151" s="26"/>
      <c r="AV151" s="26"/>
      <c r="AW151" s="26"/>
      <c r="AX151" s="184"/>
      <c r="AY151" s="59"/>
      <c r="AZ151" s="59"/>
      <c r="BA151" s="20"/>
      <c r="BB151" s="411"/>
      <c r="BC151" s="481"/>
      <c r="BD151" s="26"/>
      <c r="BE151" s="26"/>
      <c r="BF151" s="26"/>
      <c r="BG151" s="26"/>
      <c r="BH151" s="26"/>
      <c r="BI151" s="2"/>
      <c r="BJ151" s="2"/>
      <c r="BK151" s="2"/>
      <c r="BL151" s="2"/>
      <c r="BM151" s="2"/>
    </row>
    <row r="152" spans="1:65" ht="63.75" x14ac:dyDescent="0.2">
      <c r="A152" s="420"/>
      <c r="B152" s="421"/>
      <c r="C152" s="423"/>
      <c r="D152" s="409"/>
      <c r="E152" s="411"/>
      <c r="F152" s="409"/>
      <c r="G152" s="409"/>
      <c r="H152" s="2"/>
      <c r="I152" s="20"/>
      <c r="J152" s="20"/>
      <c r="K152" s="429"/>
      <c r="L152" s="409"/>
      <c r="M152" s="409"/>
      <c r="N152" s="437"/>
      <c r="O152" s="436"/>
      <c r="P152" s="448"/>
      <c r="Q152" s="437"/>
      <c r="R152" s="437"/>
      <c r="S152" s="429"/>
      <c r="T152" s="437"/>
      <c r="U152" s="437"/>
      <c r="V152" s="429"/>
      <c r="W152" s="429"/>
      <c r="X152" s="25" t="s">
        <v>1470</v>
      </c>
      <c r="Y152" s="2" t="s">
        <v>118</v>
      </c>
      <c r="Z152" s="59">
        <v>42684</v>
      </c>
      <c r="AA152" s="118">
        <v>11948</v>
      </c>
      <c r="AB152" s="20" t="s">
        <v>1469</v>
      </c>
      <c r="AC152" s="59">
        <v>42692</v>
      </c>
      <c r="AD152" s="59">
        <v>42812</v>
      </c>
      <c r="AE152" s="1"/>
      <c r="AF152" s="20"/>
      <c r="AG152" s="65"/>
      <c r="AH152" s="138"/>
      <c r="AI152" s="173"/>
      <c r="AJ152" s="173"/>
      <c r="AK152" s="173"/>
      <c r="AL152" s="528"/>
      <c r="AM152" s="498"/>
      <c r="AN152" s="498"/>
      <c r="AO152" s="498"/>
      <c r="AP152" s="26"/>
      <c r="AQ152" s="26"/>
      <c r="AR152" s="26"/>
      <c r="AS152" s="26"/>
      <c r="AT152" s="26"/>
      <c r="AU152" s="26"/>
      <c r="AV152" s="26"/>
      <c r="AW152" s="26"/>
      <c r="AX152" s="184"/>
      <c r="AY152" s="59"/>
      <c r="AZ152" s="59"/>
      <c r="BA152" s="20"/>
      <c r="BB152" s="411"/>
      <c r="BC152" s="481"/>
      <c r="BD152" s="26"/>
      <c r="BE152" s="26"/>
      <c r="BF152" s="26"/>
      <c r="BG152" s="26"/>
      <c r="BH152" s="26"/>
      <c r="BI152" s="2"/>
      <c r="BJ152" s="2"/>
      <c r="BK152" s="2"/>
      <c r="BL152" s="2"/>
      <c r="BM152" s="2"/>
    </row>
    <row r="153" spans="1:65" ht="51" x14ac:dyDescent="0.2">
      <c r="A153" s="420"/>
      <c r="B153" s="421"/>
      <c r="C153" s="423"/>
      <c r="D153" s="409"/>
      <c r="E153" s="411"/>
      <c r="F153" s="409"/>
      <c r="G153" s="409"/>
      <c r="H153" s="133"/>
      <c r="I153" s="133"/>
      <c r="J153" s="133"/>
      <c r="K153" s="429"/>
      <c r="L153" s="409"/>
      <c r="M153" s="409"/>
      <c r="N153" s="429"/>
      <c r="O153" s="429"/>
      <c r="P153" s="429"/>
      <c r="Q153" s="429"/>
      <c r="R153" s="429"/>
      <c r="S153" s="429"/>
      <c r="T153" s="429"/>
      <c r="U153" s="429"/>
      <c r="V153" s="429"/>
      <c r="W153" s="429"/>
      <c r="X153" s="25" t="s">
        <v>1470</v>
      </c>
      <c r="Y153" s="185" t="s">
        <v>121</v>
      </c>
      <c r="Z153" s="182">
        <v>42811</v>
      </c>
      <c r="AA153" s="110">
        <v>12023</v>
      </c>
      <c r="AB153" s="109" t="s">
        <v>1471</v>
      </c>
      <c r="AC153" s="182">
        <v>42812</v>
      </c>
      <c r="AD153" s="182">
        <v>42932</v>
      </c>
      <c r="AE153" s="112"/>
      <c r="AF153" s="26"/>
      <c r="AG153" s="166"/>
      <c r="AH153" s="114"/>
      <c r="AI153" s="173"/>
      <c r="AJ153" s="173"/>
      <c r="AK153" s="173"/>
      <c r="AL153" s="528"/>
      <c r="AM153" s="498"/>
      <c r="AN153" s="498"/>
      <c r="AO153" s="498"/>
      <c r="AP153" s="121"/>
      <c r="AQ153" s="121"/>
      <c r="AR153" s="121"/>
      <c r="AS153" s="121"/>
      <c r="AT153" s="126"/>
      <c r="AU153" s="126"/>
      <c r="AV153" s="126"/>
      <c r="AW153" s="126"/>
      <c r="AX153" s="126"/>
      <c r="AY153" s="126"/>
      <c r="AZ153" s="126"/>
      <c r="BA153" s="126"/>
      <c r="BB153" s="411"/>
      <c r="BC153" s="481"/>
      <c r="BD153" s="182"/>
      <c r="BE153" s="186"/>
      <c r="BF153" s="25"/>
      <c r="BG153" s="25"/>
      <c r="BH153" s="131"/>
      <c r="BI153" s="26"/>
      <c r="BJ153" s="26"/>
      <c r="BK153" s="25"/>
      <c r="BL153" s="25"/>
      <c r="BM153" s="25"/>
    </row>
    <row r="154" spans="1:65" ht="140.25" x14ac:dyDescent="0.2">
      <c r="A154" s="404"/>
      <c r="B154" s="419"/>
      <c r="C154" s="424"/>
      <c r="D154" s="406"/>
      <c r="E154" s="412"/>
      <c r="F154" s="406"/>
      <c r="G154" s="406"/>
      <c r="H154" s="133"/>
      <c r="I154" s="133"/>
      <c r="J154" s="133"/>
      <c r="K154" s="428"/>
      <c r="L154" s="406"/>
      <c r="M154" s="406"/>
      <c r="N154" s="428"/>
      <c r="O154" s="428"/>
      <c r="P154" s="428"/>
      <c r="Q154" s="428"/>
      <c r="R154" s="428"/>
      <c r="S154" s="428"/>
      <c r="T154" s="428"/>
      <c r="U154" s="428"/>
      <c r="V154" s="428"/>
      <c r="W154" s="428"/>
      <c r="X154" s="25" t="s">
        <v>498</v>
      </c>
      <c r="Y154" s="185" t="s">
        <v>119</v>
      </c>
      <c r="Z154" s="182">
        <v>42852</v>
      </c>
      <c r="AA154" s="110">
        <v>12043</v>
      </c>
      <c r="AB154" s="109" t="s">
        <v>1535</v>
      </c>
      <c r="AC154" s="182"/>
      <c r="AD154" s="182"/>
      <c r="AE154" s="112"/>
      <c r="AF154" s="26"/>
      <c r="AG154" s="166">
        <v>8331.31</v>
      </c>
      <c r="AH154" s="114"/>
      <c r="AI154" s="179"/>
      <c r="AJ154" s="179"/>
      <c r="AK154" s="179"/>
      <c r="AL154" s="488"/>
      <c r="AM154" s="499"/>
      <c r="AN154" s="499"/>
      <c r="AO154" s="499"/>
      <c r="AP154" s="121"/>
      <c r="AQ154" s="121"/>
      <c r="AR154" s="121"/>
      <c r="AS154" s="121"/>
      <c r="AT154" s="126"/>
      <c r="AU154" s="126"/>
      <c r="AV154" s="126"/>
      <c r="AW154" s="126"/>
      <c r="AX154" s="126"/>
      <c r="AY154" s="126"/>
      <c r="AZ154" s="126"/>
      <c r="BA154" s="126"/>
      <c r="BB154" s="411"/>
      <c r="BC154" s="481"/>
      <c r="BD154" s="182"/>
      <c r="BE154" s="186"/>
      <c r="BF154" s="25"/>
      <c r="BG154" s="25"/>
      <c r="BH154" s="131"/>
      <c r="BI154" s="26"/>
      <c r="BJ154" s="26"/>
      <c r="BK154" s="25"/>
      <c r="BL154" s="25"/>
      <c r="BM154" s="25"/>
    </row>
    <row r="155" spans="1:65" x14ac:dyDescent="0.2">
      <c r="A155" s="403">
        <v>25</v>
      </c>
      <c r="B155" s="418" t="s">
        <v>397</v>
      </c>
      <c r="C155" s="422" t="s">
        <v>238</v>
      </c>
      <c r="D155" s="405" t="s">
        <v>147</v>
      </c>
      <c r="E155" s="410" t="s">
        <v>126</v>
      </c>
      <c r="F155" s="405" t="s">
        <v>398</v>
      </c>
      <c r="G155" s="407" t="s">
        <v>829</v>
      </c>
      <c r="H155" s="449" t="s">
        <v>1207</v>
      </c>
      <c r="I155" s="432">
        <v>41772</v>
      </c>
      <c r="J155" s="432">
        <v>42137</v>
      </c>
      <c r="K155" s="410" t="s">
        <v>390</v>
      </c>
      <c r="L155" s="494" t="s">
        <v>2050</v>
      </c>
      <c r="M155" s="405" t="s">
        <v>399</v>
      </c>
      <c r="N155" s="431">
        <v>41864</v>
      </c>
      <c r="O155" s="435">
        <v>69239.88</v>
      </c>
      <c r="P155" s="438" t="s">
        <v>1826</v>
      </c>
      <c r="Q155" s="431">
        <v>41864</v>
      </c>
      <c r="R155" s="431">
        <v>42229</v>
      </c>
      <c r="S155" s="427" t="s">
        <v>392</v>
      </c>
      <c r="T155" s="427"/>
      <c r="U155" s="427"/>
      <c r="V155" s="427"/>
      <c r="W155" s="427" t="s">
        <v>302</v>
      </c>
      <c r="X155" s="60"/>
      <c r="Y155" s="2"/>
      <c r="Z155" s="2"/>
      <c r="AA155" s="2"/>
      <c r="AB155" s="2"/>
      <c r="AC155" s="117"/>
      <c r="AD155" s="2"/>
      <c r="AE155" s="1"/>
      <c r="AF155" s="2"/>
      <c r="AG155" s="119"/>
      <c r="AH155" s="120"/>
      <c r="AI155" s="125"/>
      <c r="AJ155" s="125"/>
      <c r="AK155" s="125"/>
      <c r="AL155" s="487">
        <f>69239.88-AH156+AG156-AH157+AG157-AH158+AG158-AH159+AG159</f>
        <v>298450.26</v>
      </c>
      <c r="AM155" s="500">
        <f>28157.24+69239.88+5769.99+5769.99+5769.99+5769.99+5769.99+5769.99+5769.99+5769.99+5769.99+5769.99+5769.99+5769.99</f>
        <v>166636.99999999997</v>
      </c>
      <c r="AN155" s="529">
        <f>6454.41+6454.41+6454.41+6454.41+6454.41+6454.41+6454.41+6454.41+6454.41+6454.41+6454.41</f>
        <v>70998.510000000009</v>
      </c>
      <c r="AO155" s="497">
        <f>AM155+AN155</f>
        <v>237635.50999999998</v>
      </c>
      <c r="AP155" s="2"/>
      <c r="AQ155" s="2"/>
      <c r="AR155" s="2"/>
      <c r="AS155" s="2"/>
      <c r="AT155" s="2"/>
      <c r="AU155" s="2"/>
      <c r="AV155" s="2"/>
      <c r="AW155" s="2"/>
      <c r="AX155" s="2"/>
      <c r="AY155" s="2"/>
      <c r="AZ155" s="2"/>
      <c r="BA155" s="2"/>
      <c r="BB155" s="412"/>
      <c r="BC155" s="482"/>
      <c r="BD155" s="2"/>
      <c r="BE155" s="2"/>
      <c r="BF155" s="2"/>
      <c r="BG155" s="2"/>
      <c r="BH155" s="2"/>
      <c r="BI155" s="2"/>
      <c r="BJ155" s="2"/>
      <c r="BK155" s="2"/>
      <c r="BL155" s="2"/>
      <c r="BM155" s="2"/>
    </row>
    <row r="156" spans="1:65" ht="25.5" x14ac:dyDescent="0.2">
      <c r="A156" s="420"/>
      <c r="B156" s="421"/>
      <c r="C156" s="423"/>
      <c r="D156" s="409"/>
      <c r="E156" s="411"/>
      <c r="F156" s="409"/>
      <c r="G156" s="446"/>
      <c r="H156" s="463"/>
      <c r="I156" s="433"/>
      <c r="J156" s="433"/>
      <c r="K156" s="411"/>
      <c r="L156" s="495"/>
      <c r="M156" s="409"/>
      <c r="N156" s="437"/>
      <c r="O156" s="436"/>
      <c r="P156" s="448"/>
      <c r="Q156" s="437"/>
      <c r="R156" s="437"/>
      <c r="S156" s="429"/>
      <c r="T156" s="429"/>
      <c r="U156" s="429"/>
      <c r="V156" s="429"/>
      <c r="W156" s="429"/>
      <c r="X156" s="61"/>
      <c r="Y156" s="2" t="s">
        <v>138</v>
      </c>
      <c r="Z156" s="117">
        <v>42229</v>
      </c>
      <c r="AA156" s="118">
        <v>11622</v>
      </c>
      <c r="AB156" s="62" t="s">
        <v>568</v>
      </c>
      <c r="AC156" s="117">
        <v>42229</v>
      </c>
      <c r="AD156" s="117">
        <v>42595</v>
      </c>
      <c r="AE156" s="1"/>
      <c r="AF156" s="2"/>
      <c r="AG156" s="119">
        <v>69239.88</v>
      </c>
      <c r="AH156" s="120"/>
      <c r="AI156" s="115"/>
      <c r="AJ156" s="115"/>
      <c r="AK156" s="115"/>
      <c r="AL156" s="528"/>
      <c r="AM156" s="532"/>
      <c r="AN156" s="530"/>
      <c r="AO156" s="498"/>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1:65" ht="51" x14ac:dyDescent="0.2">
      <c r="A157" s="420"/>
      <c r="B157" s="421"/>
      <c r="C157" s="423"/>
      <c r="D157" s="409"/>
      <c r="E157" s="411"/>
      <c r="F157" s="409"/>
      <c r="G157" s="446"/>
      <c r="H157" s="463"/>
      <c r="I157" s="433"/>
      <c r="J157" s="433"/>
      <c r="K157" s="411"/>
      <c r="L157" s="495"/>
      <c r="M157" s="409"/>
      <c r="N157" s="429"/>
      <c r="O157" s="429"/>
      <c r="P157" s="429"/>
      <c r="Q157" s="429"/>
      <c r="R157" s="429"/>
      <c r="S157" s="429"/>
      <c r="T157" s="429"/>
      <c r="U157" s="429"/>
      <c r="V157" s="429"/>
      <c r="W157" s="429"/>
      <c r="X157" s="61"/>
      <c r="Y157" s="2" t="s">
        <v>144</v>
      </c>
      <c r="Z157" s="117">
        <v>42594</v>
      </c>
      <c r="AA157" s="118">
        <v>11874</v>
      </c>
      <c r="AB157" s="62" t="s">
        <v>966</v>
      </c>
      <c r="AC157" s="117">
        <v>42595</v>
      </c>
      <c r="AD157" s="117">
        <v>42960</v>
      </c>
      <c r="AE157" s="1"/>
      <c r="AF157" s="2"/>
      <c r="AG157" s="119">
        <v>69239.88</v>
      </c>
      <c r="AH157" s="120"/>
      <c r="AI157" s="115"/>
      <c r="AJ157" s="115"/>
      <c r="AK157" s="115"/>
      <c r="AL157" s="528"/>
      <c r="AM157" s="532"/>
      <c r="AN157" s="530"/>
      <c r="AO157" s="498"/>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row>
    <row r="158" spans="1:65" ht="127.5" x14ac:dyDescent="0.2">
      <c r="A158" s="420"/>
      <c r="B158" s="421"/>
      <c r="C158" s="423"/>
      <c r="D158" s="409"/>
      <c r="E158" s="411"/>
      <c r="F158" s="409"/>
      <c r="G158" s="446"/>
      <c r="H158" s="463"/>
      <c r="I158" s="433"/>
      <c r="J158" s="433"/>
      <c r="K158" s="411"/>
      <c r="L158" s="495"/>
      <c r="M158" s="409"/>
      <c r="N158" s="429"/>
      <c r="O158" s="429"/>
      <c r="P158" s="429"/>
      <c r="Q158" s="429"/>
      <c r="R158" s="429"/>
      <c r="S158" s="429"/>
      <c r="T158" s="429"/>
      <c r="U158" s="429"/>
      <c r="V158" s="429"/>
      <c r="W158" s="429"/>
      <c r="X158" s="111"/>
      <c r="Y158" s="2" t="s">
        <v>193</v>
      </c>
      <c r="Z158" s="117">
        <v>42719</v>
      </c>
      <c r="AA158" s="118">
        <v>11965</v>
      </c>
      <c r="AB158" s="62" t="s">
        <v>1082</v>
      </c>
      <c r="AC158" s="117"/>
      <c r="AD158" s="117"/>
      <c r="AE158" s="1"/>
      <c r="AF158" s="2"/>
      <c r="AG158" s="119">
        <v>13277.7</v>
      </c>
      <c r="AH158" s="120"/>
      <c r="AI158" s="114"/>
      <c r="AJ158" s="114"/>
      <c r="AK158" s="114"/>
      <c r="AL158" s="528"/>
      <c r="AM158" s="532"/>
      <c r="AN158" s="530"/>
      <c r="AO158" s="498"/>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row>
    <row r="159" spans="1:65" ht="38.25" x14ac:dyDescent="0.2">
      <c r="A159" s="404"/>
      <c r="B159" s="419"/>
      <c r="C159" s="424"/>
      <c r="D159" s="406"/>
      <c r="E159" s="412"/>
      <c r="F159" s="406"/>
      <c r="G159" s="408"/>
      <c r="H159" s="450"/>
      <c r="I159" s="434"/>
      <c r="J159" s="434"/>
      <c r="K159" s="412"/>
      <c r="L159" s="538"/>
      <c r="M159" s="406"/>
      <c r="N159" s="428"/>
      <c r="O159" s="428"/>
      <c r="P159" s="428"/>
      <c r="Q159" s="428"/>
      <c r="R159" s="428"/>
      <c r="S159" s="428"/>
      <c r="T159" s="428"/>
      <c r="U159" s="428"/>
      <c r="V159" s="428"/>
      <c r="W159" s="428"/>
      <c r="X159" s="61" t="s">
        <v>1470</v>
      </c>
      <c r="Y159" s="2" t="s">
        <v>194</v>
      </c>
      <c r="Z159" s="117">
        <v>42958</v>
      </c>
      <c r="AA159" s="118">
        <v>12118</v>
      </c>
      <c r="AB159" s="62" t="s">
        <v>1806</v>
      </c>
      <c r="AC159" s="117">
        <v>42960</v>
      </c>
      <c r="AD159" s="117">
        <v>43325</v>
      </c>
      <c r="AE159" s="1"/>
      <c r="AF159" s="2"/>
      <c r="AG159" s="119">
        <v>77452.92</v>
      </c>
      <c r="AH159" s="120"/>
      <c r="AI159" s="115"/>
      <c r="AJ159" s="115"/>
      <c r="AK159" s="115"/>
      <c r="AL159" s="488"/>
      <c r="AM159" s="501"/>
      <c r="AN159" s="531"/>
      <c r="AO159" s="499"/>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row>
    <row r="160" spans="1:65" ht="38.25" x14ac:dyDescent="0.2">
      <c r="A160" s="403">
        <v>26</v>
      </c>
      <c r="B160" s="418" t="s">
        <v>401</v>
      </c>
      <c r="C160" s="422" t="s">
        <v>237</v>
      </c>
      <c r="D160" s="405" t="s">
        <v>147</v>
      </c>
      <c r="E160" s="410" t="s">
        <v>404</v>
      </c>
      <c r="F160" s="405" t="s">
        <v>402</v>
      </c>
      <c r="G160" s="407" t="s">
        <v>828</v>
      </c>
      <c r="H160" s="449" t="s">
        <v>240</v>
      </c>
      <c r="I160" s="432">
        <v>41848</v>
      </c>
      <c r="J160" s="432">
        <v>42213</v>
      </c>
      <c r="K160" s="410" t="s">
        <v>391</v>
      </c>
      <c r="L160" s="405" t="s">
        <v>132</v>
      </c>
      <c r="M160" s="405" t="s">
        <v>133</v>
      </c>
      <c r="N160" s="431">
        <v>41883</v>
      </c>
      <c r="O160" s="435">
        <v>725646.96</v>
      </c>
      <c r="P160" s="438" t="s">
        <v>782</v>
      </c>
      <c r="Q160" s="431">
        <v>41883</v>
      </c>
      <c r="R160" s="431">
        <v>42248</v>
      </c>
      <c r="S160" s="427" t="s">
        <v>206</v>
      </c>
      <c r="T160" s="427"/>
      <c r="U160" s="427"/>
      <c r="V160" s="427"/>
      <c r="W160" s="427" t="s">
        <v>403</v>
      </c>
      <c r="X160" s="60"/>
      <c r="Y160" s="2" t="s">
        <v>138</v>
      </c>
      <c r="Z160" s="117">
        <v>42247</v>
      </c>
      <c r="AA160" s="118">
        <v>11646</v>
      </c>
      <c r="AB160" s="62" t="s">
        <v>584</v>
      </c>
      <c r="AC160" s="117">
        <v>42248</v>
      </c>
      <c r="AD160" s="117">
        <v>42614</v>
      </c>
      <c r="AE160" s="1"/>
      <c r="AF160" s="2"/>
      <c r="AG160" s="119">
        <v>725646.96</v>
      </c>
      <c r="AH160" s="120"/>
      <c r="AI160" s="125"/>
      <c r="AJ160" s="125"/>
      <c r="AK160" s="125"/>
      <c r="AL160" s="487">
        <f>O160-AH160+AG160-AH161+AG161-AH162+AG162-AH163+AG163-AH164+AG164-AH165+AG165</f>
        <v>3733985.7800000003</v>
      </c>
      <c r="AM160" s="500">
        <f>232933.51+622428.08+51417.88+79273.16+65345.52+65345.52+65345.52+65345.52+65345.52+94981.56+143611.81+89171.51+89171.51+89171.51</f>
        <v>1818888.1300000001</v>
      </c>
      <c r="AN160" s="529">
        <f>89171.51+89171.51+89171.51+89171.51+89171.51+89171.51+89171.51+89171.51+89171.41+89171.51+72680.31</f>
        <v>964395.31</v>
      </c>
      <c r="AO160" s="497">
        <f>AM160+AN160</f>
        <v>2783283.4400000004</v>
      </c>
      <c r="AP160" s="529"/>
      <c r="AQ160" s="187"/>
      <c r="AR160" s="187"/>
      <c r="AS160" s="410"/>
      <c r="AT160" s="410"/>
      <c r="AU160" s="410"/>
      <c r="AV160" s="410"/>
      <c r="AW160" s="410"/>
      <c r="AX160" s="410"/>
      <c r="AY160" s="410"/>
      <c r="AZ160" s="410"/>
      <c r="BA160" s="410"/>
      <c r="BB160" s="410"/>
      <c r="BC160" s="410"/>
      <c r="BD160" s="410"/>
      <c r="BE160" s="410"/>
      <c r="BF160" s="410"/>
      <c r="BG160" s="410"/>
      <c r="BH160" s="410"/>
      <c r="BI160" s="410"/>
      <c r="BJ160" s="410"/>
      <c r="BK160" s="410"/>
      <c r="BL160" s="410"/>
      <c r="BM160" s="410"/>
    </row>
    <row r="161" spans="1:65" ht="216.75" x14ac:dyDescent="0.2">
      <c r="A161" s="420"/>
      <c r="B161" s="421"/>
      <c r="C161" s="423"/>
      <c r="D161" s="409"/>
      <c r="E161" s="411"/>
      <c r="F161" s="409"/>
      <c r="G161" s="446"/>
      <c r="H161" s="463"/>
      <c r="I161" s="433"/>
      <c r="J161" s="433"/>
      <c r="K161" s="411"/>
      <c r="L161" s="409"/>
      <c r="M161" s="409"/>
      <c r="N161" s="437"/>
      <c r="O161" s="436"/>
      <c r="P161" s="448"/>
      <c r="Q161" s="437"/>
      <c r="R161" s="437"/>
      <c r="S161" s="429"/>
      <c r="T161" s="429"/>
      <c r="U161" s="429"/>
      <c r="V161" s="429"/>
      <c r="W161" s="429"/>
      <c r="X161" s="61"/>
      <c r="Y161" s="2" t="s">
        <v>144</v>
      </c>
      <c r="Z161" s="117">
        <v>42354</v>
      </c>
      <c r="AA161" s="118">
        <v>11709</v>
      </c>
      <c r="AB161" s="62" t="s">
        <v>973</v>
      </c>
      <c r="AC161" s="117"/>
      <c r="AD161" s="117"/>
      <c r="AE161" s="1"/>
      <c r="AF161" s="2"/>
      <c r="AG161" s="119">
        <v>58499.28</v>
      </c>
      <c r="AH161" s="120"/>
      <c r="AI161" s="115"/>
      <c r="AJ161" s="115"/>
      <c r="AK161" s="115"/>
      <c r="AL161" s="528"/>
      <c r="AM161" s="532"/>
      <c r="AN161" s="530"/>
      <c r="AO161" s="498"/>
      <c r="AP161" s="530"/>
      <c r="AQ161" s="122"/>
      <c r="AR161" s="122"/>
      <c r="AS161" s="411"/>
      <c r="AT161" s="411"/>
      <c r="AU161" s="411"/>
      <c r="AV161" s="411"/>
      <c r="AW161" s="411"/>
      <c r="AX161" s="411"/>
      <c r="AY161" s="411"/>
      <c r="AZ161" s="411"/>
      <c r="BA161" s="411"/>
      <c r="BB161" s="411"/>
      <c r="BC161" s="411"/>
      <c r="BD161" s="411"/>
      <c r="BE161" s="411"/>
      <c r="BF161" s="411"/>
      <c r="BG161" s="411"/>
      <c r="BH161" s="411"/>
      <c r="BI161" s="411"/>
      <c r="BJ161" s="411"/>
      <c r="BK161" s="411"/>
      <c r="BL161" s="411"/>
      <c r="BM161" s="411"/>
    </row>
    <row r="162" spans="1:65" ht="114.75" x14ac:dyDescent="0.2">
      <c r="A162" s="420"/>
      <c r="B162" s="421"/>
      <c r="C162" s="423"/>
      <c r="D162" s="409"/>
      <c r="E162" s="411"/>
      <c r="F162" s="409"/>
      <c r="G162" s="446"/>
      <c r="H162" s="463"/>
      <c r="I162" s="433"/>
      <c r="J162" s="433"/>
      <c r="K162" s="411"/>
      <c r="L162" s="409"/>
      <c r="M162" s="409"/>
      <c r="N162" s="437"/>
      <c r="O162" s="436"/>
      <c r="P162" s="448"/>
      <c r="Q162" s="437"/>
      <c r="R162" s="437"/>
      <c r="S162" s="429"/>
      <c r="T162" s="429"/>
      <c r="U162" s="429"/>
      <c r="V162" s="429"/>
      <c r="W162" s="429"/>
      <c r="X162" s="61"/>
      <c r="Y162" s="2" t="s">
        <v>193</v>
      </c>
      <c r="Z162" s="117">
        <v>42552</v>
      </c>
      <c r="AA162" s="118">
        <v>11864</v>
      </c>
      <c r="AB162" s="62" t="s">
        <v>961</v>
      </c>
      <c r="AC162" s="117"/>
      <c r="AD162" s="117"/>
      <c r="AE162" s="1">
        <v>22.67</v>
      </c>
      <c r="AF162" s="2"/>
      <c r="AG162" s="119">
        <v>29636.04</v>
      </c>
      <c r="AH162" s="120"/>
      <c r="AI162" s="115"/>
      <c r="AJ162" s="115"/>
      <c r="AK162" s="115"/>
      <c r="AL162" s="528"/>
      <c r="AM162" s="532"/>
      <c r="AN162" s="530"/>
      <c r="AO162" s="498"/>
      <c r="AP162" s="530"/>
      <c r="AQ162" s="122"/>
      <c r="AR162" s="122"/>
      <c r="AS162" s="411"/>
      <c r="AT162" s="411"/>
      <c r="AU162" s="411"/>
      <c r="AV162" s="411"/>
      <c r="AW162" s="411"/>
      <c r="AX162" s="411"/>
      <c r="AY162" s="411"/>
      <c r="AZ162" s="411"/>
      <c r="BA162" s="411"/>
      <c r="BB162" s="411"/>
      <c r="BC162" s="411"/>
      <c r="BD162" s="411"/>
      <c r="BE162" s="411"/>
      <c r="BF162" s="411"/>
      <c r="BG162" s="411"/>
      <c r="BH162" s="411"/>
      <c r="BI162" s="411"/>
      <c r="BJ162" s="411"/>
      <c r="BK162" s="411"/>
      <c r="BL162" s="411"/>
      <c r="BM162" s="411"/>
    </row>
    <row r="163" spans="1:65" ht="153" x14ac:dyDescent="0.2">
      <c r="A163" s="420"/>
      <c r="B163" s="421"/>
      <c r="C163" s="423"/>
      <c r="D163" s="409"/>
      <c r="E163" s="411"/>
      <c r="F163" s="409"/>
      <c r="G163" s="446"/>
      <c r="H163" s="463"/>
      <c r="I163" s="433"/>
      <c r="J163" s="433"/>
      <c r="K163" s="411"/>
      <c r="L163" s="409"/>
      <c r="M163" s="409"/>
      <c r="N163" s="437"/>
      <c r="O163" s="436"/>
      <c r="P163" s="448"/>
      <c r="Q163" s="437"/>
      <c r="R163" s="437"/>
      <c r="S163" s="429"/>
      <c r="T163" s="429"/>
      <c r="U163" s="429"/>
      <c r="V163" s="429"/>
      <c r="W163" s="429"/>
      <c r="X163" s="61"/>
      <c r="Y163" s="2" t="s">
        <v>194</v>
      </c>
      <c r="Z163" s="117">
        <v>42600</v>
      </c>
      <c r="AA163" s="118">
        <v>11878</v>
      </c>
      <c r="AB163" s="62" t="s">
        <v>972</v>
      </c>
      <c r="AC163" s="117"/>
      <c r="AD163" s="117"/>
      <c r="AE163" s="1"/>
      <c r="AF163" s="2"/>
      <c r="AG163" s="119">
        <v>54440.3</v>
      </c>
      <c r="AH163" s="120"/>
      <c r="AI163" s="115"/>
      <c r="AJ163" s="115"/>
      <c r="AK163" s="115"/>
      <c r="AL163" s="528"/>
      <c r="AM163" s="532"/>
      <c r="AN163" s="530"/>
      <c r="AO163" s="498"/>
      <c r="AP163" s="530"/>
      <c r="AQ163" s="122"/>
      <c r="AR163" s="122"/>
      <c r="AS163" s="411"/>
      <c r="AT163" s="411"/>
      <c r="AU163" s="411"/>
      <c r="AV163" s="411"/>
      <c r="AW163" s="411"/>
      <c r="AX163" s="411"/>
      <c r="AY163" s="411"/>
      <c r="AZ163" s="411"/>
      <c r="BA163" s="411"/>
      <c r="BB163" s="411"/>
      <c r="BC163" s="411"/>
      <c r="BD163" s="411"/>
      <c r="BE163" s="411"/>
      <c r="BF163" s="411"/>
      <c r="BG163" s="411"/>
      <c r="BH163" s="411"/>
      <c r="BI163" s="411"/>
      <c r="BJ163" s="411"/>
      <c r="BK163" s="411"/>
      <c r="BL163" s="411"/>
      <c r="BM163" s="411"/>
    </row>
    <row r="164" spans="1:65" ht="51" x14ac:dyDescent="0.2">
      <c r="A164" s="420"/>
      <c r="B164" s="421"/>
      <c r="C164" s="423"/>
      <c r="D164" s="409"/>
      <c r="E164" s="411"/>
      <c r="F164" s="409"/>
      <c r="G164" s="446"/>
      <c r="H164" s="463"/>
      <c r="I164" s="433"/>
      <c r="J164" s="433"/>
      <c r="K164" s="411"/>
      <c r="L164" s="409"/>
      <c r="M164" s="409"/>
      <c r="N164" s="429"/>
      <c r="O164" s="429"/>
      <c r="P164" s="429"/>
      <c r="Q164" s="429"/>
      <c r="R164" s="429"/>
      <c r="S164" s="429"/>
      <c r="T164" s="429"/>
      <c r="U164" s="429"/>
      <c r="V164" s="429"/>
      <c r="W164" s="429"/>
      <c r="X164" s="429"/>
      <c r="Y164" s="2" t="s">
        <v>195</v>
      </c>
      <c r="Z164" s="117">
        <v>42611</v>
      </c>
      <c r="AA164" s="118">
        <v>11883</v>
      </c>
      <c r="AB164" s="62" t="s">
        <v>990</v>
      </c>
      <c r="AC164" s="117">
        <v>42614</v>
      </c>
      <c r="AD164" s="117" t="s">
        <v>988</v>
      </c>
      <c r="AE164" s="1"/>
      <c r="AF164" s="2"/>
      <c r="AG164" s="119">
        <v>1070058.1200000001</v>
      </c>
      <c r="AH164" s="120"/>
      <c r="AI164" s="114"/>
      <c r="AJ164" s="114"/>
      <c r="AK164" s="114"/>
      <c r="AL164" s="528"/>
      <c r="AM164" s="532"/>
      <c r="AN164" s="530"/>
      <c r="AO164" s="498"/>
      <c r="AP164" s="531"/>
      <c r="AQ164" s="188"/>
      <c r="AR164" s="188"/>
      <c r="AS164" s="412"/>
      <c r="AT164" s="412"/>
      <c r="AU164" s="412"/>
      <c r="AV164" s="412"/>
      <c r="AW164" s="412"/>
      <c r="AX164" s="412"/>
      <c r="AY164" s="412"/>
      <c r="AZ164" s="412"/>
      <c r="BA164" s="412"/>
      <c r="BB164" s="412"/>
      <c r="BC164" s="412"/>
      <c r="BD164" s="412"/>
      <c r="BE164" s="412"/>
      <c r="BF164" s="412"/>
      <c r="BG164" s="412"/>
      <c r="BH164" s="412"/>
      <c r="BI164" s="412"/>
      <c r="BJ164" s="412"/>
      <c r="BK164" s="412"/>
      <c r="BL164" s="412"/>
      <c r="BM164" s="412"/>
    </row>
    <row r="165" spans="1:65" ht="38.25" x14ac:dyDescent="0.2">
      <c r="A165" s="404"/>
      <c r="B165" s="419"/>
      <c r="C165" s="424"/>
      <c r="D165" s="406"/>
      <c r="E165" s="412"/>
      <c r="F165" s="406"/>
      <c r="G165" s="408"/>
      <c r="H165" s="450"/>
      <c r="I165" s="434"/>
      <c r="J165" s="434"/>
      <c r="K165" s="412"/>
      <c r="L165" s="406"/>
      <c r="M165" s="406"/>
      <c r="N165" s="428"/>
      <c r="O165" s="428"/>
      <c r="P165" s="428"/>
      <c r="Q165" s="428"/>
      <c r="R165" s="428"/>
      <c r="S165" s="428"/>
      <c r="T165" s="428"/>
      <c r="U165" s="428"/>
      <c r="V165" s="428"/>
      <c r="W165" s="428"/>
      <c r="X165" s="428"/>
      <c r="Y165" s="2" t="s">
        <v>118</v>
      </c>
      <c r="Z165" s="117">
        <v>42978</v>
      </c>
      <c r="AA165" s="118">
        <v>12135</v>
      </c>
      <c r="AB165" s="62" t="s">
        <v>584</v>
      </c>
      <c r="AC165" s="117" t="s">
        <v>988</v>
      </c>
      <c r="AD165" s="117" t="s">
        <v>1919</v>
      </c>
      <c r="AE165" s="1"/>
      <c r="AF165" s="2"/>
      <c r="AG165" s="119">
        <v>1070058.1200000001</v>
      </c>
      <c r="AH165" s="120"/>
      <c r="AI165" s="115"/>
      <c r="AJ165" s="115"/>
      <c r="AK165" s="115"/>
      <c r="AL165" s="488"/>
      <c r="AM165" s="501"/>
      <c r="AN165" s="531"/>
      <c r="AO165" s="499"/>
      <c r="AP165" s="122"/>
      <c r="AQ165" s="122"/>
      <c r="AR165" s="122"/>
      <c r="AS165" s="25"/>
      <c r="AT165" s="25"/>
      <c r="AU165" s="25"/>
      <c r="AV165" s="25"/>
      <c r="AW165" s="25"/>
      <c r="AX165" s="25"/>
      <c r="AY165" s="25"/>
      <c r="AZ165" s="25"/>
      <c r="BA165" s="25"/>
      <c r="BB165" s="25"/>
      <c r="BC165" s="25"/>
      <c r="BD165" s="26"/>
      <c r="BE165" s="26"/>
      <c r="BF165" s="26"/>
      <c r="BG165" s="26"/>
      <c r="BH165" s="25"/>
      <c r="BI165" s="25"/>
      <c r="BJ165" s="25"/>
      <c r="BK165" s="25"/>
      <c r="BL165" s="25"/>
      <c r="BM165" s="25"/>
    </row>
    <row r="166" spans="1:65" x14ac:dyDescent="0.2">
      <c r="A166" s="403">
        <v>24</v>
      </c>
      <c r="B166" s="418" t="s">
        <v>406</v>
      </c>
      <c r="C166" s="422" t="s">
        <v>231</v>
      </c>
      <c r="D166" s="405" t="s">
        <v>395</v>
      </c>
      <c r="E166" s="410" t="s">
        <v>404</v>
      </c>
      <c r="F166" s="405" t="s">
        <v>408</v>
      </c>
      <c r="G166" s="407" t="s">
        <v>830</v>
      </c>
      <c r="H166" s="29"/>
      <c r="I166" s="189"/>
      <c r="J166" s="189"/>
      <c r="K166" s="410" t="s">
        <v>405</v>
      </c>
      <c r="L166" s="405" t="s">
        <v>407</v>
      </c>
      <c r="M166" s="405" t="s">
        <v>186</v>
      </c>
      <c r="N166" s="431">
        <v>41893</v>
      </c>
      <c r="O166" s="435">
        <v>756703.12</v>
      </c>
      <c r="P166" s="438" t="s">
        <v>783</v>
      </c>
      <c r="Q166" s="431">
        <v>41907</v>
      </c>
      <c r="R166" s="431">
        <f>Q166+210</f>
        <v>42117</v>
      </c>
      <c r="S166" s="427" t="s">
        <v>409</v>
      </c>
      <c r="T166" s="431"/>
      <c r="U166" s="431"/>
      <c r="V166" s="427" t="s">
        <v>419</v>
      </c>
      <c r="W166" s="427" t="s">
        <v>251</v>
      </c>
      <c r="X166" s="60"/>
      <c r="Y166" s="2"/>
      <c r="Z166" s="2"/>
      <c r="AA166" s="2"/>
      <c r="AB166" s="2"/>
      <c r="AC166" s="2"/>
      <c r="AD166" s="2"/>
      <c r="AE166" s="1"/>
      <c r="AF166" s="120"/>
      <c r="AG166" s="119"/>
      <c r="AH166" s="120"/>
      <c r="AI166" s="125"/>
      <c r="AJ166" s="125"/>
      <c r="AK166" s="125"/>
      <c r="AL166" s="487">
        <f>756703.12-AH167+AG167-AH168+AG168-AH169+AG169-AH170+AG170-AH171+AG171-AH172+AG172-AH173+AG173</f>
        <v>902678.67</v>
      </c>
      <c r="AM166" s="500">
        <f>105757.03+484254.28+49575.61+0+0+96502.18+29976.74+15969.49+15690.71</f>
        <v>797726.04</v>
      </c>
      <c r="AN166" s="529">
        <f>104954.62</f>
        <v>104954.62</v>
      </c>
      <c r="AO166" s="497">
        <f>AM166+AN166</f>
        <v>902680.66</v>
      </c>
      <c r="AP166" s="529"/>
      <c r="AQ166" s="187"/>
      <c r="AR166" s="187"/>
      <c r="AS166" s="410"/>
      <c r="AT166" s="410"/>
      <c r="AU166" s="410"/>
      <c r="AV166" s="410"/>
      <c r="AW166" s="410"/>
      <c r="AX166" s="410"/>
      <c r="AY166" s="410"/>
      <c r="AZ166" s="410"/>
      <c r="BA166" s="410"/>
      <c r="BB166" s="410" t="s">
        <v>396</v>
      </c>
      <c r="BC166" s="480" t="s">
        <v>184</v>
      </c>
      <c r="BD166" s="117">
        <v>41911</v>
      </c>
      <c r="BE166" s="117">
        <f>BD166+180</f>
        <v>42091</v>
      </c>
      <c r="BF166" s="2"/>
      <c r="BG166" s="2"/>
      <c r="BH166" s="432">
        <v>41911</v>
      </c>
      <c r="BI166" s="410" t="s">
        <v>1217</v>
      </c>
      <c r="BJ166" s="410" t="s">
        <v>1216</v>
      </c>
      <c r="BK166" s="410" t="s">
        <v>418</v>
      </c>
      <c r="BL166" s="410"/>
      <c r="BM166" s="410"/>
    </row>
    <row r="167" spans="1:65" ht="63.75" x14ac:dyDescent="0.2">
      <c r="A167" s="420"/>
      <c r="B167" s="421"/>
      <c r="C167" s="423"/>
      <c r="D167" s="409"/>
      <c r="E167" s="411"/>
      <c r="F167" s="409"/>
      <c r="G167" s="446"/>
      <c r="H167" s="121"/>
      <c r="I167" s="190"/>
      <c r="J167" s="190"/>
      <c r="K167" s="411"/>
      <c r="L167" s="409"/>
      <c r="M167" s="409"/>
      <c r="N167" s="437"/>
      <c r="O167" s="436"/>
      <c r="P167" s="448"/>
      <c r="Q167" s="437"/>
      <c r="R167" s="437"/>
      <c r="S167" s="429"/>
      <c r="T167" s="437"/>
      <c r="U167" s="437"/>
      <c r="V167" s="429"/>
      <c r="W167" s="429"/>
      <c r="X167" s="61"/>
      <c r="Y167" s="2" t="s">
        <v>138</v>
      </c>
      <c r="Z167" s="117">
        <v>42090</v>
      </c>
      <c r="AA167" s="118">
        <v>11543</v>
      </c>
      <c r="AB167" s="62" t="s">
        <v>500</v>
      </c>
      <c r="AC167" s="117">
        <v>42121</v>
      </c>
      <c r="AD167" s="117">
        <v>42301</v>
      </c>
      <c r="AE167" s="1"/>
      <c r="AF167" s="2"/>
      <c r="AG167" s="119"/>
      <c r="AH167" s="120"/>
      <c r="AI167" s="115"/>
      <c r="AJ167" s="115"/>
      <c r="AK167" s="115"/>
      <c r="AL167" s="528"/>
      <c r="AM167" s="532"/>
      <c r="AN167" s="530"/>
      <c r="AO167" s="498"/>
      <c r="AP167" s="530"/>
      <c r="AQ167" s="122"/>
      <c r="AR167" s="122"/>
      <c r="AS167" s="411"/>
      <c r="AT167" s="411"/>
      <c r="AU167" s="411"/>
      <c r="AV167" s="411"/>
      <c r="AW167" s="411"/>
      <c r="AX167" s="411"/>
      <c r="AY167" s="411"/>
      <c r="AZ167" s="411"/>
      <c r="BA167" s="411"/>
      <c r="BB167" s="411"/>
      <c r="BC167" s="481"/>
      <c r="BD167" s="117">
        <v>42091</v>
      </c>
      <c r="BE167" s="117">
        <f>BD167+120</f>
        <v>42211</v>
      </c>
      <c r="BF167" s="2"/>
      <c r="BG167" s="2"/>
      <c r="BH167" s="433"/>
      <c r="BI167" s="411"/>
      <c r="BJ167" s="411"/>
      <c r="BK167" s="411"/>
      <c r="BL167" s="411"/>
      <c r="BM167" s="411"/>
    </row>
    <row r="168" spans="1:65" ht="63.75" x14ac:dyDescent="0.2">
      <c r="A168" s="420"/>
      <c r="B168" s="421"/>
      <c r="C168" s="423"/>
      <c r="D168" s="409"/>
      <c r="E168" s="411"/>
      <c r="F168" s="409"/>
      <c r="G168" s="446"/>
      <c r="H168" s="121"/>
      <c r="I168" s="190"/>
      <c r="J168" s="190"/>
      <c r="K168" s="411"/>
      <c r="L168" s="409"/>
      <c r="M168" s="409"/>
      <c r="N168" s="437"/>
      <c r="O168" s="436"/>
      <c r="P168" s="448"/>
      <c r="Q168" s="437"/>
      <c r="R168" s="437"/>
      <c r="S168" s="429"/>
      <c r="T168" s="437"/>
      <c r="U168" s="437"/>
      <c r="V168" s="429"/>
      <c r="W168" s="429"/>
      <c r="X168" s="61"/>
      <c r="Y168" s="2" t="s">
        <v>144</v>
      </c>
      <c r="Z168" s="117">
        <v>42209</v>
      </c>
      <c r="AA168" s="118">
        <v>11620</v>
      </c>
      <c r="AB168" s="62" t="s">
        <v>563</v>
      </c>
      <c r="AC168" s="117">
        <v>42296</v>
      </c>
      <c r="AD168" s="117">
        <v>42476</v>
      </c>
      <c r="AE168" s="149"/>
      <c r="AF168" s="2"/>
      <c r="AG168" s="119"/>
      <c r="AH168" s="120"/>
      <c r="AI168" s="115"/>
      <c r="AJ168" s="115"/>
      <c r="AK168" s="115"/>
      <c r="AL168" s="528"/>
      <c r="AM168" s="532"/>
      <c r="AN168" s="530"/>
      <c r="AO168" s="498"/>
      <c r="AP168" s="530"/>
      <c r="AQ168" s="122"/>
      <c r="AR168" s="122"/>
      <c r="AS168" s="411"/>
      <c r="AT168" s="411"/>
      <c r="AU168" s="411"/>
      <c r="AV168" s="411"/>
      <c r="AW168" s="411"/>
      <c r="AX168" s="411"/>
      <c r="AY168" s="411"/>
      <c r="AZ168" s="411"/>
      <c r="BA168" s="411"/>
      <c r="BB168" s="411"/>
      <c r="BC168" s="481"/>
      <c r="BD168" s="117">
        <v>42211</v>
      </c>
      <c r="BE168" s="117">
        <v>42331</v>
      </c>
      <c r="BF168" s="117"/>
      <c r="BG168" s="2"/>
      <c r="BH168" s="433"/>
      <c r="BI168" s="411"/>
      <c r="BJ168" s="411"/>
      <c r="BK168" s="411"/>
      <c r="BL168" s="411"/>
      <c r="BM168" s="411"/>
    </row>
    <row r="169" spans="1:65" ht="76.5" x14ac:dyDescent="0.2">
      <c r="A169" s="420"/>
      <c r="B169" s="421"/>
      <c r="C169" s="423"/>
      <c r="D169" s="409"/>
      <c r="E169" s="411"/>
      <c r="F169" s="409"/>
      <c r="G169" s="446"/>
      <c r="H169" s="121"/>
      <c r="I169" s="190"/>
      <c r="J169" s="190"/>
      <c r="K169" s="411"/>
      <c r="L169" s="409"/>
      <c r="M169" s="409"/>
      <c r="N169" s="437"/>
      <c r="O169" s="436"/>
      <c r="P169" s="448"/>
      <c r="Q169" s="437"/>
      <c r="R169" s="437"/>
      <c r="S169" s="429"/>
      <c r="T169" s="437"/>
      <c r="U169" s="437"/>
      <c r="V169" s="429"/>
      <c r="W169" s="429"/>
      <c r="X169" s="61"/>
      <c r="Y169" s="2" t="s">
        <v>193</v>
      </c>
      <c r="Z169" s="117">
        <v>42331</v>
      </c>
      <c r="AA169" s="118">
        <v>11731</v>
      </c>
      <c r="AB169" s="62" t="s">
        <v>700</v>
      </c>
      <c r="AC169" s="117">
        <v>42476</v>
      </c>
      <c r="AD169" s="117">
        <v>42686</v>
      </c>
      <c r="AE169" s="149"/>
      <c r="AF169" s="2"/>
      <c r="AG169" s="119"/>
      <c r="AH169" s="120"/>
      <c r="AI169" s="115"/>
      <c r="AJ169" s="115"/>
      <c r="AK169" s="115"/>
      <c r="AL169" s="528"/>
      <c r="AM169" s="532"/>
      <c r="AN169" s="530"/>
      <c r="AO169" s="498"/>
      <c r="AP169" s="530"/>
      <c r="AQ169" s="122"/>
      <c r="AR169" s="122"/>
      <c r="AS169" s="411"/>
      <c r="AT169" s="411"/>
      <c r="AU169" s="411"/>
      <c r="AV169" s="411"/>
      <c r="AW169" s="411"/>
      <c r="AX169" s="411"/>
      <c r="AY169" s="411"/>
      <c r="AZ169" s="411"/>
      <c r="BA169" s="411"/>
      <c r="BB169" s="411"/>
      <c r="BC169" s="481"/>
      <c r="BD169" s="117">
        <v>42331</v>
      </c>
      <c r="BE169" s="117">
        <v>42451</v>
      </c>
      <c r="BF169" s="117"/>
      <c r="BG169" s="2"/>
      <c r="BH169" s="433"/>
      <c r="BI169" s="411"/>
      <c r="BJ169" s="411"/>
      <c r="BK169" s="411"/>
      <c r="BL169" s="411"/>
      <c r="BM169" s="411"/>
    </row>
    <row r="170" spans="1:65" ht="153" x14ac:dyDescent="0.2">
      <c r="A170" s="420"/>
      <c r="B170" s="421"/>
      <c r="C170" s="423"/>
      <c r="D170" s="409"/>
      <c r="E170" s="411"/>
      <c r="F170" s="409"/>
      <c r="G170" s="446"/>
      <c r="H170" s="121"/>
      <c r="I170" s="190"/>
      <c r="J170" s="190"/>
      <c r="K170" s="411"/>
      <c r="L170" s="409"/>
      <c r="M170" s="409"/>
      <c r="N170" s="437"/>
      <c r="O170" s="436"/>
      <c r="P170" s="448"/>
      <c r="Q170" s="437"/>
      <c r="R170" s="437"/>
      <c r="S170" s="429"/>
      <c r="T170" s="437"/>
      <c r="U170" s="437"/>
      <c r="V170" s="429"/>
      <c r="W170" s="429"/>
      <c r="X170" s="61"/>
      <c r="Y170" s="2" t="s">
        <v>194</v>
      </c>
      <c r="Z170" s="117">
        <v>42468</v>
      </c>
      <c r="AA170" s="118">
        <v>11781</v>
      </c>
      <c r="AB170" s="62" t="s">
        <v>865</v>
      </c>
      <c r="AC170" s="117"/>
      <c r="AD170" s="117"/>
      <c r="AE170" s="149"/>
      <c r="AF170" s="2"/>
      <c r="AG170" s="119">
        <v>86127.679999999993</v>
      </c>
      <c r="AH170" s="120">
        <v>1789.07</v>
      </c>
      <c r="AI170" s="115"/>
      <c r="AJ170" s="115"/>
      <c r="AK170" s="115"/>
      <c r="AL170" s="528"/>
      <c r="AM170" s="532"/>
      <c r="AN170" s="530"/>
      <c r="AO170" s="498"/>
      <c r="AP170" s="530"/>
      <c r="AQ170" s="122"/>
      <c r="AR170" s="122"/>
      <c r="AS170" s="411"/>
      <c r="AT170" s="411"/>
      <c r="AU170" s="411"/>
      <c r="AV170" s="411"/>
      <c r="AW170" s="411"/>
      <c r="AX170" s="411"/>
      <c r="AY170" s="411"/>
      <c r="AZ170" s="411"/>
      <c r="BA170" s="411"/>
      <c r="BB170" s="411"/>
      <c r="BC170" s="481"/>
      <c r="BD170" s="117"/>
      <c r="BE170" s="117"/>
      <c r="BF170" s="117"/>
      <c r="BG170" s="2"/>
      <c r="BH170" s="433"/>
      <c r="BI170" s="411"/>
      <c r="BJ170" s="411"/>
      <c r="BK170" s="411"/>
      <c r="BL170" s="411"/>
      <c r="BM170" s="411"/>
    </row>
    <row r="171" spans="1:65" ht="102" x14ac:dyDescent="0.2">
      <c r="A171" s="420"/>
      <c r="B171" s="421"/>
      <c r="C171" s="423"/>
      <c r="D171" s="409"/>
      <c r="E171" s="411"/>
      <c r="F171" s="409"/>
      <c r="G171" s="446"/>
      <c r="H171" s="121"/>
      <c r="I171" s="190"/>
      <c r="J171" s="190"/>
      <c r="K171" s="411"/>
      <c r="L171" s="409"/>
      <c r="M171" s="409"/>
      <c r="N171" s="437"/>
      <c r="O171" s="436"/>
      <c r="P171" s="448"/>
      <c r="Q171" s="437"/>
      <c r="R171" s="437"/>
      <c r="S171" s="429"/>
      <c r="T171" s="437"/>
      <c r="U171" s="437"/>
      <c r="V171" s="429"/>
      <c r="W171" s="429"/>
      <c r="X171" s="61"/>
      <c r="Y171" s="2" t="s">
        <v>195</v>
      </c>
      <c r="Z171" s="117">
        <v>42528</v>
      </c>
      <c r="AA171" s="118">
        <v>11826</v>
      </c>
      <c r="AB171" s="62" t="s">
        <v>924</v>
      </c>
      <c r="AC171" s="117"/>
      <c r="AD171" s="117"/>
      <c r="AE171" s="149"/>
      <c r="AF171" s="2"/>
      <c r="AG171" s="119">
        <v>50803.78</v>
      </c>
      <c r="AH171" s="120"/>
      <c r="AI171" s="115"/>
      <c r="AJ171" s="115"/>
      <c r="AK171" s="115"/>
      <c r="AL171" s="528"/>
      <c r="AM171" s="532"/>
      <c r="AN171" s="530"/>
      <c r="AO171" s="498"/>
      <c r="AP171" s="531"/>
      <c r="AQ171" s="188"/>
      <c r="AR171" s="188"/>
      <c r="AS171" s="412"/>
      <c r="AT171" s="412"/>
      <c r="AU171" s="412"/>
      <c r="AV171" s="412"/>
      <c r="AW171" s="412"/>
      <c r="AX171" s="412"/>
      <c r="AY171" s="412"/>
      <c r="AZ171" s="412"/>
      <c r="BA171" s="412"/>
      <c r="BB171" s="412"/>
      <c r="BC171" s="482"/>
      <c r="BD171" s="117"/>
      <c r="BE171" s="117"/>
      <c r="BF171" s="117"/>
      <c r="BG171" s="2"/>
      <c r="BH171" s="434"/>
      <c r="BI171" s="411"/>
      <c r="BJ171" s="411"/>
      <c r="BK171" s="412"/>
      <c r="BL171" s="412"/>
      <c r="BM171" s="412"/>
    </row>
    <row r="172" spans="1:65" ht="102" x14ac:dyDescent="0.2">
      <c r="A172" s="420"/>
      <c r="B172" s="421"/>
      <c r="C172" s="423"/>
      <c r="D172" s="409"/>
      <c r="E172" s="411"/>
      <c r="F172" s="409"/>
      <c r="G172" s="409"/>
      <c r="H172" s="121"/>
      <c r="I172" s="190"/>
      <c r="J172" s="190"/>
      <c r="K172" s="411"/>
      <c r="L172" s="409"/>
      <c r="M172" s="409"/>
      <c r="N172" s="429"/>
      <c r="O172" s="429"/>
      <c r="P172" s="429"/>
      <c r="Q172" s="429"/>
      <c r="R172" s="429"/>
      <c r="S172" s="429"/>
      <c r="T172" s="429"/>
      <c r="U172" s="429"/>
      <c r="V172" s="429"/>
      <c r="W172" s="429"/>
      <c r="X172" s="61"/>
      <c r="Y172" s="2" t="s">
        <v>118</v>
      </c>
      <c r="Z172" s="117">
        <v>42641</v>
      </c>
      <c r="AA172" s="118">
        <v>11910</v>
      </c>
      <c r="AB172" s="62" t="s">
        <v>1011</v>
      </c>
      <c r="AC172" s="117"/>
      <c r="AD172" s="117"/>
      <c r="AE172" s="149"/>
      <c r="AF172" s="2"/>
      <c r="AG172" s="119">
        <v>10833.16</v>
      </c>
      <c r="AH172" s="120"/>
      <c r="AI172" s="115"/>
      <c r="AJ172" s="115"/>
      <c r="AK172" s="115"/>
      <c r="AL172" s="528"/>
      <c r="AM172" s="532"/>
      <c r="AN172" s="530"/>
      <c r="AO172" s="498"/>
      <c r="AP172" s="188"/>
      <c r="AQ172" s="188"/>
      <c r="AR172" s="188"/>
      <c r="AS172" s="26"/>
      <c r="AT172" s="26"/>
      <c r="AU172" s="26"/>
      <c r="AV172" s="26"/>
      <c r="AW172" s="26"/>
      <c r="AX172" s="26"/>
      <c r="AY172" s="26"/>
      <c r="AZ172" s="26"/>
      <c r="BA172" s="26"/>
      <c r="BB172" s="26"/>
      <c r="BC172" s="184"/>
      <c r="BD172" s="117"/>
      <c r="BE172" s="117"/>
      <c r="BF172" s="117"/>
      <c r="BG172" s="2"/>
      <c r="BH172" s="182"/>
      <c r="BI172" s="411"/>
      <c r="BJ172" s="411"/>
      <c r="BK172" s="26"/>
      <c r="BL172" s="26"/>
      <c r="BM172" s="26"/>
    </row>
    <row r="173" spans="1:65" ht="38.25" x14ac:dyDescent="0.2">
      <c r="A173" s="404"/>
      <c r="B173" s="419"/>
      <c r="C173" s="424"/>
      <c r="D173" s="406"/>
      <c r="E173" s="412"/>
      <c r="F173" s="406"/>
      <c r="G173" s="406"/>
      <c r="H173" s="30"/>
      <c r="I173" s="191"/>
      <c r="J173" s="191"/>
      <c r="K173" s="412"/>
      <c r="L173" s="406"/>
      <c r="M173" s="406"/>
      <c r="N173" s="428"/>
      <c r="O173" s="428"/>
      <c r="P173" s="428"/>
      <c r="Q173" s="428"/>
      <c r="R173" s="428"/>
      <c r="S173" s="428"/>
      <c r="T173" s="428"/>
      <c r="U173" s="428"/>
      <c r="V173" s="428"/>
      <c r="W173" s="428"/>
      <c r="X173" s="111"/>
      <c r="Y173" s="2" t="s">
        <v>121</v>
      </c>
      <c r="Z173" s="117">
        <v>42684</v>
      </c>
      <c r="AA173" s="118">
        <v>11948</v>
      </c>
      <c r="AB173" s="62" t="s">
        <v>1057</v>
      </c>
      <c r="AC173" s="117">
        <v>42686</v>
      </c>
      <c r="AD173" s="117">
        <v>42866</v>
      </c>
      <c r="AE173" s="149"/>
      <c r="AF173" s="2"/>
      <c r="AG173" s="119"/>
      <c r="AH173" s="120"/>
      <c r="AI173" s="114"/>
      <c r="AJ173" s="114"/>
      <c r="AK173" s="114"/>
      <c r="AL173" s="488"/>
      <c r="AM173" s="501"/>
      <c r="AN173" s="531"/>
      <c r="AO173" s="499"/>
      <c r="AP173" s="188"/>
      <c r="AQ173" s="188"/>
      <c r="AR173" s="188"/>
      <c r="AS173" s="26"/>
      <c r="AT173" s="26"/>
      <c r="AU173" s="26"/>
      <c r="AV173" s="26"/>
      <c r="AW173" s="26"/>
      <c r="AX173" s="26"/>
      <c r="AY173" s="26"/>
      <c r="AZ173" s="26"/>
      <c r="BA173" s="26"/>
      <c r="BB173" s="26"/>
      <c r="BC173" s="184"/>
      <c r="BD173" s="117"/>
      <c r="BE173" s="117"/>
      <c r="BF173" s="117"/>
      <c r="BG173" s="2"/>
      <c r="BH173" s="182"/>
      <c r="BI173" s="412"/>
      <c r="BJ173" s="412"/>
      <c r="BK173" s="26"/>
      <c r="BL173" s="26"/>
      <c r="BM173" s="26"/>
    </row>
    <row r="174" spans="1:65" ht="25.5" x14ac:dyDescent="0.2">
      <c r="A174" s="400">
        <v>28</v>
      </c>
      <c r="B174" s="418" t="s">
        <v>299</v>
      </c>
      <c r="C174" s="422" t="s">
        <v>208</v>
      </c>
      <c r="D174" s="405" t="s">
        <v>147</v>
      </c>
      <c r="E174" s="410" t="s">
        <v>126</v>
      </c>
      <c r="F174" s="405" t="s">
        <v>456</v>
      </c>
      <c r="G174" s="425" t="s">
        <v>823</v>
      </c>
      <c r="H174" s="439" t="s">
        <v>1208</v>
      </c>
      <c r="I174" s="456">
        <v>41794</v>
      </c>
      <c r="J174" s="456">
        <v>42159</v>
      </c>
      <c r="K174" s="460" t="s">
        <v>448</v>
      </c>
      <c r="L174" s="405" t="s">
        <v>300</v>
      </c>
      <c r="M174" s="405" t="s">
        <v>301</v>
      </c>
      <c r="N174" s="431">
        <v>42006</v>
      </c>
      <c r="O174" s="430">
        <v>1042111.67</v>
      </c>
      <c r="P174" s="438" t="s">
        <v>784</v>
      </c>
      <c r="Q174" s="431">
        <v>42006</v>
      </c>
      <c r="R174" s="431">
        <v>42369</v>
      </c>
      <c r="S174" s="427" t="s">
        <v>457</v>
      </c>
      <c r="T174" s="427"/>
      <c r="U174" s="427"/>
      <c r="V174" s="427"/>
      <c r="W174" s="427" t="s">
        <v>192</v>
      </c>
      <c r="X174" s="427"/>
      <c r="Y174" s="5" t="s">
        <v>138</v>
      </c>
      <c r="Z174" s="178">
        <v>42369</v>
      </c>
      <c r="AA174" s="192">
        <v>11717</v>
      </c>
      <c r="AB174" s="20" t="s">
        <v>568</v>
      </c>
      <c r="AC174" s="178">
        <v>42369</v>
      </c>
      <c r="AD174" s="178">
        <v>42735</v>
      </c>
      <c r="AE174" s="63"/>
      <c r="AF174" s="193"/>
      <c r="AG174" s="58">
        <v>1042111.67</v>
      </c>
      <c r="AH174" s="194"/>
      <c r="AI174" s="194"/>
      <c r="AJ174" s="194"/>
      <c r="AK174" s="194"/>
      <c r="AL174" s="533">
        <f>O174-AH174+AG174-AH175+AG175</f>
        <v>3126335.0100000002</v>
      </c>
      <c r="AM174" s="500">
        <f>784719.11+49147.53+0+72843.98+61600.68+61058.7+63421.08+53394.37+57000.08+64347.72+58237.49+53514.07+50329.08</f>
        <v>1429613.8900000004</v>
      </c>
      <c r="AN174" s="529">
        <f>5819.82+62633.5+103758.18+97028.1+54026.94+67074.44+59940.49+62519.53+69336.09+60914.44+61516.65</f>
        <v>704568.18</v>
      </c>
      <c r="AO174" s="526">
        <f>AM174+AN174</f>
        <v>2134182.0700000003</v>
      </c>
      <c r="AP174" s="5"/>
      <c r="AQ174" s="5"/>
      <c r="AR174" s="5"/>
      <c r="AS174" s="5"/>
      <c r="AT174" s="193"/>
      <c r="AU174" s="193"/>
      <c r="AV174" s="5"/>
      <c r="AW174" s="193"/>
      <c r="AX174" s="5"/>
      <c r="AY174" s="193"/>
      <c r="AZ174" s="5"/>
      <c r="BA174" s="193"/>
      <c r="BB174" s="193"/>
      <c r="BC174" s="193"/>
      <c r="BD174" s="193"/>
      <c r="BE174" s="193"/>
      <c r="BF174" s="193"/>
      <c r="BG174" s="193"/>
      <c r="BH174" s="193"/>
      <c r="BI174" s="193"/>
      <c r="BJ174" s="193"/>
      <c r="BK174" s="193"/>
      <c r="BL174" s="193"/>
      <c r="BM174" s="193"/>
    </row>
    <row r="175" spans="1:65" ht="38.25" x14ac:dyDescent="0.2">
      <c r="A175" s="402"/>
      <c r="B175" s="419"/>
      <c r="C175" s="424"/>
      <c r="D175" s="406"/>
      <c r="E175" s="412"/>
      <c r="F175" s="406"/>
      <c r="G175" s="459"/>
      <c r="H175" s="440"/>
      <c r="I175" s="591"/>
      <c r="J175" s="591"/>
      <c r="K175" s="462"/>
      <c r="L175" s="406"/>
      <c r="M175" s="406"/>
      <c r="N175" s="442"/>
      <c r="O175" s="590"/>
      <c r="P175" s="491"/>
      <c r="Q175" s="442"/>
      <c r="R175" s="442"/>
      <c r="S175" s="428"/>
      <c r="T175" s="428"/>
      <c r="U175" s="428"/>
      <c r="V175" s="428"/>
      <c r="W175" s="428"/>
      <c r="X175" s="428"/>
      <c r="Y175" s="5" t="s">
        <v>144</v>
      </c>
      <c r="Z175" s="178">
        <v>42725</v>
      </c>
      <c r="AA175" s="192">
        <v>11968</v>
      </c>
      <c r="AB175" s="20" t="s">
        <v>701</v>
      </c>
      <c r="AC175" s="178">
        <v>42735</v>
      </c>
      <c r="AD175" s="178">
        <v>43100</v>
      </c>
      <c r="AE175" s="63"/>
      <c r="AF175" s="193"/>
      <c r="AG175" s="58">
        <v>1042111.67</v>
      </c>
      <c r="AH175" s="194"/>
      <c r="AI175" s="194"/>
      <c r="AJ175" s="194"/>
      <c r="AK175" s="194"/>
      <c r="AL175" s="534"/>
      <c r="AM175" s="501"/>
      <c r="AN175" s="531"/>
      <c r="AO175" s="527"/>
      <c r="AP175" s="5"/>
      <c r="AQ175" s="5"/>
      <c r="AR175" s="5"/>
      <c r="AS175" s="5"/>
      <c r="AT175" s="193"/>
      <c r="AU175" s="193"/>
      <c r="AV175" s="5"/>
      <c r="AW175" s="193"/>
      <c r="AX175" s="5"/>
      <c r="AY175" s="193"/>
      <c r="AZ175" s="5"/>
      <c r="BA175" s="193"/>
      <c r="BB175" s="193"/>
      <c r="BC175" s="193"/>
      <c r="BD175" s="193"/>
      <c r="BE175" s="193"/>
      <c r="BF175" s="193"/>
      <c r="BG175" s="193"/>
      <c r="BH175" s="193"/>
      <c r="BI175" s="193"/>
      <c r="BJ175" s="193"/>
      <c r="BK175" s="193"/>
      <c r="BL175" s="193"/>
      <c r="BM175" s="193"/>
    </row>
    <row r="176" spans="1:65" ht="51" x14ac:dyDescent="0.2">
      <c r="A176" s="400">
        <v>29</v>
      </c>
      <c r="B176" s="418" t="s">
        <v>460</v>
      </c>
      <c r="C176" s="464" t="s">
        <v>235</v>
      </c>
      <c r="D176" s="405" t="s">
        <v>142</v>
      </c>
      <c r="E176" s="410"/>
      <c r="F176" s="405" t="s">
        <v>1371</v>
      </c>
      <c r="G176" s="416"/>
      <c r="H176" s="586"/>
      <c r="I176" s="586"/>
      <c r="J176" s="586"/>
      <c r="K176" s="410" t="s">
        <v>449</v>
      </c>
      <c r="L176" s="416" t="s">
        <v>458</v>
      </c>
      <c r="M176" s="416" t="s">
        <v>459</v>
      </c>
      <c r="N176" s="492">
        <v>42006</v>
      </c>
      <c r="O176" s="526">
        <v>92232</v>
      </c>
      <c r="P176" s="584" t="s">
        <v>784</v>
      </c>
      <c r="Q176" s="492">
        <v>42006</v>
      </c>
      <c r="R176" s="492">
        <v>42371</v>
      </c>
      <c r="S176" s="582" t="s">
        <v>146</v>
      </c>
      <c r="T176" s="576"/>
      <c r="U176" s="576"/>
      <c r="V176" s="576"/>
      <c r="W176" s="576" t="s">
        <v>117</v>
      </c>
      <c r="X176" s="576"/>
      <c r="Y176" s="5" t="s">
        <v>138</v>
      </c>
      <c r="Z176" s="178">
        <v>42369</v>
      </c>
      <c r="AA176" s="192">
        <v>11717</v>
      </c>
      <c r="AB176" s="20" t="s">
        <v>735</v>
      </c>
      <c r="AC176" s="178">
        <v>42371</v>
      </c>
      <c r="AD176" s="178">
        <v>42737</v>
      </c>
      <c r="AE176" s="63"/>
      <c r="AF176" s="193"/>
      <c r="AG176" s="195">
        <v>92232</v>
      </c>
      <c r="AH176" s="194"/>
      <c r="AI176" s="194"/>
      <c r="AJ176" s="194"/>
      <c r="AK176" s="194"/>
      <c r="AL176" s="487">
        <f>O176-AH176+AG176-AH177+AG177</f>
        <v>276696</v>
      </c>
      <c r="AM176" s="500">
        <f>92232+7686+7686+7686+7686+7686+7686+7686+7686+7686+7686+7686+7686</f>
        <v>184464</v>
      </c>
      <c r="AN176" s="529">
        <f>7686+7686+7686+7686+7686+7686+7686+7686+7686+7686+7686</f>
        <v>84546</v>
      </c>
      <c r="AO176" s="526">
        <f t="shared" ref="AO176:AO183" si="0">AM176+AN176</f>
        <v>269010</v>
      </c>
      <c r="AP176" s="5"/>
      <c r="AQ176" s="5"/>
      <c r="AR176" s="5"/>
      <c r="AS176" s="5"/>
      <c r="AT176" s="193"/>
      <c r="AU176" s="193"/>
      <c r="AV176" s="5" t="s">
        <v>122</v>
      </c>
      <c r="AW176" s="2" t="s">
        <v>375</v>
      </c>
      <c r="AX176" s="192" t="s">
        <v>843</v>
      </c>
      <c r="AY176" s="178">
        <v>42000</v>
      </c>
      <c r="AZ176" s="192" t="s">
        <v>849</v>
      </c>
      <c r="BA176" s="178">
        <v>42009</v>
      </c>
      <c r="BB176" s="193"/>
      <c r="BC176" s="193"/>
      <c r="BD176" s="193"/>
      <c r="BE176" s="193"/>
      <c r="BF176" s="193"/>
      <c r="BG176" s="193"/>
      <c r="BH176" s="193"/>
      <c r="BI176" s="193"/>
      <c r="BJ176" s="193"/>
      <c r="BK176" s="193"/>
      <c r="BL176" s="193"/>
      <c r="BM176" s="193"/>
    </row>
    <row r="177" spans="1:65" ht="63.75" x14ac:dyDescent="0.2">
      <c r="A177" s="402"/>
      <c r="B177" s="419"/>
      <c r="C177" s="465"/>
      <c r="D177" s="406"/>
      <c r="E177" s="412"/>
      <c r="F177" s="406"/>
      <c r="G177" s="417"/>
      <c r="H177" s="587"/>
      <c r="I177" s="587"/>
      <c r="J177" s="587"/>
      <c r="K177" s="412"/>
      <c r="L177" s="417"/>
      <c r="M177" s="417"/>
      <c r="N177" s="493"/>
      <c r="O177" s="527"/>
      <c r="P177" s="585"/>
      <c r="Q177" s="493"/>
      <c r="R177" s="493"/>
      <c r="S177" s="583"/>
      <c r="T177" s="577"/>
      <c r="U177" s="577"/>
      <c r="V177" s="577"/>
      <c r="W177" s="577"/>
      <c r="X177" s="577"/>
      <c r="Y177" s="5" t="s">
        <v>144</v>
      </c>
      <c r="Z177" s="178">
        <v>42723</v>
      </c>
      <c r="AA177" s="192">
        <v>11968</v>
      </c>
      <c r="AB177" s="20" t="s">
        <v>1148</v>
      </c>
      <c r="AC177" s="178">
        <v>42737</v>
      </c>
      <c r="AD177" s="178">
        <v>43102</v>
      </c>
      <c r="AE177" s="63"/>
      <c r="AF177" s="193"/>
      <c r="AG177" s="195">
        <v>92232</v>
      </c>
      <c r="AH177" s="194"/>
      <c r="AI177" s="196"/>
      <c r="AJ177" s="196"/>
      <c r="AK177" s="196"/>
      <c r="AL177" s="488"/>
      <c r="AM177" s="501"/>
      <c r="AN177" s="531"/>
      <c r="AO177" s="527"/>
      <c r="AP177" s="5"/>
      <c r="AQ177" s="5"/>
      <c r="AR177" s="5"/>
      <c r="AS177" s="5"/>
      <c r="AT177" s="193"/>
      <c r="AU177" s="193"/>
      <c r="AV177" s="5"/>
      <c r="AW177" s="2"/>
      <c r="AX177" s="192"/>
      <c r="AY177" s="178"/>
      <c r="AZ177" s="192"/>
      <c r="BA177" s="178"/>
      <c r="BB177" s="193"/>
      <c r="BC177" s="193"/>
      <c r="BD177" s="193"/>
      <c r="BE177" s="193"/>
      <c r="BF177" s="193"/>
      <c r="BG177" s="193"/>
      <c r="BH177" s="193"/>
      <c r="BI177" s="193"/>
      <c r="BJ177" s="193"/>
      <c r="BK177" s="193"/>
      <c r="BL177" s="193"/>
      <c r="BM177" s="193"/>
    </row>
    <row r="178" spans="1:65" ht="51" x14ac:dyDescent="0.2">
      <c r="A178" s="400">
        <v>30</v>
      </c>
      <c r="B178" s="418" t="s">
        <v>462</v>
      </c>
      <c r="C178" s="464" t="s">
        <v>238</v>
      </c>
      <c r="D178" s="405" t="s">
        <v>147</v>
      </c>
      <c r="E178" s="410" t="s">
        <v>372</v>
      </c>
      <c r="F178" s="405" t="s">
        <v>398</v>
      </c>
      <c r="G178" s="654" t="s">
        <v>829</v>
      </c>
      <c r="H178" s="586" t="s">
        <v>1207</v>
      </c>
      <c r="I178" s="492">
        <v>41772</v>
      </c>
      <c r="J178" s="492">
        <v>42137</v>
      </c>
      <c r="K178" s="410" t="s">
        <v>451</v>
      </c>
      <c r="L178" s="405" t="s">
        <v>463</v>
      </c>
      <c r="M178" s="405" t="s">
        <v>464</v>
      </c>
      <c r="N178" s="432">
        <v>42016</v>
      </c>
      <c r="O178" s="497">
        <v>46159.92</v>
      </c>
      <c r="P178" s="443" t="s">
        <v>785</v>
      </c>
      <c r="Q178" s="432">
        <v>42016</v>
      </c>
      <c r="R178" s="432">
        <v>42381</v>
      </c>
      <c r="S178" s="410" t="s">
        <v>146</v>
      </c>
      <c r="T178" s="410"/>
      <c r="U178" s="410"/>
      <c r="V178" s="410"/>
      <c r="W178" s="410" t="s">
        <v>137</v>
      </c>
      <c r="X178" s="24"/>
      <c r="Y178" s="5" t="s">
        <v>138</v>
      </c>
      <c r="Z178" s="178">
        <v>42381</v>
      </c>
      <c r="AA178" s="192">
        <v>11729</v>
      </c>
      <c r="AB178" s="20" t="s">
        <v>703</v>
      </c>
      <c r="AC178" s="178">
        <v>42381</v>
      </c>
      <c r="AD178" s="178">
        <v>42747</v>
      </c>
      <c r="AE178" s="63"/>
      <c r="AF178" s="193"/>
      <c r="AG178" s="195">
        <v>46159.92</v>
      </c>
      <c r="AH178" s="194"/>
      <c r="AI178" s="196"/>
      <c r="AJ178" s="196"/>
      <c r="AK178" s="196"/>
      <c r="AL178" s="487">
        <f>O178-AH178+AG178-AH179+AG179-AH180+AG180</f>
        <v>149430.47999999998</v>
      </c>
      <c r="AM178" s="500">
        <f>34706.74+3846.66+3846.66+3846.66+3846.66+3846.66+3846.66+3846.66+3846.66+3846.66+3846.66+3846.66+3846.66</f>
        <v>80866.660000000033</v>
      </c>
      <c r="AN178" s="529">
        <f>4302.94+4302.94+4302.94+4302.94+4302.94+4302.94+4302.94+4302.94+4302.94+4302.94+4302.94</f>
        <v>47332.340000000004</v>
      </c>
      <c r="AO178" s="526">
        <f t="shared" si="0"/>
        <v>128199.00000000003</v>
      </c>
      <c r="AP178" s="5"/>
      <c r="AQ178" s="5"/>
      <c r="AR178" s="5"/>
      <c r="AS178" s="5"/>
      <c r="AT178" s="193"/>
      <c r="AU178" s="193"/>
      <c r="AV178" s="5"/>
      <c r="AW178" s="193"/>
      <c r="AX178" s="5"/>
      <c r="AY178" s="193"/>
      <c r="AZ178" s="5"/>
      <c r="BA178" s="193"/>
      <c r="BB178" s="193"/>
      <c r="BC178" s="193"/>
      <c r="BD178" s="193"/>
      <c r="BE178" s="193"/>
      <c r="BF178" s="193"/>
      <c r="BG178" s="193"/>
      <c r="BH178" s="193"/>
      <c r="BI178" s="193"/>
      <c r="BJ178" s="193"/>
      <c r="BK178" s="193"/>
      <c r="BL178" s="193"/>
      <c r="BM178" s="193"/>
    </row>
    <row r="179" spans="1:65" ht="153" x14ac:dyDescent="0.2">
      <c r="A179" s="401"/>
      <c r="B179" s="421"/>
      <c r="C179" s="466"/>
      <c r="D179" s="409"/>
      <c r="E179" s="411"/>
      <c r="F179" s="409"/>
      <c r="G179" s="655"/>
      <c r="H179" s="589"/>
      <c r="I179" s="588"/>
      <c r="J179" s="588"/>
      <c r="K179" s="411"/>
      <c r="L179" s="409"/>
      <c r="M179" s="409"/>
      <c r="N179" s="433"/>
      <c r="O179" s="498"/>
      <c r="P179" s="444"/>
      <c r="Q179" s="433"/>
      <c r="R179" s="433"/>
      <c r="S179" s="411"/>
      <c r="T179" s="411"/>
      <c r="U179" s="411"/>
      <c r="V179" s="411"/>
      <c r="W179" s="411"/>
      <c r="X179" s="25"/>
      <c r="Y179" s="5" t="s">
        <v>144</v>
      </c>
      <c r="Z179" s="178">
        <v>42719</v>
      </c>
      <c r="AA179" s="192">
        <v>11964</v>
      </c>
      <c r="AB179" s="20" t="s">
        <v>1065</v>
      </c>
      <c r="AC179" s="178"/>
      <c r="AD179" s="178"/>
      <c r="AE179" s="63"/>
      <c r="AF179" s="193"/>
      <c r="AG179" s="195">
        <v>5475.36</v>
      </c>
      <c r="AH179" s="194"/>
      <c r="AI179" s="197"/>
      <c r="AJ179" s="197"/>
      <c r="AK179" s="197"/>
      <c r="AL179" s="528"/>
      <c r="AM179" s="532"/>
      <c r="AN179" s="530"/>
      <c r="AO179" s="579"/>
      <c r="AP179" s="5"/>
      <c r="AQ179" s="5"/>
      <c r="AR179" s="5"/>
      <c r="AS179" s="5"/>
      <c r="AT179" s="193"/>
      <c r="AU179" s="193"/>
      <c r="AV179" s="5"/>
      <c r="AW179" s="193"/>
      <c r="AX179" s="5"/>
      <c r="AY179" s="193"/>
      <c r="AZ179" s="5"/>
      <c r="BA179" s="193"/>
      <c r="BB179" s="193"/>
      <c r="BC179" s="193"/>
      <c r="BD179" s="193"/>
      <c r="BE179" s="193"/>
      <c r="BF179" s="193"/>
      <c r="BG179" s="193"/>
      <c r="BH179" s="193"/>
      <c r="BI179" s="193"/>
      <c r="BJ179" s="193"/>
      <c r="BK179" s="193"/>
      <c r="BL179" s="193"/>
      <c r="BM179" s="193"/>
    </row>
    <row r="180" spans="1:65" ht="38.25" x14ac:dyDescent="0.2">
      <c r="A180" s="402"/>
      <c r="B180" s="419"/>
      <c r="C180" s="465"/>
      <c r="D180" s="406"/>
      <c r="E180" s="412"/>
      <c r="F180" s="406"/>
      <c r="G180" s="656"/>
      <c r="H180" s="587"/>
      <c r="I180" s="493"/>
      <c r="J180" s="493"/>
      <c r="K180" s="412"/>
      <c r="L180" s="406"/>
      <c r="M180" s="406"/>
      <c r="N180" s="434"/>
      <c r="O180" s="499"/>
      <c r="P180" s="445"/>
      <c r="Q180" s="434"/>
      <c r="R180" s="434"/>
      <c r="S180" s="412"/>
      <c r="T180" s="412"/>
      <c r="U180" s="412"/>
      <c r="V180" s="412"/>
      <c r="W180" s="412"/>
      <c r="X180" s="26"/>
      <c r="Y180" s="5" t="s">
        <v>193</v>
      </c>
      <c r="Z180" s="178">
        <v>42725</v>
      </c>
      <c r="AA180" s="192">
        <v>11964</v>
      </c>
      <c r="AB180" s="20" t="s">
        <v>945</v>
      </c>
      <c r="AC180" s="178">
        <v>42747</v>
      </c>
      <c r="AD180" s="178">
        <v>43112</v>
      </c>
      <c r="AE180" s="63"/>
      <c r="AF180" s="193"/>
      <c r="AG180" s="195">
        <v>51635.28</v>
      </c>
      <c r="AH180" s="194"/>
      <c r="AI180" s="198"/>
      <c r="AJ180" s="198"/>
      <c r="AK180" s="198"/>
      <c r="AL180" s="488"/>
      <c r="AM180" s="501"/>
      <c r="AN180" s="531"/>
      <c r="AO180" s="527"/>
      <c r="AP180" s="5"/>
      <c r="AQ180" s="5"/>
      <c r="AR180" s="5"/>
      <c r="AS180" s="5"/>
      <c r="AT180" s="193"/>
      <c r="AU180" s="193"/>
      <c r="AV180" s="5"/>
      <c r="AW180" s="193"/>
      <c r="AX180" s="5"/>
      <c r="AY180" s="193"/>
      <c r="AZ180" s="5"/>
      <c r="BA180" s="193"/>
      <c r="BB180" s="193"/>
      <c r="BC180" s="193"/>
      <c r="BD180" s="193"/>
      <c r="BE180" s="193"/>
      <c r="BF180" s="193"/>
      <c r="BG180" s="193"/>
      <c r="BH180" s="193"/>
      <c r="BI180" s="193"/>
      <c r="BJ180" s="193"/>
      <c r="BK180" s="193"/>
      <c r="BL180" s="193"/>
      <c r="BM180" s="193"/>
    </row>
    <row r="181" spans="1:65" ht="38.25" x14ac:dyDescent="0.2">
      <c r="A181" s="400">
        <v>31</v>
      </c>
      <c r="B181" s="418" t="s">
        <v>465</v>
      </c>
      <c r="C181" s="464" t="s">
        <v>448</v>
      </c>
      <c r="D181" s="405" t="s">
        <v>466</v>
      </c>
      <c r="E181" s="410" t="s">
        <v>372</v>
      </c>
      <c r="F181" s="405" t="s">
        <v>469</v>
      </c>
      <c r="G181" s="407" t="s">
        <v>823</v>
      </c>
      <c r="H181" s="427" t="s">
        <v>212</v>
      </c>
      <c r="I181" s="431">
        <v>41659</v>
      </c>
      <c r="J181" s="431">
        <v>42024</v>
      </c>
      <c r="K181" s="427" t="s">
        <v>452</v>
      </c>
      <c r="L181" s="405" t="s">
        <v>467</v>
      </c>
      <c r="M181" s="405" t="s">
        <v>468</v>
      </c>
      <c r="N181" s="431">
        <v>42018</v>
      </c>
      <c r="O181" s="430">
        <v>42000</v>
      </c>
      <c r="P181" s="438" t="s">
        <v>786</v>
      </c>
      <c r="Q181" s="431">
        <v>42018</v>
      </c>
      <c r="R181" s="431">
        <v>42383</v>
      </c>
      <c r="S181" s="427" t="s">
        <v>146</v>
      </c>
      <c r="T181" s="427"/>
      <c r="U181" s="427"/>
      <c r="V181" s="427"/>
      <c r="W181" s="427" t="s">
        <v>117</v>
      </c>
      <c r="X181" s="427"/>
      <c r="Y181" s="5" t="s">
        <v>138</v>
      </c>
      <c r="Z181" s="178">
        <v>42383</v>
      </c>
      <c r="AA181" s="192">
        <v>11737</v>
      </c>
      <c r="AB181" s="20" t="s">
        <v>701</v>
      </c>
      <c r="AC181" s="178">
        <v>42383</v>
      </c>
      <c r="AD181" s="178">
        <v>42749</v>
      </c>
      <c r="AE181" s="63"/>
      <c r="AF181" s="193"/>
      <c r="AG181" s="195">
        <v>42000</v>
      </c>
      <c r="AH181" s="194"/>
      <c r="AI181" s="194"/>
      <c r="AJ181" s="194"/>
      <c r="AK181" s="194"/>
      <c r="AL181" s="533">
        <f>O181-AH181+AG181-AH182+AG182</f>
        <v>126000</v>
      </c>
      <c r="AM181" s="500">
        <f>38250+3500+3500+3500+3500+3500+3500+7000+3500+3500+7000</f>
        <v>80250</v>
      </c>
      <c r="AN181" s="529">
        <f>3500+3500+3500+3500+3500+3500+7000+3500+3500</f>
        <v>35000</v>
      </c>
      <c r="AO181" s="526">
        <f t="shared" si="0"/>
        <v>115250</v>
      </c>
      <c r="AP181" s="5" t="s">
        <v>212</v>
      </c>
      <c r="AQ181" s="178">
        <v>41659</v>
      </c>
      <c r="AR181" s="178">
        <v>42024</v>
      </c>
      <c r="AS181" s="192">
        <v>11233</v>
      </c>
      <c r="AT181" s="20" t="s">
        <v>472</v>
      </c>
      <c r="AU181" s="193"/>
      <c r="AV181" s="5"/>
      <c r="AW181" s="193"/>
      <c r="AX181" s="5"/>
      <c r="AY181" s="193"/>
      <c r="AZ181" s="5"/>
      <c r="BA181" s="193"/>
      <c r="BB181" s="193"/>
      <c r="BC181" s="193"/>
      <c r="BD181" s="193"/>
      <c r="BE181" s="193"/>
      <c r="BF181" s="193"/>
      <c r="BG181" s="193"/>
      <c r="BH181" s="193"/>
      <c r="BI181" s="193"/>
      <c r="BJ181" s="193"/>
      <c r="BK181" s="193"/>
      <c r="BL181" s="193"/>
      <c r="BM181" s="193"/>
    </row>
    <row r="182" spans="1:65" ht="38.25" x14ac:dyDescent="0.2">
      <c r="A182" s="402"/>
      <c r="B182" s="419"/>
      <c r="C182" s="465"/>
      <c r="D182" s="406"/>
      <c r="E182" s="412"/>
      <c r="F182" s="406"/>
      <c r="G182" s="406"/>
      <c r="H182" s="428"/>
      <c r="I182" s="428"/>
      <c r="J182" s="428"/>
      <c r="K182" s="428"/>
      <c r="L182" s="406"/>
      <c r="M182" s="406"/>
      <c r="N182" s="428"/>
      <c r="O182" s="428"/>
      <c r="P182" s="428"/>
      <c r="Q182" s="428"/>
      <c r="R182" s="428"/>
      <c r="S182" s="428"/>
      <c r="T182" s="428"/>
      <c r="U182" s="428"/>
      <c r="V182" s="428"/>
      <c r="W182" s="428"/>
      <c r="X182" s="428"/>
      <c r="Y182" s="5" t="s">
        <v>144</v>
      </c>
      <c r="Z182" s="178">
        <v>42725</v>
      </c>
      <c r="AA182" s="192">
        <v>11969</v>
      </c>
      <c r="AB182" s="20" t="s">
        <v>701</v>
      </c>
      <c r="AC182" s="178">
        <v>42749</v>
      </c>
      <c r="AD182" s="178">
        <v>43114</v>
      </c>
      <c r="AE182" s="63"/>
      <c r="AF182" s="193"/>
      <c r="AG182" s="195">
        <v>42000</v>
      </c>
      <c r="AH182" s="194"/>
      <c r="AI182" s="196"/>
      <c r="AJ182" s="196"/>
      <c r="AK182" s="196"/>
      <c r="AL182" s="534"/>
      <c r="AM182" s="501"/>
      <c r="AN182" s="531"/>
      <c r="AO182" s="527"/>
      <c r="AP182" s="5"/>
      <c r="AQ182" s="178"/>
      <c r="AR182" s="178"/>
      <c r="AS182" s="192"/>
      <c r="AT182" s="20"/>
      <c r="AU182" s="193"/>
      <c r="AV182" s="5"/>
      <c r="AW182" s="193"/>
      <c r="AX182" s="5"/>
      <c r="AY182" s="193"/>
      <c r="AZ182" s="5"/>
      <c r="BA182" s="193"/>
      <c r="BB182" s="193"/>
      <c r="BC182" s="193"/>
      <c r="BD182" s="193"/>
      <c r="BE182" s="193"/>
      <c r="BF182" s="193"/>
      <c r="BG182" s="193"/>
      <c r="BH182" s="193"/>
      <c r="BI182" s="193"/>
      <c r="BJ182" s="193"/>
      <c r="BK182" s="193"/>
      <c r="BL182" s="193"/>
      <c r="BM182" s="193"/>
    </row>
    <row r="183" spans="1:65" ht="89.25" x14ac:dyDescent="0.2">
      <c r="A183" s="400">
        <v>32</v>
      </c>
      <c r="B183" s="467" t="s">
        <v>474</v>
      </c>
      <c r="C183" s="576" t="s">
        <v>449</v>
      </c>
      <c r="D183" s="427" t="s">
        <v>480</v>
      </c>
      <c r="E183" s="410" t="s">
        <v>126</v>
      </c>
      <c r="F183" s="427" t="s">
        <v>481</v>
      </c>
      <c r="G183" s="438" t="s">
        <v>831</v>
      </c>
      <c r="H183" s="449" t="s">
        <v>241</v>
      </c>
      <c r="I183" s="432">
        <v>41912</v>
      </c>
      <c r="J183" s="432">
        <v>42277</v>
      </c>
      <c r="K183" s="410" t="s">
        <v>477</v>
      </c>
      <c r="L183" s="427" t="s">
        <v>475</v>
      </c>
      <c r="M183" s="427" t="s">
        <v>476</v>
      </c>
      <c r="N183" s="431">
        <v>42039</v>
      </c>
      <c r="O183" s="430">
        <v>431952</v>
      </c>
      <c r="P183" s="438" t="s">
        <v>787</v>
      </c>
      <c r="Q183" s="431">
        <v>42039</v>
      </c>
      <c r="R183" s="431">
        <v>42404</v>
      </c>
      <c r="S183" s="427" t="s">
        <v>136</v>
      </c>
      <c r="T183" s="427"/>
      <c r="U183" s="427"/>
      <c r="V183" s="427"/>
      <c r="W183" s="427" t="s">
        <v>137</v>
      </c>
      <c r="X183" s="123"/>
      <c r="Y183" s="5" t="s">
        <v>138</v>
      </c>
      <c r="Z183" s="193" t="s">
        <v>490</v>
      </c>
      <c r="AA183" s="192">
        <v>11533</v>
      </c>
      <c r="AB183" s="20" t="s">
        <v>491</v>
      </c>
      <c r="AC183" s="193"/>
      <c r="AD183" s="193"/>
      <c r="AE183" s="63"/>
      <c r="AF183" s="5">
        <v>10</v>
      </c>
      <c r="AG183" s="195"/>
      <c r="AH183" s="195">
        <v>43195.199999999997</v>
      </c>
      <c r="AI183" s="199"/>
      <c r="AJ183" s="199"/>
      <c r="AK183" s="199"/>
      <c r="AL183" s="487">
        <f>O183-AH183+AG183-AH184+AG184-AH185+AG185-AH186+AG186-AH187+AG187</f>
        <v>1101337.5799999998</v>
      </c>
      <c r="AM183" s="500">
        <f>312035.55+36715.92+32396.4+28076.88+28996.4+28996.4+28996.4+57992.8+28996.4+28996.4+57992.8</f>
        <v>670192.35000000021</v>
      </c>
      <c r="AN183" s="529">
        <f>28996.4+28996.4+28996.4+28996.4+28996.4+28996.4+57992.8+28996.4+28996.4</f>
        <v>289964</v>
      </c>
      <c r="AO183" s="526">
        <f t="shared" si="0"/>
        <v>960156.35000000021</v>
      </c>
      <c r="AP183" s="145" t="s">
        <v>241</v>
      </c>
      <c r="AQ183" s="59">
        <v>41912</v>
      </c>
      <c r="AR183" s="59">
        <v>42277</v>
      </c>
      <c r="AS183" s="192">
        <v>11405</v>
      </c>
      <c r="AT183" s="20" t="s">
        <v>479</v>
      </c>
      <c r="AU183" s="193"/>
      <c r="AV183" s="5"/>
      <c r="AW183" s="193"/>
      <c r="AX183" s="5"/>
      <c r="AY183" s="193"/>
      <c r="AZ183" s="5"/>
      <c r="BA183" s="193"/>
      <c r="BB183" s="193"/>
      <c r="BC183" s="193"/>
      <c r="BD183" s="193"/>
      <c r="BE183" s="193"/>
      <c r="BF183" s="193"/>
      <c r="BG183" s="193"/>
      <c r="BH183" s="193"/>
      <c r="BI183" s="193"/>
      <c r="BJ183" s="193"/>
      <c r="BK183" s="193"/>
      <c r="BL183" s="193"/>
      <c r="BM183" s="193"/>
    </row>
    <row r="184" spans="1:65" ht="38.25" x14ac:dyDescent="0.2">
      <c r="A184" s="401"/>
      <c r="B184" s="468"/>
      <c r="C184" s="578"/>
      <c r="D184" s="429"/>
      <c r="E184" s="411"/>
      <c r="F184" s="429"/>
      <c r="G184" s="448"/>
      <c r="H184" s="463"/>
      <c r="I184" s="463"/>
      <c r="J184" s="463"/>
      <c r="K184" s="411"/>
      <c r="L184" s="429"/>
      <c r="M184" s="429"/>
      <c r="N184" s="437"/>
      <c r="O184" s="447"/>
      <c r="P184" s="448"/>
      <c r="Q184" s="437"/>
      <c r="R184" s="437"/>
      <c r="S184" s="429"/>
      <c r="T184" s="429"/>
      <c r="U184" s="429"/>
      <c r="V184" s="429"/>
      <c r="W184" s="429"/>
      <c r="X184" s="167"/>
      <c r="Y184" s="5" t="s">
        <v>144</v>
      </c>
      <c r="Z184" s="178">
        <v>42404</v>
      </c>
      <c r="AA184" s="192">
        <v>11740</v>
      </c>
      <c r="AB184" s="20" t="s">
        <v>701</v>
      </c>
      <c r="AC184" s="193" t="s">
        <v>706</v>
      </c>
      <c r="AD184" s="178">
        <v>42770</v>
      </c>
      <c r="AE184" s="63"/>
      <c r="AF184" s="5"/>
      <c r="AG184" s="195">
        <v>388756.8</v>
      </c>
      <c r="AH184" s="195"/>
      <c r="AI184" s="200"/>
      <c r="AJ184" s="200"/>
      <c r="AK184" s="200"/>
      <c r="AL184" s="528"/>
      <c r="AM184" s="532"/>
      <c r="AN184" s="530"/>
      <c r="AO184" s="579"/>
      <c r="AP184" s="142"/>
      <c r="AQ184" s="142"/>
      <c r="AR184" s="142"/>
      <c r="AS184" s="192"/>
      <c r="AT184" s="20"/>
      <c r="AU184" s="193"/>
      <c r="AV184" s="5"/>
      <c r="AW184" s="193"/>
      <c r="AX184" s="5"/>
      <c r="AY184" s="193"/>
      <c r="AZ184" s="5"/>
      <c r="BA184" s="193"/>
      <c r="BB184" s="193"/>
      <c r="BC184" s="193"/>
      <c r="BD184" s="193"/>
      <c r="BE184" s="193"/>
      <c r="BF184" s="193"/>
      <c r="BG184" s="193"/>
      <c r="BH184" s="193"/>
      <c r="BI184" s="193"/>
      <c r="BJ184" s="193"/>
      <c r="BK184" s="193"/>
      <c r="BL184" s="193"/>
      <c r="BM184" s="193"/>
    </row>
    <row r="185" spans="1:65" ht="140.25" x14ac:dyDescent="0.2">
      <c r="A185" s="401"/>
      <c r="B185" s="468"/>
      <c r="C185" s="578"/>
      <c r="D185" s="429"/>
      <c r="E185" s="411"/>
      <c r="F185" s="429"/>
      <c r="G185" s="429"/>
      <c r="H185" s="463"/>
      <c r="I185" s="463"/>
      <c r="J185" s="463"/>
      <c r="K185" s="411"/>
      <c r="L185" s="429"/>
      <c r="M185" s="429"/>
      <c r="N185" s="429"/>
      <c r="O185" s="429"/>
      <c r="P185" s="429"/>
      <c r="Q185" s="429"/>
      <c r="R185" s="429"/>
      <c r="S185" s="429"/>
      <c r="T185" s="429"/>
      <c r="U185" s="429"/>
      <c r="V185" s="429"/>
      <c r="W185" s="429"/>
      <c r="X185" s="167"/>
      <c r="Y185" s="5" t="s">
        <v>193</v>
      </c>
      <c r="Z185" s="178">
        <v>42485</v>
      </c>
      <c r="AA185" s="192">
        <v>11793</v>
      </c>
      <c r="AB185" s="20" t="s">
        <v>887</v>
      </c>
      <c r="AC185" s="193"/>
      <c r="AD185" s="178"/>
      <c r="AE185" s="63"/>
      <c r="AF185" s="5">
        <v>10.5</v>
      </c>
      <c r="AG185" s="195"/>
      <c r="AH185" s="195">
        <v>34000</v>
      </c>
      <c r="AI185" s="201"/>
      <c r="AJ185" s="201"/>
      <c r="AK185" s="201"/>
      <c r="AL185" s="528"/>
      <c r="AM185" s="532"/>
      <c r="AN185" s="530"/>
      <c r="AO185" s="579"/>
      <c r="AP185" s="143"/>
      <c r="AQ185" s="143"/>
      <c r="AR185" s="143"/>
      <c r="AS185" s="202"/>
      <c r="AT185" s="123"/>
      <c r="AU185" s="203"/>
      <c r="AV185" s="204"/>
      <c r="AW185" s="203"/>
      <c r="AX185" s="204"/>
      <c r="AY185" s="203"/>
      <c r="AZ185" s="204"/>
      <c r="BA185" s="203"/>
      <c r="BB185" s="203"/>
      <c r="BC185" s="203"/>
      <c r="BD185" s="203"/>
      <c r="BE185" s="203"/>
      <c r="BF185" s="203"/>
      <c r="BG185" s="203"/>
      <c r="BH185" s="203"/>
      <c r="BI185" s="203"/>
      <c r="BJ185" s="203"/>
      <c r="BK185" s="203"/>
      <c r="BL185" s="203"/>
      <c r="BM185" s="203"/>
    </row>
    <row r="186" spans="1:65" ht="51" x14ac:dyDescent="0.2">
      <c r="A186" s="401"/>
      <c r="B186" s="468"/>
      <c r="C186" s="578"/>
      <c r="D186" s="429"/>
      <c r="E186" s="411"/>
      <c r="F186" s="429"/>
      <c r="G186" s="429"/>
      <c r="H186" s="411"/>
      <c r="I186" s="411"/>
      <c r="J186" s="411"/>
      <c r="K186" s="411"/>
      <c r="L186" s="429"/>
      <c r="M186" s="429"/>
      <c r="N186" s="429"/>
      <c r="O186" s="429"/>
      <c r="P186" s="429"/>
      <c r="Q186" s="429"/>
      <c r="R186" s="429"/>
      <c r="S186" s="429"/>
      <c r="T186" s="429"/>
      <c r="U186" s="429"/>
      <c r="V186" s="429"/>
      <c r="W186" s="429"/>
      <c r="X186" s="167"/>
      <c r="Y186" s="5" t="s">
        <v>194</v>
      </c>
      <c r="Z186" s="178">
        <v>42769</v>
      </c>
      <c r="AA186" s="192">
        <v>12010</v>
      </c>
      <c r="AB186" s="20" t="s">
        <v>1407</v>
      </c>
      <c r="AC186" s="193" t="s">
        <v>1408</v>
      </c>
      <c r="AD186" s="178" t="s">
        <v>1409</v>
      </c>
      <c r="AE186" s="63"/>
      <c r="AF186" s="5"/>
      <c r="AG186" s="195">
        <v>347956.8</v>
      </c>
      <c r="AH186" s="195"/>
      <c r="AI186" s="200"/>
      <c r="AJ186" s="200"/>
      <c r="AK186" s="200"/>
      <c r="AL186" s="528"/>
      <c r="AM186" s="532"/>
      <c r="AN186" s="530"/>
      <c r="AO186" s="579"/>
      <c r="AP186" s="142"/>
      <c r="AQ186" s="142"/>
      <c r="AR186" s="142"/>
      <c r="AS186" s="202"/>
      <c r="AT186" s="123"/>
      <c r="AU186" s="203"/>
      <c r="AV186" s="204"/>
      <c r="AW186" s="203"/>
      <c r="AX186" s="204"/>
      <c r="AY186" s="203"/>
      <c r="AZ186" s="204"/>
      <c r="BA186" s="203"/>
      <c r="BB186" s="203"/>
      <c r="BC186" s="203"/>
      <c r="BD186" s="203"/>
      <c r="BE186" s="203"/>
      <c r="BF186" s="203"/>
      <c r="BG186" s="203"/>
      <c r="BH186" s="203"/>
      <c r="BI186" s="203"/>
      <c r="BJ186" s="203"/>
      <c r="BK186" s="203"/>
      <c r="BL186" s="203"/>
      <c r="BM186" s="203"/>
    </row>
    <row r="187" spans="1:65" ht="63.75" x14ac:dyDescent="0.2">
      <c r="A187" s="402"/>
      <c r="B187" s="469"/>
      <c r="C187" s="577"/>
      <c r="D187" s="428"/>
      <c r="E187" s="412"/>
      <c r="F187" s="428"/>
      <c r="G187" s="428"/>
      <c r="H187" s="412"/>
      <c r="I187" s="412"/>
      <c r="J187" s="412"/>
      <c r="K187" s="412"/>
      <c r="L187" s="428"/>
      <c r="M187" s="428"/>
      <c r="N187" s="428"/>
      <c r="O187" s="428"/>
      <c r="P187" s="428"/>
      <c r="Q187" s="428"/>
      <c r="R187" s="428"/>
      <c r="S187" s="428"/>
      <c r="T187" s="428"/>
      <c r="U187" s="428"/>
      <c r="V187" s="428"/>
      <c r="W187" s="428"/>
      <c r="X187" s="109" t="s">
        <v>498</v>
      </c>
      <c r="Y187" s="5" t="s">
        <v>195</v>
      </c>
      <c r="Z187" s="178">
        <v>43040</v>
      </c>
      <c r="AA187" s="192">
        <v>12179</v>
      </c>
      <c r="AB187" s="20" t="s">
        <v>2043</v>
      </c>
      <c r="AC187" s="193"/>
      <c r="AD187" s="178"/>
      <c r="AE187" s="63"/>
      <c r="AF187" s="5"/>
      <c r="AG187" s="195">
        <v>9867.18</v>
      </c>
      <c r="AH187" s="195"/>
      <c r="AI187" s="200"/>
      <c r="AJ187" s="200"/>
      <c r="AK187" s="200"/>
      <c r="AL187" s="488"/>
      <c r="AM187" s="501"/>
      <c r="AN187" s="531"/>
      <c r="AO187" s="527"/>
      <c r="AP187" s="142"/>
      <c r="AQ187" s="142"/>
      <c r="AR187" s="142"/>
      <c r="AS187" s="202"/>
      <c r="AT187" s="123"/>
      <c r="AU187" s="203"/>
      <c r="AV187" s="204"/>
      <c r="AW187" s="203"/>
      <c r="AX187" s="204"/>
      <c r="AY187" s="203"/>
      <c r="AZ187" s="204"/>
      <c r="BA187" s="203"/>
      <c r="BB187" s="203"/>
      <c r="BC187" s="203"/>
      <c r="BD187" s="203"/>
      <c r="BE187" s="203"/>
      <c r="BF187" s="203"/>
      <c r="BG187" s="203"/>
      <c r="BH187" s="203"/>
      <c r="BI187" s="203"/>
      <c r="BJ187" s="203"/>
      <c r="BK187" s="203"/>
      <c r="BL187" s="203"/>
      <c r="BM187" s="203"/>
    </row>
    <row r="188" spans="1:65" ht="89.25" x14ac:dyDescent="0.2">
      <c r="A188" s="403">
        <v>33</v>
      </c>
      <c r="B188" s="418" t="s">
        <v>486</v>
      </c>
      <c r="C188" s="422" t="s">
        <v>210</v>
      </c>
      <c r="D188" s="405" t="s">
        <v>430</v>
      </c>
      <c r="E188" s="410" t="s">
        <v>126</v>
      </c>
      <c r="F188" s="405" t="s">
        <v>488</v>
      </c>
      <c r="G188" s="407" t="s">
        <v>832</v>
      </c>
      <c r="H188" s="449"/>
      <c r="I188" s="441"/>
      <c r="J188" s="441"/>
      <c r="K188" s="410" t="s">
        <v>485</v>
      </c>
      <c r="L188" s="405" t="s">
        <v>463</v>
      </c>
      <c r="M188" s="405" t="s">
        <v>487</v>
      </c>
      <c r="N188" s="431">
        <v>42079</v>
      </c>
      <c r="O188" s="430">
        <v>179244.72</v>
      </c>
      <c r="P188" s="438" t="s">
        <v>788</v>
      </c>
      <c r="Q188" s="431">
        <v>42079</v>
      </c>
      <c r="R188" s="431">
        <v>42445</v>
      </c>
      <c r="S188" s="427" t="s">
        <v>136</v>
      </c>
      <c r="T188" s="427"/>
      <c r="U188" s="427"/>
      <c r="V188" s="427"/>
      <c r="W188" s="427" t="s">
        <v>137</v>
      </c>
      <c r="X188" s="427"/>
      <c r="Y188" s="5" t="s">
        <v>138</v>
      </c>
      <c r="Z188" s="178">
        <v>42384</v>
      </c>
      <c r="AA188" s="192">
        <v>11729</v>
      </c>
      <c r="AB188" s="20" t="s">
        <v>704</v>
      </c>
      <c r="AC188" s="193"/>
      <c r="AD188" s="193"/>
      <c r="AE188" s="63">
        <v>17</v>
      </c>
      <c r="AF188" s="193"/>
      <c r="AG188" s="195">
        <v>5227.8500000000004</v>
      </c>
      <c r="AH188" s="194"/>
      <c r="AI188" s="196"/>
      <c r="AJ188" s="196"/>
      <c r="AK188" s="196"/>
      <c r="AL188" s="487">
        <f>O188-AH188+AG188-AH189+AG189-AH190+AG190-AH191+AG191</f>
        <v>656555.34</v>
      </c>
      <c r="AM188" s="500">
        <f>123894.48+16264.74+14937.06+14937.06+14937.06+14937.06+14937.06+17426.57+17426.57+17426.57+15766.86+18339.39+17426.57</f>
        <v>318657.05</v>
      </c>
      <c r="AN188" s="529">
        <f>19458.46+19458.46+19458.46+19458.46+16678.68+19458.46+19458.46+19458.46+19458.46+19458.46+19458.46</f>
        <v>211263.27999999994</v>
      </c>
      <c r="AO188" s="526">
        <f>AM188+AN188</f>
        <v>529920.32999999996</v>
      </c>
      <c r="AP188" s="576"/>
      <c r="AQ188" s="204"/>
      <c r="AR188" s="204"/>
      <c r="AS188" s="576"/>
      <c r="AT188" s="576"/>
      <c r="AU188" s="576"/>
      <c r="AV188" s="576"/>
      <c r="AW188" s="576"/>
      <c r="AX188" s="576"/>
      <c r="AY188" s="576"/>
      <c r="AZ188" s="576"/>
      <c r="BA188" s="576"/>
      <c r="BB188" s="576"/>
      <c r="BC188" s="576"/>
      <c r="BD188" s="576"/>
      <c r="BE188" s="576"/>
      <c r="BF188" s="576"/>
      <c r="BG188" s="576"/>
      <c r="BH188" s="576"/>
      <c r="BI188" s="576"/>
      <c r="BJ188" s="576"/>
      <c r="BK188" s="576"/>
      <c r="BL188" s="576"/>
      <c r="BM188" s="576"/>
    </row>
    <row r="189" spans="1:65" ht="25.5" x14ac:dyDescent="0.2">
      <c r="A189" s="420"/>
      <c r="B189" s="421"/>
      <c r="C189" s="423"/>
      <c r="D189" s="409"/>
      <c r="E189" s="411"/>
      <c r="F189" s="409"/>
      <c r="G189" s="446"/>
      <c r="H189" s="411"/>
      <c r="I189" s="429"/>
      <c r="J189" s="429"/>
      <c r="K189" s="411"/>
      <c r="L189" s="409"/>
      <c r="M189" s="409"/>
      <c r="N189" s="437"/>
      <c r="O189" s="447"/>
      <c r="P189" s="448"/>
      <c r="Q189" s="437"/>
      <c r="R189" s="437"/>
      <c r="S189" s="429"/>
      <c r="T189" s="429"/>
      <c r="U189" s="429"/>
      <c r="V189" s="429"/>
      <c r="W189" s="429"/>
      <c r="X189" s="429"/>
      <c r="Y189" s="5" t="s">
        <v>144</v>
      </c>
      <c r="Z189" s="178">
        <v>42445</v>
      </c>
      <c r="AA189" s="192">
        <v>11775</v>
      </c>
      <c r="AB189" s="20" t="s">
        <v>568</v>
      </c>
      <c r="AC189" s="178">
        <v>42445</v>
      </c>
      <c r="AD189" s="178">
        <v>42810</v>
      </c>
      <c r="AE189" s="63"/>
      <c r="AF189" s="193"/>
      <c r="AG189" s="195">
        <v>209118.84</v>
      </c>
      <c r="AH189" s="194"/>
      <c r="AI189" s="197"/>
      <c r="AJ189" s="197"/>
      <c r="AK189" s="197"/>
      <c r="AL189" s="528"/>
      <c r="AM189" s="532"/>
      <c r="AN189" s="530"/>
      <c r="AO189" s="579"/>
      <c r="AP189" s="578"/>
      <c r="AQ189" s="205"/>
      <c r="AR189" s="205"/>
      <c r="AS189" s="578"/>
      <c r="AT189" s="578"/>
      <c r="AU189" s="578"/>
      <c r="AV189" s="578"/>
      <c r="AW189" s="578"/>
      <c r="AX189" s="578"/>
      <c r="AY189" s="578"/>
      <c r="AZ189" s="578"/>
      <c r="BA189" s="578"/>
      <c r="BB189" s="578"/>
      <c r="BC189" s="578"/>
      <c r="BD189" s="578"/>
      <c r="BE189" s="578"/>
      <c r="BF189" s="578"/>
      <c r="BG189" s="578"/>
      <c r="BH189" s="578"/>
      <c r="BI189" s="578"/>
      <c r="BJ189" s="578"/>
      <c r="BK189" s="578"/>
      <c r="BL189" s="578"/>
      <c r="BM189" s="578"/>
    </row>
    <row r="190" spans="1:65" ht="127.5" x14ac:dyDescent="0.2">
      <c r="A190" s="420"/>
      <c r="B190" s="421"/>
      <c r="C190" s="423"/>
      <c r="D190" s="409"/>
      <c r="E190" s="411"/>
      <c r="F190" s="409"/>
      <c r="G190" s="446"/>
      <c r="H190" s="411"/>
      <c r="I190" s="429"/>
      <c r="J190" s="429"/>
      <c r="K190" s="411"/>
      <c r="L190" s="409"/>
      <c r="M190" s="409"/>
      <c r="N190" s="429"/>
      <c r="O190" s="429"/>
      <c r="P190" s="429"/>
      <c r="Q190" s="429"/>
      <c r="R190" s="429"/>
      <c r="S190" s="429"/>
      <c r="T190" s="429"/>
      <c r="U190" s="429"/>
      <c r="V190" s="429"/>
      <c r="W190" s="429"/>
      <c r="X190" s="429"/>
      <c r="Y190" s="5" t="s">
        <v>193</v>
      </c>
      <c r="Z190" s="178">
        <v>42719</v>
      </c>
      <c r="AA190" s="192">
        <v>11965</v>
      </c>
      <c r="AB190" s="20" t="s">
        <v>1080</v>
      </c>
      <c r="AC190" s="178"/>
      <c r="AD190" s="178"/>
      <c r="AE190" s="63"/>
      <c r="AF190" s="193"/>
      <c r="AG190" s="195">
        <v>29462.41</v>
      </c>
      <c r="AH190" s="194"/>
      <c r="AI190" s="198"/>
      <c r="AJ190" s="198"/>
      <c r="AK190" s="198"/>
      <c r="AL190" s="528"/>
      <c r="AM190" s="532"/>
      <c r="AN190" s="530"/>
      <c r="AO190" s="579"/>
      <c r="AP190" s="577"/>
      <c r="AQ190" s="206"/>
      <c r="AR190" s="206"/>
      <c r="AS190" s="577"/>
      <c r="AT190" s="577"/>
      <c r="AU190" s="577"/>
      <c r="AV190" s="577"/>
      <c r="AW190" s="577"/>
      <c r="AX190" s="577"/>
      <c r="AY190" s="577"/>
      <c r="AZ190" s="577"/>
      <c r="BA190" s="577"/>
      <c r="BB190" s="577"/>
      <c r="BC190" s="577"/>
      <c r="BD190" s="577"/>
      <c r="BE190" s="577"/>
      <c r="BF190" s="577"/>
      <c r="BG190" s="577"/>
      <c r="BH190" s="577"/>
      <c r="BI190" s="577"/>
      <c r="BJ190" s="577"/>
      <c r="BK190" s="577"/>
      <c r="BL190" s="577"/>
      <c r="BM190" s="577"/>
    </row>
    <row r="191" spans="1:65" ht="51" x14ac:dyDescent="0.2">
      <c r="A191" s="404"/>
      <c r="B191" s="419"/>
      <c r="C191" s="424"/>
      <c r="D191" s="406"/>
      <c r="E191" s="412"/>
      <c r="F191" s="406"/>
      <c r="G191" s="406"/>
      <c r="H191" s="412"/>
      <c r="I191" s="428"/>
      <c r="J191" s="428"/>
      <c r="K191" s="412"/>
      <c r="L191" s="406"/>
      <c r="M191" s="406"/>
      <c r="N191" s="428"/>
      <c r="O191" s="428"/>
      <c r="P191" s="428"/>
      <c r="Q191" s="428"/>
      <c r="R191" s="428"/>
      <c r="S191" s="428"/>
      <c r="T191" s="428"/>
      <c r="U191" s="428"/>
      <c r="V191" s="428"/>
      <c r="W191" s="428"/>
      <c r="X191" s="428"/>
      <c r="Y191" s="5" t="s">
        <v>194</v>
      </c>
      <c r="Z191" s="178">
        <v>42810</v>
      </c>
      <c r="AA191" s="192">
        <v>12018</v>
      </c>
      <c r="AB191" s="20" t="s">
        <v>1453</v>
      </c>
      <c r="AC191" s="178">
        <v>42810</v>
      </c>
      <c r="AD191" s="178">
        <v>43175</v>
      </c>
      <c r="AE191" s="63"/>
      <c r="AF191" s="193"/>
      <c r="AG191" s="195">
        <v>233501.52</v>
      </c>
      <c r="AH191" s="194"/>
      <c r="AI191" s="194"/>
      <c r="AJ191" s="194"/>
      <c r="AK191" s="194"/>
      <c r="AL191" s="488"/>
      <c r="AM191" s="501"/>
      <c r="AN191" s="531"/>
      <c r="AO191" s="527"/>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row>
    <row r="192" spans="1:65" ht="89.25" x14ac:dyDescent="0.2">
      <c r="A192" s="400">
        <v>34</v>
      </c>
      <c r="B192" s="418" t="s">
        <v>1520</v>
      </c>
      <c r="C192" s="422" t="s">
        <v>451</v>
      </c>
      <c r="D192" s="405" t="s">
        <v>248</v>
      </c>
      <c r="E192" s="443" t="s">
        <v>126</v>
      </c>
      <c r="F192" s="405" t="s">
        <v>1521</v>
      </c>
      <c r="G192" s="407" t="s">
        <v>1522</v>
      </c>
      <c r="H192" s="25"/>
      <c r="I192" s="61"/>
      <c r="J192" s="61"/>
      <c r="K192" s="427" t="s">
        <v>1523</v>
      </c>
      <c r="L192" s="405" t="s">
        <v>1524</v>
      </c>
      <c r="M192" s="405" t="s">
        <v>1525</v>
      </c>
      <c r="N192" s="431">
        <v>42143</v>
      </c>
      <c r="O192" s="435">
        <v>850218.13</v>
      </c>
      <c r="P192" s="438" t="s">
        <v>1526</v>
      </c>
      <c r="Q192" s="431">
        <v>42145</v>
      </c>
      <c r="R192" s="431">
        <f>Q192+210</f>
        <v>42355</v>
      </c>
      <c r="S192" s="20" t="s">
        <v>1527</v>
      </c>
      <c r="T192" s="427" t="s">
        <v>1528</v>
      </c>
      <c r="U192" s="427" t="s">
        <v>1529</v>
      </c>
      <c r="V192" s="571">
        <v>1000000</v>
      </c>
      <c r="W192" s="427" t="s">
        <v>251</v>
      </c>
      <c r="X192" s="61"/>
      <c r="Y192" s="2" t="s">
        <v>138</v>
      </c>
      <c r="Z192" s="59">
        <v>42237</v>
      </c>
      <c r="AA192" s="207">
        <v>11627</v>
      </c>
      <c r="AB192" s="20" t="s">
        <v>1530</v>
      </c>
      <c r="AC192" s="20"/>
      <c r="AD192" s="20"/>
      <c r="AE192" s="1">
        <v>5.84</v>
      </c>
      <c r="AF192" s="20"/>
      <c r="AG192" s="65">
        <v>49610.42</v>
      </c>
      <c r="AH192" s="138"/>
      <c r="AI192" s="194"/>
      <c r="AJ192" s="194"/>
      <c r="AK192" s="194"/>
      <c r="AL192" s="487">
        <f>O192-AH192+AG192-AH193+AG193-AH194+AG194-AH195+AG195-AH196+AG196-AH197+AG197-AH198+AG198</f>
        <v>976355.28</v>
      </c>
      <c r="AM192" s="497">
        <f>89324.67+168738.19+0+152634.91+152547.46+26079+14835.94+103312.57+100427.04+91928.77</f>
        <v>899828.55</v>
      </c>
      <c r="AN192" s="497">
        <f>0+53996.25+24626.12</f>
        <v>78622.37</v>
      </c>
      <c r="AO192" s="487">
        <f>AM192+AN192</f>
        <v>978450.92</v>
      </c>
      <c r="AP192" s="410"/>
      <c r="AQ192" s="410"/>
      <c r="AR192" s="410"/>
      <c r="AS192" s="410"/>
      <c r="AT192" s="410"/>
      <c r="AU192" s="410"/>
      <c r="AV192" s="410"/>
      <c r="AW192" s="410"/>
      <c r="AX192" s="410"/>
      <c r="AY192" s="410"/>
      <c r="AZ192" s="410"/>
      <c r="BA192" s="410"/>
      <c r="BB192" s="410" t="s">
        <v>396</v>
      </c>
      <c r="BC192" s="410" t="s">
        <v>184</v>
      </c>
      <c r="BD192" s="59">
        <v>42145</v>
      </c>
      <c r="BE192" s="59">
        <f>BD192+180</f>
        <v>42325</v>
      </c>
      <c r="BF192" s="20"/>
      <c r="BG192" s="20"/>
      <c r="BH192" s="164">
        <v>42145</v>
      </c>
      <c r="BI192" s="410"/>
      <c r="BJ192" s="410"/>
      <c r="BK192" s="410"/>
      <c r="BL192" s="205"/>
      <c r="BM192" s="205"/>
    </row>
    <row r="193" spans="1:65" ht="76.5" x14ac:dyDescent="0.2">
      <c r="A193" s="401"/>
      <c r="B193" s="421"/>
      <c r="C193" s="423"/>
      <c r="D193" s="409"/>
      <c r="E193" s="444"/>
      <c r="F193" s="409"/>
      <c r="G193" s="446"/>
      <c r="H193" s="25"/>
      <c r="I193" s="61"/>
      <c r="J193" s="61"/>
      <c r="K193" s="429"/>
      <c r="L193" s="409"/>
      <c r="M193" s="409"/>
      <c r="N193" s="437"/>
      <c r="O193" s="436"/>
      <c r="P193" s="448"/>
      <c r="Q193" s="437"/>
      <c r="R193" s="437"/>
      <c r="S193" s="20" t="s">
        <v>136</v>
      </c>
      <c r="T193" s="580"/>
      <c r="U193" s="429"/>
      <c r="V193" s="572"/>
      <c r="W193" s="429"/>
      <c r="X193" s="61"/>
      <c r="Y193" s="5" t="s">
        <v>144</v>
      </c>
      <c r="Z193" s="178">
        <v>42325</v>
      </c>
      <c r="AA193" s="208">
        <v>11742</v>
      </c>
      <c r="AB193" s="20" t="s">
        <v>1531</v>
      </c>
      <c r="AC193" s="178">
        <v>42355</v>
      </c>
      <c r="AD193" s="178">
        <v>42565</v>
      </c>
      <c r="AE193" s="193"/>
      <c r="AF193" s="193"/>
      <c r="AG193" s="193"/>
      <c r="AH193" s="193"/>
      <c r="AI193" s="194"/>
      <c r="AJ193" s="194"/>
      <c r="AK193" s="194"/>
      <c r="AL193" s="528"/>
      <c r="AM193" s="498"/>
      <c r="AN193" s="498"/>
      <c r="AO193" s="528"/>
      <c r="AP193" s="411"/>
      <c r="AQ193" s="411"/>
      <c r="AR193" s="411"/>
      <c r="AS193" s="411"/>
      <c r="AT193" s="411"/>
      <c r="AU193" s="411"/>
      <c r="AV193" s="411"/>
      <c r="AW193" s="411"/>
      <c r="AX193" s="411"/>
      <c r="AY193" s="411"/>
      <c r="AZ193" s="411"/>
      <c r="BA193" s="411"/>
      <c r="BB193" s="411"/>
      <c r="BC193" s="411"/>
      <c r="BD193" s="59">
        <v>42325</v>
      </c>
      <c r="BE193" s="59">
        <v>42505</v>
      </c>
      <c r="BF193" s="20"/>
      <c r="BG193" s="20"/>
      <c r="BH193" s="182"/>
      <c r="BI193" s="411"/>
      <c r="BJ193" s="411"/>
      <c r="BK193" s="411"/>
      <c r="BL193" s="205"/>
      <c r="BM193" s="205"/>
    </row>
    <row r="194" spans="1:65" ht="102" x14ac:dyDescent="0.2">
      <c r="A194" s="401"/>
      <c r="B194" s="421"/>
      <c r="C194" s="423"/>
      <c r="D194" s="409"/>
      <c r="E194" s="444"/>
      <c r="F194" s="409"/>
      <c r="G194" s="446"/>
      <c r="H194" s="25"/>
      <c r="I194" s="61"/>
      <c r="J194" s="61"/>
      <c r="K194" s="429"/>
      <c r="L194" s="409"/>
      <c r="M194" s="409"/>
      <c r="N194" s="437"/>
      <c r="O194" s="436"/>
      <c r="P194" s="448"/>
      <c r="Q194" s="437"/>
      <c r="R194" s="437"/>
      <c r="S194" s="20"/>
      <c r="T194" s="580"/>
      <c r="U194" s="429"/>
      <c r="V194" s="572"/>
      <c r="W194" s="429"/>
      <c r="X194" s="61"/>
      <c r="Y194" s="5" t="s">
        <v>193</v>
      </c>
      <c r="Z194" s="178">
        <v>42501</v>
      </c>
      <c r="AA194" s="208">
        <v>11804</v>
      </c>
      <c r="AB194" s="20" t="s">
        <v>1532</v>
      </c>
      <c r="AC194" s="178">
        <v>42565</v>
      </c>
      <c r="AD194" s="178">
        <v>42733</v>
      </c>
      <c r="AE194" s="193"/>
      <c r="AF194" s="193"/>
      <c r="AG194" s="193"/>
      <c r="AH194" s="193"/>
      <c r="AI194" s="194"/>
      <c r="AJ194" s="194"/>
      <c r="AK194" s="194"/>
      <c r="AL194" s="528"/>
      <c r="AM194" s="498"/>
      <c r="AN194" s="498"/>
      <c r="AO194" s="528"/>
      <c r="AP194" s="412"/>
      <c r="AQ194" s="412"/>
      <c r="AR194" s="412"/>
      <c r="AS194" s="412"/>
      <c r="AT194" s="412"/>
      <c r="AU194" s="412"/>
      <c r="AV194" s="412"/>
      <c r="AW194" s="412"/>
      <c r="AX194" s="412"/>
      <c r="AY194" s="412"/>
      <c r="AZ194" s="411"/>
      <c r="BA194" s="411"/>
      <c r="BB194" s="411"/>
      <c r="BC194" s="411"/>
      <c r="BD194" s="59">
        <v>42505</v>
      </c>
      <c r="BE194" s="59">
        <v>42685</v>
      </c>
      <c r="BF194" s="20"/>
      <c r="BG194" s="20"/>
      <c r="BH194" s="182"/>
      <c r="BI194" s="412"/>
      <c r="BJ194" s="412"/>
      <c r="BK194" s="412"/>
      <c r="BL194" s="205"/>
      <c r="BM194" s="205"/>
    </row>
    <row r="195" spans="1:65" ht="76.5" x14ac:dyDescent="0.2">
      <c r="A195" s="401"/>
      <c r="B195" s="421"/>
      <c r="C195" s="423"/>
      <c r="D195" s="409"/>
      <c r="E195" s="444"/>
      <c r="F195" s="409"/>
      <c r="G195" s="409"/>
      <c r="H195" s="25"/>
      <c r="I195" s="61"/>
      <c r="J195" s="61"/>
      <c r="K195" s="429"/>
      <c r="L195" s="409"/>
      <c r="M195" s="409"/>
      <c r="N195" s="429"/>
      <c r="O195" s="429"/>
      <c r="P195" s="429"/>
      <c r="Q195" s="429"/>
      <c r="R195" s="429"/>
      <c r="S195" s="61"/>
      <c r="T195" s="580"/>
      <c r="U195" s="429"/>
      <c r="V195" s="429"/>
      <c r="W195" s="429"/>
      <c r="X195" s="61"/>
      <c r="Y195" s="5" t="s">
        <v>194</v>
      </c>
      <c r="Z195" s="178">
        <v>42682</v>
      </c>
      <c r="AA195" s="192">
        <v>12043</v>
      </c>
      <c r="AB195" s="20" t="s">
        <v>1533</v>
      </c>
      <c r="AC195" s="178">
        <v>42733</v>
      </c>
      <c r="AD195" s="178">
        <v>42913</v>
      </c>
      <c r="AE195" s="63"/>
      <c r="AF195" s="193"/>
      <c r="AG195" s="195"/>
      <c r="AH195" s="198"/>
      <c r="AI195" s="197"/>
      <c r="AJ195" s="197"/>
      <c r="AK195" s="197"/>
      <c r="AL195" s="528"/>
      <c r="AM195" s="498"/>
      <c r="AN195" s="498"/>
      <c r="AO195" s="528"/>
      <c r="AP195" s="205"/>
      <c r="AQ195" s="205"/>
      <c r="AR195" s="205"/>
      <c r="AS195" s="205"/>
      <c r="AT195" s="205"/>
      <c r="AU195" s="205"/>
      <c r="AV195" s="205"/>
      <c r="AW195" s="205"/>
      <c r="AX195" s="205"/>
      <c r="AY195" s="205"/>
      <c r="AZ195" s="411"/>
      <c r="BA195" s="411"/>
      <c r="BB195" s="411"/>
      <c r="BC195" s="411"/>
      <c r="BD195" s="209">
        <v>42685</v>
      </c>
      <c r="BE195" s="209">
        <v>42865</v>
      </c>
      <c r="BF195" s="205"/>
      <c r="BG195" s="205"/>
      <c r="BH195" s="205"/>
      <c r="BI195" s="205"/>
      <c r="BJ195" s="205"/>
      <c r="BK195" s="205"/>
      <c r="BL195" s="205"/>
      <c r="BM195" s="205"/>
    </row>
    <row r="196" spans="1:65" ht="89.25" x14ac:dyDescent="0.2">
      <c r="A196" s="401"/>
      <c r="B196" s="421"/>
      <c r="C196" s="423"/>
      <c r="D196" s="409"/>
      <c r="E196" s="444"/>
      <c r="F196" s="409"/>
      <c r="G196" s="409"/>
      <c r="H196" s="25"/>
      <c r="I196" s="61"/>
      <c r="J196" s="61"/>
      <c r="K196" s="429"/>
      <c r="L196" s="409"/>
      <c r="M196" s="409"/>
      <c r="N196" s="429"/>
      <c r="O196" s="429"/>
      <c r="P196" s="429"/>
      <c r="Q196" s="429"/>
      <c r="R196" s="429"/>
      <c r="S196" s="61"/>
      <c r="T196" s="580"/>
      <c r="U196" s="429"/>
      <c r="V196" s="429"/>
      <c r="W196" s="429"/>
      <c r="X196" s="61"/>
      <c r="Y196" s="5" t="s">
        <v>195</v>
      </c>
      <c r="Z196" s="178">
        <v>42867</v>
      </c>
      <c r="AA196" s="192">
        <v>12053</v>
      </c>
      <c r="AB196" s="20" t="s">
        <v>1587</v>
      </c>
      <c r="AC196" s="178"/>
      <c r="AD196" s="178"/>
      <c r="AE196" s="63"/>
      <c r="AF196" s="193"/>
      <c r="AG196" s="195"/>
      <c r="AH196" s="198">
        <v>2095.64</v>
      </c>
      <c r="AI196" s="197"/>
      <c r="AJ196" s="197"/>
      <c r="AK196" s="197"/>
      <c r="AL196" s="528"/>
      <c r="AM196" s="498"/>
      <c r="AN196" s="498"/>
      <c r="AO196" s="528"/>
      <c r="AP196" s="205"/>
      <c r="AQ196" s="205"/>
      <c r="AR196" s="205"/>
      <c r="AS196" s="205"/>
      <c r="AT196" s="205"/>
      <c r="AU196" s="205"/>
      <c r="AV196" s="205"/>
      <c r="AW196" s="205"/>
      <c r="AX196" s="205"/>
      <c r="AY196" s="205"/>
      <c r="AZ196" s="411"/>
      <c r="BA196" s="411"/>
      <c r="BB196" s="411"/>
      <c r="BC196" s="411"/>
      <c r="BD196" s="209"/>
      <c r="BE196" s="209"/>
      <c r="BF196" s="205"/>
      <c r="BG196" s="205"/>
      <c r="BH196" s="205"/>
      <c r="BI196" s="205"/>
      <c r="BJ196" s="205"/>
      <c r="BK196" s="205"/>
      <c r="BL196" s="205"/>
      <c r="BM196" s="205"/>
    </row>
    <row r="197" spans="1:65" ht="89.25" x14ac:dyDescent="0.2">
      <c r="A197" s="401"/>
      <c r="B197" s="421"/>
      <c r="C197" s="423"/>
      <c r="D197" s="409"/>
      <c r="E197" s="444"/>
      <c r="F197" s="409"/>
      <c r="G197" s="409"/>
      <c r="H197" s="25"/>
      <c r="I197" s="61"/>
      <c r="J197" s="61"/>
      <c r="K197" s="429"/>
      <c r="L197" s="409"/>
      <c r="M197" s="409"/>
      <c r="N197" s="429"/>
      <c r="O197" s="429"/>
      <c r="P197" s="429"/>
      <c r="Q197" s="429"/>
      <c r="R197" s="429"/>
      <c r="S197" s="61"/>
      <c r="T197" s="581"/>
      <c r="U197" s="428"/>
      <c r="V197" s="428"/>
      <c r="W197" s="428"/>
      <c r="X197" s="62" t="s">
        <v>498</v>
      </c>
      <c r="Y197" s="5" t="s">
        <v>118</v>
      </c>
      <c r="Z197" s="178">
        <v>42873</v>
      </c>
      <c r="AA197" s="192">
        <v>12056</v>
      </c>
      <c r="AB197" s="20" t="s">
        <v>1599</v>
      </c>
      <c r="AC197" s="178"/>
      <c r="AD197" s="178"/>
      <c r="AE197" s="63">
        <v>2.74</v>
      </c>
      <c r="AF197" s="193"/>
      <c r="AG197" s="195">
        <v>24626.12</v>
      </c>
      <c r="AH197" s="198"/>
      <c r="AI197" s="197"/>
      <c r="AJ197" s="197"/>
      <c r="AK197" s="197"/>
      <c r="AL197" s="528"/>
      <c r="AM197" s="498"/>
      <c r="AN197" s="498"/>
      <c r="AO197" s="528"/>
      <c r="AP197" s="205"/>
      <c r="AQ197" s="205"/>
      <c r="AR197" s="205"/>
      <c r="AS197" s="205"/>
      <c r="AT197" s="205"/>
      <c r="AU197" s="205"/>
      <c r="AV197" s="205"/>
      <c r="AW197" s="205"/>
      <c r="AX197" s="205"/>
      <c r="AY197" s="205"/>
      <c r="AZ197" s="411"/>
      <c r="BA197" s="411"/>
      <c r="BB197" s="411"/>
      <c r="BC197" s="411"/>
      <c r="BD197" s="209"/>
      <c r="BE197" s="209"/>
      <c r="BF197" s="205"/>
      <c r="BG197" s="205"/>
      <c r="BH197" s="205"/>
      <c r="BI197" s="205"/>
      <c r="BJ197" s="205"/>
      <c r="BK197" s="205"/>
      <c r="BL197" s="205"/>
      <c r="BM197" s="205"/>
    </row>
    <row r="198" spans="1:65" ht="127.5" x14ac:dyDescent="0.2">
      <c r="A198" s="402"/>
      <c r="B198" s="419"/>
      <c r="C198" s="424"/>
      <c r="D198" s="406"/>
      <c r="E198" s="445"/>
      <c r="F198" s="406"/>
      <c r="G198" s="406"/>
      <c r="H198" s="25"/>
      <c r="I198" s="61"/>
      <c r="J198" s="61"/>
      <c r="K198" s="428"/>
      <c r="L198" s="406"/>
      <c r="M198" s="406"/>
      <c r="N198" s="428"/>
      <c r="O198" s="428"/>
      <c r="P198" s="428"/>
      <c r="Q198" s="428"/>
      <c r="R198" s="428"/>
      <c r="S198" s="61"/>
      <c r="T198" s="61"/>
      <c r="U198" s="61"/>
      <c r="V198" s="61"/>
      <c r="W198" s="61"/>
      <c r="X198" s="62" t="s">
        <v>498</v>
      </c>
      <c r="Y198" s="5" t="s">
        <v>121</v>
      </c>
      <c r="Z198" s="178">
        <v>42879</v>
      </c>
      <c r="AA198" s="192">
        <v>12061</v>
      </c>
      <c r="AB198" s="20" t="s">
        <v>1607</v>
      </c>
      <c r="AC198" s="178"/>
      <c r="AD198" s="178"/>
      <c r="AE198" s="63"/>
      <c r="AF198" s="193"/>
      <c r="AG198" s="195">
        <v>53996.25</v>
      </c>
      <c r="AH198" s="198"/>
      <c r="AI198" s="197"/>
      <c r="AJ198" s="197"/>
      <c r="AK198" s="197"/>
      <c r="AL198" s="488"/>
      <c r="AM198" s="499"/>
      <c r="AN198" s="499"/>
      <c r="AO198" s="488"/>
      <c r="AP198" s="205"/>
      <c r="AQ198" s="205"/>
      <c r="AR198" s="205"/>
      <c r="AS198" s="205"/>
      <c r="AT198" s="205"/>
      <c r="AU198" s="205"/>
      <c r="AV198" s="205"/>
      <c r="AW198" s="205"/>
      <c r="AX198" s="205"/>
      <c r="AY198" s="205"/>
      <c r="AZ198" s="412"/>
      <c r="BA198" s="412"/>
      <c r="BB198" s="412"/>
      <c r="BC198" s="412"/>
      <c r="BD198" s="209"/>
      <c r="BE198" s="209"/>
      <c r="BF198" s="205"/>
      <c r="BG198" s="205"/>
      <c r="BH198" s="205"/>
      <c r="BI198" s="205"/>
      <c r="BJ198" s="205"/>
      <c r="BK198" s="205"/>
      <c r="BL198" s="205"/>
      <c r="BM198" s="205"/>
    </row>
    <row r="199" spans="1:65" ht="38.25" x14ac:dyDescent="0.2">
      <c r="A199" s="400">
        <v>35</v>
      </c>
      <c r="B199" s="418" t="s">
        <v>510</v>
      </c>
      <c r="C199" s="422" t="s">
        <v>454</v>
      </c>
      <c r="D199" s="405" t="s">
        <v>130</v>
      </c>
      <c r="E199" s="410" t="s">
        <v>126</v>
      </c>
      <c r="F199" s="405" t="s">
        <v>511</v>
      </c>
      <c r="G199" s="407" t="s">
        <v>833</v>
      </c>
      <c r="H199" s="441" t="s">
        <v>1209</v>
      </c>
      <c r="I199" s="431">
        <v>42143</v>
      </c>
      <c r="J199" s="431">
        <v>42509</v>
      </c>
      <c r="K199" s="427" t="s">
        <v>505</v>
      </c>
      <c r="L199" s="405" t="s">
        <v>463</v>
      </c>
      <c r="M199" s="405" t="s">
        <v>487</v>
      </c>
      <c r="N199" s="431">
        <v>42156</v>
      </c>
      <c r="O199" s="435">
        <v>504357.12</v>
      </c>
      <c r="P199" s="438" t="s">
        <v>789</v>
      </c>
      <c r="Q199" s="431">
        <v>42156</v>
      </c>
      <c r="R199" s="431">
        <v>42522</v>
      </c>
      <c r="S199" s="427" t="s">
        <v>507</v>
      </c>
      <c r="T199" s="427"/>
      <c r="U199" s="427"/>
      <c r="V199" s="427"/>
      <c r="W199" s="427" t="s">
        <v>201</v>
      </c>
      <c r="X199" s="20" t="s">
        <v>1470</v>
      </c>
      <c r="Y199" s="2" t="s">
        <v>138</v>
      </c>
      <c r="Z199" s="59">
        <v>42522</v>
      </c>
      <c r="AA199" s="207">
        <v>11826</v>
      </c>
      <c r="AB199" s="20" t="s">
        <v>925</v>
      </c>
      <c r="AC199" s="59">
        <v>42522</v>
      </c>
      <c r="AD199" s="59">
        <v>42887</v>
      </c>
      <c r="AE199" s="1"/>
      <c r="AF199" s="20"/>
      <c r="AG199" s="65">
        <v>504357.12</v>
      </c>
      <c r="AH199" s="138"/>
      <c r="AI199" s="139"/>
      <c r="AJ199" s="139"/>
      <c r="AK199" s="139"/>
      <c r="AL199" s="487">
        <f>O199-AH199+AG199-AH200+AG200-AH201+AG201</f>
        <v>1619507.16</v>
      </c>
      <c r="AM199" s="500">
        <f>292633.23+42029.76+42029.76+42029.76+42029.76+42029.76+42029.76+42029.76+42029.76+42029.76+42029.76+42029.76+42029.76</f>
        <v>796990.35000000009</v>
      </c>
      <c r="AN199" s="529">
        <f>45699.96+45699.96+45699.96+45699.96+45699.96+45699.96+45699.96+45466.17+45699.96+45699.96+45699.96</f>
        <v>502465.77000000008</v>
      </c>
      <c r="AO199" s="487">
        <f>AM199+AN199</f>
        <v>1299456.1200000001</v>
      </c>
      <c r="AP199" s="410"/>
      <c r="AQ199" s="410"/>
      <c r="AR199" s="410"/>
      <c r="AS199" s="410"/>
      <c r="AT199" s="410"/>
      <c r="AU199" s="410"/>
      <c r="AV199" s="410"/>
      <c r="AW199" s="410"/>
      <c r="AX199" s="410"/>
      <c r="AY199" s="410"/>
      <c r="AZ199" s="410"/>
      <c r="BA199" s="410"/>
      <c r="BB199" s="410"/>
      <c r="BC199" s="410"/>
      <c r="BD199" s="410"/>
      <c r="BE199" s="410"/>
      <c r="BF199" s="410"/>
      <c r="BG199" s="410"/>
      <c r="BH199" s="410"/>
      <c r="BI199" s="410"/>
      <c r="BJ199" s="410"/>
      <c r="BK199" s="410"/>
      <c r="BL199" s="410"/>
      <c r="BM199" s="410"/>
    </row>
    <row r="200" spans="1:65" ht="114.75" x14ac:dyDescent="0.2">
      <c r="A200" s="401"/>
      <c r="B200" s="421"/>
      <c r="C200" s="423"/>
      <c r="D200" s="409"/>
      <c r="E200" s="411"/>
      <c r="F200" s="409"/>
      <c r="G200" s="409"/>
      <c r="H200" s="657"/>
      <c r="I200" s="437"/>
      <c r="J200" s="437"/>
      <c r="K200" s="429"/>
      <c r="L200" s="409"/>
      <c r="M200" s="409"/>
      <c r="N200" s="429"/>
      <c r="O200" s="429"/>
      <c r="P200" s="429"/>
      <c r="Q200" s="429"/>
      <c r="R200" s="429"/>
      <c r="S200" s="429"/>
      <c r="T200" s="429"/>
      <c r="U200" s="429"/>
      <c r="V200" s="429"/>
      <c r="W200" s="429"/>
      <c r="X200" s="20" t="s">
        <v>498</v>
      </c>
      <c r="Y200" s="2" t="s">
        <v>144</v>
      </c>
      <c r="Z200" s="59">
        <v>42719</v>
      </c>
      <c r="AA200" s="207">
        <v>11965</v>
      </c>
      <c r="AB200" s="20" t="s">
        <v>1078</v>
      </c>
      <c r="AC200" s="59"/>
      <c r="AD200" s="59"/>
      <c r="AE200" s="1"/>
      <c r="AF200" s="20"/>
      <c r="AG200" s="65">
        <v>62393.4</v>
      </c>
      <c r="AH200" s="138"/>
      <c r="AI200" s="146"/>
      <c r="AJ200" s="146"/>
      <c r="AK200" s="146"/>
      <c r="AL200" s="528"/>
      <c r="AM200" s="532"/>
      <c r="AN200" s="530"/>
      <c r="AO200" s="528"/>
      <c r="AP200" s="411"/>
      <c r="AQ200" s="411"/>
      <c r="AR200" s="411"/>
      <c r="AS200" s="411"/>
      <c r="AT200" s="411"/>
      <c r="AU200" s="411"/>
      <c r="AV200" s="411"/>
      <c r="AW200" s="411"/>
      <c r="AX200" s="411"/>
      <c r="AY200" s="411"/>
      <c r="AZ200" s="411"/>
      <c r="BA200" s="411"/>
      <c r="BB200" s="411"/>
      <c r="BC200" s="411"/>
      <c r="BD200" s="411"/>
      <c r="BE200" s="411"/>
      <c r="BF200" s="411"/>
      <c r="BG200" s="411"/>
      <c r="BH200" s="411"/>
      <c r="BI200" s="411"/>
      <c r="BJ200" s="411"/>
      <c r="BK200" s="411"/>
      <c r="BL200" s="411"/>
      <c r="BM200" s="411"/>
    </row>
    <row r="201" spans="1:65" ht="38.25" x14ac:dyDescent="0.2">
      <c r="A201" s="402"/>
      <c r="B201" s="419"/>
      <c r="C201" s="424"/>
      <c r="D201" s="406"/>
      <c r="E201" s="412"/>
      <c r="F201" s="406"/>
      <c r="G201" s="406"/>
      <c r="H201" s="428"/>
      <c r="I201" s="428"/>
      <c r="J201" s="428"/>
      <c r="K201" s="428"/>
      <c r="L201" s="406"/>
      <c r="M201" s="406"/>
      <c r="N201" s="428"/>
      <c r="O201" s="428"/>
      <c r="P201" s="428"/>
      <c r="Q201" s="428"/>
      <c r="R201" s="428"/>
      <c r="S201" s="428"/>
      <c r="T201" s="428"/>
      <c r="U201" s="428"/>
      <c r="V201" s="428"/>
      <c r="W201" s="428"/>
      <c r="X201" s="20" t="s">
        <v>1470</v>
      </c>
      <c r="Y201" s="2" t="s">
        <v>193</v>
      </c>
      <c r="Z201" s="59">
        <v>42887</v>
      </c>
      <c r="AA201" s="207">
        <v>12069</v>
      </c>
      <c r="AB201" s="20" t="s">
        <v>1625</v>
      </c>
      <c r="AC201" s="59">
        <v>42887</v>
      </c>
      <c r="AD201" s="59">
        <v>43252</v>
      </c>
      <c r="AE201" s="1"/>
      <c r="AF201" s="20"/>
      <c r="AG201" s="65">
        <v>548399.52</v>
      </c>
      <c r="AH201" s="138"/>
      <c r="AI201" s="144"/>
      <c r="AJ201" s="144"/>
      <c r="AK201" s="144"/>
      <c r="AL201" s="488"/>
      <c r="AM201" s="501"/>
      <c r="AN201" s="531"/>
      <c r="AO201" s="488"/>
      <c r="AP201" s="412"/>
      <c r="AQ201" s="412"/>
      <c r="AR201" s="412"/>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row>
    <row r="202" spans="1:65" ht="89.25" x14ac:dyDescent="0.2">
      <c r="A202" s="400">
        <v>36</v>
      </c>
      <c r="B202" s="418" t="s">
        <v>486</v>
      </c>
      <c r="C202" s="422" t="s">
        <v>210</v>
      </c>
      <c r="D202" s="405" t="s">
        <v>430</v>
      </c>
      <c r="E202" s="410" t="s">
        <v>126</v>
      </c>
      <c r="F202" s="405" t="s">
        <v>488</v>
      </c>
      <c r="G202" s="407" t="s">
        <v>834</v>
      </c>
      <c r="H202" s="441"/>
      <c r="I202" s="441"/>
      <c r="J202" s="441"/>
      <c r="K202" s="427" t="s">
        <v>506</v>
      </c>
      <c r="L202" s="405" t="s">
        <v>463</v>
      </c>
      <c r="M202" s="405" t="s">
        <v>487</v>
      </c>
      <c r="N202" s="431">
        <v>42156</v>
      </c>
      <c r="O202" s="435">
        <v>298741.2</v>
      </c>
      <c r="P202" s="438" t="s">
        <v>789</v>
      </c>
      <c r="Q202" s="431">
        <v>42156</v>
      </c>
      <c r="R202" s="431">
        <v>42522</v>
      </c>
      <c r="S202" s="427" t="s">
        <v>136</v>
      </c>
      <c r="T202" s="427"/>
      <c r="U202" s="427"/>
      <c r="V202" s="435"/>
      <c r="W202" s="427" t="s">
        <v>137</v>
      </c>
      <c r="X202" s="62" t="s">
        <v>498</v>
      </c>
      <c r="Y202" s="2" t="s">
        <v>138</v>
      </c>
      <c r="Z202" s="59">
        <v>42384</v>
      </c>
      <c r="AA202" s="207">
        <v>11729</v>
      </c>
      <c r="AB202" s="62" t="s">
        <v>705</v>
      </c>
      <c r="AC202" s="20"/>
      <c r="AD202" s="20"/>
      <c r="AE202" s="1">
        <v>20</v>
      </c>
      <c r="AF202" s="20"/>
      <c r="AG202" s="65">
        <v>22737.57</v>
      </c>
      <c r="AH202" s="138"/>
      <c r="AI202" s="139"/>
      <c r="AJ202" s="139"/>
      <c r="AK202" s="139"/>
      <c r="AL202" s="487">
        <f>O202-AH202+AG202-AH203+AG203-AH204+AG204-AH205+AG205</f>
        <v>1139471.6099999999</v>
      </c>
      <c r="AM202" s="500">
        <f>7468.53+6887.56+5974.82+34604.19+19335.11+42321.67+23235.39+26637.57+30454.98+29874.12+29874.12+29874.12+29874.12+27384.61+29874.12+29874.12+29874.12+29874.12</f>
        <v>463297.39</v>
      </c>
      <c r="AN202" s="529">
        <f>33357.36+33357.36+33357.36+33357.36+33357.36+33357.36+27797.8+33357.36+33357.36+33357.36+33357.36</f>
        <v>361371.39999999991</v>
      </c>
      <c r="AO202" s="487">
        <f>AM202+AN202</f>
        <v>824668.78999999992</v>
      </c>
      <c r="AP202" s="410"/>
      <c r="AQ202" s="410"/>
      <c r="AR202" s="410"/>
      <c r="AS202" s="410"/>
      <c r="AT202" s="410"/>
      <c r="AU202" s="410"/>
      <c r="AV202" s="410"/>
      <c r="AW202" s="410"/>
      <c r="AX202" s="410"/>
      <c r="AY202" s="410"/>
      <c r="AZ202" s="410"/>
      <c r="BA202" s="410"/>
      <c r="BB202" s="410"/>
      <c r="BC202" s="410"/>
      <c r="BD202" s="410"/>
      <c r="BE202" s="410"/>
      <c r="BF202" s="410"/>
      <c r="BG202" s="410"/>
      <c r="BH202" s="410"/>
      <c r="BI202" s="410"/>
      <c r="BJ202" s="410"/>
      <c r="BK202" s="410"/>
      <c r="BL202" s="410"/>
      <c r="BM202" s="410"/>
    </row>
    <row r="203" spans="1:65" ht="51" x14ac:dyDescent="0.2">
      <c r="A203" s="401"/>
      <c r="B203" s="421"/>
      <c r="C203" s="423"/>
      <c r="D203" s="409"/>
      <c r="E203" s="411"/>
      <c r="F203" s="409"/>
      <c r="G203" s="446"/>
      <c r="H203" s="429"/>
      <c r="I203" s="429"/>
      <c r="J203" s="429"/>
      <c r="K203" s="429"/>
      <c r="L203" s="409"/>
      <c r="M203" s="409"/>
      <c r="N203" s="437"/>
      <c r="O203" s="436"/>
      <c r="P203" s="448"/>
      <c r="Q203" s="437"/>
      <c r="R203" s="437"/>
      <c r="S203" s="429"/>
      <c r="T203" s="429"/>
      <c r="U203" s="429"/>
      <c r="V203" s="436"/>
      <c r="W203" s="429"/>
      <c r="X203" s="62" t="s">
        <v>1470</v>
      </c>
      <c r="Y203" s="2" t="s">
        <v>144</v>
      </c>
      <c r="Z203" s="59">
        <v>42522</v>
      </c>
      <c r="AA203" s="207">
        <v>11826</v>
      </c>
      <c r="AB203" s="62" t="s">
        <v>926</v>
      </c>
      <c r="AC203" s="59">
        <v>42522</v>
      </c>
      <c r="AD203" s="59">
        <v>42887</v>
      </c>
      <c r="AE203" s="1"/>
      <c r="AF203" s="20"/>
      <c r="AG203" s="65">
        <v>358489.44</v>
      </c>
      <c r="AH203" s="138"/>
      <c r="AI203" s="144"/>
      <c r="AJ203" s="144"/>
      <c r="AK203" s="144"/>
      <c r="AL203" s="528"/>
      <c r="AM203" s="532"/>
      <c r="AN203" s="530"/>
      <c r="AO203" s="528"/>
      <c r="AP203" s="411"/>
      <c r="AQ203" s="411"/>
      <c r="AR203" s="411"/>
      <c r="AS203" s="411"/>
      <c r="AT203" s="411"/>
      <c r="AU203" s="411"/>
      <c r="AV203" s="411"/>
      <c r="AW203" s="411"/>
      <c r="AX203" s="411"/>
      <c r="AY203" s="411"/>
      <c r="AZ203" s="411"/>
      <c r="BA203" s="411"/>
      <c r="BB203" s="411"/>
      <c r="BC203" s="411"/>
      <c r="BD203" s="411"/>
      <c r="BE203" s="411"/>
      <c r="BF203" s="411"/>
      <c r="BG203" s="411"/>
      <c r="BH203" s="411"/>
      <c r="BI203" s="411"/>
      <c r="BJ203" s="411"/>
      <c r="BK203" s="411"/>
      <c r="BL203" s="411"/>
      <c r="BM203" s="411"/>
    </row>
    <row r="204" spans="1:65" ht="140.25" x14ac:dyDescent="0.2">
      <c r="A204" s="401"/>
      <c r="B204" s="421"/>
      <c r="C204" s="423"/>
      <c r="D204" s="409"/>
      <c r="E204" s="411"/>
      <c r="F204" s="409"/>
      <c r="G204" s="409"/>
      <c r="H204" s="429"/>
      <c r="I204" s="429"/>
      <c r="J204" s="429"/>
      <c r="K204" s="429"/>
      <c r="L204" s="409"/>
      <c r="M204" s="409"/>
      <c r="N204" s="429"/>
      <c r="O204" s="429"/>
      <c r="P204" s="429"/>
      <c r="Q204" s="429"/>
      <c r="R204" s="429"/>
      <c r="S204" s="429"/>
      <c r="T204" s="429"/>
      <c r="U204" s="429"/>
      <c r="V204" s="429"/>
      <c r="W204" s="429"/>
      <c r="X204" s="62" t="s">
        <v>498</v>
      </c>
      <c r="Y204" s="2" t="s">
        <v>193</v>
      </c>
      <c r="Z204" s="59">
        <v>42719</v>
      </c>
      <c r="AA204" s="207">
        <v>11965</v>
      </c>
      <c r="AB204" s="62" t="s">
        <v>1081</v>
      </c>
      <c r="AC204" s="59"/>
      <c r="AD204" s="59"/>
      <c r="AE204" s="1"/>
      <c r="AF204" s="20"/>
      <c r="AG204" s="65">
        <v>59215.08</v>
      </c>
      <c r="AH204" s="138"/>
      <c r="AI204" s="146"/>
      <c r="AJ204" s="146"/>
      <c r="AK204" s="146"/>
      <c r="AL204" s="528"/>
      <c r="AM204" s="532"/>
      <c r="AN204" s="530"/>
      <c r="AO204" s="528"/>
      <c r="AP204" s="411"/>
      <c r="AQ204" s="411"/>
      <c r="AR204" s="411"/>
      <c r="AS204" s="411"/>
      <c r="AT204" s="411"/>
      <c r="AU204" s="411"/>
      <c r="AV204" s="411"/>
      <c r="AW204" s="411"/>
      <c r="AX204" s="411"/>
      <c r="AY204" s="411"/>
      <c r="AZ204" s="411"/>
      <c r="BA204" s="411"/>
      <c r="BB204" s="411"/>
      <c r="BC204" s="411"/>
      <c r="BD204" s="411"/>
      <c r="BE204" s="411"/>
      <c r="BF204" s="411"/>
      <c r="BG204" s="411"/>
      <c r="BH204" s="411"/>
      <c r="BI204" s="411"/>
      <c r="BJ204" s="411"/>
      <c r="BK204" s="411"/>
      <c r="BL204" s="411"/>
      <c r="BM204" s="411"/>
    </row>
    <row r="205" spans="1:65" ht="38.25" x14ac:dyDescent="0.2">
      <c r="A205" s="402"/>
      <c r="B205" s="419"/>
      <c r="C205" s="424"/>
      <c r="D205" s="406"/>
      <c r="E205" s="412"/>
      <c r="F205" s="406"/>
      <c r="G205" s="406"/>
      <c r="H205" s="428"/>
      <c r="I205" s="428"/>
      <c r="J205" s="428"/>
      <c r="K205" s="428"/>
      <c r="L205" s="406"/>
      <c r="M205" s="406"/>
      <c r="N205" s="428"/>
      <c r="O205" s="428"/>
      <c r="P205" s="428"/>
      <c r="Q205" s="428"/>
      <c r="R205" s="428"/>
      <c r="S205" s="428"/>
      <c r="T205" s="428"/>
      <c r="U205" s="428"/>
      <c r="V205" s="428"/>
      <c r="W205" s="428"/>
      <c r="X205" s="61" t="s">
        <v>1470</v>
      </c>
      <c r="Y205" s="24" t="s">
        <v>194</v>
      </c>
      <c r="Z205" s="176">
        <v>42887</v>
      </c>
      <c r="AA205" s="210">
        <v>12069</v>
      </c>
      <c r="AB205" s="60" t="s">
        <v>1625</v>
      </c>
      <c r="AC205" s="59">
        <v>42887</v>
      </c>
      <c r="AD205" s="59">
        <v>43252</v>
      </c>
      <c r="AE205" s="169"/>
      <c r="AF205" s="123"/>
      <c r="AG205" s="170">
        <v>400288.32</v>
      </c>
      <c r="AH205" s="139"/>
      <c r="AI205" s="144"/>
      <c r="AJ205" s="144"/>
      <c r="AK205" s="144"/>
      <c r="AL205" s="488"/>
      <c r="AM205" s="501"/>
      <c r="AN205" s="531"/>
      <c r="AO205" s="488"/>
      <c r="AP205" s="412"/>
      <c r="AQ205" s="412"/>
      <c r="AR205" s="412"/>
      <c r="AS205" s="412"/>
      <c r="AT205" s="412"/>
      <c r="AU205" s="412"/>
      <c r="AV205" s="412"/>
      <c r="AW205" s="412"/>
      <c r="AX205" s="412"/>
      <c r="AY205" s="412"/>
      <c r="AZ205" s="412"/>
      <c r="BA205" s="412"/>
      <c r="BB205" s="412"/>
      <c r="BC205" s="412"/>
      <c r="BD205" s="412"/>
      <c r="BE205" s="412"/>
      <c r="BF205" s="412"/>
      <c r="BG205" s="412"/>
      <c r="BH205" s="412"/>
      <c r="BI205" s="412"/>
      <c r="BJ205" s="412"/>
      <c r="BK205" s="412"/>
      <c r="BL205" s="412"/>
      <c r="BM205" s="412"/>
    </row>
    <row r="206" spans="1:65" ht="38.25" x14ac:dyDescent="0.2">
      <c r="A206" s="400">
        <v>37</v>
      </c>
      <c r="B206" s="418" t="s">
        <v>510</v>
      </c>
      <c r="C206" s="422" t="s">
        <v>454</v>
      </c>
      <c r="D206" s="405" t="s">
        <v>130</v>
      </c>
      <c r="E206" s="410" t="s">
        <v>126</v>
      </c>
      <c r="F206" s="405" t="s">
        <v>511</v>
      </c>
      <c r="G206" s="407" t="s">
        <v>833</v>
      </c>
      <c r="H206" s="441" t="s">
        <v>1209</v>
      </c>
      <c r="I206" s="431">
        <v>42143</v>
      </c>
      <c r="J206" s="431">
        <v>42509</v>
      </c>
      <c r="K206" s="427" t="s">
        <v>528</v>
      </c>
      <c r="L206" s="405" t="s">
        <v>463</v>
      </c>
      <c r="M206" s="405" t="s">
        <v>487</v>
      </c>
      <c r="N206" s="431">
        <v>42184</v>
      </c>
      <c r="O206" s="435">
        <v>39248.639999999999</v>
      </c>
      <c r="P206" s="438" t="s">
        <v>790</v>
      </c>
      <c r="Q206" s="431">
        <v>42184</v>
      </c>
      <c r="R206" s="431">
        <v>42550</v>
      </c>
      <c r="S206" s="427" t="s">
        <v>507</v>
      </c>
      <c r="T206" s="427"/>
      <c r="U206" s="427"/>
      <c r="V206" s="427"/>
      <c r="W206" s="427" t="s">
        <v>201</v>
      </c>
      <c r="X206" s="60"/>
      <c r="Y206" s="24" t="s">
        <v>138</v>
      </c>
      <c r="Z206" s="176">
        <v>42550</v>
      </c>
      <c r="AA206" s="210">
        <v>11848</v>
      </c>
      <c r="AB206" s="211" t="s">
        <v>945</v>
      </c>
      <c r="AC206" s="164">
        <v>42550</v>
      </c>
      <c r="AD206" s="176">
        <v>42915</v>
      </c>
      <c r="AE206" s="212"/>
      <c r="AF206" s="180"/>
      <c r="AG206" s="170">
        <v>39248.639999999999</v>
      </c>
      <c r="AH206" s="213"/>
      <c r="AI206" s="213"/>
      <c r="AJ206" s="213"/>
      <c r="AK206" s="213"/>
      <c r="AL206" s="487">
        <f>O206-AH206+AG206-AH207+AG207-AH208+AG208</f>
        <v>125952.41999999998</v>
      </c>
      <c r="AM206" s="500">
        <f>19624.32+3270.72+3270.72+3270.72+3270.72+3270.72+3270.72+3270.72+3270.72+3270.72+3270.72+3270.72+3270.72</f>
        <v>58872.960000000014</v>
      </c>
      <c r="AN206" s="529">
        <f>3544.27+3544.27+3544.27+3544.27+3544.27+3544.27+3544.27+3544.27</f>
        <v>28354.16</v>
      </c>
      <c r="AO206" s="487">
        <f>AM206+AN206</f>
        <v>87227.12000000001</v>
      </c>
      <c r="AP206" s="573"/>
      <c r="AQ206" s="214"/>
      <c r="AR206" s="214"/>
      <c r="AS206" s="573"/>
      <c r="AT206" s="573"/>
      <c r="AU206" s="573"/>
      <c r="AV206" s="573"/>
      <c r="AW206" s="573"/>
      <c r="AX206" s="573"/>
      <c r="AY206" s="573"/>
      <c r="AZ206" s="573"/>
      <c r="BA206" s="573"/>
      <c r="BB206" s="573"/>
      <c r="BC206" s="573"/>
      <c r="BD206" s="573"/>
      <c r="BE206" s="573"/>
      <c r="BF206" s="573"/>
      <c r="BG206" s="573"/>
      <c r="BH206" s="573"/>
      <c r="BI206" s="573"/>
      <c r="BJ206" s="573"/>
      <c r="BK206" s="573"/>
      <c r="BL206" s="573"/>
      <c r="BM206" s="573"/>
    </row>
    <row r="207" spans="1:65" ht="114.75" x14ac:dyDescent="0.2">
      <c r="A207" s="401"/>
      <c r="B207" s="421"/>
      <c r="C207" s="423"/>
      <c r="D207" s="409"/>
      <c r="E207" s="411"/>
      <c r="F207" s="409"/>
      <c r="G207" s="409"/>
      <c r="H207" s="657"/>
      <c r="I207" s="437"/>
      <c r="J207" s="437"/>
      <c r="K207" s="429"/>
      <c r="L207" s="409"/>
      <c r="M207" s="409"/>
      <c r="N207" s="437"/>
      <c r="O207" s="436"/>
      <c r="P207" s="429"/>
      <c r="Q207" s="437"/>
      <c r="R207" s="429"/>
      <c r="S207" s="429"/>
      <c r="T207" s="429"/>
      <c r="U207" s="429"/>
      <c r="V207" s="429"/>
      <c r="W207" s="429"/>
      <c r="X207" s="61"/>
      <c r="Y207" s="24" t="s">
        <v>144</v>
      </c>
      <c r="Z207" s="176">
        <v>42719</v>
      </c>
      <c r="AA207" s="210">
        <v>11965</v>
      </c>
      <c r="AB207" s="211" t="s">
        <v>1079</v>
      </c>
      <c r="AC207" s="164"/>
      <c r="AD207" s="176"/>
      <c r="AE207" s="212"/>
      <c r="AF207" s="180"/>
      <c r="AG207" s="170">
        <v>4923.8999999999996</v>
      </c>
      <c r="AH207" s="213"/>
      <c r="AI207" s="215"/>
      <c r="AJ207" s="215"/>
      <c r="AK207" s="215"/>
      <c r="AL207" s="528"/>
      <c r="AM207" s="532"/>
      <c r="AN207" s="530"/>
      <c r="AO207" s="528"/>
      <c r="AP207" s="574"/>
      <c r="AQ207" s="216"/>
      <c r="AR207" s="216"/>
      <c r="AS207" s="574"/>
      <c r="AT207" s="574"/>
      <c r="AU207" s="574"/>
      <c r="AV207" s="574"/>
      <c r="AW207" s="574"/>
      <c r="AX207" s="574"/>
      <c r="AY207" s="574"/>
      <c r="AZ207" s="574"/>
      <c r="BA207" s="574"/>
      <c r="BB207" s="574"/>
      <c r="BC207" s="574"/>
      <c r="BD207" s="574"/>
      <c r="BE207" s="574"/>
      <c r="BF207" s="574"/>
      <c r="BG207" s="574"/>
      <c r="BH207" s="574"/>
      <c r="BI207" s="574"/>
      <c r="BJ207" s="574"/>
      <c r="BK207" s="574"/>
      <c r="BL207" s="574"/>
      <c r="BM207" s="574"/>
    </row>
    <row r="208" spans="1:65" ht="38.25" x14ac:dyDescent="0.2">
      <c r="A208" s="402"/>
      <c r="B208" s="419"/>
      <c r="C208" s="424"/>
      <c r="D208" s="406"/>
      <c r="E208" s="412"/>
      <c r="F208" s="406"/>
      <c r="G208" s="406"/>
      <c r="H208" s="428"/>
      <c r="I208" s="428"/>
      <c r="J208" s="428"/>
      <c r="K208" s="428"/>
      <c r="L208" s="406"/>
      <c r="M208" s="406"/>
      <c r="N208" s="428"/>
      <c r="O208" s="428"/>
      <c r="P208" s="428"/>
      <c r="Q208" s="428"/>
      <c r="R208" s="428"/>
      <c r="S208" s="428"/>
      <c r="T208" s="428"/>
      <c r="U208" s="428"/>
      <c r="V208" s="428"/>
      <c r="W208" s="428"/>
      <c r="X208" s="62" t="s">
        <v>1470</v>
      </c>
      <c r="Y208" s="24" t="s">
        <v>193</v>
      </c>
      <c r="Z208" s="176">
        <v>42915</v>
      </c>
      <c r="AA208" s="210">
        <v>12093</v>
      </c>
      <c r="AB208" s="211" t="s">
        <v>1752</v>
      </c>
      <c r="AC208" s="176">
        <v>42915</v>
      </c>
      <c r="AD208" s="176">
        <v>43280</v>
      </c>
      <c r="AE208" s="212"/>
      <c r="AF208" s="180"/>
      <c r="AG208" s="170">
        <v>42531.24</v>
      </c>
      <c r="AH208" s="213"/>
      <c r="AI208" s="215"/>
      <c r="AJ208" s="215"/>
      <c r="AK208" s="215"/>
      <c r="AL208" s="488"/>
      <c r="AM208" s="501"/>
      <c r="AN208" s="531"/>
      <c r="AO208" s="488"/>
      <c r="AP208" s="216"/>
      <c r="AQ208" s="216"/>
      <c r="AR208" s="216"/>
      <c r="AS208" s="216"/>
      <c r="AT208" s="216"/>
      <c r="AU208" s="216"/>
      <c r="AV208" s="216"/>
      <c r="AW208" s="216"/>
      <c r="AX208" s="216"/>
      <c r="AY208" s="216"/>
      <c r="AZ208" s="216"/>
      <c r="BA208" s="216"/>
      <c r="BB208" s="216"/>
      <c r="BC208" s="216"/>
      <c r="BD208" s="216"/>
      <c r="BE208" s="216"/>
      <c r="BF208" s="216"/>
      <c r="BG208" s="216"/>
      <c r="BH208" s="216"/>
      <c r="BI208" s="216"/>
      <c r="BJ208" s="216"/>
      <c r="BK208" s="216"/>
      <c r="BL208" s="216"/>
      <c r="BM208" s="216"/>
    </row>
    <row r="209" spans="1:65" ht="63.75" x14ac:dyDescent="0.2">
      <c r="A209" s="400">
        <v>38</v>
      </c>
      <c r="B209" s="418" t="s">
        <v>537</v>
      </c>
      <c r="C209" s="422" t="s">
        <v>455</v>
      </c>
      <c r="D209" s="405" t="s">
        <v>130</v>
      </c>
      <c r="E209" s="410" t="s">
        <v>126</v>
      </c>
      <c r="F209" s="405" t="s">
        <v>540</v>
      </c>
      <c r="G209" s="407" t="s">
        <v>542</v>
      </c>
      <c r="H209" s="449" t="s">
        <v>726</v>
      </c>
      <c r="I209" s="432">
        <v>42200</v>
      </c>
      <c r="J209" s="432">
        <v>42566</v>
      </c>
      <c r="K209" s="410" t="s">
        <v>533</v>
      </c>
      <c r="L209" s="405" t="s">
        <v>538</v>
      </c>
      <c r="M209" s="405" t="s">
        <v>539</v>
      </c>
      <c r="N209" s="432">
        <v>42216</v>
      </c>
      <c r="O209" s="487">
        <v>6000</v>
      </c>
      <c r="P209" s="443" t="s">
        <v>791</v>
      </c>
      <c r="Q209" s="432">
        <v>42216</v>
      </c>
      <c r="R209" s="432">
        <v>42582</v>
      </c>
      <c r="S209" s="410" t="s">
        <v>507</v>
      </c>
      <c r="T209" s="410"/>
      <c r="U209" s="410"/>
      <c r="V209" s="410"/>
      <c r="W209" s="410" t="s">
        <v>137</v>
      </c>
      <c r="X209" s="193"/>
      <c r="Y209" s="5" t="s">
        <v>138</v>
      </c>
      <c r="Z209" s="178">
        <v>42580</v>
      </c>
      <c r="AA209" s="208">
        <v>11867</v>
      </c>
      <c r="AB209" s="20" t="s">
        <v>964</v>
      </c>
      <c r="AC209" s="178">
        <v>42582</v>
      </c>
      <c r="AD209" s="178">
        <v>42947</v>
      </c>
      <c r="AE209" s="63"/>
      <c r="AF209" s="193"/>
      <c r="AG209" s="195">
        <v>6000</v>
      </c>
      <c r="AH209" s="194"/>
      <c r="AI209" s="194"/>
      <c r="AJ209" s="194"/>
      <c r="AK209" s="194"/>
      <c r="AL209" s="487">
        <f>O209-AH209+AG209</f>
        <v>12000</v>
      </c>
      <c r="AM209" s="500">
        <f>2000+0+1000+0+500+1000+500+500+500+500+500+500</f>
        <v>7500</v>
      </c>
      <c r="AN209" s="529">
        <f>0+500+500+500+1000+500+500+1000+500</f>
        <v>5000</v>
      </c>
      <c r="AO209" s="487">
        <f>AM209+AN209</f>
        <v>12500</v>
      </c>
      <c r="AP209" s="193"/>
      <c r="AQ209" s="193"/>
      <c r="AR209" s="193"/>
      <c r="AS209" s="193"/>
      <c r="AT209" s="193"/>
      <c r="AU209" s="193"/>
      <c r="AV209" s="5"/>
      <c r="AW209" s="20"/>
      <c r="AX209" s="118"/>
      <c r="AY209" s="59"/>
      <c r="AZ209" s="118"/>
      <c r="BA209" s="59"/>
      <c r="BB209" s="193"/>
      <c r="BC209" s="193"/>
      <c r="BD209" s="193"/>
      <c r="BE209" s="193"/>
      <c r="BF209" s="193"/>
      <c r="BG209" s="193"/>
      <c r="BH209" s="193"/>
      <c r="BI209" s="193"/>
      <c r="BJ209" s="193"/>
      <c r="BK209" s="193"/>
      <c r="BL209" s="193"/>
      <c r="BM209" s="193"/>
    </row>
    <row r="210" spans="1:65" ht="38.25" x14ac:dyDescent="0.2">
      <c r="A210" s="402"/>
      <c r="B210" s="419"/>
      <c r="C210" s="424"/>
      <c r="D210" s="406"/>
      <c r="E210" s="412"/>
      <c r="F210" s="406"/>
      <c r="G210" s="408"/>
      <c r="H210" s="450"/>
      <c r="I210" s="434"/>
      <c r="J210" s="434"/>
      <c r="K210" s="412"/>
      <c r="L210" s="406"/>
      <c r="M210" s="406"/>
      <c r="N210" s="434"/>
      <c r="O210" s="488"/>
      <c r="P210" s="445"/>
      <c r="Q210" s="434"/>
      <c r="R210" s="434"/>
      <c r="S210" s="412"/>
      <c r="T210" s="412"/>
      <c r="U210" s="412"/>
      <c r="V210" s="412"/>
      <c r="W210" s="412"/>
      <c r="X210" s="193" t="s">
        <v>1470</v>
      </c>
      <c r="Y210" s="5" t="s">
        <v>144</v>
      </c>
      <c r="Z210" s="178">
        <v>42947</v>
      </c>
      <c r="AA210" s="208">
        <v>12108</v>
      </c>
      <c r="AB210" s="20" t="s">
        <v>877</v>
      </c>
      <c r="AC210" s="178">
        <v>42947</v>
      </c>
      <c r="AD210" s="178">
        <v>43312</v>
      </c>
      <c r="AE210" s="63"/>
      <c r="AF210" s="193"/>
      <c r="AG210" s="195"/>
      <c r="AH210" s="194"/>
      <c r="AI210" s="194"/>
      <c r="AJ210" s="194"/>
      <c r="AK210" s="194"/>
      <c r="AL210" s="488"/>
      <c r="AM210" s="501"/>
      <c r="AN210" s="531"/>
      <c r="AO210" s="488"/>
      <c r="AP210" s="193"/>
      <c r="AQ210" s="193"/>
      <c r="AR210" s="193"/>
      <c r="AS210" s="193"/>
      <c r="AT210" s="193"/>
      <c r="AU210" s="193"/>
      <c r="AV210" s="5"/>
      <c r="AW210" s="20"/>
      <c r="AX210" s="118"/>
      <c r="AY210" s="59"/>
      <c r="AZ210" s="118"/>
      <c r="BA210" s="59"/>
      <c r="BB210" s="193"/>
      <c r="BC210" s="193"/>
      <c r="BD210" s="193"/>
      <c r="BE210" s="193"/>
      <c r="BF210" s="193"/>
      <c r="BG210" s="193"/>
      <c r="BH210" s="193"/>
      <c r="BI210" s="193"/>
      <c r="BJ210" s="193"/>
      <c r="BK210" s="193"/>
      <c r="BL210" s="193"/>
      <c r="BM210" s="193"/>
    </row>
    <row r="211" spans="1:65" ht="63.75" x14ac:dyDescent="0.2">
      <c r="A211" s="400">
        <v>39</v>
      </c>
      <c r="B211" s="418" t="s">
        <v>537</v>
      </c>
      <c r="C211" s="464" t="s">
        <v>455</v>
      </c>
      <c r="D211" s="405" t="s">
        <v>130</v>
      </c>
      <c r="E211" s="410" t="s">
        <v>126</v>
      </c>
      <c r="F211" s="405" t="s">
        <v>549</v>
      </c>
      <c r="G211" s="407" t="s">
        <v>542</v>
      </c>
      <c r="H211" s="449" t="s">
        <v>726</v>
      </c>
      <c r="I211" s="432">
        <v>42200</v>
      </c>
      <c r="J211" s="432">
        <v>42566</v>
      </c>
      <c r="K211" s="410" t="s">
        <v>534</v>
      </c>
      <c r="L211" s="405" t="s">
        <v>547</v>
      </c>
      <c r="M211" s="405" t="s">
        <v>548</v>
      </c>
      <c r="N211" s="432">
        <v>42216</v>
      </c>
      <c r="O211" s="487">
        <v>87840</v>
      </c>
      <c r="P211" s="443" t="s">
        <v>791</v>
      </c>
      <c r="Q211" s="432">
        <v>42216</v>
      </c>
      <c r="R211" s="432">
        <v>42582</v>
      </c>
      <c r="S211" s="410" t="s">
        <v>507</v>
      </c>
      <c r="T211" s="410"/>
      <c r="U211" s="410"/>
      <c r="V211" s="410"/>
      <c r="W211" s="410" t="s">
        <v>137</v>
      </c>
      <c r="X211" s="193" t="s">
        <v>1470</v>
      </c>
      <c r="Y211" s="5" t="s">
        <v>138</v>
      </c>
      <c r="Z211" s="178">
        <v>42580</v>
      </c>
      <c r="AA211" s="208">
        <v>11867</v>
      </c>
      <c r="AB211" s="20" t="s">
        <v>964</v>
      </c>
      <c r="AC211" s="178">
        <v>42582</v>
      </c>
      <c r="AD211" s="178">
        <v>42947</v>
      </c>
      <c r="AE211" s="63"/>
      <c r="AF211" s="193"/>
      <c r="AG211" s="195">
        <v>87840</v>
      </c>
      <c r="AH211" s="194"/>
      <c r="AI211" s="194"/>
      <c r="AJ211" s="194"/>
      <c r="AK211" s="194"/>
      <c r="AL211" s="487">
        <f>O211-AH211+AG211-AH212+AG212</f>
        <v>263520</v>
      </c>
      <c r="AM211" s="500">
        <f>29280+0+7320+7320+7320+7320+7320+7320+7320+7320+7320+7320+7320</f>
        <v>109800</v>
      </c>
      <c r="AN211" s="529">
        <f>0+7320+7320+7320+7320+7320+7320+7320+7320+10370</f>
        <v>68930</v>
      </c>
      <c r="AO211" s="487">
        <f>AM211+AN211</f>
        <v>178730</v>
      </c>
      <c r="AP211" s="193"/>
      <c r="AQ211" s="193"/>
      <c r="AR211" s="193"/>
      <c r="AS211" s="193"/>
      <c r="AT211" s="193"/>
      <c r="AU211" s="193"/>
      <c r="AV211" s="5"/>
      <c r="AW211" s="20"/>
      <c r="AX211" s="118"/>
      <c r="AY211" s="59"/>
      <c r="AZ211" s="118"/>
      <c r="BA211" s="59"/>
      <c r="BB211" s="193"/>
      <c r="BC211" s="193"/>
      <c r="BD211" s="193"/>
      <c r="BE211" s="193"/>
      <c r="BF211" s="193"/>
      <c r="BG211" s="193"/>
      <c r="BH211" s="193"/>
      <c r="BI211" s="193"/>
      <c r="BJ211" s="193"/>
      <c r="BK211" s="193"/>
      <c r="BL211" s="193"/>
      <c r="BM211" s="193"/>
    </row>
    <row r="212" spans="1:65" ht="38.25" x14ac:dyDescent="0.2">
      <c r="A212" s="402"/>
      <c r="B212" s="419"/>
      <c r="C212" s="465"/>
      <c r="D212" s="406"/>
      <c r="E212" s="412"/>
      <c r="F212" s="406"/>
      <c r="G212" s="408"/>
      <c r="H212" s="450"/>
      <c r="I212" s="434"/>
      <c r="J212" s="434"/>
      <c r="K212" s="412"/>
      <c r="L212" s="406"/>
      <c r="M212" s="406"/>
      <c r="N212" s="434"/>
      <c r="O212" s="488"/>
      <c r="P212" s="445"/>
      <c r="Q212" s="434"/>
      <c r="R212" s="434"/>
      <c r="S212" s="412"/>
      <c r="T212" s="412"/>
      <c r="U212" s="412"/>
      <c r="V212" s="412"/>
      <c r="W212" s="412"/>
      <c r="X212" s="193" t="s">
        <v>1470</v>
      </c>
      <c r="Y212" s="5" t="s">
        <v>144</v>
      </c>
      <c r="Z212" s="178">
        <v>42947</v>
      </c>
      <c r="AA212" s="208">
        <v>12109</v>
      </c>
      <c r="AB212" s="20" t="s">
        <v>877</v>
      </c>
      <c r="AC212" s="178">
        <v>42947</v>
      </c>
      <c r="AD212" s="178">
        <v>43312</v>
      </c>
      <c r="AE212" s="63"/>
      <c r="AF212" s="193"/>
      <c r="AG212" s="195">
        <v>87840</v>
      </c>
      <c r="AH212" s="194"/>
      <c r="AI212" s="194"/>
      <c r="AJ212" s="194"/>
      <c r="AK212" s="194"/>
      <c r="AL212" s="488"/>
      <c r="AM212" s="501"/>
      <c r="AN212" s="531"/>
      <c r="AO212" s="488"/>
      <c r="AP212" s="193"/>
      <c r="AQ212" s="193"/>
      <c r="AR212" s="193"/>
      <c r="AS212" s="193"/>
      <c r="AT212" s="193"/>
      <c r="AU212" s="193"/>
      <c r="AV212" s="5"/>
      <c r="AW212" s="20"/>
      <c r="AX212" s="118"/>
      <c r="AY212" s="59"/>
      <c r="AZ212" s="118"/>
      <c r="BA212" s="59"/>
      <c r="BB212" s="193"/>
      <c r="BC212" s="193"/>
      <c r="BD212" s="193"/>
      <c r="BE212" s="193"/>
      <c r="BF212" s="193"/>
      <c r="BG212" s="193"/>
      <c r="BH212" s="193"/>
      <c r="BI212" s="193"/>
      <c r="BJ212" s="193"/>
      <c r="BK212" s="193"/>
      <c r="BL212" s="193"/>
      <c r="BM212" s="193"/>
    </row>
    <row r="213" spans="1:65" ht="63.75" x14ac:dyDescent="0.2">
      <c r="A213" s="329">
        <v>40</v>
      </c>
      <c r="B213" s="328" t="s">
        <v>537</v>
      </c>
      <c r="C213" s="63" t="s">
        <v>455</v>
      </c>
      <c r="D213" s="20" t="s">
        <v>130</v>
      </c>
      <c r="E213" s="24" t="s">
        <v>126</v>
      </c>
      <c r="F213" s="20" t="s">
        <v>540</v>
      </c>
      <c r="G213" s="207" t="s">
        <v>542</v>
      </c>
      <c r="H213" s="3" t="s">
        <v>726</v>
      </c>
      <c r="I213" s="59">
        <v>42200</v>
      </c>
      <c r="J213" s="59">
        <v>42566</v>
      </c>
      <c r="K213" s="2" t="s">
        <v>535</v>
      </c>
      <c r="L213" s="20" t="s">
        <v>541</v>
      </c>
      <c r="M213" s="193" t="s">
        <v>230</v>
      </c>
      <c r="N213" s="178">
        <v>42216</v>
      </c>
      <c r="O213" s="194">
        <v>10296</v>
      </c>
      <c r="P213" s="217" t="s">
        <v>791</v>
      </c>
      <c r="Q213" s="178">
        <v>42216</v>
      </c>
      <c r="R213" s="178">
        <v>42582</v>
      </c>
      <c r="S213" s="123" t="s">
        <v>507</v>
      </c>
      <c r="T213" s="5"/>
      <c r="U213" s="193"/>
      <c r="V213" s="193"/>
      <c r="W213" s="193" t="s">
        <v>137</v>
      </c>
      <c r="X213" s="193"/>
      <c r="Y213" s="5" t="s">
        <v>138</v>
      </c>
      <c r="Z213" s="178">
        <v>42580</v>
      </c>
      <c r="AA213" s="208">
        <v>11867</v>
      </c>
      <c r="AB213" s="20" t="s">
        <v>964</v>
      </c>
      <c r="AC213" s="178">
        <v>42582</v>
      </c>
      <c r="AD213" s="178">
        <v>42947</v>
      </c>
      <c r="AE213" s="63"/>
      <c r="AF213" s="193"/>
      <c r="AG213" s="195">
        <v>10296</v>
      </c>
      <c r="AH213" s="194"/>
      <c r="AI213" s="194"/>
      <c r="AJ213" s="194"/>
      <c r="AK213" s="194"/>
      <c r="AL213" s="138">
        <f>O213-AH213+AG213</f>
        <v>20592</v>
      </c>
      <c r="AM213" s="218">
        <f>1716+0+0+0+2574+858+3432+858</f>
        <v>9438</v>
      </c>
      <c r="AN213" s="219">
        <f>0+2574+2574</f>
        <v>5148</v>
      </c>
      <c r="AO213" s="138">
        <f>AM213+AN213</f>
        <v>14586</v>
      </c>
      <c r="AP213" s="193"/>
      <c r="AQ213" s="193"/>
      <c r="AR213" s="193"/>
      <c r="AS213" s="193"/>
      <c r="AT213" s="193"/>
      <c r="AU213" s="193"/>
      <c r="AV213" s="5"/>
      <c r="AW213" s="20"/>
      <c r="AX213" s="118"/>
      <c r="AY213" s="59"/>
      <c r="AZ213" s="118"/>
      <c r="BA213" s="59"/>
      <c r="BB213" s="193"/>
      <c r="BC213" s="193"/>
      <c r="BD213" s="193"/>
      <c r="BE213" s="193"/>
      <c r="BF213" s="193"/>
      <c r="BG213" s="193"/>
      <c r="BH213" s="193"/>
      <c r="BI213" s="193"/>
      <c r="BJ213" s="193"/>
      <c r="BK213" s="193"/>
      <c r="BL213" s="193"/>
      <c r="BM213" s="193"/>
    </row>
    <row r="214" spans="1:65" ht="51" x14ac:dyDescent="0.2">
      <c r="A214" s="400">
        <v>41</v>
      </c>
      <c r="B214" s="418" t="s">
        <v>545</v>
      </c>
      <c r="C214" s="422" t="s">
        <v>473</v>
      </c>
      <c r="D214" s="405" t="s">
        <v>130</v>
      </c>
      <c r="E214" s="410" t="s">
        <v>126</v>
      </c>
      <c r="F214" s="405" t="s">
        <v>551</v>
      </c>
      <c r="G214" s="407" t="s">
        <v>550</v>
      </c>
      <c r="H214" s="449" t="s">
        <v>1210</v>
      </c>
      <c r="I214" s="432">
        <v>42208</v>
      </c>
      <c r="J214" s="432">
        <v>42574</v>
      </c>
      <c r="K214" s="410" t="s">
        <v>536</v>
      </c>
      <c r="L214" s="405" t="s">
        <v>546</v>
      </c>
      <c r="M214" s="405" t="s">
        <v>394</v>
      </c>
      <c r="N214" s="431">
        <v>42216</v>
      </c>
      <c r="O214" s="435">
        <v>74400</v>
      </c>
      <c r="P214" s="658" t="s">
        <v>792</v>
      </c>
      <c r="Q214" s="648">
        <v>42216</v>
      </c>
      <c r="R214" s="648">
        <v>42582</v>
      </c>
      <c r="S214" s="422" t="s">
        <v>507</v>
      </c>
      <c r="T214" s="422"/>
      <c r="U214" s="422"/>
      <c r="V214" s="422"/>
      <c r="W214" s="422" t="s">
        <v>117</v>
      </c>
      <c r="X214" s="193"/>
      <c r="Y214" s="5" t="s">
        <v>138</v>
      </c>
      <c r="Z214" s="178">
        <v>42579</v>
      </c>
      <c r="AA214" s="208">
        <v>11864</v>
      </c>
      <c r="AB214" s="20" t="s">
        <v>962</v>
      </c>
      <c r="AC214" s="178">
        <v>42582</v>
      </c>
      <c r="AD214" s="178">
        <v>42947</v>
      </c>
      <c r="AE214" s="63"/>
      <c r="AF214" s="193"/>
      <c r="AG214" s="194">
        <v>74400</v>
      </c>
      <c r="AH214" s="194"/>
      <c r="AI214" s="194"/>
      <c r="AJ214" s="194"/>
      <c r="AK214" s="194"/>
      <c r="AL214" s="487">
        <f>O214-AH214+AG214-AH215+AG215</f>
        <v>223200</v>
      </c>
      <c r="AM214" s="500">
        <f>31000+6200+6200+6200+0+6200+6200+6200+6200+6200+6200+6200+12400</f>
        <v>105400</v>
      </c>
      <c r="AN214" s="529">
        <f>6200+6200+6200+6200+6200+6200+12400+6200+6200</f>
        <v>62000</v>
      </c>
      <c r="AO214" s="487">
        <f>AM214+AN214</f>
        <v>167400</v>
      </c>
      <c r="AP214" s="193"/>
      <c r="AQ214" s="193"/>
      <c r="AR214" s="193"/>
      <c r="AS214" s="193"/>
      <c r="AT214" s="193"/>
      <c r="AU214" s="193"/>
      <c r="AV214" s="5"/>
      <c r="AW214" s="20"/>
      <c r="AX214" s="118"/>
      <c r="AY214" s="59"/>
      <c r="AZ214" s="118"/>
      <c r="BA214" s="59"/>
      <c r="BB214" s="193"/>
      <c r="BC214" s="193"/>
      <c r="BD214" s="193"/>
      <c r="BE214" s="193"/>
      <c r="BF214" s="193"/>
      <c r="BG214" s="193"/>
      <c r="BH214" s="193"/>
      <c r="BI214" s="193"/>
      <c r="BJ214" s="193"/>
      <c r="BK214" s="193"/>
      <c r="BL214" s="193"/>
      <c r="BM214" s="193"/>
    </row>
    <row r="215" spans="1:65" ht="38.25" x14ac:dyDescent="0.2">
      <c r="A215" s="402"/>
      <c r="B215" s="419"/>
      <c r="C215" s="424"/>
      <c r="D215" s="406"/>
      <c r="E215" s="412"/>
      <c r="F215" s="406"/>
      <c r="G215" s="408"/>
      <c r="H215" s="450"/>
      <c r="I215" s="434"/>
      <c r="J215" s="434"/>
      <c r="K215" s="412"/>
      <c r="L215" s="406"/>
      <c r="M215" s="406"/>
      <c r="N215" s="442"/>
      <c r="O215" s="490"/>
      <c r="P215" s="659"/>
      <c r="Q215" s="649"/>
      <c r="R215" s="649"/>
      <c r="S215" s="424"/>
      <c r="T215" s="424"/>
      <c r="U215" s="424"/>
      <c r="V215" s="424"/>
      <c r="W215" s="424"/>
      <c r="X215" s="193" t="s">
        <v>1470</v>
      </c>
      <c r="Y215" s="5" t="s">
        <v>144</v>
      </c>
      <c r="Z215" s="178">
        <v>42944</v>
      </c>
      <c r="AA215" s="208">
        <v>12111</v>
      </c>
      <c r="AB215" s="20" t="s">
        <v>877</v>
      </c>
      <c r="AC215" s="178">
        <v>42947</v>
      </c>
      <c r="AD215" s="178">
        <v>43312</v>
      </c>
      <c r="AE215" s="63"/>
      <c r="AF215" s="193"/>
      <c r="AG215" s="194">
        <v>74400</v>
      </c>
      <c r="AH215" s="194"/>
      <c r="AI215" s="194"/>
      <c r="AJ215" s="194"/>
      <c r="AK215" s="194"/>
      <c r="AL215" s="488"/>
      <c r="AM215" s="501"/>
      <c r="AN215" s="531"/>
      <c r="AO215" s="488"/>
      <c r="AP215" s="193"/>
      <c r="AQ215" s="193"/>
      <c r="AR215" s="193"/>
      <c r="AS215" s="193"/>
      <c r="AT215" s="193"/>
      <c r="AU215" s="193"/>
      <c r="AV215" s="5"/>
      <c r="AW215" s="20"/>
      <c r="AX215" s="118"/>
      <c r="AY215" s="59"/>
      <c r="AZ215" s="118"/>
      <c r="BA215" s="59"/>
      <c r="BB215" s="193"/>
      <c r="BC215" s="193"/>
      <c r="BD215" s="193"/>
      <c r="BE215" s="193"/>
      <c r="BF215" s="193"/>
      <c r="BG215" s="193"/>
      <c r="BH215" s="193"/>
      <c r="BI215" s="193"/>
      <c r="BJ215" s="193"/>
      <c r="BK215" s="193"/>
      <c r="BL215" s="193"/>
      <c r="BM215" s="193"/>
    </row>
    <row r="216" spans="1:65" ht="51" x14ac:dyDescent="0.2">
      <c r="A216" s="400">
        <v>42</v>
      </c>
      <c r="B216" s="418" t="s">
        <v>545</v>
      </c>
      <c r="C216" s="464" t="s">
        <v>473</v>
      </c>
      <c r="D216" s="405" t="s">
        <v>130</v>
      </c>
      <c r="E216" s="410" t="s">
        <v>126</v>
      </c>
      <c r="F216" s="405" t="s">
        <v>556</v>
      </c>
      <c r="G216" s="407" t="s">
        <v>550</v>
      </c>
      <c r="H216" s="449" t="s">
        <v>1210</v>
      </c>
      <c r="I216" s="432">
        <v>42208</v>
      </c>
      <c r="J216" s="432">
        <v>42574</v>
      </c>
      <c r="K216" s="410" t="s">
        <v>552</v>
      </c>
      <c r="L216" s="405" t="s">
        <v>554</v>
      </c>
      <c r="M216" s="405" t="s">
        <v>555</v>
      </c>
      <c r="N216" s="431">
        <v>42233</v>
      </c>
      <c r="O216" s="435">
        <v>49200</v>
      </c>
      <c r="P216" s="438" t="s">
        <v>793</v>
      </c>
      <c r="Q216" s="431">
        <v>42233</v>
      </c>
      <c r="R216" s="431">
        <v>42599</v>
      </c>
      <c r="S216" s="427" t="s">
        <v>507</v>
      </c>
      <c r="T216" s="427"/>
      <c r="U216" s="427"/>
      <c r="V216" s="427"/>
      <c r="W216" s="427" t="s">
        <v>117</v>
      </c>
      <c r="X216" s="193"/>
      <c r="Y216" s="5" t="s">
        <v>138</v>
      </c>
      <c r="Z216" s="178">
        <v>42599</v>
      </c>
      <c r="AA216" s="208">
        <v>11876</v>
      </c>
      <c r="AB216" s="20" t="s">
        <v>966</v>
      </c>
      <c r="AC216" s="178">
        <v>42599</v>
      </c>
      <c r="AD216" s="193" t="s">
        <v>967</v>
      </c>
      <c r="AE216" s="63"/>
      <c r="AF216" s="193"/>
      <c r="AG216" s="195">
        <v>49200</v>
      </c>
      <c r="AH216" s="194"/>
      <c r="AI216" s="194"/>
      <c r="AJ216" s="194"/>
      <c r="AK216" s="194"/>
      <c r="AL216" s="487">
        <f>O216-AH216+AG216-AH217+AG217</f>
        <v>147600</v>
      </c>
      <c r="AM216" s="500">
        <f>12300+4100+4100+4100+0+4100+4100+4100+4100+4100+4100+8200</f>
        <v>57400</v>
      </c>
      <c r="AN216" s="529">
        <f>4100+4100+4100+4100+4100+4100+8200+4100+4100</f>
        <v>41000</v>
      </c>
      <c r="AO216" s="487">
        <f>AM216+AN216</f>
        <v>98400</v>
      </c>
      <c r="AP216" s="193"/>
      <c r="AQ216" s="193"/>
      <c r="AR216" s="193"/>
      <c r="AS216" s="193"/>
      <c r="AT216" s="193"/>
      <c r="AU216" s="193"/>
      <c r="AV216" s="5"/>
      <c r="AW216" s="20"/>
      <c r="AX216" s="118"/>
      <c r="AY216" s="59"/>
      <c r="AZ216" s="118"/>
      <c r="BA216" s="59"/>
      <c r="BB216" s="193"/>
      <c r="BC216" s="193"/>
      <c r="BD216" s="193"/>
      <c r="BE216" s="193"/>
      <c r="BF216" s="193"/>
      <c r="BG216" s="193"/>
      <c r="BH216" s="193"/>
      <c r="BI216" s="193"/>
      <c r="BJ216" s="193"/>
      <c r="BK216" s="193"/>
      <c r="BL216" s="193"/>
      <c r="BM216" s="193"/>
    </row>
    <row r="217" spans="1:65" ht="38.25" x14ac:dyDescent="0.2">
      <c r="A217" s="402"/>
      <c r="B217" s="419"/>
      <c r="C217" s="465"/>
      <c r="D217" s="406"/>
      <c r="E217" s="412"/>
      <c r="F217" s="406"/>
      <c r="G217" s="408"/>
      <c r="H217" s="450"/>
      <c r="I217" s="434"/>
      <c r="J217" s="434"/>
      <c r="K217" s="412"/>
      <c r="L217" s="406"/>
      <c r="M217" s="406"/>
      <c r="N217" s="442"/>
      <c r="O217" s="490"/>
      <c r="P217" s="491"/>
      <c r="Q217" s="442"/>
      <c r="R217" s="442"/>
      <c r="S217" s="428"/>
      <c r="T217" s="428"/>
      <c r="U217" s="428"/>
      <c r="V217" s="428"/>
      <c r="W217" s="428"/>
      <c r="X217" s="193" t="s">
        <v>1470</v>
      </c>
      <c r="Y217" s="5" t="s">
        <v>144</v>
      </c>
      <c r="Z217" s="178">
        <v>42958</v>
      </c>
      <c r="AA217" s="208">
        <v>12118</v>
      </c>
      <c r="AB217" s="20" t="s">
        <v>1806</v>
      </c>
      <c r="AC217" s="193" t="s">
        <v>967</v>
      </c>
      <c r="AD217" s="193" t="s">
        <v>1834</v>
      </c>
      <c r="AE217" s="63"/>
      <c r="AF217" s="193"/>
      <c r="AG217" s="195">
        <v>49200</v>
      </c>
      <c r="AH217" s="194"/>
      <c r="AI217" s="194"/>
      <c r="AJ217" s="194"/>
      <c r="AK217" s="194"/>
      <c r="AL217" s="488"/>
      <c r="AM217" s="501"/>
      <c r="AN217" s="531"/>
      <c r="AO217" s="488"/>
      <c r="AP217" s="193"/>
      <c r="AQ217" s="193"/>
      <c r="AR217" s="193"/>
      <c r="AS217" s="193"/>
      <c r="AT217" s="193"/>
      <c r="AU217" s="193"/>
      <c r="AV217" s="5"/>
      <c r="AW217" s="20"/>
      <c r="AX217" s="118"/>
      <c r="AY217" s="59"/>
      <c r="AZ217" s="118"/>
      <c r="BA217" s="59"/>
      <c r="BB217" s="193"/>
      <c r="BC217" s="193"/>
      <c r="BD217" s="193"/>
      <c r="BE217" s="193"/>
      <c r="BF217" s="193"/>
      <c r="BG217" s="193"/>
      <c r="BH217" s="193"/>
      <c r="BI217" s="193"/>
      <c r="BJ217" s="193"/>
      <c r="BK217" s="193"/>
      <c r="BL217" s="193"/>
      <c r="BM217" s="193"/>
    </row>
    <row r="218" spans="1:65" ht="51" x14ac:dyDescent="0.2">
      <c r="A218" s="403">
        <v>43</v>
      </c>
      <c r="B218" s="418" t="s">
        <v>545</v>
      </c>
      <c r="C218" s="422" t="s">
        <v>473</v>
      </c>
      <c r="D218" s="405" t="s">
        <v>130</v>
      </c>
      <c r="E218" s="410" t="s">
        <v>126</v>
      </c>
      <c r="F218" s="405" t="s">
        <v>559</v>
      </c>
      <c r="G218" s="654" t="s">
        <v>550</v>
      </c>
      <c r="H218" s="586" t="s">
        <v>1210</v>
      </c>
      <c r="I218" s="492">
        <v>42208</v>
      </c>
      <c r="J218" s="492">
        <v>42574</v>
      </c>
      <c r="K218" s="576" t="s">
        <v>553</v>
      </c>
      <c r="L218" s="416" t="s">
        <v>557</v>
      </c>
      <c r="M218" s="416" t="s">
        <v>558</v>
      </c>
      <c r="N218" s="492">
        <v>42233</v>
      </c>
      <c r="O218" s="533">
        <v>49200</v>
      </c>
      <c r="P218" s="443" t="s">
        <v>793</v>
      </c>
      <c r="Q218" s="492">
        <v>42233</v>
      </c>
      <c r="R218" s="492">
        <v>42599</v>
      </c>
      <c r="S218" s="410" t="s">
        <v>507</v>
      </c>
      <c r="T218" s="576"/>
      <c r="U218" s="576"/>
      <c r="V218" s="576"/>
      <c r="W218" s="576" t="s">
        <v>117</v>
      </c>
      <c r="X218" s="193"/>
      <c r="Y218" s="5" t="s">
        <v>138</v>
      </c>
      <c r="Z218" s="178">
        <v>42599</v>
      </c>
      <c r="AA218" s="208">
        <v>11876</v>
      </c>
      <c r="AB218" s="20" t="s">
        <v>966</v>
      </c>
      <c r="AC218" s="178">
        <v>42599</v>
      </c>
      <c r="AD218" s="193" t="s">
        <v>967</v>
      </c>
      <c r="AE218" s="63"/>
      <c r="AF218" s="193"/>
      <c r="AG218" s="194">
        <v>49200</v>
      </c>
      <c r="AH218" s="194"/>
      <c r="AI218" s="194"/>
      <c r="AJ218" s="194"/>
      <c r="AK218" s="194"/>
      <c r="AL218" s="487">
        <f>O218-AH218+AG218-AH219+AG219</f>
        <v>147600</v>
      </c>
      <c r="AM218" s="500">
        <f>12300+4100+4100+4100+0+4100+4100+4100+4100+4100+4100+8200</f>
        <v>57400</v>
      </c>
      <c r="AN218" s="529">
        <f>4100+4100+4100+4100+4100+4100+8200+4100+4100</f>
        <v>41000</v>
      </c>
      <c r="AO218" s="487">
        <f>AM218+AN218</f>
        <v>98400</v>
      </c>
      <c r="AP218" s="193"/>
      <c r="AQ218" s="193"/>
      <c r="AR218" s="193"/>
      <c r="AS218" s="193"/>
      <c r="AT218" s="193"/>
      <c r="AU218" s="193"/>
      <c r="AV218" s="5"/>
      <c r="AW218" s="20"/>
      <c r="AX218" s="118"/>
      <c r="AY218" s="59"/>
      <c r="AZ218" s="118"/>
      <c r="BA218" s="59"/>
      <c r="BB218" s="193"/>
      <c r="BC218" s="193"/>
      <c r="BD218" s="193"/>
      <c r="BE218" s="193"/>
      <c r="BF218" s="193"/>
      <c r="BG218" s="193"/>
      <c r="BH218" s="193"/>
      <c r="BI218" s="193"/>
      <c r="BJ218" s="193"/>
      <c r="BK218" s="193"/>
      <c r="BL218" s="193"/>
      <c r="BM218" s="193"/>
    </row>
    <row r="219" spans="1:65" ht="38.25" x14ac:dyDescent="0.2">
      <c r="A219" s="404"/>
      <c r="B219" s="419"/>
      <c r="C219" s="424"/>
      <c r="D219" s="406"/>
      <c r="E219" s="412"/>
      <c r="F219" s="406"/>
      <c r="G219" s="656"/>
      <c r="H219" s="587"/>
      <c r="I219" s="493"/>
      <c r="J219" s="493"/>
      <c r="K219" s="577"/>
      <c r="L219" s="417"/>
      <c r="M219" s="417"/>
      <c r="N219" s="493"/>
      <c r="O219" s="534"/>
      <c r="P219" s="445"/>
      <c r="Q219" s="493"/>
      <c r="R219" s="493"/>
      <c r="S219" s="412"/>
      <c r="T219" s="577"/>
      <c r="U219" s="577"/>
      <c r="V219" s="577"/>
      <c r="W219" s="577"/>
      <c r="X219" s="193" t="s">
        <v>1470</v>
      </c>
      <c r="Y219" s="5" t="s">
        <v>144</v>
      </c>
      <c r="Z219" s="178">
        <v>42958</v>
      </c>
      <c r="AA219" s="208">
        <v>12118</v>
      </c>
      <c r="AB219" s="20" t="s">
        <v>1806</v>
      </c>
      <c r="AC219" s="193" t="s">
        <v>967</v>
      </c>
      <c r="AD219" s="193" t="s">
        <v>1834</v>
      </c>
      <c r="AE219" s="63"/>
      <c r="AF219" s="193"/>
      <c r="AG219" s="195">
        <v>49200</v>
      </c>
      <c r="AH219" s="194"/>
      <c r="AI219" s="194"/>
      <c r="AJ219" s="194"/>
      <c r="AK219" s="194"/>
      <c r="AL219" s="488"/>
      <c r="AM219" s="501"/>
      <c r="AN219" s="531"/>
      <c r="AO219" s="488"/>
      <c r="AP219" s="193"/>
      <c r="AQ219" s="193"/>
      <c r="AR219" s="193"/>
      <c r="AS219" s="193"/>
      <c r="AT219" s="193"/>
      <c r="AU219" s="193"/>
      <c r="AV219" s="5"/>
      <c r="AW219" s="20"/>
      <c r="AX219" s="118"/>
      <c r="AY219" s="59"/>
      <c r="AZ219" s="118"/>
      <c r="BA219" s="59"/>
      <c r="BB219" s="193"/>
      <c r="BC219" s="193"/>
      <c r="BD219" s="193"/>
      <c r="BE219" s="193"/>
      <c r="BF219" s="193"/>
      <c r="BG219" s="193"/>
      <c r="BH219" s="193"/>
      <c r="BI219" s="193"/>
      <c r="BJ219" s="193"/>
      <c r="BK219" s="193"/>
      <c r="BL219" s="193"/>
      <c r="BM219" s="193"/>
    </row>
    <row r="220" spans="1:65" ht="51" x14ac:dyDescent="0.2">
      <c r="A220" s="400">
        <v>44</v>
      </c>
      <c r="B220" s="418" t="s">
        <v>545</v>
      </c>
      <c r="C220" s="464" t="s">
        <v>473</v>
      </c>
      <c r="D220" s="405" t="s">
        <v>130</v>
      </c>
      <c r="E220" s="410" t="s">
        <v>126</v>
      </c>
      <c r="F220" s="405" t="s">
        <v>559</v>
      </c>
      <c r="G220" s="407" t="s">
        <v>550</v>
      </c>
      <c r="H220" s="449" t="s">
        <v>1210</v>
      </c>
      <c r="I220" s="432">
        <v>42208</v>
      </c>
      <c r="J220" s="432">
        <v>42574</v>
      </c>
      <c r="K220" s="410" t="s">
        <v>562</v>
      </c>
      <c r="L220" s="405" t="s">
        <v>560</v>
      </c>
      <c r="M220" s="405" t="s">
        <v>561</v>
      </c>
      <c r="N220" s="432">
        <v>42234</v>
      </c>
      <c r="O220" s="487">
        <v>49200</v>
      </c>
      <c r="P220" s="443" t="s">
        <v>794</v>
      </c>
      <c r="Q220" s="432">
        <v>42234</v>
      </c>
      <c r="R220" s="432">
        <v>42600</v>
      </c>
      <c r="S220" s="410" t="s">
        <v>507</v>
      </c>
      <c r="T220" s="410"/>
      <c r="U220" s="410"/>
      <c r="V220" s="410"/>
      <c r="W220" s="410" t="s">
        <v>137</v>
      </c>
      <c r="X220" s="193"/>
      <c r="Y220" s="5" t="s">
        <v>138</v>
      </c>
      <c r="Z220" s="178">
        <v>42599</v>
      </c>
      <c r="AA220" s="208">
        <v>11876</v>
      </c>
      <c r="AB220" s="20" t="s">
        <v>966</v>
      </c>
      <c r="AC220" s="178">
        <v>42600</v>
      </c>
      <c r="AD220" s="193" t="s">
        <v>968</v>
      </c>
      <c r="AE220" s="63"/>
      <c r="AF220" s="193"/>
      <c r="AG220" s="194">
        <v>49200</v>
      </c>
      <c r="AH220" s="194"/>
      <c r="AI220" s="194"/>
      <c r="AJ220" s="194"/>
      <c r="AK220" s="194"/>
      <c r="AL220" s="487">
        <f>O220-AH220+AG220-AH221+AG221</f>
        <v>147600</v>
      </c>
      <c r="AM220" s="500">
        <f>16400+4100+4100+4100+0+4100+4100+4100+8200+4100+4100+8200</f>
        <v>65600</v>
      </c>
      <c r="AN220" s="529">
        <f>4100+4100+4100+4100+4100+4100+8200+4100+4100</f>
        <v>41000</v>
      </c>
      <c r="AO220" s="487">
        <f>AM220+AN220</f>
        <v>106600</v>
      </c>
      <c r="AP220" s="193"/>
      <c r="AQ220" s="193"/>
      <c r="AR220" s="193"/>
      <c r="AS220" s="193"/>
      <c r="AT220" s="193"/>
      <c r="AU220" s="193"/>
      <c r="AV220" s="5"/>
      <c r="AW220" s="20"/>
      <c r="AX220" s="118"/>
      <c r="AY220" s="59"/>
      <c r="AZ220" s="118"/>
      <c r="BA220" s="59"/>
      <c r="BB220" s="193"/>
      <c r="BC220" s="193"/>
      <c r="BD220" s="193"/>
      <c r="BE220" s="193"/>
      <c r="BF220" s="193"/>
      <c r="BG220" s="193"/>
      <c r="BH220" s="193"/>
      <c r="BI220" s="193"/>
      <c r="BJ220" s="193"/>
      <c r="BK220" s="193"/>
      <c r="BL220" s="193"/>
      <c r="BM220" s="193"/>
    </row>
    <row r="221" spans="1:65" ht="38.25" x14ac:dyDescent="0.2">
      <c r="A221" s="402"/>
      <c r="B221" s="419"/>
      <c r="C221" s="465"/>
      <c r="D221" s="406"/>
      <c r="E221" s="412"/>
      <c r="F221" s="406"/>
      <c r="G221" s="408"/>
      <c r="H221" s="450"/>
      <c r="I221" s="434"/>
      <c r="J221" s="434"/>
      <c r="K221" s="412"/>
      <c r="L221" s="406"/>
      <c r="M221" s="406"/>
      <c r="N221" s="434"/>
      <c r="O221" s="488"/>
      <c r="P221" s="445"/>
      <c r="Q221" s="434"/>
      <c r="R221" s="434"/>
      <c r="S221" s="412"/>
      <c r="T221" s="412"/>
      <c r="U221" s="412"/>
      <c r="V221" s="412"/>
      <c r="W221" s="412"/>
      <c r="X221" s="193" t="s">
        <v>1470</v>
      </c>
      <c r="Y221" s="5" t="s">
        <v>144</v>
      </c>
      <c r="Z221" s="178">
        <v>42958</v>
      </c>
      <c r="AA221" s="208">
        <v>12118</v>
      </c>
      <c r="AB221" s="20" t="s">
        <v>1806</v>
      </c>
      <c r="AC221" s="193" t="s">
        <v>967</v>
      </c>
      <c r="AD221" s="193" t="s">
        <v>1834</v>
      </c>
      <c r="AE221" s="63"/>
      <c r="AF221" s="193"/>
      <c r="AG221" s="195">
        <v>49200</v>
      </c>
      <c r="AH221" s="194"/>
      <c r="AI221" s="194"/>
      <c r="AJ221" s="194"/>
      <c r="AK221" s="194"/>
      <c r="AL221" s="488"/>
      <c r="AM221" s="501"/>
      <c r="AN221" s="531"/>
      <c r="AO221" s="488"/>
      <c r="AP221" s="193"/>
      <c r="AQ221" s="193"/>
      <c r="AR221" s="193"/>
      <c r="AS221" s="193"/>
      <c r="AT221" s="193"/>
      <c r="AU221" s="193"/>
      <c r="AV221" s="5"/>
      <c r="AW221" s="20"/>
      <c r="AX221" s="118"/>
      <c r="AY221" s="59"/>
      <c r="AZ221" s="118"/>
      <c r="BA221" s="59"/>
      <c r="BB221" s="193"/>
      <c r="BC221" s="193"/>
      <c r="BD221" s="193"/>
      <c r="BE221" s="193"/>
      <c r="BF221" s="193"/>
      <c r="BG221" s="193"/>
      <c r="BH221" s="193"/>
      <c r="BI221" s="193"/>
      <c r="BJ221" s="193"/>
      <c r="BK221" s="193"/>
      <c r="BL221" s="193"/>
      <c r="BM221" s="193"/>
    </row>
    <row r="222" spans="1:65" ht="102" x14ac:dyDescent="0.2">
      <c r="A222" s="329">
        <v>45</v>
      </c>
      <c r="B222" s="328" t="s">
        <v>537</v>
      </c>
      <c r="C222" s="63" t="s">
        <v>455</v>
      </c>
      <c r="D222" s="20" t="s">
        <v>130</v>
      </c>
      <c r="E222" s="2" t="s">
        <v>126</v>
      </c>
      <c r="F222" s="20" t="s">
        <v>573</v>
      </c>
      <c r="G222" s="207" t="s">
        <v>542</v>
      </c>
      <c r="H222" s="3" t="s">
        <v>726</v>
      </c>
      <c r="I222" s="59">
        <v>42200</v>
      </c>
      <c r="J222" s="59">
        <v>42566</v>
      </c>
      <c r="K222" s="2" t="s">
        <v>574</v>
      </c>
      <c r="L222" s="20" t="s">
        <v>541</v>
      </c>
      <c r="M222" s="193" t="s">
        <v>230</v>
      </c>
      <c r="N222" s="178">
        <v>42244</v>
      </c>
      <c r="O222" s="194">
        <v>3744</v>
      </c>
      <c r="P222" s="220" t="s">
        <v>795</v>
      </c>
      <c r="Q222" s="178">
        <v>42244</v>
      </c>
      <c r="R222" s="178">
        <v>42610</v>
      </c>
      <c r="S222" s="20" t="s">
        <v>507</v>
      </c>
      <c r="T222" s="5"/>
      <c r="U222" s="193"/>
      <c r="V222" s="193"/>
      <c r="W222" s="193" t="s">
        <v>137</v>
      </c>
      <c r="X222" s="193"/>
      <c r="Y222" s="5" t="s">
        <v>138</v>
      </c>
      <c r="Z222" s="178">
        <v>42608</v>
      </c>
      <c r="AA222" s="208">
        <v>11899</v>
      </c>
      <c r="AB222" s="20" t="s">
        <v>877</v>
      </c>
      <c r="AC222" s="178">
        <v>42610</v>
      </c>
      <c r="AD222" s="178">
        <v>42975</v>
      </c>
      <c r="AE222" s="63"/>
      <c r="AF222" s="193"/>
      <c r="AG222" s="195">
        <v>3744</v>
      </c>
      <c r="AH222" s="194"/>
      <c r="AI222" s="194"/>
      <c r="AJ222" s="194"/>
      <c r="AK222" s="194"/>
      <c r="AL222" s="138">
        <f>O222-AH222+AG222</f>
        <v>7488</v>
      </c>
      <c r="AM222" s="218">
        <f>936+936+1248+312</f>
        <v>3432</v>
      </c>
      <c r="AN222" s="221">
        <f>0+936+936</f>
        <v>1872</v>
      </c>
      <c r="AO222" s="138">
        <f>AM222+AN222</f>
        <v>5304</v>
      </c>
      <c r="AP222" s="193"/>
      <c r="AQ222" s="193"/>
      <c r="AR222" s="193"/>
      <c r="AS222" s="193"/>
      <c r="AT222" s="193"/>
      <c r="AU222" s="193"/>
      <c r="AV222" s="5"/>
      <c r="AW222" s="193"/>
      <c r="AX222" s="193"/>
      <c r="AY222" s="193"/>
      <c r="AZ222" s="193"/>
      <c r="BA222" s="193"/>
      <c r="BB222" s="193"/>
      <c r="BC222" s="193"/>
      <c r="BD222" s="193"/>
      <c r="BE222" s="193"/>
      <c r="BF222" s="193"/>
      <c r="BG222" s="193"/>
      <c r="BH222" s="193"/>
      <c r="BI222" s="193"/>
      <c r="BJ222" s="193"/>
      <c r="BK222" s="193"/>
      <c r="BL222" s="193"/>
      <c r="BM222" s="193"/>
    </row>
    <row r="223" spans="1:65" x14ac:dyDescent="0.2">
      <c r="A223" s="400">
        <v>46</v>
      </c>
      <c r="B223" s="418" t="s">
        <v>580</v>
      </c>
      <c r="C223" s="422" t="s">
        <v>453</v>
      </c>
      <c r="D223" s="405" t="s">
        <v>248</v>
      </c>
      <c r="E223" s="410" t="s">
        <v>126</v>
      </c>
      <c r="F223" s="405" t="s">
        <v>582</v>
      </c>
      <c r="G223" s="413" t="s">
        <v>585</v>
      </c>
      <c r="H223" s="132"/>
      <c r="I223" s="132"/>
      <c r="J223" s="132"/>
      <c r="K223" s="410" t="s">
        <v>578</v>
      </c>
      <c r="L223" s="405" t="s">
        <v>581</v>
      </c>
      <c r="M223" s="405" t="s">
        <v>250</v>
      </c>
      <c r="N223" s="431">
        <v>42265</v>
      </c>
      <c r="O223" s="435">
        <v>774739.88</v>
      </c>
      <c r="P223" s="438" t="s">
        <v>796</v>
      </c>
      <c r="Q223" s="431">
        <v>42265</v>
      </c>
      <c r="R223" s="431">
        <f>N223+180</f>
        <v>42445</v>
      </c>
      <c r="S223" s="427" t="s">
        <v>583</v>
      </c>
      <c r="T223" s="431"/>
      <c r="U223" s="427"/>
      <c r="V223" s="427"/>
      <c r="W223" s="427" t="s">
        <v>251</v>
      </c>
      <c r="X223" s="24"/>
      <c r="Y223" s="5"/>
      <c r="Z223" s="193"/>
      <c r="AA223" s="193"/>
      <c r="AB223" s="193"/>
      <c r="AC223" s="193"/>
      <c r="AD223" s="193"/>
      <c r="AE223" s="63"/>
      <c r="AF223" s="193"/>
      <c r="AG223" s="195"/>
      <c r="AH223" s="194"/>
      <c r="AI223" s="196"/>
      <c r="AJ223" s="196"/>
      <c r="AK223" s="196"/>
      <c r="AL223" s="487">
        <f>O223-AH223+AG223-AH224+AG224-AH225+AG225-AH226+AG226-AH227+AG227-AH228+AG228</f>
        <v>811039.3899999999</v>
      </c>
      <c r="AM223" s="500">
        <f>107757.92+0+0+0+307200</f>
        <v>414957.92</v>
      </c>
      <c r="AN223" s="663">
        <f>248723.54+102400</f>
        <v>351123.54000000004</v>
      </c>
      <c r="AO223" s="487">
        <f>AM223+AN223</f>
        <v>766081.46</v>
      </c>
      <c r="AP223" s="193"/>
      <c r="AQ223" s="193"/>
      <c r="AR223" s="193"/>
      <c r="AS223" s="193"/>
      <c r="AT223" s="193"/>
      <c r="AU223" s="193"/>
      <c r="AV223" s="193"/>
      <c r="AW223" s="193"/>
      <c r="AX223" s="193"/>
      <c r="AY223" s="193"/>
      <c r="AZ223" s="193"/>
      <c r="BA223" s="193"/>
      <c r="BB223" s="410" t="s">
        <v>396</v>
      </c>
      <c r="BC223" s="410" t="s">
        <v>184</v>
      </c>
      <c r="BD223" s="178">
        <v>42282</v>
      </c>
      <c r="BE223" s="117">
        <f>BD223+150</f>
        <v>42432</v>
      </c>
      <c r="BF223" s="193"/>
      <c r="BG223" s="193"/>
      <c r="BH223" s="178">
        <v>42282</v>
      </c>
      <c r="BI223" s="576" t="s">
        <v>1216</v>
      </c>
      <c r="BJ223" s="576" t="s">
        <v>1217</v>
      </c>
      <c r="BK223" s="193"/>
      <c r="BL223" s="193"/>
      <c r="BM223" s="193"/>
    </row>
    <row r="224" spans="1:65" ht="102" x14ac:dyDescent="0.2">
      <c r="A224" s="401"/>
      <c r="B224" s="421"/>
      <c r="C224" s="423"/>
      <c r="D224" s="409"/>
      <c r="E224" s="411"/>
      <c r="F224" s="409"/>
      <c r="G224" s="414"/>
      <c r="H224" s="457"/>
      <c r="I224" s="457"/>
      <c r="J224" s="457"/>
      <c r="K224" s="411"/>
      <c r="L224" s="409"/>
      <c r="M224" s="409"/>
      <c r="N224" s="437"/>
      <c r="O224" s="436"/>
      <c r="P224" s="448"/>
      <c r="Q224" s="437"/>
      <c r="R224" s="437"/>
      <c r="S224" s="429"/>
      <c r="T224" s="437"/>
      <c r="U224" s="429"/>
      <c r="V224" s="429"/>
      <c r="W224" s="429"/>
      <c r="X224" s="25"/>
      <c r="Y224" s="5" t="s">
        <v>138</v>
      </c>
      <c r="Z224" s="178">
        <v>42432</v>
      </c>
      <c r="AA224" s="208">
        <v>11777</v>
      </c>
      <c r="AB224" s="20" t="s">
        <v>860</v>
      </c>
      <c r="AC224" s="178">
        <v>42445</v>
      </c>
      <c r="AD224" s="178">
        <v>42629</v>
      </c>
      <c r="AE224" s="63"/>
      <c r="AF224" s="193"/>
      <c r="AG224" s="195"/>
      <c r="AH224" s="194"/>
      <c r="AI224" s="197"/>
      <c r="AJ224" s="197"/>
      <c r="AK224" s="197"/>
      <c r="AL224" s="528"/>
      <c r="AM224" s="532"/>
      <c r="AN224" s="664"/>
      <c r="AO224" s="528"/>
      <c r="AP224" s="193"/>
      <c r="AQ224" s="193"/>
      <c r="AR224" s="193"/>
      <c r="AS224" s="193"/>
      <c r="AT224" s="193"/>
      <c r="AU224" s="193"/>
      <c r="AV224" s="193"/>
      <c r="AW224" s="193"/>
      <c r="AX224" s="193"/>
      <c r="AY224" s="193"/>
      <c r="AZ224" s="193"/>
      <c r="BA224" s="193"/>
      <c r="BB224" s="411"/>
      <c r="BC224" s="411"/>
      <c r="BD224" s="178">
        <v>42432</v>
      </c>
      <c r="BE224" s="117" t="s">
        <v>859</v>
      </c>
      <c r="BF224" s="193"/>
      <c r="BG224" s="193"/>
      <c r="BH224" s="178"/>
      <c r="BI224" s="578"/>
      <c r="BJ224" s="578"/>
      <c r="BK224" s="193"/>
      <c r="BL224" s="193"/>
      <c r="BM224" s="193"/>
    </row>
    <row r="225" spans="1:65" ht="89.25" x14ac:dyDescent="0.2">
      <c r="A225" s="401"/>
      <c r="B225" s="421"/>
      <c r="C225" s="423"/>
      <c r="D225" s="409"/>
      <c r="E225" s="411"/>
      <c r="F225" s="409"/>
      <c r="G225" s="414"/>
      <c r="H225" s="429"/>
      <c r="I225" s="429"/>
      <c r="J225" s="429"/>
      <c r="K225" s="411"/>
      <c r="L225" s="409"/>
      <c r="M225" s="409"/>
      <c r="N225" s="437"/>
      <c r="O225" s="436"/>
      <c r="P225" s="448"/>
      <c r="Q225" s="437"/>
      <c r="R225" s="437"/>
      <c r="S225" s="429"/>
      <c r="T225" s="437"/>
      <c r="U225" s="429"/>
      <c r="V225" s="429"/>
      <c r="W225" s="429"/>
      <c r="X225" s="25"/>
      <c r="Y225" s="5" t="s">
        <v>144</v>
      </c>
      <c r="Z225" s="178">
        <v>42585</v>
      </c>
      <c r="AA225" s="208">
        <v>11876</v>
      </c>
      <c r="AB225" s="20" t="s">
        <v>970</v>
      </c>
      <c r="AC225" s="178">
        <v>42629</v>
      </c>
      <c r="AD225" s="178">
        <v>42810</v>
      </c>
      <c r="AE225" s="63"/>
      <c r="AF225" s="193"/>
      <c r="AG225" s="195"/>
      <c r="AH225" s="194"/>
      <c r="AI225" s="197"/>
      <c r="AJ225" s="575"/>
      <c r="AK225" s="575"/>
      <c r="AL225" s="528"/>
      <c r="AM225" s="532"/>
      <c r="AN225" s="664"/>
      <c r="AO225" s="528"/>
      <c r="AP225" s="193"/>
      <c r="AQ225" s="193"/>
      <c r="AR225" s="193"/>
      <c r="AS225" s="193"/>
      <c r="AT225" s="193"/>
      <c r="AU225" s="193"/>
      <c r="AV225" s="193"/>
      <c r="AW225" s="193"/>
      <c r="AX225" s="193"/>
      <c r="AY225" s="193"/>
      <c r="AZ225" s="193"/>
      <c r="BA225" s="193"/>
      <c r="BB225" s="411"/>
      <c r="BC225" s="411"/>
      <c r="BD225" s="178">
        <v>42585</v>
      </c>
      <c r="BE225" s="117" t="s">
        <v>969</v>
      </c>
      <c r="BF225" s="193"/>
      <c r="BG225" s="193"/>
      <c r="BH225" s="178"/>
      <c r="BI225" s="578"/>
      <c r="BJ225" s="578"/>
      <c r="BK225" s="193"/>
      <c r="BL225" s="193"/>
      <c r="BM225" s="193"/>
    </row>
    <row r="226" spans="1:65" ht="102" x14ac:dyDescent="0.2">
      <c r="A226" s="401"/>
      <c r="B226" s="421"/>
      <c r="C226" s="423"/>
      <c r="D226" s="409"/>
      <c r="E226" s="411"/>
      <c r="F226" s="409"/>
      <c r="G226" s="414"/>
      <c r="H226" s="429"/>
      <c r="I226" s="429"/>
      <c r="J226" s="429"/>
      <c r="K226" s="411"/>
      <c r="L226" s="409"/>
      <c r="M226" s="409"/>
      <c r="N226" s="437"/>
      <c r="O226" s="436"/>
      <c r="P226" s="448"/>
      <c r="Q226" s="437"/>
      <c r="R226" s="437"/>
      <c r="S226" s="429"/>
      <c r="T226" s="437"/>
      <c r="U226" s="429"/>
      <c r="V226" s="429"/>
      <c r="W226" s="429"/>
      <c r="X226" s="429"/>
      <c r="Y226" s="5" t="s">
        <v>193</v>
      </c>
      <c r="Z226" s="178">
        <v>42599</v>
      </c>
      <c r="AA226" s="208">
        <v>11876</v>
      </c>
      <c r="AB226" s="20" t="s">
        <v>971</v>
      </c>
      <c r="AC226" s="178"/>
      <c r="AD226" s="178"/>
      <c r="AE226" s="63"/>
      <c r="AF226" s="193"/>
      <c r="AG226" s="195">
        <v>32230.19</v>
      </c>
      <c r="AH226" s="194"/>
      <c r="AI226" s="575"/>
      <c r="AJ226" s="575"/>
      <c r="AK226" s="575"/>
      <c r="AL226" s="528"/>
      <c r="AM226" s="532"/>
      <c r="AN226" s="664"/>
      <c r="AO226" s="528"/>
      <c r="AP226" s="193"/>
      <c r="AQ226" s="193"/>
      <c r="AR226" s="193"/>
      <c r="AS226" s="193"/>
      <c r="AT226" s="193"/>
      <c r="AU226" s="193"/>
      <c r="AV226" s="193"/>
      <c r="AW226" s="193"/>
      <c r="AX226" s="193"/>
      <c r="AY226" s="193"/>
      <c r="AZ226" s="193"/>
      <c r="BA226" s="193"/>
      <c r="BB226" s="411"/>
      <c r="BC226" s="411"/>
      <c r="BD226" s="178"/>
      <c r="BE226" s="117"/>
      <c r="BF226" s="193"/>
      <c r="BG226" s="193"/>
      <c r="BH226" s="178"/>
      <c r="BI226" s="577"/>
      <c r="BJ226" s="577"/>
      <c r="BK226" s="193"/>
      <c r="BL226" s="193"/>
      <c r="BM226" s="193"/>
    </row>
    <row r="227" spans="1:65" ht="127.5" x14ac:dyDescent="0.2">
      <c r="A227" s="401"/>
      <c r="B227" s="421"/>
      <c r="C227" s="423"/>
      <c r="D227" s="409"/>
      <c r="E227" s="411"/>
      <c r="F227" s="409"/>
      <c r="G227" s="409"/>
      <c r="H227" s="429"/>
      <c r="I227" s="429"/>
      <c r="J227" s="429"/>
      <c r="K227" s="411"/>
      <c r="L227" s="409"/>
      <c r="M227" s="409"/>
      <c r="N227" s="429"/>
      <c r="O227" s="429"/>
      <c r="P227" s="429"/>
      <c r="Q227" s="429"/>
      <c r="R227" s="429"/>
      <c r="S227" s="429"/>
      <c r="T227" s="429"/>
      <c r="U227" s="429"/>
      <c r="V227" s="429"/>
      <c r="W227" s="429"/>
      <c r="X227" s="429"/>
      <c r="Y227" s="5" t="s">
        <v>194</v>
      </c>
      <c r="Z227" s="178">
        <v>42726</v>
      </c>
      <c r="AA227" s="208">
        <v>11968</v>
      </c>
      <c r="AB227" s="20" t="s">
        <v>1366</v>
      </c>
      <c r="AC227" s="178"/>
      <c r="AD227" s="178"/>
      <c r="AE227" s="63"/>
      <c r="AF227" s="193"/>
      <c r="AG227" s="195">
        <v>53655.75</v>
      </c>
      <c r="AH227" s="194">
        <v>49586.43</v>
      </c>
      <c r="AI227" s="575"/>
      <c r="AJ227" s="575"/>
      <c r="AK227" s="575"/>
      <c r="AL227" s="528"/>
      <c r="AM227" s="532"/>
      <c r="AN227" s="664"/>
      <c r="AO227" s="528"/>
      <c r="AP227" s="193"/>
      <c r="AQ227" s="193"/>
      <c r="AR227" s="193"/>
      <c r="AS227" s="193"/>
      <c r="AT227" s="193"/>
      <c r="AU227" s="193"/>
      <c r="AV227" s="193"/>
      <c r="AW227" s="193"/>
      <c r="AX227" s="193"/>
      <c r="AY227" s="193"/>
      <c r="AZ227" s="193"/>
      <c r="BA227" s="193"/>
      <c r="BB227" s="411"/>
      <c r="BC227" s="411"/>
      <c r="BD227" s="178"/>
      <c r="BE227" s="117"/>
      <c r="BF227" s="193"/>
      <c r="BG227" s="193"/>
      <c r="BH227" s="178"/>
      <c r="BI227" s="206"/>
      <c r="BJ227" s="206"/>
      <c r="BK227" s="193"/>
      <c r="BL227" s="193"/>
      <c r="BM227" s="193"/>
    </row>
    <row r="228" spans="1:65" ht="76.5" x14ac:dyDescent="0.2">
      <c r="A228" s="401"/>
      <c r="B228" s="421"/>
      <c r="C228" s="423"/>
      <c r="D228" s="409"/>
      <c r="E228" s="411"/>
      <c r="F228" s="409"/>
      <c r="G228" s="409"/>
      <c r="H228" s="429"/>
      <c r="I228" s="429"/>
      <c r="J228" s="429"/>
      <c r="K228" s="411"/>
      <c r="L228" s="409"/>
      <c r="M228" s="409"/>
      <c r="N228" s="429"/>
      <c r="O228" s="429"/>
      <c r="P228" s="429"/>
      <c r="Q228" s="429"/>
      <c r="R228" s="429"/>
      <c r="S228" s="429"/>
      <c r="T228" s="429"/>
      <c r="U228" s="429"/>
      <c r="V228" s="429"/>
      <c r="W228" s="429"/>
      <c r="X228" s="428"/>
      <c r="Y228" s="5" t="s">
        <v>195</v>
      </c>
      <c r="Z228" s="178">
        <v>42738</v>
      </c>
      <c r="AA228" s="208">
        <v>11997</v>
      </c>
      <c r="AB228" s="20" t="s">
        <v>1364</v>
      </c>
      <c r="AC228" s="178">
        <v>42810</v>
      </c>
      <c r="AD228" s="178">
        <v>42994</v>
      </c>
      <c r="AE228" s="63"/>
      <c r="AF228" s="193"/>
      <c r="AG228" s="195"/>
      <c r="AH228" s="194"/>
      <c r="AI228" s="534"/>
      <c r="AJ228" s="534"/>
      <c r="AK228" s="534"/>
      <c r="AL228" s="528"/>
      <c r="AM228" s="532"/>
      <c r="AN228" s="664"/>
      <c r="AO228" s="528"/>
      <c r="AP228" s="193"/>
      <c r="AQ228" s="193"/>
      <c r="AR228" s="193"/>
      <c r="AS228" s="193"/>
      <c r="AT228" s="193"/>
      <c r="AU228" s="193"/>
      <c r="AV228" s="193"/>
      <c r="AW228" s="193"/>
      <c r="AX228" s="193"/>
      <c r="AY228" s="193"/>
      <c r="AZ228" s="193"/>
      <c r="BA228" s="193"/>
      <c r="BB228" s="411"/>
      <c r="BC228" s="411"/>
      <c r="BD228" s="178">
        <v>42738</v>
      </c>
      <c r="BE228" s="117" t="s">
        <v>1365</v>
      </c>
      <c r="BF228" s="193"/>
      <c r="BG228" s="193"/>
      <c r="BH228" s="178"/>
      <c r="BI228" s="206"/>
      <c r="BJ228" s="206"/>
      <c r="BK228" s="193"/>
      <c r="BL228" s="193"/>
      <c r="BM228" s="193"/>
    </row>
    <row r="229" spans="1:65" ht="63.75" x14ac:dyDescent="0.2">
      <c r="A229" s="402"/>
      <c r="B229" s="419"/>
      <c r="C229" s="424"/>
      <c r="D229" s="406"/>
      <c r="E229" s="412"/>
      <c r="F229" s="406"/>
      <c r="G229" s="406"/>
      <c r="H229" s="428"/>
      <c r="I229" s="428"/>
      <c r="J229" s="428"/>
      <c r="K229" s="412"/>
      <c r="L229" s="406"/>
      <c r="M229" s="406"/>
      <c r="N229" s="428"/>
      <c r="O229" s="428"/>
      <c r="P229" s="428"/>
      <c r="Q229" s="428"/>
      <c r="R229" s="428"/>
      <c r="S229" s="428"/>
      <c r="T229" s="428"/>
      <c r="U229" s="428"/>
      <c r="V229" s="428"/>
      <c r="W229" s="428"/>
      <c r="X229" s="61" t="s">
        <v>1470</v>
      </c>
      <c r="Y229" s="5" t="s">
        <v>118</v>
      </c>
      <c r="Z229" s="178">
        <v>42993</v>
      </c>
      <c r="AA229" s="208">
        <v>12156</v>
      </c>
      <c r="AB229" s="20" t="s">
        <v>1973</v>
      </c>
      <c r="AC229" s="178">
        <v>42994</v>
      </c>
      <c r="AD229" s="178">
        <v>43175</v>
      </c>
      <c r="AE229" s="63"/>
      <c r="AF229" s="193"/>
      <c r="AG229" s="195"/>
      <c r="AH229" s="194"/>
      <c r="AI229" s="222"/>
      <c r="AJ229" s="222"/>
      <c r="AK229" s="222"/>
      <c r="AL229" s="488"/>
      <c r="AM229" s="501"/>
      <c r="AN229" s="665"/>
      <c r="AO229" s="488"/>
      <c r="AP229" s="193"/>
      <c r="AQ229" s="193"/>
      <c r="AR229" s="193"/>
      <c r="AS229" s="193"/>
      <c r="AT229" s="193"/>
      <c r="AU229" s="193"/>
      <c r="AV229" s="193"/>
      <c r="AW229" s="193"/>
      <c r="AX229" s="193"/>
      <c r="AY229" s="193"/>
      <c r="AZ229" s="193"/>
      <c r="BA229" s="193"/>
      <c r="BB229" s="412"/>
      <c r="BC229" s="412"/>
      <c r="BD229" s="178"/>
      <c r="BE229" s="117"/>
      <c r="BF229" s="193"/>
      <c r="BG229" s="193"/>
      <c r="BH229" s="178"/>
      <c r="BI229" s="206"/>
      <c r="BJ229" s="206"/>
      <c r="BK229" s="193"/>
      <c r="BL229" s="193"/>
      <c r="BM229" s="193"/>
    </row>
    <row r="230" spans="1:65" ht="102" x14ac:dyDescent="0.2">
      <c r="A230" s="400">
        <v>47</v>
      </c>
      <c r="B230" s="418" t="s">
        <v>596</v>
      </c>
      <c r="C230" s="422" t="s">
        <v>450</v>
      </c>
      <c r="D230" s="405" t="s">
        <v>196</v>
      </c>
      <c r="E230" s="410" t="s">
        <v>126</v>
      </c>
      <c r="F230" s="405" t="s">
        <v>597</v>
      </c>
      <c r="G230" s="425" t="s">
        <v>601</v>
      </c>
      <c r="H230" s="439" t="s">
        <v>512</v>
      </c>
      <c r="I230" s="453">
        <v>42191</v>
      </c>
      <c r="J230" s="453">
        <v>42557</v>
      </c>
      <c r="K230" s="410" t="s">
        <v>579</v>
      </c>
      <c r="L230" s="405" t="s">
        <v>598</v>
      </c>
      <c r="M230" s="405" t="s">
        <v>599</v>
      </c>
      <c r="N230" s="431">
        <v>42277</v>
      </c>
      <c r="O230" s="435">
        <v>57424.32</v>
      </c>
      <c r="P230" s="438" t="s">
        <v>797</v>
      </c>
      <c r="Q230" s="431">
        <v>42278</v>
      </c>
      <c r="R230" s="431">
        <v>42644</v>
      </c>
      <c r="S230" s="410" t="s">
        <v>136</v>
      </c>
      <c r="T230" s="432"/>
      <c r="U230" s="410"/>
      <c r="V230" s="410"/>
      <c r="W230" s="410" t="s">
        <v>137</v>
      </c>
      <c r="X230" s="204"/>
      <c r="Y230" s="5" t="s">
        <v>138</v>
      </c>
      <c r="Z230" s="178">
        <v>42430</v>
      </c>
      <c r="AA230" s="208">
        <v>11760</v>
      </c>
      <c r="AB230" s="20" t="s">
        <v>740</v>
      </c>
      <c r="AC230" s="193"/>
      <c r="AD230" s="193"/>
      <c r="AE230" s="63"/>
      <c r="AF230" s="193"/>
      <c r="AG230" s="195">
        <f>4785.36*5+4690.22*7</f>
        <v>56758.34</v>
      </c>
      <c r="AH230" s="194">
        <f>4785.36*12</f>
        <v>57424.319999999992</v>
      </c>
      <c r="AI230" s="196"/>
      <c r="AJ230" s="196"/>
      <c r="AK230" s="196"/>
      <c r="AL230" s="487">
        <f>O230-AH230+AG230-AH231+AG231-AH232+AG232-AH233+AG233</f>
        <v>186219.38</v>
      </c>
      <c r="AM230" s="500">
        <f>13239.68+4785.36+0+4785.36+9380.44+4690.22+4690.22+4690.22+4690.22+4690.22+4690.22+9380.44</f>
        <v>69712.600000000006</v>
      </c>
      <c r="AN230" s="529">
        <f>4690.22+4690.22+4690.22+4690.22+10185+9517.58+5494.78+5949.78+10989.56</f>
        <v>60897.579999999994</v>
      </c>
      <c r="AO230" s="487">
        <f>AM230+AN230</f>
        <v>130610.18</v>
      </c>
      <c r="AP230" s="223" t="s">
        <v>512</v>
      </c>
      <c r="AQ230" s="224">
        <v>42191</v>
      </c>
      <c r="AR230" s="224">
        <v>42557</v>
      </c>
      <c r="AS230" s="208" t="s">
        <v>850</v>
      </c>
      <c r="AT230" s="20" t="s">
        <v>600</v>
      </c>
      <c r="AU230" s="208" t="s">
        <v>850</v>
      </c>
      <c r="AV230" s="193"/>
      <c r="AW230" s="193"/>
      <c r="AX230" s="193"/>
      <c r="AY230" s="193"/>
      <c r="AZ230" s="193"/>
      <c r="BA230" s="193"/>
      <c r="BB230" s="20"/>
      <c r="BC230" s="20"/>
      <c r="BD230" s="178"/>
      <c r="BE230" s="2"/>
      <c r="BF230" s="193"/>
      <c r="BG230" s="193"/>
      <c r="BH230" s="193"/>
      <c r="BI230" s="193"/>
      <c r="BJ230" s="193"/>
      <c r="BK230" s="193"/>
      <c r="BL230" s="193"/>
      <c r="BM230" s="193"/>
    </row>
    <row r="231" spans="1:65" ht="51" x14ac:dyDescent="0.2">
      <c r="A231" s="401"/>
      <c r="B231" s="421"/>
      <c r="C231" s="423"/>
      <c r="D231" s="409"/>
      <c r="E231" s="411"/>
      <c r="F231" s="409"/>
      <c r="G231" s="426"/>
      <c r="H231" s="458"/>
      <c r="I231" s="458"/>
      <c r="J231" s="458"/>
      <c r="K231" s="411"/>
      <c r="L231" s="409"/>
      <c r="M231" s="409"/>
      <c r="N231" s="437"/>
      <c r="O231" s="436"/>
      <c r="P231" s="448"/>
      <c r="Q231" s="437"/>
      <c r="R231" s="437"/>
      <c r="S231" s="411"/>
      <c r="T231" s="433"/>
      <c r="U231" s="411"/>
      <c r="V231" s="411"/>
      <c r="W231" s="411"/>
      <c r="X231" s="206"/>
      <c r="Y231" s="5" t="s">
        <v>144</v>
      </c>
      <c r="Z231" s="178">
        <v>42643</v>
      </c>
      <c r="AA231" s="208">
        <v>11909</v>
      </c>
      <c r="AB231" s="20" t="s">
        <v>1006</v>
      </c>
      <c r="AC231" s="178">
        <v>42644</v>
      </c>
      <c r="AD231" s="178">
        <v>43009</v>
      </c>
      <c r="AE231" s="63"/>
      <c r="AF231" s="193"/>
      <c r="AG231" s="195">
        <v>56282.64</v>
      </c>
      <c r="AH231" s="194"/>
      <c r="AI231" s="198"/>
      <c r="AJ231" s="198"/>
      <c r="AK231" s="198"/>
      <c r="AL231" s="528"/>
      <c r="AM231" s="532"/>
      <c r="AN231" s="530"/>
      <c r="AO231" s="528"/>
      <c r="AP231" s="223"/>
      <c r="AQ231" s="223"/>
      <c r="AR231" s="223"/>
      <c r="AS231" s="208"/>
      <c r="AT231" s="20"/>
      <c r="AU231" s="208"/>
      <c r="AV231" s="193"/>
      <c r="AW231" s="193"/>
      <c r="AX231" s="193"/>
      <c r="AY231" s="193"/>
      <c r="AZ231" s="193"/>
      <c r="BA231" s="193"/>
      <c r="BB231" s="20"/>
      <c r="BC231" s="20"/>
      <c r="BD231" s="178"/>
      <c r="BE231" s="2"/>
      <c r="BF231" s="193"/>
      <c r="BG231" s="193"/>
      <c r="BH231" s="193"/>
      <c r="BI231" s="193"/>
      <c r="BJ231" s="193"/>
      <c r="BK231" s="193"/>
      <c r="BL231" s="193"/>
      <c r="BM231" s="193"/>
    </row>
    <row r="232" spans="1:65" ht="127.5" x14ac:dyDescent="0.2">
      <c r="A232" s="401"/>
      <c r="B232" s="421"/>
      <c r="C232" s="423"/>
      <c r="D232" s="409"/>
      <c r="E232" s="411"/>
      <c r="F232" s="409"/>
      <c r="G232" s="409"/>
      <c r="H232" s="411"/>
      <c r="I232" s="411"/>
      <c r="J232" s="411"/>
      <c r="K232" s="411"/>
      <c r="L232" s="409"/>
      <c r="M232" s="409"/>
      <c r="N232" s="429"/>
      <c r="O232" s="429"/>
      <c r="P232" s="429"/>
      <c r="Q232" s="429"/>
      <c r="R232" s="429"/>
      <c r="S232" s="411"/>
      <c r="T232" s="411"/>
      <c r="U232" s="411"/>
      <c r="V232" s="411"/>
      <c r="W232" s="411"/>
      <c r="X232" s="206" t="s">
        <v>498</v>
      </c>
      <c r="Y232" s="5" t="s">
        <v>193</v>
      </c>
      <c r="Z232" s="178">
        <v>42891</v>
      </c>
      <c r="AA232" s="208">
        <v>12075</v>
      </c>
      <c r="AB232" s="20" t="s">
        <v>1664</v>
      </c>
      <c r="AC232" s="178"/>
      <c r="AD232" s="178"/>
      <c r="AE232" s="63"/>
      <c r="AF232" s="193"/>
      <c r="AG232" s="195">
        <v>7241.04</v>
      </c>
      <c r="AH232" s="194"/>
      <c r="AI232" s="198"/>
      <c r="AJ232" s="198"/>
      <c r="AK232" s="198"/>
      <c r="AL232" s="528"/>
      <c r="AM232" s="532"/>
      <c r="AN232" s="530"/>
      <c r="AO232" s="528"/>
      <c r="AP232" s="223"/>
      <c r="AQ232" s="223"/>
      <c r="AR232" s="223"/>
      <c r="AS232" s="208"/>
      <c r="AT232" s="20"/>
      <c r="AU232" s="208"/>
      <c r="AV232" s="193"/>
      <c r="AW232" s="193"/>
      <c r="AX232" s="193"/>
      <c r="AY232" s="193"/>
      <c r="AZ232" s="193"/>
      <c r="BA232" s="193"/>
      <c r="BB232" s="20"/>
      <c r="BC232" s="20"/>
      <c r="BD232" s="178"/>
      <c r="BE232" s="2"/>
      <c r="BF232" s="193"/>
      <c r="BG232" s="193"/>
      <c r="BH232" s="193"/>
      <c r="BI232" s="193"/>
      <c r="BJ232" s="193"/>
      <c r="BK232" s="193"/>
      <c r="BL232" s="193"/>
      <c r="BM232" s="193"/>
    </row>
    <row r="233" spans="1:65" ht="51" x14ac:dyDescent="0.2">
      <c r="A233" s="402"/>
      <c r="B233" s="419"/>
      <c r="C233" s="424"/>
      <c r="D233" s="406"/>
      <c r="E233" s="412"/>
      <c r="F233" s="406"/>
      <c r="G233" s="406"/>
      <c r="H233" s="412"/>
      <c r="I233" s="412"/>
      <c r="J233" s="412"/>
      <c r="K233" s="412"/>
      <c r="L233" s="406"/>
      <c r="M233" s="406"/>
      <c r="N233" s="428"/>
      <c r="O233" s="428"/>
      <c r="P233" s="428"/>
      <c r="Q233" s="428"/>
      <c r="R233" s="428"/>
      <c r="S233" s="412"/>
      <c r="T233" s="412"/>
      <c r="U233" s="412"/>
      <c r="V233" s="412"/>
      <c r="W233" s="412"/>
      <c r="X233" s="206" t="s">
        <v>1470</v>
      </c>
      <c r="Y233" s="5" t="s">
        <v>194</v>
      </c>
      <c r="Z233" s="178">
        <v>43007</v>
      </c>
      <c r="AA233" s="208">
        <v>12155</v>
      </c>
      <c r="AB233" s="20" t="s">
        <v>1972</v>
      </c>
      <c r="AC233" s="178">
        <v>43009</v>
      </c>
      <c r="AD233" s="178">
        <v>43374</v>
      </c>
      <c r="AE233" s="63"/>
      <c r="AF233" s="193"/>
      <c r="AG233" s="195">
        <v>65937.36</v>
      </c>
      <c r="AH233" s="194"/>
      <c r="AI233" s="198"/>
      <c r="AJ233" s="198"/>
      <c r="AK233" s="198"/>
      <c r="AL233" s="488"/>
      <c r="AM233" s="501"/>
      <c r="AN233" s="531"/>
      <c r="AO233" s="488"/>
      <c r="AP233" s="223"/>
      <c r="AQ233" s="223"/>
      <c r="AR233" s="223"/>
      <c r="AS233" s="208"/>
      <c r="AT233" s="20"/>
      <c r="AU233" s="208"/>
      <c r="AV233" s="193"/>
      <c r="AW233" s="193"/>
      <c r="AX233" s="193"/>
      <c r="AY233" s="193"/>
      <c r="AZ233" s="193"/>
      <c r="BA233" s="193"/>
      <c r="BB233" s="20"/>
      <c r="BC233" s="20"/>
      <c r="BD233" s="178"/>
      <c r="BE233" s="2"/>
      <c r="BF233" s="193"/>
      <c r="BG233" s="193"/>
      <c r="BH233" s="193"/>
      <c r="BI233" s="193"/>
      <c r="BJ233" s="193"/>
      <c r="BK233" s="193"/>
      <c r="BL233" s="193"/>
      <c r="BM233" s="193"/>
    </row>
    <row r="234" spans="1:65" ht="38.25" x14ac:dyDescent="0.2">
      <c r="A234" s="400">
        <v>48</v>
      </c>
      <c r="B234" s="418" t="s">
        <v>603</v>
      </c>
      <c r="C234" s="422" t="s">
        <v>450</v>
      </c>
      <c r="D234" s="405" t="s">
        <v>278</v>
      </c>
      <c r="E234" s="410" t="s">
        <v>372</v>
      </c>
      <c r="F234" s="405" t="s">
        <v>604</v>
      </c>
      <c r="G234" s="407" t="s">
        <v>605</v>
      </c>
      <c r="H234" s="449"/>
      <c r="I234" s="449"/>
      <c r="J234" s="449"/>
      <c r="K234" s="410" t="s">
        <v>602</v>
      </c>
      <c r="L234" s="405" t="s">
        <v>417</v>
      </c>
      <c r="M234" s="405" t="s">
        <v>529</v>
      </c>
      <c r="N234" s="432">
        <v>42284</v>
      </c>
      <c r="O234" s="487">
        <v>1400000</v>
      </c>
      <c r="P234" s="443" t="s">
        <v>798</v>
      </c>
      <c r="Q234" s="432">
        <v>42284</v>
      </c>
      <c r="R234" s="432">
        <v>42650</v>
      </c>
      <c r="S234" s="410" t="s">
        <v>135</v>
      </c>
      <c r="T234" s="576"/>
      <c r="U234" s="576"/>
      <c r="V234" s="576"/>
      <c r="W234" s="576" t="s">
        <v>137</v>
      </c>
      <c r="X234" s="193"/>
      <c r="Y234" s="5" t="s">
        <v>138</v>
      </c>
      <c r="Z234" s="178">
        <v>42650</v>
      </c>
      <c r="AA234" s="208">
        <v>11919</v>
      </c>
      <c r="AB234" s="20" t="s">
        <v>1032</v>
      </c>
      <c r="AC234" s="178">
        <v>42650</v>
      </c>
      <c r="AD234" s="178">
        <v>43015</v>
      </c>
      <c r="AE234" s="63"/>
      <c r="AF234" s="193"/>
      <c r="AG234" s="195">
        <v>1400000</v>
      </c>
      <c r="AH234" s="194"/>
      <c r="AI234" s="194"/>
      <c r="AJ234" s="194"/>
      <c r="AK234" s="194"/>
      <c r="AL234" s="487">
        <f>O234-AH234+AG234-AH235+AG235</f>
        <v>4200000</v>
      </c>
      <c r="AM234" s="500">
        <f>117675.04+0+103483.28+124957.8+0+121582.3+110720.23+138753.65+150073.4+100000+230864.73</f>
        <v>1198110.4300000002</v>
      </c>
      <c r="AN234" s="529">
        <f>0+169441.47+84107.04+72720.09+99939.25+85260.1+110959.01+74092.81+73875.25</f>
        <v>770395.02</v>
      </c>
      <c r="AO234" s="487">
        <f>AM234+AN234</f>
        <v>1968505.4500000002</v>
      </c>
      <c r="AP234" s="193"/>
      <c r="AQ234" s="193"/>
      <c r="AR234" s="193"/>
      <c r="AS234" s="193"/>
      <c r="AT234" s="193"/>
      <c r="AU234" s="193"/>
      <c r="AV234" s="193"/>
      <c r="AW234" s="193"/>
      <c r="AX234" s="193"/>
      <c r="AY234" s="193"/>
      <c r="AZ234" s="193"/>
      <c r="BA234" s="193"/>
      <c r="BB234" s="20"/>
      <c r="BC234" s="20"/>
      <c r="BD234" s="193"/>
      <c r="BE234" s="193"/>
      <c r="BF234" s="193"/>
      <c r="BG234" s="193"/>
      <c r="BH234" s="193"/>
      <c r="BI234" s="193"/>
      <c r="BJ234" s="193"/>
      <c r="BK234" s="193"/>
      <c r="BL234" s="193"/>
      <c r="BM234" s="193"/>
    </row>
    <row r="235" spans="1:65" ht="38.25" x14ac:dyDescent="0.2">
      <c r="A235" s="402"/>
      <c r="B235" s="419"/>
      <c r="C235" s="424"/>
      <c r="D235" s="406"/>
      <c r="E235" s="412"/>
      <c r="F235" s="406"/>
      <c r="G235" s="406"/>
      <c r="H235" s="412"/>
      <c r="I235" s="412"/>
      <c r="J235" s="412"/>
      <c r="K235" s="412"/>
      <c r="L235" s="406"/>
      <c r="M235" s="406"/>
      <c r="N235" s="412"/>
      <c r="O235" s="412"/>
      <c r="P235" s="412"/>
      <c r="Q235" s="412"/>
      <c r="R235" s="412"/>
      <c r="S235" s="412"/>
      <c r="T235" s="577"/>
      <c r="U235" s="577"/>
      <c r="V235" s="577"/>
      <c r="W235" s="577"/>
      <c r="X235" s="193" t="s">
        <v>1470</v>
      </c>
      <c r="Y235" s="5" t="s">
        <v>144</v>
      </c>
      <c r="Z235" s="178">
        <v>43010</v>
      </c>
      <c r="AA235" s="208">
        <v>12160</v>
      </c>
      <c r="AB235" s="20" t="s">
        <v>1032</v>
      </c>
      <c r="AC235" s="178">
        <v>43015</v>
      </c>
      <c r="AD235" s="178">
        <v>43380</v>
      </c>
      <c r="AE235" s="63"/>
      <c r="AF235" s="193"/>
      <c r="AG235" s="195">
        <v>1400000</v>
      </c>
      <c r="AH235" s="194"/>
      <c r="AI235" s="194"/>
      <c r="AJ235" s="194"/>
      <c r="AK235" s="194"/>
      <c r="AL235" s="488"/>
      <c r="AM235" s="501"/>
      <c r="AN235" s="531"/>
      <c r="AO235" s="488"/>
      <c r="AP235" s="193"/>
      <c r="AQ235" s="193"/>
      <c r="AR235" s="193"/>
      <c r="AS235" s="193"/>
      <c r="AT235" s="193"/>
      <c r="AU235" s="193"/>
      <c r="AV235" s="193"/>
      <c r="AW235" s="193"/>
      <c r="AX235" s="193"/>
      <c r="AY235" s="193"/>
      <c r="AZ235" s="193"/>
      <c r="BA235" s="193"/>
      <c r="BB235" s="20"/>
      <c r="BC235" s="20"/>
      <c r="BD235" s="193"/>
      <c r="BE235" s="193"/>
      <c r="BF235" s="193"/>
      <c r="BG235" s="193"/>
      <c r="BH235" s="193"/>
      <c r="BI235" s="193"/>
      <c r="BJ235" s="193"/>
      <c r="BK235" s="193"/>
      <c r="BL235" s="193"/>
      <c r="BM235" s="193"/>
    </row>
    <row r="236" spans="1:65" ht="51" x14ac:dyDescent="0.2">
      <c r="A236" s="400">
        <v>49</v>
      </c>
      <c r="B236" s="418" t="s">
        <v>596</v>
      </c>
      <c r="C236" s="422" t="s">
        <v>450</v>
      </c>
      <c r="D236" s="405" t="s">
        <v>607</v>
      </c>
      <c r="E236" s="410" t="s">
        <v>126</v>
      </c>
      <c r="F236" s="405" t="s">
        <v>608</v>
      </c>
      <c r="G236" s="425" t="s">
        <v>601</v>
      </c>
      <c r="H236" s="439" t="s">
        <v>512</v>
      </c>
      <c r="I236" s="453">
        <v>42191</v>
      </c>
      <c r="J236" s="453">
        <v>42557</v>
      </c>
      <c r="K236" s="410" t="s">
        <v>606</v>
      </c>
      <c r="L236" s="405" t="s">
        <v>598</v>
      </c>
      <c r="M236" s="405" t="s">
        <v>599</v>
      </c>
      <c r="N236" s="431">
        <v>42290</v>
      </c>
      <c r="O236" s="435">
        <v>56282.64</v>
      </c>
      <c r="P236" s="438" t="s">
        <v>799</v>
      </c>
      <c r="Q236" s="431">
        <v>42290</v>
      </c>
      <c r="R236" s="431">
        <v>42656</v>
      </c>
      <c r="S236" s="427" t="s">
        <v>136</v>
      </c>
      <c r="T236" s="427"/>
      <c r="U236" s="427"/>
      <c r="V236" s="427"/>
      <c r="W236" s="427" t="s">
        <v>137</v>
      </c>
      <c r="X236" s="193"/>
      <c r="Y236" s="5" t="s">
        <v>138</v>
      </c>
      <c r="Z236" s="178">
        <v>42643</v>
      </c>
      <c r="AA236" s="208">
        <v>11909</v>
      </c>
      <c r="AB236" s="20" t="s">
        <v>1006</v>
      </c>
      <c r="AC236" s="178">
        <v>42656</v>
      </c>
      <c r="AD236" s="178">
        <v>43021</v>
      </c>
      <c r="AE236" s="63"/>
      <c r="AF236" s="193"/>
      <c r="AG236" s="195">
        <v>56282.64</v>
      </c>
      <c r="AH236" s="194"/>
      <c r="AI236" s="194"/>
      <c r="AJ236" s="194"/>
      <c r="AK236" s="194"/>
      <c r="AL236" s="487">
        <f>O236-AH236+AG236-AH237+AG237-AH238+AG238</f>
        <v>186092.32</v>
      </c>
      <c r="AM236" s="500">
        <f>9380.44+4690.22+4690.22+4690.22+4690.22+4690.22+4690.22+9380.44</f>
        <v>46902.200000000004</v>
      </c>
      <c r="AN236" s="529">
        <f>4690.22+4690.22+4690.22+4690.22+10185+5494.78+5494.78+5494.78+10989.56</f>
        <v>56419.78</v>
      </c>
      <c r="AO236" s="487">
        <f>AM236+AN236</f>
        <v>103321.98000000001</v>
      </c>
      <c r="AP236" s="223" t="s">
        <v>512</v>
      </c>
      <c r="AQ236" s="224">
        <v>42191</v>
      </c>
      <c r="AR236" s="224">
        <v>42557</v>
      </c>
      <c r="AS236" s="208" t="s">
        <v>850</v>
      </c>
      <c r="AT236" s="20" t="s">
        <v>611</v>
      </c>
      <c r="AU236" s="208" t="s">
        <v>850</v>
      </c>
      <c r="AV236" s="193"/>
      <c r="AW236" s="193"/>
      <c r="AX236" s="193"/>
      <c r="AY236" s="193"/>
      <c r="AZ236" s="193"/>
      <c r="BA236" s="193"/>
      <c r="BB236" s="20"/>
      <c r="BC236" s="20"/>
      <c r="BD236" s="193"/>
      <c r="BE236" s="193"/>
      <c r="BF236" s="193"/>
      <c r="BG236" s="193"/>
      <c r="BH236" s="193"/>
      <c r="BI236" s="193"/>
      <c r="BJ236" s="193"/>
      <c r="BK236" s="193"/>
      <c r="BL236" s="193"/>
      <c r="BM236" s="193"/>
    </row>
    <row r="237" spans="1:65" ht="127.5" x14ac:dyDescent="0.2">
      <c r="A237" s="401"/>
      <c r="B237" s="421"/>
      <c r="C237" s="423"/>
      <c r="D237" s="409"/>
      <c r="E237" s="411"/>
      <c r="F237" s="409"/>
      <c r="G237" s="426"/>
      <c r="H237" s="458"/>
      <c r="I237" s="454"/>
      <c r="J237" s="454"/>
      <c r="K237" s="411"/>
      <c r="L237" s="409"/>
      <c r="M237" s="409"/>
      <c r="N237" s="437"/>
      <c r="O237" s="436"/>
      <c r="P237" s="448"/>
      <c r="Q237" s="437"/>
      <c r="R237" s="437"/>
      <c r="S237" s="429"/>
      <c r="T237" s="429"/>
      <c r="U237" s="429"/>
      <c r="V237" s="429"/>
      <c r="W237" s="429"/>
      <c r="X237" s="5" t="s">
        <v>498</v>
      </c>
      <c r="Y237" s="5" t="s">
        <v>144</v>
      </c>
      <c r="Z237" s="178">
        <v>42891</v>
      </c>
      <c r="AA237" s="208">
        <v>12075</v>
      </c>
      <c r="AB237" s="20" t="s">
        <v>1664</v>
      </c>
      <c r="AC237" s="178"/>
      <c r="AD237" s="178"/>
      <c r="AE237" s="63"/>
      <c r="AF237" s="193"/>
      <c r="AG237" s="195">
        <v>7589.68</v>
      </c>
      <c r="AH237" s="194"/>
      <c r="AI237" s="194"/>
      <c r="AJ237" s="194"/>
      <c r="AK237" s="194"/>
      <c r="AL237" s="528"/>
      <c r="AM237" s="532"/>
      <c r="AN237" s="530"/>
      <c r="AO237" s="528"/>
      <c r="AP237" s="223"/>
      <c r="AQ237" s="224"/>
      <c r="AR237" s="224"/>
      <c r="AS237" s="208"/>
      <c r="AT237" s="20"/>
      <c r="AU237" s="208"/>
      <c r="AV237" s="193"/>
      <c r="AW237" s="193"/>
      <c r="AX237" s="193"/>
      <c r="AY237" s="193"/>
      <c r="AZ237" s="193"/>
      <c r="BA237" s="193"/>
      <c r="BB237" s="20"/>
      <c r="BC237" s="20"/>
      <c r="BD237" s="193"/>
      <c r="BE237" s="193"/>
      <c r="BF237" s="193"/>
      <c r="BG237" s="193"/>
      <c r="BH237" s="193"/>
      <c r="BI237" s="193"/>
      <c r="BJ237" s="193"/>
      <c r="BK237" s="193"/>
      <c r="BL237" s="193"/>
      <c r="BM237" s="193"/>
    </row>
    <row r="238" spans="1:65" ht="63.75" x14ac:dyDescent="0.2">
      <c r="A238" s="402"/>
      <c r="B238" s="419"/>
      <c r="C238" s="424"/>
      <c r="D238" s="406"/>
      <c r="E238" s="412"/>
      <c r="F238" s="406"/>
      <c r="G238" s="459"/>
      <c r="H238" s="440"/>
      <c r="I238" s="455"/>
      <c r="J238" s="455"/>
      <c r="K238" s="412"/>
      <c r="L238" s="406"/>
      <c r="M238" s="406"/>
      <c r="N238" s="428"/>
      <c r="O238" s="428"/>
      <c r="P238" s="428"/>
      <c r="Q238" s="428"/>
      <c r="R238" s="428"/>
      <c r="S238" s="428"/>
      <c r="T238" s="61"/>
      <c r="U238" s="61"/>
      <c r="V238" s="61"/>
      <c r="W238" s="61"/>
      <c r="X238" s="5" t="s">
        <v>1470</v>
      </c>
      <c r="Y238" s="5" t="s">
        <v>193</v>
      </c>
      <c r="Z238" s="178">
        <v>43007</v>
      </c>
      <c r="AA238" s="208">
        <v>12155</v>
      </c>
      <c r="AB238" s="20" t="s">
        <v>1975</v>
      </c>
      <c r="AC238" s="178">
        <v>43021</v>
      </c>
      <c r="AD238" s="178">
        <v>43386</v>
      </c>
      <c r="AE238" s="63"/>
      <c r="AF238" s="193"/>
      <c r="AG238" s="195">
        <v>65937.36</v>
      </c>
      <c r="AH238" s="194"/>
      <c r="AI238" s="194"/>
      <c r="AJ238" s="194"/>
      <c r="AK238" s="194"/>
      <c r="AL238" s="488"/>
      <c r="AM238" s="501"/>
      <c r="AN238" s="531"/>
      <c r="AO238" s="488"/>
      <c r="AP238" s="223"/>
      <c r="AQ238" s="224"/>
      <c r="AR238" s="224"/>
      <c r="AS238" s="208"/>
      <c r="AT238" s="20"/>
      <c r="AU238" s="208"/>
      <c r="AV238" s="193"/>
      <c r="AW238" s="193"/>
      <c r="AX238" s="193"/>
      <c r="AY238" s="193"/>
      <c r="AZ238" s="193"/>
      <c r="BA238" s="193"/>
      <c r="BB238" s="20"/>
      <c r="BC238" s="20"/>
      <c r="BD238" s="193"/>
      <c r="BE238" s="193"/>
      <c r="BF238" s="193"/>
      <c r="BG238" s="193"/>
      <c r="BH238" s="193"/>
      <c r="BI238" s="193"/>
      <c r="BJ238" s="193"/>
      <c r="BK238" s="193"/>
      <c r="BL238" s="193"/>
      <c r="BM238" s="193"/>
    </row>
    <row r="239" spans="1:65" ht="38.25" x14ac:dyDescent="0.2">
      <c r="A239" s="330">
        <v>50</v>
      </c>
      <c r="B239" s="328" t="s">
        <v>727</v>
      </c>
      <c r="C239" s="1" t="s">
        <v>656</v>
      </c>
      <c r="D239" s="20" t="s">
        <v>130</v>
      </c>
      <c r="E239" s="2" t="s">
        <v>126</v>
      </c>
      <c r="F239" s="20" t="s">
        <v>730</v>
      </c>
      <c r="G239" s="71" t="s">
        <v>739</v>
      </c>
      <c r="H239" s="7" t="s">
        <v>652</v>
      </c>
      <c r="I239" s="224">
        <v>42423</v>
      </c>
      <c r="J239" s="224">
        <v>42789</v>
      </c>
      <c r="K239" s="2" t="s">
        <v>721</v>
      </c>
      <c r="L239" s="20" t="s">
        <v>728</v>
      </c>
      <c r="M239" s="20" t="s">
        <v>729</v>
      </c>
      <c r="N239" s="59">
        <v>42429</v>
      </c>
      <c r="O239" s="138">
        <v>462000</v>
      </c>
      <c r="P239" s="207" t="s">
        <v>761</v>
      </c>
      <c r="Q239" s="59">
        <v>42429</v>
      </c>
      <c r="R239" s="59">
        <v>42735</v>
      </c>
      <c r="S239" s="20" t="s">
        <v>614</v>
      </c>
      <c r="T239" s="193"/>
      <c r="U239" s="193"/>
      <c r="V239" s="193"/>
      <c r="W239" s="193" t="s">
        <v>137</v>
      </c>
      <c r="X239" s="193"/>
      <c r="Y239" s="5" t="s">
        <v>138</v>
      </c>
      <c r="Z239" s="178">
        <v>42720</v>
      </c>
      <c r="AA239" s="208">
        <v>11964</v>
      </c>
      <c r="AB239" s="20" t="s">
        <v>1061</v>
      </c>
      <c r="AC239" s="59">
        <v>42735</v>
      </c>
      <c r="AD239" s="59">
        <v>43100</v>
      </c>
      <c r="AE239" s="193"/>
      <c r="AF239" s="193"/>
      <c r="AG239" s="225">
        <v>462000</v>
      </c>
      <c r="AH239" s="193"/>
      <c r="AI239" s="193"/>
      <c r="AJ239" s="193"/>
      <c r="AK239" s="193"/>
      <c r="AL239" s="138">
        <f>O239-AH239+AG239</f>
        <v>924000</v>
      </c>
      <c r="AM239" s="218">
        <f>0+0+0+48330.5+26331+11207.5+34719.35+21454.5+14304+6725+11921.5</f>
        <v>174993.35</v>
      </c>
      <c r="AN239" s="219">
        <f>0+24812+33836.51+23332.5+43238.5+33339.25+29736.55+19723.35+23381+19097.5+23274.55</f>
        <v>273771.71000000002</v>
      </c>
      <c r="AO239" s="138">
        <f>AM239+AN239</f>
        <v>448765.06000000006</v>
      </c>
      <c r="AP239" s="193"/>
      <c r="AQ239" s="193"/>
      <c r="AR239" s="193"/>
      <c r="AS239" s="193"/>
      <c r="AT239" s="193"/>
      <c r="AU239" s="193"/>
      <c r="AV239" s="193"/>
      <c r="AW239" s="193"/>
      <c r="AX239" s="193"/>
      <c r="AY239" s="193"/>
      <c r="AZ239" s="193"/>
      <c r="BA239" s="193"/>
      <c r="BB239" s="20"/>
      <c r="BC239" s="20"/>
      <c r="BD239" s="193"/>
      <c r="BE239" s="193"/>
      <c r="BF239" s="193"/>
      <c r="BG239" s="193"/>
      <c r="BH239" s="193"/>
      <c r="BI239" s="193"/>
      <c r="BJ239" s="193"/>
      <c r="BK239" s="193"/>
      <c r="BL239" s="193"/>
      <c r="BM239" s="193"/>
    </row>
    <row r="240" spans="1:65" ht="51" x14ac:dyDescent="0.2">
      <c r="A240" s="330">
        <v>51</v>
      </c>
      <c r="B240" s="328" t="s">
        <v>727</v>
      </c>
      <c r="C240" s="1" t="s">
        <v>656</v>
      </c>
      <c r="D240" s="20" t="s">
        <v>130</v>
      </c>
      <c r="E240" s="2" t="s">
        <v>126</v>
      </c>
      <c r="F240" s="20" t="s">
        <v>730</v>
      </c>
      <c r="G240" s="71" t="s">
        <v>739</v>
      </c>
      <c r="H240" s="7" t="s">
        <v>652</v>
      </c>
      <c r="I240" s="224">
        <v>42423</v>
      </c>
      <c r="J240" s="224">
        <v>42789</v>
      </c>
      <c r="K240" s="2" t="s">
        <v>722</v>
      </c>
      <c r="L240" s="20" t="s">
        <v>731</v>
      </c>
      <c r="M240" s="20" t="s">
        <v>732</v>
      </c>
      <c r="N240" s="59">
        <v>42429</v>
      </c>
      <c r="O240" s="138">
        <v>90000</v>
      </c>
      <c r="P240" s="207" t="s">
        <v>760</v>
      </c>
      <c r="Q240" s="59">
        <v>42429</v>
      </c>
      <c r="R240" s="59">
        <v>42735</v>
      </c>
      <c r="S240" s="20" t="s">
        <v>614</v>
      </c>
      <c r="T240" s="193"/>
      <c r="U240" s="193"/>
      <c r="V240" s="193"/>
      <c r="W240" s="193" t="s">
        <v>137</v>
      </c>
      <c r="X240" s="193"/>
      <c r="Y240" s="5" t="s">
        <v>138</v>
      </c>
      <c r="Z240" s="178">
        <v>42720</v>
      </c>
      <c r="AA240" s="208">
        <v>11964</v>
      </c>
      <c r="AB240" s="20" t="s">
        <v>1062</v>
      </c>
      <c r="AC240" s="59">
        <v>42735</v>
      </c>
      <c r="AD240" s="59">
        <v>43100</v>
      </c>
      <c r="AE240" s="193"/>
      <c r="AF240" s="193"/>
      <c r="AG240" s="225">
        <v>90000</v>
      </c>
      <c r="AH240" s="193"/>
      <c r="AI240" s="193"/>
      <c r="AJ240" s="193"/>
      <c r="AK240" s="193"/>
      <c r="AL240" s="138">
        <f>O240-AH240+AG240</f>
        <v>180000</v>
      </c>
      <c r="AM240" s="218">
        <f>0+0+0+2830</f>
        <v>2830</v>
      </c>
      <c r="AN240" s="221">
        <f>0</f>
        <v>0</v>
      </c>
      <c r="AO240" s="138">
        <f>AM240+AN240</f>
        <v>2830</v>
      </c>
      <c r="AP240" s="193"/>
      <c r="AQ240" s="193"/>
      <c r="AR240" s="193"/>
      <c r="AS240" s="193"/>
      <c r="AT240" s="193"/>
      <c r="AU240" s="193"/>
      <c r="AV240" s="193"/>
      <c r="AW240" s="193"/>
      <c r="AX240" s="193"/>
      <c r="AY240" s="193"/>
      <c r="AZ240" s="193"/>
      <c r="BA240" s="193"/>
      <c r="BB240" s="20"/>
      <c r="BC240" s="20"/>
      <c r="BD240" s="193"/>
      <c r="BE240" s="193"/>
      <c r="BF240" s="193"/>
      <c r="BG240" s="193"/>
      <c r="BH240" s="193"/>
      <c r="BI240" s="193"/>
      <c r="BJ240" s="193"/>
      <c r="BK240" s="193"/>
      <c r="BL240" s="193"/>
      <c r="BM240" s="193"/>
    </row>
    <row r="241" spans="1:65" ht="51" x14ac:dyDescent="0.2">
      <c r="A241" s="330">
        <v>52</v>
      </c>
      <c r="B241" s="328" t="s">
        <v>727</v>
      </c>
      <c r="C241" s="1" t="s">
        <v>656</v>
      </c>
      <c r="D241" s="20" t="s">
        <v>130</v>
      </c>
      <c r="E241" s="2" t="s">
        <v>126</v>
      </c>
      <c r="F241" s="20" t="s">
        <v>730</v>
      </c>
      <c r="G241" s="71" t="s">
        <v>739</v>
      </c>
      <c r="H241" s="7" t="s">
        <v>652</v>
      </c>
      <c r="I241" s="224">
        <v>42423</v>
      </c>
      <c r="J241" s="224">
        <v>42789</v>
      </c>
      <c r="K241" s="2" t="s">
        <v>723</v>
      </c>
      <c r="L241" s="20" t="s">
        <v>733</v>
      </c>
      <c r="M241" s="20" t="s">
        <v>734</v>
      </c>
      <c r="N241" s="59">
        <v>42429</v>
      </c>
      <c r="O241" s="138">
        <v>48000</v>
      </c>
      <c r="P241" s="207" t="s">
        <v>761</v>
      </c>
      <c r="Q241" s="59">
        <v>42429</v>
      </c>
      <c r="R241" s="59">
        <v>42735</v>
      </c>
      <c r="S241" s="20" t="s">
        <v>614</v>
      </c>
      <c r="T241" s="193"/>
      <c r="U241" s="193"/>
      <c r="V241" s="193"/>
      <c r="W241" s="193" t="s">
        <v>137</v>
      </c>
      <c r="X241" s="193"/>
      <c r="Y241" s="5" t="s">
        <v>138</v>
      </c>
      <c r="Z241" s="178">
        <v>42720</v>
      </c>
      <c r="AA241" s="208">
        <v>11964</v>
      </c>
      <c r="AB241" s="20" t="s">
        <v>1062</v>
      </c>
      <c r="AC241" s="59">
        <v>42735</v>
      </c>
      <c r="AD241" s="59">
        <v>43100</v>
      </c>
      <c r="AE241" s="193"/>
      <c r="AF241" s="193"/>
      <c r="AG241" s="225">
        <v>48000</v>
      </c>
      <c r="AH241" s="193"/>
      <c r="AI241" s="193"/>
      <c r="AJ241" s="193"/>
      <c r="AK241" s="193"/>
      <c r="AL241" s="138">
        <f>O241-AH241+AG241</f>
        <v>96000</v>
      </c>
      <c r="AM241" s="218">
        <f>0+0+0</f>
        <v>0</v>
      </c>
      <c r="AN241" s="221">
        <f>0</f>
        <v>0</v>
      </c>
      <c r="AO241" s="138">
        <f>AM241+AN241</f>
        <v>0</v>
      </c>
      <c r="AP241" s="193"/>
      <c r="AQ241" s="193"/>
      <c r="AR241" s="193"/>
      <c r="AS241" s="193"/>
      <c r="AT241" s="193"/>
      <c r="AU241" s="193"/>
      <c r="AV241" s="193"/>
      <c r="AW241" s="193"/>
      <c r="AX241" s="193"/>
      <c r="AY241" s="193"/>
      <c r="AZ241" s="193"/>
      <c r="BA241" s="193"/>
      <c r="BB241" s="20"/>
      <c r="BC241" s="20"/>
      <c r="BD241" s="193"/>
      <c r="BE241" s="193"/>
      <c r="BF241" s="193"/>
      <c r="BG241" s="193"/>
      <c r="BH241" s="193"/>
      <c r="BI241" s="193"/>
      <c r="BJ241" s="193"/>
      <c r="BK241" s="193"/>
      <c r="BL241" s="193"/>
      <c r="BM241" s="193"/>
    </row>
    <row r="242" spans="1:65" ht="76.5" x14ac:dyDescent="0.2">
      <c r="A242" s="403">
        <v>53</v>
      </c>
      <c r="B242" s="467" t="s">
        <v>596</v>
      </c>
      <c r="C242" s="422" t="s">
        <v>642</v>
      </c>
      <c r="D242" s="405" t="s">
        <v>741</v>
      </c>
      <c r="E242" s="410" t="s">
        <v>126</v>
      </c>
      <c r="F242" s="405" t="s">
        <v>608</v>
      </c>
      <c r="G242" s="413" t="s">
        <v>601</v>
      </c>
      <c r="H242" s="439" t="s">
        <v>512</v>
      </c>
      <c r="I242" s="453">
        <v>42191</v>
      </c>
      <c r="J242" s="453">
        <v>42557</v>
      </c>
      <c r="K242" s="410" t="s">
        <v>737</v>
      </c>
      <c r="L242" s="405" t="s">
        <v>598</v>
      </c>
      <c r="M242" s="405" t="s">
        <v>599</v>
      </c>
      <c r="N242" s="431">
        <v>42444</v>
      </c>
      <c r="O242" s="435">
        <v>147196.20000000001</v>
      </c>
      <c r="P242" s="438" t="s">
        <v>762</v>
      </c>
      <c r="Q242" s="431">
        <v>42444</v>
      </c>
      <c r="R242" s="431">
        <v>42809</v>
      </c>
      <c r="S242" s="427" t="s">
        <v>392</v>
      </c>
      <c r="T242" s="427"/>
      <c r="U242" s="427"/>
      <c r="V242" s="427"/>
      <c r="W242" s="427" t="s">
        <v>137</v>
      </c>
      <c r="X242" s="427"/>
      <c r="Y242" s="2" t="s">
        <v>138</v>
      </c>
      <c r="Z242" s="59">
        <v>42447</v>
      </c>
      <c r="AA242" s="207">
        <v>11771</v>
      </c>
      <c r="AB242" s="20" t="s">
        <v>758</v>
      </c>
      <c r="AC242" s="193"/>
      <c r="AD242" s="193"/>
      <c r="AE242" s="193"/>
      <c r="AF242" s="193"/>
      <c r="AG242" s="225">
        <f>9380.44*12</f>
        <v>112565.28</v>
      </c>
      <c r="AH242" s="225">
        <f>12266.35*12</f>
        <v>147196.20000000001</v>
      </c>
      <c r="AI242" s="225"/>
      <c r="AJ242" s="225"/>
      <c r="AK242" s="225"/>
      <c r="AL242" s="487">
        <f>O242-AH242+AG242-AH243+AG243-AH244+AG244</f>
        <v>248462.84</v>
      </c>
      <c r="AM242" s="500">
        <f>0+0+0+8989.57+7035.33+7035.33+7035.33+9380.44+9380.44+9380.44+28141.32</f>
        <v>86378.200000000012</v>
      </c>
      <c r="AN242" s="529">
        <f>9380.44+9380.44+9380.44+9380.44+20370+19035.16+10989.56+10989.56+21979.12</f>
        <v>120885.15999999999</v>
      </c>
      <c r="AO242" s="487">
        <f>AM242+AN242</f>
        <v>207263.35999999999</v>
      </c>
      <c r="AP242" s="223" t="s">
        <v>512</v>
      </c>
      <c r="AQ242" s="224">
        <v>42191</v>
      </c>
      <c r="AR242" s="224">
        <v>42557</v>
      </c>
      <c r="AS242" s="208">
        <v>11610</v>
      </c>
      <c r="AT242" s="20" t="s">
        <v>600</v>
      </c>
      <c r="AU242" s="208">
        <v>11610</v>
      </c>
      <c r="AV242" s="193"/>
      <c r="AW242" s="193"/>
      <c r="AX242" s="193"/>
      <c r="AY242" s="193"/>
      <c r="AZ242" s="193"/>
      <c r="BA242" s="193"/>
      <c r="BB242" s="20"/>
      <c r="BC242" s="20"/>
      <c r="BD242" s="193"/>
      <c r="BE242" s="193"/>
      <c r="BF242" s="193"/>
      <c r="BG242" s="193"/>
      <c r="BH242" s="193"/>
      <c r="BI242" s="193"/>
      <c r="BJ242" s="193"/>
      <c r="BK242" s="193"/>
      <c r="BL242" s="193"/>
      <c r="BM242" s="193"/>
    </row>
    <row r="243" spans="1:65" ht="51" x14ac:dyDescent="0.2">
      <c r="A243" s="420"/>
      <c r="B243" s="468"/>
      <c r="C243" s="423"/>
      <c r="D243" s="409"/>
      <c r="E243" s="411"/>
      <c r="F243" s="409"/>
      <c r="G243" s="414"/>
      <c r="H243" s="458"/>
      <c r="I243" s="454"/>
      <c r="J243" s="454"/>
      <c r="K243" s="411"/>
      <c r="L243" s="409"/>
      <c r="M243" s="409"/>
      <c r="N243" s="437"/>
      <c r="O243" s="436"/>
      <c r="P243" s="448"/>
      <c r="Q243" s="437"/>
      <c r="R243" s="437"/>
      <c r="S243" s="429"/>
      <c r="T243" s="428"/>
      <c r="U243" s="428"/>
      <c r="V243" s="428"/>
      <c r="W243" s="429"/>
      <c r="X243" s="428"/>
      <c r="Y243" s="2" t="s">
        <v>144</v>
      </c>
      <c r="Z243" s="59">
        <v>42809</v>
      </c>
      <c r="AA243" s="207">
        <v>12025</v>
      </c>
      <c r="AB243" s="20" t="s">
        <v>1473</v>
      </c>
      <c r="AC243" s="178">
        <v>42809</v>
      </c>
      <c r="AD243" s="178">
        <v>43174</v>
      </c>
      <c r="AE243" s="193"/>
      <c r="AF243" s="193"/>
      <c r="AG243" s="225">
        <v>112565.28</v>
      </c>
      <c r="AH243" s="225"/>
      <c r="AI243" s="225"/>
      <c r="AJ243" s="225"/>
      <c r="AK243" s="225"/>
      <c r="AL243" s="528"/>
      <c r="AM243" s="532"/>
      <c r="AN243" s="530"/>
      <c r="AO243" s="528"/>
      <c r="AP243" s="223"/>
      <c r="AQ243" s="224"/>
      <c r="AR243" s="224"/>
      <c r="AS243" s="208"/>
      <c r="AT243" s="20"/>
      <c r="AU243" s="208"/>
      <c r="AV243" s="193"/>
      <c r="AW243" s="193"/>
      <c r="AX243" s="193"/>
      <c r="AY243" s="193"/>
      <c r="AZ243" s="193"/>
      <c r="BA243" s="193"/>
      <c r="BB243" s="20"/>
      <c r="BC243" s="20"/>
      <c r="BD243" s="193"/>
      <c r="BE243" s="193"/>
      <c r="BF243" s="193"/>
      <c r="BG243" s="193"/>
      <c r="BH243" s="193"/>
      <c r="BI243" s="193"/>
      <c r="BJ243" s="193"/>
      <c r="BK243" s="193"/>
      <c r="BL243" s="193"/>
      <c r="BM243" s="193"/>
    </row>
    <row r="244" spans="1:65" ht="127.5" x14ac:dyDescent="0.2">
      <c r="A244" s="404"/>
      <c r="B244" s="469"/>
      <c r="C244" s="424"/>
      <c r="D244" s="406"/>
      <c r="E244" s="412"/>
      <c r="F244" s="406"/>
      <c r="G244" s="406"/>
      <c r="H244" s="412"/>
      <c r="I244" s="412"/>
      <c r="J244" s="412"/>
      <c r="K244" s="412"/>
      <c r="L244" s="406"/>
      <c r="M244" s="406"/>
      <c r="N244" s="428"/>
      <c r="O244" s="428"/>
      <c r="P244" s="428"/>
      <c r="Q244" s="428"/>
      <c r="R244" s="428"/>
      <c r="S244" s="428"/>
      <c r="T244" s="111"/>
      <c r="U244" s="111"/>
      <c r="V244" s="111"/>
      <c r="W244" s="428"/>
      <c r="X244" s="111" t="s">
        <v>498</v>
      </c>
      <c r="Y244" s="2" t="s">
        <v>193</v>
      </c>
      <c r="Z244" s="59">
        <v>42891</v>
      </c>
      <c r="AA244" s="207">
        <v>12075</v>
      </c>
      <c r="AB244" s="20" t="s">
        <v>1663</v>
      </c>
      <c r="AC244" s="178"/>
      <c r="AD244" s="178"/>
      <c r="AE244" s="193"/>
      <c r="AF244" s="193"/>
      <c r="AG244" s="225">
        <v>23332.28</v>
      </c>
      <c r="AH244" s="225"/>
      <c r="AI244" s="225"/>
      <c r="AJ244" s="225"/>
      <c r="AK244" s="225"/>
      <c r="AL244" s="488"/>
      <c r="AM244" s="501"/>
      <c r="AN244" s="531"/>
      <c r="AO244" s="488"/>
      <c r="AP244" s="223"/>
      <c r="AQ244" s="224"/>
      <c r="AR244" s="224"/>
      <c r="AS244" s="208"/>
      <c r="AT244" s="20"/>
      <c r="AU244" s="208"/>
      <c r="AV244" s="193"/>
      <c r="AW244" s="193"/>
      <c r="AX244" s="193"/>
      <c r="AY244" s="193"/>
      <c r="AZ244" s="193"/>
      <c r="BA244" s="193"/>
      <c r="BB244" s="20"/>
      <c r="BC244" s="20"/>
      <c r="BD244" s="193"/>
      <c r="BE244" s="193"/>
      <c r="BF244" s="193"/>
      <c r="BG244" s="193"/>
      <c r="BH244" s="193"/>
      <c r="BI244" s="193"/>
      <c r="BJ244" s="193"/>
      <c r="BK244" s="193"/>
      <c r="BL244" s="193"/>
      <c r="BM244" s="193"/>
    </row>
    <row r="245" spans="1:65" ht="38.25" x14ac:dyDescent="0.2">
      <c r="A245" s="330">
        <v>54</v>
      </c>
      <c r="B245" s="328" t="s">
        <v>754</v>
      </c>
      <c r="C245" s="1" t="s">
        <v>658</v>
      </c>
      <c r="D245" s="20" t="s">
        <v>130</v>
      </c>
      <c r="E245" s="2" t="s">
        <v>126</v>
      </c>
      <c r="F245" s="20" t="s">
        <v>755</v>
      </c>
      <c r="G245" s="71" t="s">
        <v>757</v>
      </c>
      <c r="H245" s="7" t="s">
        <v>654</v>
      </c>
      <c r="I245" s="224">
        <v>42431</v>
      </c>
      <c r="J245" s="224">
        <v>42796</v>
      </c>
      <c r="K245" s="2" t="s">
        <v>738</v>
      </c>
      <c r="L245" s="20" t="s">
        <v>756</v>
      </c>
      <c r="M245" s="193" t="s">
        <v>539</v>
      </c>
      <c r="N245" s="178">
        <v>42452</v>
      </c>
      <c r="O245" s="194">
        <v>10180</v>
      </c>
      <c r="P245" s="208" t="s">
        <v>759</v>
      </c>
      <c r="Q245" s="178">
        <v>42452</v>
      </c>
      <c r="R245" s="59">
        <v>42735</v>
      </c>
      <c r="S245" s="20" t="s">
        <v>614</v>
      </c>
      <c r="T245" s="193"/>
      <c r="U245" s="193"/>
      <c r="V245" s="193"/>
      <c r="W245" s="193" t="s">
        <v>137</v>
      </c>
      <c r="X245" s="193"/>
      <c r="Y245" s="5" t="s">
        <v>138</v>
      </c>
      <c r="Z245" s="178">
        <v>42720</v>
      </c>
      <c r="AA245" s="208">
        <v>11964</v>
      </c>
      <c r="AB245" s="20" t="s">
        <v>1472</v>
      </c>
      <c r="AC245" s="178">
        <v>42735</v>
      </c>
      <c r="AD245" s="178">
        <v>43100</v>
      </c>
      <c r="AE245" s="193"/>
      <c r="AF245" s="193"/>
      <c r="AG245" s="226">
        <v>10180</v>
      </c>
      <c r="AH245" s="193"/>
      <c r="AI245" s="193"/>
      <c r="AJ245" s="193"/>
      <c r="AK245" s="193"/>
      <c r="AL245" s="138">
        <f>O245-AH245+AG245</f>
        <v>20360</v>
      </c>
      <c r="AM245" s="218">
        <f>0+0+0+2399.2+537.6+940.5</f>
        <v>3877.2999999999997</v>
      </c>
      <c r="AN245" s="221"/>
      <c r="AO245" s="138">
        <f t="shared" ref="AO245:AO332" si="1">AM245+AN245</f>
        <v>3877.2999999999997</v>
      </c>
      <c r="AP245" s="193"/>
      <c r="AQ245" s="193"/>
      <c r="AR245" s="193"/>
      <c r="AS245" s="193"/>
      <c r="AT245" s="193"/>
      <c r="AU245" s="193"/>
      <c r="AV245" s="193"/>
      <c r="AW245" s="193"/>
      <c r="AX245" s="193"/>
      <c r="AY245" s="193"/>
      <c r="AZ245" s="193"/>
      <c r="BA245" s="193"/>
      <c r="BB245" s="20"/>
      <c r="BC245" s="20"/>
      <c r="BD245" s="193"/>
      <c r="BE245" s="193"/>
      <c r="BF245" s="193"/>
      <c r="BG245" s="193"/>
      <c r="BH245" s="193"/>
      <c r="BI245" s="193"/>
      <c r="BJ245" s="193"/>
      <c r="BK245" s="193"/>
      <c r="BL245" s="193"/>
      <c r="BM245" s="193"/>
    </row>
    <row r="246" spans="1:65" ht="51" x14ac:dyDescent="0.2">
      <c r="A246" s="400">
        <v>55</v>
      </c>
      <c r="B246" s="418" t="s">
        <v>868</v>
      </c>
      <c r="C246" s="464" t="s">
        <v>641</v>
      </c>
      <c r="D246" s="416" t="s">
        <v>278</v>
      </c>
      <c r="E246" s="410" t="s">
        <v>126</v>
      </c>
      <c r="F246" s="405" t="s">
        <v>871</v>
      </c>
      <c r="G246" s="413" t="s">
        <v>876</v>
      </c>
      <c r="H246" s="439"/>
      <c r="I246" s="489"/>
      <c r="J246" s="489"/>
      <c r="K246" s="410" t="s">
        <v>866</v>
      </c>
      <c r="L246" s="405" t="s">
        <v>869</v>
      </c>
      <c r="M246" s="405" t="s">
        <v>870</v>
      </c>
      <c r="N246" s="431">
        <v>42478</v>
      </c>
      <c r="O246" s="435">
        <v>1030565.23</v>
      </c>
      <c r="P246" s="658">
        <v>11787</v>
      </c>
      <c r="Q246" s="431">
        <v>42478</v>
      </c>
      <c r="R246" s="431">
        <v>42658</v>
      </c>
      <c r="S246" s="427" t="s">
        <v>872</v>
      </c>
      <c r="T246" s="427"/>
      <c r="U246" s="427"/>
      <c r="V246" s="427"/>
      <c r="W246" s="427" t="s">
        <v>251</v>
      </c>
      <c r="X246" s="427"/>
      <c r="Y246" s="5" t="s">
        <v>138</v>
      </c>
      <c r="Z246" s="178">
        <v>42656</v>
      </c>
      <c r="AA246" s="208">
        <v>11933</v>
      </c>
      <c r="AB246" s="20" t="s">
        <v>1042</v>
      </c>
      <c r="AC246" s="178">
        <v>42658</v>
      </c>
      <c r="AD246" s="178">
        <v>42838</v>
      </c>
      <c r="AE246" s="193"/>
      <c r="AF246" s="193"/>
      <c r="AG246" s="193"/>
      <c r="AH246" s="193"/>
      <c r="AI246" s="193"/>
      <c r="AJ246" s="193"/>
      <c r="AK246" s="193"/>
      <c r="AL246" s="533">
        <f>O246-AH246+AG246</f>
        <v>1030565.23</v>
      </c>
      <c r="AM246" s="500">
        <f>0+0+0</f>
        <v>0</v>
      </c>
      <c r="AN246" s="529">
        <f>0</f>
        <v>0</v>
      </c>
      <c r="AO246" s="487">
        <f t="shared" si="1"/>
        <v>0</v>
      </c>
      <c r="AP246" s="193"/>
      <c r="AQ246" s="193"/>
      <c r="AR246" s="193"/>
      <c r="AS246" s="193"/>
      <c r="AT246" s="193"/>
      <c r="AU246" s="193"/>
      <c r="AV246" s="193"/>
      <c r="AW246" s="193"/>
      <c r="AX246" s="193"/>
      <c r="AY246" s="193"/>
      <c r="AZ246" s="193"/>
      <c r="BA246" s="193"/>
      <c r="BB246" s="20" t="s">
        <v>396</v>
      </c>
      <c r="BC246" s="20" t="s">
        <v>184</v>
      </c>
      <c r="BD246" s="178">
        <v>42493</v>
      </c>
      <c r="BE246" s="59">
        <f>BD246+150</f>
        <v>42643</v>
      </c>
      <c r="BF246" s="193"/>
      <c r="BG246" s="193"/>
      <c r="BH246" s="178">
        <v>42495</v>
      </c>
      <c r="BI246" s="193"/>
      <c r="BJ246" s="193"/>
      <c r="BK246" s="193"/>
      <c r="BL246" s="193"/>
      <c r="BM246" s="193"/>
    </row>
    <row r="247" spans="1:65" ht="38.25" x14ac:dyDescent="0.2">
      <c r="A247" s="402"/>
      <c r="B247" s="419"/>
      <c r="C247" s="465"/>
      <c r="D247" s="417"/>
      <c r="E247" s="412"/>
      <c r="F247" s="406"/>
      <c r="G247" s="415"/>
      <c r="H247" s="440"/>
      <c r="I247" s="650"/>
      <c r="J247" s="650"/>
      <c r="K247" s="412"/>
      <c r="L247" s="406"/>
      <c r="M247" s="406"/>
      <c r="N247" s="442"/>
      <c r="O247" s="490"/>
      <c r="P247" s="659"/>
      <c r="Q247" s="442"/>
      <c r="R247" s="442"/>
      <c r="S247" s="428"/>
      <c r="T247" s="428"/>
      <c r="U247" s="428"/>
      <c r="V247" s="428"/>
      <c r="W247" s="428"/>
      <c r="X247" s="428"/>
      <c r="Y247" s="5" t="s">
        <v>742</v>
      </c>
      <c r="Z247" s="178">
        <v>42773</v>
      </c>
      <c r="AA247" s="208">
        <v>11999</v>
      </c>
      <c r="AB247" s="20" t="s">
        <v>1359</v>
      </c>
      <c r="AC247" s="178"/>
      <c r="AD247" s="178"/>
      <c r="AE247" s="193"/>
      <c r="AF247" s="193"/>
      <c r="AG247" s="193"/>
      <c r="AH247" s="193"/>
      <c r="AI247" s="193"/>
      <c r="AJ247" s="193"/>
      <c r="AK247" s="193"/>
      <c r="AL247" s="534"/>
      <c r="AM247" s="501"/>
      <c r="AN247" s="531"/>
      <c r="AO247" s="488"/>
      <c r="AP247" s="193"/>
      <c r="AQ247" s="193"/>
      <c r="AR247" s="193"/>
      <c r="AS247" s="193"/>
      <c r="AT247" s="193"/>
      <c r="AU247" s="193"/>
      <c r="AV247" s="193"/>
      <c r="AW247" s="193"/>
      <c r="AX247" s="193"/>
      <c r="AY247" s="193"/>
      <c r="AZ247" s="193"/>
      <c r="BA247" s="193"/>
      <c r="BB247" s="20"/>
      <c r="BC247" s="20"/>
      <c r="BD247" s="178"/>
      <c r="BE247" s="59"/>
      <c r="BF247" s="193"/>
      <c r="BG247" s="193"/>
      <c r="BH247" s="178"/>
      <c r="BI247" s="193"/>
      <c r="BJ247" s="193"/>
      <c r="BK247" s="193"/>
      <c r="BL247" s="193"/>
      <c r="BM247" s="193"/>
    </row>
    <row r="248" spans="1:65" ht="51" x14ac:dyDescent="0.2">
      <c r="A248" s="329">
        <v>56</v>
      </c>
      <c r="B248" s="328" t="s">
        <v>888</v>
      </c>
      <c r="C248" s="1" t="s">
        <v>659</v>
      </c>
      <c r="D248" s="20" t="s">
        <v>218</v>
      </c>
      <c r="E248" s="2" t="s">
        <v>126</v>
      </c>
      <c r="F248" s="20" t="s">
        <v>891</v>
      </c>
      <c r="G248" s="71" t="s">
        <v>897</v>
      </c>
      <c r="H248" s="7" t="s">
        <v>657</v>
      </c>
      <c r="I248" s="227">
        <v>42467</v>
      </c>
      <c r="J248" s="227">
        <v>42832</v>
      </c>
      <c r="K248" s="2" t="s">
        <v>873</v>
      </c>
      <c r="L248" s="20" t="s">
        <v>889</v>
      </c>
      <c r="M248" s="193" t="s">
        <v>890</v>
      </c>
      <c r="N248" s="178">
        <v>42488</v>
      </c>
      <c r="O248" s="194">
        <v>107976</v>
      </c>
      <c r="P248" s="208">
        <v>11794</v>
      </c>
      <c r="Q248" s="178">
        <v>42488</v>
      </c>
      <c r="R248" s="178">
        <v>42853</v>
      </c>
      <c r="S248" s="20" t="s">
        <v>281</v>
      </c>
      <c r="T248" s="193"/>
      <c r="U248" s="193"/>
      <c r="V248" s="193"/>
      <c r="W248" s="193" t="s">
        <v>137</v>
      </c>
      <c r="X248" s="193" t="s">
        <v>1470</v>
      </c>
      <c r="Y248" s="5" t="s">
        <v>138</v>
      </c>
      <c r="Z248" s="178">
        <v>42850</v>
      </c>
      <c r="AA248" s="208">
        <v>12039</v>
      </c>
      <c r="AB248" s="20" t="s">
        <v>1517</v>
      </c>
      <c r="AC248" s="178">
        <v>42853</v>
      </c>
      <c r="AD248" s="178">
        <v>43218</v>
      </c>
      <c r="AE248" s="193"/>
      <c r="AF248" s="193"/>
      <c r="AG248" s="225">
        <v>107976</v>
      </c>
      <c r="AH248" s="193"/>
      <c r="AI248" s="193"/>
      <c r="AJ248" s="193"/>
      <c r="AK248" s="193"/>
      <c r="AL248" s="194">
        <f>O248-AH248+AG248</f>
        <v>215952</v>
      </c>
      <c r="AM248" s="218">
        <f>0+0+0+8127.22+8998+8998+8998+8998+8998+17996</f>
        <v>71113.22</v>
      </c>
      <c r="AN248" s="219">
        <f>8998+8998+8998+8998+8998+8998+17996+8998+8998</f>
        <v>89980</v>
      </c>
      <c r="AO248" s="138">
        <f t="shared" si="1"/>
        <v>161093.22</v>
      </c>
      <c r="AP248" s="193"/>
      <c r="AQ248" s="193"/>
      <c r="AR248" s="193"/>
      <c r="AS248" s="193"/>
      <c r="AT248" s="193"/>
      <c r="AU248" s="193"/>
      <c r="AV248" s="5"/>
      <c r="AW248" s="193"/>
      <c r="AX248" s="193"/>
      <c r="AY248" s="193"/>
      <c r="AZ248" s="193"/>
      <c r="BA248" s="193"/>
      <c r="BB248" s="20"/>
      <c r="BC248" s="20"/>
      <c r="BD248" s="193"/>
      <c r="BE248" s="193"/>
      <c r="BF248" s="193"/>
      <c r="BG248" s="193"/>
      <c r="BH248" s="193"/>
      <c r="BI248" s="193"/>
      <c r="BJ248" s="193"/>
      <c r="BK248" s="193"/>
      <c r="BL248" s="193"/>
      <c r="BM248" s="193"/>
    </row>
    <row r="249" spans="1:65" ht="51" x14ac:dyDescent="0.2">
      <c r="A249" s="329">
        <v>57</v>
      </c>
      <c r="B249" s="328" t="s">
        <v>892</v>
      </c>
      <c r="C249" s="1" t="s">
        <v>643</v>
      </c>
      <c r="D249" s="20" t="s">
        <v>895</v>
      </c>
      <c r="E249" s="2" t="s">
        <v>126</v>
      </c>
      <c r="F249" s="20" t="s">
        <v>896</v>
      </c>
      <c r="G249" s="71" t="s">
        <v>898</v>
      </c>
      <c r="H249" s="7"/>
      <c r="I249" s="223"/>
      <c r="J249" s="223"/>
      <c r="K249" s="2" t="s">
        <v>874</v>
      </c>
      <c r="L249" s="20" t="s">
        <v>893</v>
      </c>
      <c r="M249" s="193" t="s">
        <v>894</v>
      </c>
      <c r="N249" s="178">
        <v>42489</v>
      </c>
      <c r="O249" s="194">
        <v>171879.95</v>
      </c>
      <c r="P249" s="208">
        <v>11796</v>
      </c>
      <c r="Q249" s="178">
        <v>42489</v>
      </c>
      <c r="R249" s="178">
        <v>42854</v>
      </c>
      <c r="S249" s="20" t="s">
        <v>281</v>
      </c>
      <c r="T249" s="193"/>
      <c r="U249" s="193"/>
      <c r="V249" s="193"/>
      <c r="W249" s="193" t="s">
        <v>137</v>
      </c>
      <c r="X249" s="193" t="s">
        <v>1470</v>
      </c>
      <c r="Y249" s="5" t="s">
        <v>138</v>
      </c>
      <c r="Z249" s="178">
        <v>42850</v>
      </c>
      <c r="AA249" s="208">
        <v>12039</v>
      </c>
      <c r="AB249" s="20" t="s">
        <v>1518</v>
      </c>
      <c r="AC249" s="178">
        <v>42854</v>
      </c>
      <c r="AD249" s="178">
        <v>43219</v>
      </c>
      <c r="AE249" s="193"/>
      <c r="AF249" s="193"/>
      <c r="AG249" s="225">
        <v>171879.95</v>
      </c>
      <c r="AH249" s="193"/>
      <c r="AI249" s="193"/>
      <c r="AJ249" s="193"/>
      <c r="AK249" s="193"/>
      <c r="AL249" s="194">
        <f>O249-AH249+AG249</f>
        <v>343759.9</v>
      </c>
      <c r="AM249" s="218">
        <f>0+0+0+11936.1+7161.66+7161.66+7161.66+7161.66+7161.66</f>
        <v>47744.400000000009</v>
      </c>
      <c r="AN249" s="219">
        <f>14323.32+7161.66+7161.66+14323.32+7161.66+7161.66+7161.66+7161.66</f>
        <v>71616.600000000006</v>
      </c>
      <c r="AO249" s="138">
        <f t="shared" si="1"/>
        <v>119361.00000000001</v>
      </c>
      <c r="AP249" s="193"/>
      <c r="AQ249" s="193"/>
      <c r="AR249" s="193"/>
      <c r="AS249" s="193"/>
      <c r="AT249" s="193"/>
      <c r="AU249" s="193"/>
      <c r="AV249" s="5"/>
      <c r="AW249" s="193"/>
      <c r="AX249" s="193"/>
      <c r="AY249" s="193"/>
      <c r="AZ249" s="193"/>
      <c r="BA249" s="193"/>
      <c r="BB249" s="20"/>
      <c r="BC249" s="20"/>
      <c r="BD249" s="193"/>
      <c r="BE249" s="193"/>
      <c r="BF249" s="193"/>
      <c r="BG249" s="193"/>
      <c r="BH249" s="193"/>
      <c r="BI249" s="193"/>
      <c r="BJ249" s="193"/>
      <c r="BK249" s="193"/>
      <c r="BL249" s="193"/>
      <c r="BM249" s="193"/>
    </row>
    <row r="250" spans="1:65" ht="76.5" x14ac:dyDescent="0.2">
      <c r="A250" s="329">
        <v>58</v>
      </c>
      <c r="B250" s="328" t="s">
        <v>888</v>
      </c>
      <c r="C250" s="1" t="s">
        <v>659</v>
      </c>
      <c r="D250" s="20" t="s">
        <v>218</v>
      </c>
      <c r="E250" s="2" t="s">
        <v>126</v>
      </c>
      <c r="F250" s="20" t="s">
        <v>891</v>
      </c>
      <c r="G250" s="71" t="s">
        <v>897</v>
      </c>
      <c r="H250" s="7" t="s">
        <v>657</v>
      </c>
      <c r="I250" s="227">
        <v>42467</v>
      </c>
      <c r="J250" s="227">
        <v>42832</v>
      </c>
      <c r="K250" s="2" t="s">
        <v>875</v>
      </c>
      <c r="L250" s="20" t="s">
        <v>902</v>
      </c>
      <c r="M250" s="193" t="s">
        <v>903</v>
      </c>
      <c r="N250" s="178">
        <v>42494</v>
      </c>
      <c r="O250" s="194">
        <v>107982</v>
      </c>
      <c r="P250" s="208">
        <v>11800</v>
      </c>
      <c r="Q250" s="178">
        <v>42494</v>
      </c>
      <c r="R250" s="178">
        <v>42859</v>
      </c>
      <c r="S250" s="20" t="s">
        <v>281</v>
      </c>
      <c r="T250" s="193"/>
      <c r="U250" s="193"/>
      <c r="V250" s="193"/>
      <c r="W250" s="193" t="s">
        <v>137</v>
      </c>
      <c r="X250" s="193" t="s">
        <v>1470</v>
      </c>
      <c r="Y250" s="5" t="s">
        <v>138</v>
      </c>
      <c r="Z250" s="178">
        <v>42851</v>
      </c>
      <c r="AA250" s="208">
        <v>12041</v>
      </c>
      <c r="AB250" s="20" t="s">
        <v>1537</v>
      </c>
      <c r="AC250" s="178">
        <v>42859</v>
      </c>
      <c r="AD250" s="178">
        <v>43224</v>
      </c>
      <c r="AE250" s="193"/>
      <c r="AF250" s="193"/>
      <c r="AG250" s="221">
        <v>107982</v>
      </c>
      <c r="AH250" s="193"/>
      <c r="AI250" s="193"/>
      <c r="AJ250" s="193"/>
      <c r="AK250" s="193"/>
      <c r="AL250" s="194">
        <f>O250-AH250+AG250</f>
        <v>215964</v>
      </c>
      <c r="AM250" s="218">
        <f>0+0+0+6095.74+8998+8998+8998.5+8998.5+8998.5+17997</f>
        <v>69084.239999999991</v>
      </c>
      <c r="AN250" s="219">
        <f>0+8998.5+8998.5+8998.5+8998.5+8998.5+8998.5+17997+8998.5+8998.5</f>
        <v>89985</v>
      </c>
      <c r="AO250" s="138">
        <f t="shared" si="1"/>
        <v>159069.24</v>
      </c>
      <c r="AP250" s="193"/>
      <c r="AQ250" s="193"/>
      <c r="AR250" s="193"/>
      <c r="AS250" s="193"/>
      <c r="AT250" s="193"/>
      <c r="AU250" s="193"/>
      <c r="AV250" s="5"/>
      <c r="AW250" s="193"/>
      <c r="AX250" s="193"/>
      <c r="AY250" s="193"/>
      <c r="AZ250" s="193"/>
      <c r="BA250" s="193"/>
      <c r="BB250" s="20"/>
      <c r="BC250" s="20"/>
      <c r="BD250" s="193"/>
      <c r="BE250" s="193"/>
      <c r="BF250" s="193"/>
      <c r="BG250" s="193"/>
      <c r="BH250" s="193"/>
      <c r="BI250" s="193"/>
      <c r="BJ250" s="193"/>
      <c r="BK250" s="193"/>
      <c r="BL250" s="193"/>
      <c r="BM250" s="193"/>
    </row>
    <row r="251" spans="1:65" ht="114.75" x14ac:dyDescent="0.2">
      <c r="A251" s="400">
        <v>59</v>
      </c>
      <c r="B251" s="418" t="s">
        <v>910</v>
      </c>
      <c r="C251" s="422" t="s">
        <v>653</v>
      </c>
      <c r="D251" s="405" t="s">
        <v>248</v>
      </c>
      <c r="E251" s="410" t="s">
        <v>126</v>
      </c>
      <c r="F251" s="405" t="s">
        <v>911</v>
      </c>
      <c r="G251" s="413" t="s">
        <v>913</v>
      </c>
      <c r="H251" s="489"/>
      <c r="I251" s="489"/>
      <c r="J251" s="489"/>
      <c r="K251" s="427" t="s">
        <v>907</v>
      </c>
      <c r="L251" s="405" t="s">
        <v>711</v>
      </c>
      <c r="M251" s="405" t="s">
        <v>470</v>
      </c>
      <c r="N251" s="431">
        <v>42513</v>
      </c>
      <c r="O251" s="435">
        <v>671590.29</v>
      </c>
      <c r="P251" s="438">
        <v>11813</v>
      </c>
      <c r="Q251" s="431">
        <v>42513</v>
      </c>
      <c r="R251" s="431">
        <f>Q251+240</f>
        <v>42753</v>
      </c>
      <c r="S251" s="427" t="s">
        <v>912</v>
      </c>
      <c r="T251" s="427"/>
      <c r="U251" s="427"/>
      <c r="V251" s="427"/>
      <c r="W251" s="427" t="s">
        <v>251</v>
      </c>
      <c r="X251" s="193"/>
      <c r="Y251" s="5" t="s">
        <v>138</v>
      </c>
      <c r="Z251" s="178">
        <v>42611</v>
      </c>
      <c r="AA251" s="208">
        <v>11885</v>
      </c>
      <c r="AB251" s="20" t="s">
        <v>991</v>
      </c>
      <c r="AC251" s="193"/>
      <c r="AD251" s="193"/>
      <c r="AE251" s="193"/>
      <c r="AF251" s="193"/>
      <c r="AG251" s="193">
        <v>168.47</v>
      </c>
      <c r="AH251" s="193">
        <v>475.61</v>
      </c>
      <c r="AI251" s="193"/>
      <c r="AJ251" s="193"/>
      <c r="AK251" s="193"/>
      <c r="AL251" s="487">
        <f>O251-AH251+AG251-AH254+AG254-AH256+AG256</f>
        <v>758443.32000000007</v>
      </c>
      <c r="AM251" s="500">
        <f>0+0+0+35718.74+141742.03</f>
        <v>177460.77</v>
      </c>
      <c r="AN251" s="529">
        <f>0+59647.6+48797.74+57013.68+96545.36+24426.66+48689.94+14043.57</f>
        <v>349164.55</v>
      </c>
      <c r="AO251" s="487">
        <f t="shared" si="1"/>
        <v>526625.31999999995</v>
      </c>
      <c r="AP251" s="193"/>
      <c r="AQ251" s="193"/>
      <c r="AR251" s="193"/>
      <c r="AS251" s="193"/>
      <c r="AT251" s="193"/>
      <c r="AU251" s="193"/>
      <c r="AV251" s="5"/>
      <c r="AW251" s="193"/>
      <c r="AX251" s="193"/>
      <c r="AY251" s="193"/>
      <c r="AZ251" s="193"/>
      <c r="BA251" s="193"/>
      <c r="BB251" s="20" t="s">
        <v>396</v>
      </c>
      <c r="BC251" s="20" t="s">
        <v>184</v>
      </c>
      <c r="BD251" s="178">
        <v>42528</v>
      </c>
      <c r="BE251" s="59">
        <f>BD251+210</f>
        <v>42738</v>
      </c>
      <c r="BF251" s="178"/>
      <c r="BG251" s="193"/>
      <c r="BH251" s="178">
        <v>42530</v>
      </c>
      <c r="BI251" s="193" t="s">
        <v>1216</v>
      </c>
      <c r="BJ251" s="193" t="s">
        <v>1217</v>
      </c>
      <c r="BK251" s="193"/>
      <c r="BL251" s="193"/>
      <c r="BM251" s="193"/>
    </row>
    <row r="252" spans="1:65" ht="63.75" x14ac:dyDescent="0.2">
      <c r="A252" s="401"/>
      <c r="B252" s="421"/>
      <c r="C252" s="423"/>
      <c r="D252" s="409"/>
      <c r="E252" s="411"/>
      <c r="F252" s="409"/>
      <c r="G252" s="414"/>
      <c r="H252" s="457"/>
      <c r="I252" s="457"/>
      <c r="J252" s="457"/>
      <c r="K252" s="429"/>
      <c r="L252" s="409"/>
      <c r="M252" s="409"/>
      <c r="N252" s="437"/>
      <c r="O252" s="436"/>
      <c r="P252" s="448"/>
      <c r="Q252" s="437"/>
      <c r="R252" s="437"/>
      <c r="S252" s="429"/>
      <c r="T252" s="429"/>
      <c r="U252" s="429"/>
      <c r="V252" s="429"/>
      <c r="W252" s="429"/>
      <c r="X252" s="193" t="s">
        <v>1470</v>
      </c>
      <c r="Y252" s="5" t="s">
        <v>144</v>
      </c>
      <c r="Z252" s="178">
        <v>42737</v>
      </c>
      <c r="AA252" s="208">
        <v>11979</v>
      </c>
      <c r="AB252" s="20" t="s">
        <v>1539</v>
      </c>
      <c r="AC252" s="178">
        <v>42753</v>
      </c>
      <c r="AD252" s="178">
        <v>42843</v>
      </c>
      <c r="AE252" s="193"/>
      <c r="AF252" s="193"/>
      <c r="AG252" s="193"/>
      <c r="AH252" s="193"/>
      <c r="AI252" s="193"/>
      <c r="AJ252" s="193"/>
      <c r="AK252" s="193"/>
      <c r="AL252" s="528"/>
      <c r="AM252" s="532"/>
      <c r="AN252" s="530"/>
      <c r="AO252" s="528"/>
      <c r="AP252" s="193"/>
      <c r="AQ252" s="193"/>
      <c r="AR252" s="193"/>
      <c r="AS252" s="193"/>
      <c r="AT252" s="193"/>
      <c r="AU252" s="193"/>
      <c r="AV252" s="5"/>
      <c r="AW252" s="193"/>
      <c r="AX252" s="193"/>
      <c r="AY252" s="193"/>
      <c r="AZ252" s="193"/>
      <c r="BA252" s="193"/>
      <c r="BB252" s="20"/>
      <c r="BC252" s="20"/>
      <c r="BD252" s="178">
        <v>42738</v>
      </c>
      <c r="BE252" s="59">
        <v>42828</v>
      </c>
      <c r="BF252" s="178"/>
      <c r="BG252" s="193"/>
      <c r="BH252" s="178"/>
      <c r="BI252" s="193"/>
      <c r="BJ252" s="193"/>
      <c r="BK252" s="193"/>
      <c r="BL252" s="193"/>
      <c r="BM252" s="193"/>
    </row>
    <row r="253" spans="1:65" ht="63.75" x14ac:dyDescent="0.2">
      <c r="A253" s="401"/>
      <c r="B253" s="421"/>
      <c r="C253" s="423"/>
      <c r="D253" s="409"/>
      <c r="E253" s="411"/>
      <c r="F253" s="409"/>
      <c r="G253" s="414"/>
      <c r="H253" s="457"/>
      <c r="I253" s="457"/>
      <c r="J253" s="457"/>
      <c r="K253" s="429"/>
      <c r="L253" s="409"/>
      <c r="M253" s="409"/>
      <c r="N253" s="437"/>
      <c r="O253" s="436"/>
      <c r="P253" s="448"/>
      <c r="Q253" s="437"/>
      <c r="R253" s="437"/>
      <c r="S253" s="429"/>
      <c r="T253" s="429"/>
      <c r="U253" s="429"/>
      <c r="V253" s="429"/>
      <c r="W253" s="429"/>
      <c r="X253" s="193" t="s">
        <v>1470</v>
      </c>
      <c r="Y253" s="5" t="s">
        <v>193</v>
      </c>
      <c r="Z253" s="178">
        <v>42828</v>
      </c>
      <c r="AA253" s="208">
        <v>12045</v>
      </c>
      <c r="AB253" s="20" t="s">
        <v>1538</v>
      </c>
      <c r="AC253" s="178">
        <v>42843</v>
      </c>
      <c r="AD253" s="178">
        <v>42933</v>
      </c>
      <c r="AE253" s="193"/>
      <c r="AF253" s="193"/>
      <c r="AG253" s="193"/>
      <c r="AH253" s="193"/>
      <c r="AI253" s="193"/>
      <c r="AJ253" s="193"/>
      <c r="AK253" s="193"/>
      <c r="AL253" s="528"/>
      <c r="AM253" s="532"/>
      <c r="AN253" s="530"/>
      <c r="AO253" s="528"/>
      <c r="AP253" s="193"/>
      <c r="AQ253" s="193"/>
      <c r="AR253" s="193"/>
      <c r="AS253" s="193"/>
      <c r="AT253" s="193"/>
      <c r="AU253" s="193"/>
      <c r="AV253" s="5"/>
      <c r="AW253" s="193"/>
      <c r="AX253" s="193"/>
      <c r="AY253" s="193"/>
      <c r="AZ253" s="193"/>
      <c r="BA253" s="193"/>
      <c r="BB253" s="20"/>
      <c r="BC253" s="20"/>
      <c r="BD253" s="178">
        <v>42828</v>
      </c>
      <c r="BE253" s="59">
        <v>42918</v>
      </c>
      <c r="BF253" s="178"/>
      <c r="BG253" s="193"/>
      <c r="BH253" s="178"/>
      <c r="BI253" s="193"/>
      <c r="BJ253" s="193"/>
      <c r="BK253" s="193"/>
      <c r="BL253" s="193"/>
      <c r="BM253" s="193"/>
    </row>
    <row r="254" spans="1:65" ht="102" x14ac:dyDescent="0.2">
      <c r="A254" s="401"/>
      <c r="B254" s="421"/>
      <c r="C254" s="423"/>
      <c r="D254" s="409"/>
      <c r="E254" s="411"/>
      <c r="F254" s="409"/>
      <c r="G254" s="414"/>
      <c r="H254" s="457"/>
      <c r="I254" s="457"/>
      <c r="J254" s="457"/>
      <c r="K254" s="429"/>
      <c r="L254" s="409"/>
      <c r="M254" s="409"/>
      <c r="N254" s="437"/>
      <c r="O254" s="436"/>
      <c r="P254" s="448"/>
      <c r="Q254" s="437"/>
      <c r="R254" s="437"/>
      <c r="S254" s="429"/>
      <c r="T254" s="429"/>
      <c r="U254" s="429"/>
      <c r="V254" s="429"/>
      <c r="W254" s="429"/>
      <c r="X254" s="193" t="s">
        <v>498</v>
      </c>
      <c r="Y254" s="5" t="s">
        <v>194</v>
      </c>
      <c r="Z254" s="178">
        <v>42860</v>
      </c>
      <c r="AA254" s="208">
        <v>12048</v>
      </c>
      <c r="AB254" s="20" t="s">
        <v>1584</v>
      </c>
      <c r="AC254" s="178"/>
      <c r="AD254" s="178"/>
      <c r="AE254" s="193"/>
      <c r="AF254" s="193"/>
      <c r="AG254" s="225">
        <v>38470.230000000003</v>
      </c>
      <c r="AH254" s="193"/>
      <c r="AI254" s="193"/>
      <c r="AJ254" s="193"/>
      <c r="AK254" s="193"/>
      <c r="AL254" s="528"/>
      <c r="AM254" s="532"/>
      <c r="AN254" s="530"/>
      <c r="AO254" s="528"/>
      <c r="AP254" s="193"/>
      <c r="AQ254" s="193"/>
      <c r="AR254" s="193"/>
      <c r="AS254" s="193"/>
      <c r="AT254" s="193"/>
      <c r="AU254" s="193"/>
      <c r="AV254" s="5"/>
      <c r="AW254" s="193"/>
      <c r="AX254" s="193"/>
      <c r="AY254" s="193"/>
      <c r="AZ254" s="193"/>
      <c r="BA254" s="193"/>
      <c r="BB254" s="20"/>
      <c r="BC254" s="20"/>
      <c r="BD254" s="178"/>
      <c r="BE254" s="59"/>
      <c r="BF254" s="178"/>
      <c r="BG254" s="193"/>
      <c r="BH254" s="178"/>
      <c r="BI254" s="193"/>
      <c r="BJ254" s="193"/>
      <c r="BK254" s="193"/>
      <c r="BL254" s="193"/>
      <c r="BM254" s="193"/>
    </row>
    <row r="255" spans="1:65" ht="63.75" x14ac:dyDescent="0.2">
      <c r="A255" s="401"/>
      <c r="B255" s="421"/>
      <c r="C255" s="423"/>
      <c r="D255" s="409"/>
      <c r="E255" s="411"/>
      <c r="F255" s="409"/>
      <c r="G255" s="414"/>
      <c r="H255" s="457"/>
      <c r="I255" s="457"/>
      <c r="J255" s="457"/>
      <c r="K255" s="429"/>
      <c r="L255" s="409"/>
      <c r="M255" s="409"/>
      <c r="N255" s="437"/>
      <c r="O255" s="436"/>
      <c r="P255" s="448"/>
      <c r="Q255" s="437"/>
      <c r="R255" s="437"/>
      <c r="S255" s="429"/>
      <c r="T255" s="429"/>
      <c r="U255" s="429"/>
      <c r="V255" s="429"/>
      <c r="W255" s="429"/>
      <c r="X255" s="193" t="s">
        <v>1470</v>
      </c>
      <c r="Y255" s="5" t="s">
        <v>195</v>
      </c>
      <c r="Z255" s="178">
        <v>42946</v>
      </c>
      <c r="AA255" s="208">
        <v>12108</v>
      </c>
      <c r="AB255" s="20" t="s">
        <v>1538</v>
      </c>
      <c r="AC255" s="178">
        <v>42933</v>
      </c>
      <c r="AD255" s="178">
        <v>43023</v>
      </c>
      <c r="AE255" s="193"/>
      <c r="AF255" s="193"/>
      <c r="AG255" s="225"/>
      <c r="AH255" s="193"/>
      <c r="AI255" s="193"/>
      <c r="AJ255" s="193"/>
      <c r="AK255" s="193"/>
      <c r="AL255" s="528"/>
      <c r="AM255" s="532"/>
      <c r="AN255" s="530"/>
      <c r="AO255" s="528"/>
      <c r="AP255" s="193"/>
      <c r="AQ255" s="193"/>
      <c r="AR255" s="193"/>
      <c r="AS255" s="193"/>
      <c r="AT255" s="193"/>
      <c r="AU255" s="193"/>
      <c r="AV255" s="5"/>
      <c r="AW255" s="193"/>
      <c r="AX255" s="193"/>
      <c r="AY255" s="193"/>
      <c r="AZ255" s="193"/>
      <c r="BA255" s="193"/>
      <c r="BB255" s="20"/>
      <c r="BC255" s="20"/>
      <c r="BD255" s="178">
        <v>42918</v>
      </c>
      <c r="BE255" s="59">
        <v>43008</v>
      </c>
      <c r="BF255" s="178"/>
      <c r="BG255" s="193"/>
      <c r="BH255" s="178"/>
      <c r="BI255" s="193"/>
      <c r="BJ255" s="193"/>
      <c r="BK255" s="193"/>
      <c r="BL255" s="193"/>
      <c r="BM255" s="193"/>
    </row>
    <row r="256" spans="1:65" ht="127.5" x14ac:dyDescent="0.2">
      <c r="A256" s="401"/>
      <c r="B256" s="421"/>
      <c r="C256" s="423"/>
      <c r="D256" s="409"/>
      <c r="E256" s="411"/>
      <c r="F256" s="409"/>
      <c r="G256" s="409"/>
      <c r="H256" s="429"/>
      <c r="I256" s="429"/>
      <c r="J256" s="429"/>
      <c r="K256" s="429"/>
      <c r="L256" s="409"/>
      <c r="M256" s="409"/>
      <c r="N256" s="429"/>
      <c r="O256" s="429"/>
      <c r="P256" s="429"/>
      <c r="Q256" s="429"/>
      <c r="R256" s="429"/>
      <c r="S256" s="429"/>
      <c r="T256" s="429"/>
      <c r="U256" s="429"/>
      <c r="V256" s="429"/>
      <c r="W256" s="429"/>
      <c r="X256" s="193" t="s">
        <v>498</v>
      </c>
      <c r="Y256" s="5" t="s">
        <v>118</v>
      </c>
      <c r="Z256" s="178">
        <v>42978</v>
      </c>
      <c r="AA256" s="208">
        <v>12137</v>
      </c>
      <c r="AB256" s="20" t="s">
        <v>1921</v>
      </c>
      <c r="AC256" s="178"/>
      <c r="AD256" s="178"/>
      <c r="AE256" s="193"/>
      <c r="AF256" s="193"/>
      <c r="AG256" s="225">
        <v>54242.41</v>
      </c>
      <c r="AH256" s="225">
        <v>5552.47</v>
      </c>
      <c r="AI256" s="193"/>
      <c r="AJ256" s="193"/>
      <c r="AK256" s="193"/>
      <c r="AL256" s="528"/>
      <c r="AM256" s="532"/>
      <c r="AN256" s="530"/>
      <c r="AO256" s="528"/>
      <c r="AP256" s="193"/>
      <c r="AQ256" s="193"/>
      <c r="AR256" s="193"/>
      <c r="AS256" s="193"/>
      <c r="AT256" s="193"/>
      <c r="AU256" s="193"/>
      <c r="AV256" s="5"/>
      <c r="AW256" s="193"/>
      <c r="AX256" s="193"/>
      <c r="AY256" s="193"/>
      <c r="AZ256" s="193"/>
      <c r="BA256" s="193"/>
      <c r="BB256" s="20"/>
      <c r="BC256" s="20"/>
      <c r="BD256" s="178"/>
      <c r="BE256" s="59"/>
      <c r="BF256" s="178"/>
      <c r="BG256" s="193"/>
      <c r="BH256" s="178"/>
      <c r="BI256" s="193"/>
      <c r="BJ256" s="193"/>
      <c r="BK256" s="193"/>
      <c r="BL256" s="193"/>
      <c r="BM256" s="193"/>
    </row>
    <row r="257" spans="1:65" ht="63.75" x14ac:dyDescent="0.2">
      <c r="A257" s="402"/>
      <c r="B257" s="419"/>
      <c r="C257" s="424"/>
      <c r="D257" s="406"/>
      <c r="E257" s="412"/>
      <c r="F257" s="406"/>
      <c r="G257" s="406"/>
      <c r="H257" s="428"/>
      <c r="I257" s="428"/>
      <c r="J257" s="428"/>
      <c r="K257" s="428"/>
      <c r="L257" s="406"/>
      <c r="M257" s="406"/>
      <c r="N257" s="428"/>
      <c r="O257" s="428"/>
      <c r="P257" s="428"/>
      <c r="Q257" s="428"/>
      <c r="R257" s="428"/>
      <c r="S257" s="428"/>
      <c r="T257" s="428"/>
      <c r="U257" s="428"/>
      <c r="V257" s="428"/>
      <c r="W257" s="428"/>
      <c r="X257" s="193" t="s">
        <v>1470</v>
      </c>
      <c r="Y257" s="5" t="s">
        <v>121</v>
      </c>
      <c r="Z257" s="178">
        <v>43004</v>
      </c>
      <c r="AA257" s="208">
        <v>12153</v>
      </c>
      <c r="AB257" s="20" t="s">
        <v>1988</v>
      </c>
      <c r="AC257" s="178">
        <v>43023</v>
      </c>
      <c r="AD257" s="178">
        <v>43113</v>
      </c>
      <c r="AE257" s="193"/>
      <c r="AF257" s="193"/>
      <c r="AG257" s="225"/>
      <c r="AH257" s="225"/>
      <c r="AI257" s="193"/>
      <c r="AJ257" s="193"/>
      <c r="AK257" s="193"/>
      <c r="AL257" s="488"/>
      <c r="AM257" s="501"/>
      <c r="AN257" s="531"/>
      <c r="AO257" s="488"/>
      <c r="AP257" s="193"/>
      <c r="AQ257" s="193"/>
      <c r="AR257" s="193"/>
      <c r="AS257" s="193"/>
      <c r="AT257" s="193"/>
      <c r="AU257" s="193"/>
      <c r="AV257" s="5"/>
      <c r="AW257" s="193"/>
      <c r="AX257" s="193"/>
      <c r="AY257" s="193"/>
      <c r="AZ257" s="193"/>
      <c r="BA257" s="193"/>
      <c r="BB257" s="20"/>
      <c r="BC257" s="20"/>
      <c r="BD257" s="178">
        <v>43008</v>
      </c>
      <c r="BE257" s="59">
        <v>43098</v>
      </c>
      <c r="BF257" s="178"/>
      <c r="BG257" s="193"/>
      <c r="BH257" s="178"/>
      <c r="BI257" s="193"/>
      <c r="BJ257" s="193"/>
      <c r="BK257" s="193"/>
      <c r="BL257" s="193"/>
      <c r="BM257" s="193"/>
    </row>
    <row r="258" spans="1:65" ht="114.75" x14ac:dyDescent="0.2">
      <c r="A258" s="329">
        <v>60</v>
      </c>
      <c r="B258" s="328" t="s">
        <v>928</v>
      </c>
      <c r="C258" s="1" t="s">
        <v>653</v>
      </c>
      <c r="D258" s="20" t="s">
        <v>278</v>
      </c>
      <c r="E258" s="2" t="s">
        <v>933</v>
      </c>
      <c r="F258" s="20" t="s">
        <v>929</v>
      </c>
      <c r="G258" s="71" t="s">
        <v>934</v>
      </c>
      <c r="H258" s="7"/>
      <c r="I258" s="7"/>
      <c r="J258" s="7"/>
      <c r="K258" s="2" t="s">
        <v>914</v>
      </c>
      <c r="L258" s="20" t="s">
        <v>930</v>
      </c>
      <c r="M258" s="193" t="s">
        <v>931</v>
      </c>
      <c r="N258" s="178">
        <v>42535</v>
      </c>
      <c r="O258" s="194">
        <v>1990400</v>
      </c>
      <c r="P258" s="208">
        <v>11826</v>
      </c>
      <c r="Q258" s="178">
        <v>42535</v>
      </c>
      <c r="R258" s="178">
        <v>42900</v>
      </c>
      <c r="S258" s="20" t="s">
        <v>932</v>
      </c>
      <c r="T258" s="193"/>
      <c r="U258" s="193"/>
      <c r="V258" s="193"/>
      <c r="W258" s="193" t="s">
        <v>403</v>
      </c>
      <c r="X258" s="5" t="s">
        <v>1470</v>
      </c>
      <c r="Y258" s="5" t="s">
        <v>138</v>
      </c>
      <c r="Z258" s="178">
        <v>42894</v>
      </c>
      <c r="AA258" s="208">
        <v>12075</v>
      </c>
      <c r="AB258" s="20" t="s">
        <v>1662</v>
      </c>
      <c r="AC258" s="178">
        <v>42900</v>
      </c>
      <c r="AD258" s="178">
        <v>43265</v>
      </c>
      <c r="AE258" s="193"/>
      <c r="AF258" s="193"/>
      <c r="AG258" s="225">
        <v>1427400</v>
      </c>
      <c r="AH258" s="193"/>
      <c r="AI258" s="193"/>
      <c r="AJ258" s="193"/>
      <c r="AK258" s="193"/>
      <c r="AL258" s="194">
        <f>O258-AH258+AG258</f>
        <v>3417800</v>
      </c>
      <c r="AM258" s="218">
        <f>0+100000+30000+30000+30000+30000</f>
        <v>220000</v>
      </c>
      <c r="AN258" s="219">
        <f>128600+128600+217550+217550+217550+118950+118950+101107.5+101107.5</f>
        <v>1349965</v>
      </c>
      <c r="AO258" s="138">
        <f t="shared" si="1"/>
        <v>1569965</v>
      </c>
      <c r="AP258" s="193"/>
      <c r="AQ258" s="193"/>
      <c r="AR258" s="193"/>
      <c r="AS258" s="193"/>
      <c r="AT258" s="193"/>
      <c r="AU258" s="193"/>
      <c r="AV258" s="5"/>
      <c r="AW258" s="193"/>
      <c r="AX258" s="193"/>
      <c r="AY258" s="193"/>
      <c r="AZ258" s="193"/>
      <c r="BA258" s="193"/>
      <c r="BB258" s="20"/>
      <c r="BC258" s="20"/>
      <c r="BD258" s="193"/>
      <c r="BE258" s="193"/>
      <c r="BF258" s="193"/>
      <c r="BG258" s="193"/>
      <c r="BH258" s="193"/>
      <c r="BI258" s="193"/>
      <c r="BJ258" s="193"/>
      <c r="BK258" s="193"/>
      <c r="BL258" s="193"/>
      <c r="BM258" s="193"/>
    </row>
    <row r="259" spans="1:65" ht="102" x14ac:dyDescent="0.2">
      <c r="A259" s="329">
        <v>61</v>
      </c>
      <c r="B259" s="328" t="s">
        <v>537</v>
      </c>
      <c r="C259" s="1" t="s">
        <v>455</v>
      </c>
      <c r="D259" s="20" t="s">
        <v>218</v>
      </c>
      <c r="E259" s="2" t="s">
        <v>126</v>
      </c>
      <c r="F259" s="20" t="s">
        <v>573</v>
      </c>
      <c r="G259" s="207" t="s">
        <v>542</v>
      </c>
      <c r="H259" s="3" t="s">
        <v>726</v>
      </c>
      <c r="I259" s="59">
        <v>42200</v>
      </c>
      <c r="J259" s="59">
        <v>42566</v>
      </c>
      <c r="K259" s="2" t="s">
        <v>915</v>
      </c>
      <c r="L259" s="20" t="s">
        <v>936</v>
      </c>
      <c r="M259" s="193" t="s">
        <v>548</v>
      </c>
      <c r="N259" s="178">
        <v>42538</v>
      </c>
      <c r="O259" s="194">
        <v>54900</v>
      </c>
      <c r="P259" s="208">
        <v>11834</v>
      </c>
      <c r="Q259" s="178">
        <v>42538</v>
      </c>
      <c r="R259" s="178">
        <v>42903</v>
      </c>
      <c r="S259" s="20" t="s">
        <v>927</v>
      </c>
      <c r="T259" s="193"/>
      <c r="U259" s="193"/>
      <c r="V259" s="193"/>
      <c r="W259" s="193" t="s">
        <v>137</v>
      </c>
      <c r="X259" s="5" t="s">
        <v>1470</v>
      </c>
      <c r="Y259" s="5" t="s">
        <v>138</v>
      </c>
      <c r="Z259" s="178">
        <v>42902</v>
      </c>
      <c r="AA259" s="208">
        <v>12080</v>
      </c>
      <c r="AB259" s="20" t="s">
        <v>877</v>
      </c>
      <c r="AC259" s="178">
        <v>42903</v>
      </c>
      <c r="AD259" s="178">
        <v>43268</v>
      </c>
      <c r="AE259" s="193"/>
      <c r="AF259" s="193"/>
      <c r="AG259" s="225">
        <v>54900</v>
      </c>
      <c r="AH259" s="193"/>
      <c r="AI259" s="193"/>
      <c r="AJ259" s="193"/>
      <c r="AK259" s="193"/>
      <c r="AL259" s="194">
        <f>O259-AH259+AG259</f>
        <v>109800</v>
      </c>
      <c r="AM259" s="218">
        <f>0+1220+610+610</f>
        <v>2440</v>
      </c>
      <c r="AN259" s="219">
        <f>0+610+610+610+610+610+610+610+915</f>
        <v>5185</v>
      </c>
      <c r="AO259" s="138">
        <f t="shared" si="1"/>
        <v>7625</v>
      </c>
      <c r="AP259" s="193"/>
      <c r="AQ259" s="193"/>
      <c r="AR259" s="193"/>
      <c r="AS259" s="193"/>
      <c r="AT259" s="193"/>
      <c r="AU259" s="193"/>
      <c r="AV259" s="5"/>
      <c r="AW259" s="193"/>
      <c r="AX259" s="193"/>
      <c r="AY259" s="193"/>
      <c r="AZ259" s="193"/>
      <c r="BA259" s="193"/>
      <c r="BB259" s="20"/>
      <c r="BC259" s="20"/>
      <c r="BD259" s="193"/>
      <c r="BE259" s="193"/>
      <c r="BF259" s="193"/>
      <c r="BG259" s="193"/>
      <c r="BH259" s="193"/>
      <c r="BI259" s="193"/>
      <c r="BJ259" s="193"/>
      <c r="BK259" s="193"/>
      <c r="BL259" s="193"/>
      <c r="BM259" s="193"/>
    </row>
    <row r="260" spans="1:65" ht="102" x14ac:dyDescent="0.2">
      <c r="A260" s="329">
        <v>62</v>
      </c>
      <c r="B260" s="328" t="s">
        <v>537</v>
      </c>
      <c r="C260" s="1" t="s">
        <v>455</v>
      </c>
      <c r="D260" s="20" t="s">
        <v>218</v>
      </c>
      <c r="E260" s="2" t="s">
        <v>126</v>
      </c>
      <c r="F260" s="20" t="s">
        <v>573</v>
      </c>
      <c r="G260" s="207" t="s">
        <v>542</v>
      </c>
      <c r="H260" s="3" t="s">
        <v>726</v>
      </c>
      <c r="I260" s="59">
        <v>42200</v>
      </c>
      <c r="J260" s="59">
        <v>42566</v>
      </c>
      <c r="K260" s="2" t="s">
        <v>916</v>
      </c>
      <c r="L260" s="20" t="s">
        <v>541</v>
      </c>
      <c r="M260" s="194" t="s">
        <v>230</v>
      </c>
      <c r="N260" s="178">
        <v>42538</v>
      </c>
      <c r="O260" s="194">
        <v>4680</v>
      </c>
      <c r="P260" s="208">
        <v>11834</v>
      </c>
      <c r="Q260" s="178">
        <v>42538</v>
      </c>
      <c r="R260" s="178">
        <v>42903</v>
      </c>
      <c r="S260" s="20" t="s">
        <v>927</v>
      </c>
      <c r="T260" s="193"/>
      <c r="U260" s="193"/>
      <c r="V260" s="193"/>
      <c r="W260" s="193" t="s">
        <v>137</v>
      </c>
      <c r="X260" s="5"/>
      <c r="Y260" s="5"/>
      <c r="Z260" s="193"/>
      <c r="AA260" s="193"/>
      <c r="AB260" s="193"/>
      <c r="AC260" s="193"/>
      <c r="AD260" s="193"/>
      <c r="AE260" s="193"/>
      <c r="AF260" s="193"/>
      <c r="AG260" s="193"/>
      <c r="AH260" s="193"/>
      <c r="AI260" s="193"/>
      <c r="AJ260" s="193"/>
      <c r="AK260" s="193"/>
      <c r="AL260" s="194">
        <f>O260-AH260+AG260</f>
        <v>4680</v>
      </c>
      <c r="AM260" s="218">
        <f>0+780+390</f>
        <v>1170</v>
      </c>
      <c r="AN260" s="221">
        <f>0+1170+1170</f>
        <v>2340</v>
      </c>
      <c r="AO260" s="138">
        <f t="shared" si="1"/>
        <v>3510</v>
      </c>
      <c r="AP260" s="193"/>
      <c r="AQ260" s="193"/>
      <c r="AR260" s="193"/>
      <c r="AS260" s="193"/>
      <c r="AT260" s="193"/>
      <c r="AU260" s="193"/>
      <c r="AV260" s="5"/>
      <c r="AW260" s="193"/>
      <c r="AX260" s="193"/>
      <c r="AY260" s="193"/>
      <c r="AZ260" s="193"/>
      <c r="BA260" s="193"/>
      <c r="BB260" s="20"/>
      <c r="BC260" s="20"/>
      <c r="BD260" s="193"/>
      <c r="BE260" s="193"/>
      <c r="BF260" s="193"/>
      <c r="BG260" s="193"/>
      <c r="BH260" s="193"/>
      <c r="BI260" s="193"/>
      <c r="BJ260" s="193"/>
      <c r="BK260" s="193"/>
      <c r="BL260" s="193"/>
      <c r="BM260" s="193"/>
    </row>
    <row r="261" spans="1:65" ht="114.75" x14ac:dyDescent="0.2">
      <c r="A261" s="403">
        <v>63</v>
      </c>
      <c r="B261" s="418" t="s">
        <v>938</v>
      </c>
      <c r="C261" s="422" t="s">
        <v>644</v>
      </c>
      <c r="D261" s="405" t="s">
        <v>939</v>
      </c>
      <c r="E261" s="410" t="s">
        <v>126</v>
      </c>
      <c r="F261" s="405" t="s">
        <v>940</v>
      </c>
      <c r="G261" s="407" t="s">
        <v>959</v>
      </c>
      <c r="H261" s="441" t="s">
        <v>643</v>
      </c>
      <c r="I261" s="431">
        <v>42473</v>
      </c>
      <c r="J261" s="431">
        <v>42838</v>
      </c>
      <c r="K261" s="427" t="s">
        <v>917</v>
      </c>
      <c r="L261" s="405" t="s">
        <v>463</v>
      </c>
      <c r="M261" s="405" t="s">
        <v>487</v>
      </c>
      <c r="N261" s="431">
        <v>42545</v>
      </c>
      <c r="O261" s="435">
        <v>138349.20000000001</v>
      </c>
      <c r="P261" s="438">
        <v>11842</v>
      </c>
      <c r="Q261" s="431">
        <v>42545</v>
      </c>
      <c r="R261" s="431">
        <v>42910</v>
      </c>
      <c r="S261" s="427" t="s">
        <v>941</v>
      </c>
      <c r="T261" s="427"/>
      <c r="U261" s="427"/>
      <c r="V261" s="427"/>
      <c r="W261" s="427" t="s">
        <v>137</v>
      </c>
      <c r="X261" s="5"/>
      <c r="Y261" s="5" t="s">
        <v>138</v>
      </c>
      <c r="Z261" s="178">
        <v>42719</v>
      </c>
      <c r="AA261" s="208">
        <v>11965</v>
      </c>
      <c r="AB261" s="20" t="s">
        <v>1077</v>
      </c>
      <c r="AC261" s="193"/>
      <c r="AD261" s="193"/>
      <c r="AE261" s="193"/>
      <c r="AF261" s="193"/>
      <c r="AG261" s="226">
        <v>5263.98</v>
      </c>
      <c r="AH261" s="194"/>
      <c r="AI261" s="193"/>
      <c r="AJ261" s="193"/>
      <c r="AK261" s="193"/>
      <c r="AL261" s="487">
        <f>O261-AH261+AG261-AH262+AG262</f>
        <v>287315.58</v>
      </c>
      <c r="AM261" s="500">
        <f>2231.43+4611.64+4611.64+4611.64+4611.64+4611.64</f>
        <v>25289.629999999997</v>
      </c>
      <c r="AN261" s="529">
        <f>4790.08+4790.08+4790.08+9260.56+11256.59+11975.2+11975.2+10618.01+11975.2+9580.16+9580.16</f>
        <v>100591.31999999999</v>
      </c>
      <c r="AO261" s="487">
        <f t="shared" si="1"/>
        <v>125880.94999999998</v>
      </c>
      <c r="AP261" s="145" t="s">
        <v>643</v>
      </c>
      <c r="AQ261" s="59">
        <v>42473</v>
      </c>
      <c r="AR261" s="59">
        <v>42838</v>
      </c>
      <c r="AS261" s="193" t="s">
        <v>1211</v>
      </c>
      <c r="AT261" s="193" t="s">
        <v>943</v>
      </c>
      <c r="AU261" s="208" t="s">
        <v>960</v>
      </c>
      <c r="AV261" s="5"/>
      <c r="AW261" s="193"/>
      <c r="AX261" s="193"/>
      <c r="AY261" s="193"/>
      <c r="AZ261" s="193"/>
      <c r="BA261" s="193"/>
      <c r="BB261" s="20"/>
      <c r="BC261" s="20"/>
      <c r="BD261" s="193"/>
      <c r="BE261" s="193"/>
      <c r="BF261" s="193"/>
      <c r="BG261" s="193"/>
      <c r="BH261" s="193"/>
      <c r="BI261" s="193"/>
      <c r="BJ261" s="193"/>
      <c r="BK261" s="193"/>
      <c r="BL261" s="193"/>
      <c r="BM261" s="193"/>
    </row>
    <row r="262" spans="1:65" ht="38.25" x14ac:dyDescent="0.2">
      <c r="A262" s="404"/>
      <c r="B262" s="419"/>
      <c r="C262" s="424"/>
      <c r="D262" s="406"/>
      <c r="E262" s="412"/>
      <c r="F262" s="406"/>
      <c r="G262" s="408"/>
      <c r="H262" s="470"/>
      <c r="I262" s="442"/>
      <c r="J262" s="442"/>
      <c r="K262" s="428"/>
      <c r="L262" s="406"/>
      <c r="M262" s="406"/>
      <c r="N262" s="442"/>
      <c r="O262" s="490"/>
      <c r="P262" s="491"/>
      <c r="Q262" s="442"/>
      <c r="R262" s="442"/>
      <c r="S262" s="428"/>
      <c r="T262" s="428"/>
      <c r="U262" s="428"/>
      <c r="V262" s="428"/>
      <c r="W262" s="428"/>
      <c r="X262" s="5" t="s">
        <v>1470</v>
      </c>
      <c r="Y262" s="5" t="s">
        <v>144</v>
      </c>
      <c r="Z262" s="178">
        <v>42910</v>
      </c>
      <c r="AA262" s="208">
        <v>12093</v>
      </c>
      <c r="AB262" s="20" t="s">
        <v>1752</v>
      </c>
      <c r="AC262" s="178">
        <v>42910</v>
      </c>
      <c r="AD262" s="178">
        <v>43275</v>
      </c>
      <c r="AE262" s="193"/>
      <c r="AF262" s="193"/>
      <c r="AG262" s="226">
        <v>143702.39999999999</v>
      </c>
      <c r="AH262" s="194"/>
      <c r="AI262" s="193"/>
      <c r="AJ262" s="193"/>
      <c r="AK262" s="193"/>
      <c r="AL262" s="488"/>
      <c r="AM262" s="501"/>
      <c r="AN262" s="531"/>
      <c r="AO262" s="488"/>
      <c r="AP262" s="145"/>
      <c r="AQ262" s="59"/>
      <c r="AR262" s="59"/>
      <c r="AS262" s="193"/>
      <c r="AT262" s="193"/>
      <c r="AU262" s="208"/>
      <c r="AV262" s="5"/>
      <c r="AW262" s="193"/>
      <c r="AX262" s="193"/>
      <c r="AY262" s="193"/>
      <c r="AZ262" s="193"/>
      <c r="BA262" s="193"/>
      <c r="BB262" s="20"/>
      <c r="BC262" s="20"/>
      <c r="BD262" s="193"/>
      <c r="BE262" s="193"/>
      <c r="BF262" s="193"/>
      <c r="BG262" s="193"/>
      <c r="BH262" s="193"/>
      <c r="BI262" s="193"/>
      <c r="BJ262" s="193"/>
      <c r="BK262" s="193"/>
      <c r="BL262" s="193"/>
      <c r="BM262" s="193"/>
    </row>
    <row r="263" spans="1:65" ht="38.25" x14ac:dyDescent="0.2">
      <c r="A263" s="330">
        <v>64</v>
      </c>
      <c r="B263" s="328" t="s">
        <v>888</v>
      </c>
      <c r="C263" s="1" t="s">
        <v>659</v>
      </c>
      <c r="D263" s="20" t="s">
        <v>218</v>
      </c>
      <c r="E263" s="2" t="s">
        <v>126</v>
      </c>
      <c r="F263" s="20" t="s">
        <v>891</v>
      </c>
      <c r="G263" s="207" t="s">
        <v>958</v>
      </c>
      <c r="H263" s="3" t="s">
        <v>657</v>
      </c>
      <c r="I263" s="59">
        <v>42467</v>
      </c>
      <c r="J263" s="59">
        <v>42832</v>
      </c>
      <c r="K263" s="2" t="s">
        <v>937</v>
      </c>
      <c r="L263" s="20" t="s">
        <v>956</v>
      </c>
      <c r="M263" s="193" t="s">
        <v>561</v>
      </c>
      <c r="N263" s="178">
        <v>42577</v>
      </c>
      <c r="O263" s="194">
        <v>53988</v>
      </c>
      <c r="P263" s="208">
        <v>11859</v>
      </c>
      <c r="Q263" s="178">
        <v>42577</v>
      </c>
      <c r="R263" s="178">
        <v>42942</v>
      </c>
      <c r="S263" s="20" t="s">
        <v>281</v>
      </c>
      <c r="T263" s="193"/>
      <c r="U263" s="193"/>
      <c r="V263" s="193"/>
      <c r="W263" s="178" t="s">
        <v>137</v>
      </c>
      <c r="X263" s="178" t="s">
        <v>1470</v>
      </c>
      <c r="Y263" s="5" t="s">
        <v>138</v>
      </c>
      <c r="Z263" s="178">
        <v>42942</v>
      </c>
      <c r="AA263" s="208">
        <v>12108</v>
      </c>
      <c r="AB263" s="20" t="s">
        <v>1518</v>
      </c>
      <c r="AC263" s="178">
        <v>42942</v>
      </c>
      <c r="AD263" s="178">
        <v>43307</v>
      </c>
      <c r="AE263" s="193"/>
      <c r="AF263" s="193"/>
      <c r="AG263" s="193"/>
      <c r="AH263" s="193"/>
      <c r="AI263" s="193"/>
      <c r="AJ263" s="193"/>
      <c r="AK263" s="193"/>
      <c r="AL263" s="194">
        <f t="shared" ref="AL263:AL343" si="2">O263-AH263+AG263</f>
        <v>53988</v>
      </c>
      <c r="AM263" s="218">
        <f>0+5399+4499+8998</f>
        <v>18896</v>
      </c>
      <c r="AN263" s="219">
        <f>4499+4499+4499+4499+4499+4499+8798+4499+4499</f>
        <v>44790</v>
      </c>
      <c r="AO263" s="138">
        <f t="shared" si="1"/>
        <v>63686</v>
      </c>
      <c r="AP263" s="193"/>
      <c r="AQ263" s="193"/>
      <c r="AR263" s="193"/>
      <c r="AS263" s="193"/>
      <c r="AT263" s="193"/>
      <c r="AU263" s="193"/>
      <c r="AV263" s="5"/>
      <c r="AW263" s="193"/>
      <c r="AX263" s="193"/>
      <c r="AY263" s="193"/>
      <c r="AZ263" s="193"/>
      <c r="BA263" s="193"/>
      <c r="BB263" s="20"/>
      <c r="BC263" s="20"/>
      <c r="BD263" s="193"/>
      <c r="BE263" s="193"/>
      <c r="BF263" s="193"/>
      <c r="BG263" s="193"/>
      <c r="BH263" s="193"/>
      <c r="BI263" s="193"/>
      <c r="BJ263" s="193"/>
      <c r="BK263" s="193"/>
      <c r="BL263" s="193"/>
      <c r="BM263" s="193"/>
    </row>
    <row r="264" spans="1:65" ht="63.75" x14ac:dyDescent="0.2">
      <c r="A264" s="330">
        <v>65</v>
      </c>
      <c r="B264" s="328" t="s">
        <v>1013</v>
      </c>
      <c r="C264" s="1" t="s">
        <v>672</v>
      </c>
      <c r="D264" s="20" t="s">
        <v>272</v>
      </c>
      <c r="E264" s="2" t="s">
        <v>126</v>
      </c>
      <c r="F264" s="20" t="s">
        <v>1016</v>
      </c>
      <c r="G264" s="71"/>
      <c r="H264" s="7"/>
      <c r="I264" s="7"/>
      <c r="J264" s="7"/>
      <c r="K264" s="5" t="s">
        <v>997</v>
      </c>
      <c r="L264" s="20" t="s">
        <v>1014</v>
      </c>
      <c r="M264" s="193" t="s">
        <v>1015</v>
      </c>
      <c r="N264" s="178">
        <v>42660</v>
      </c>
      <c r="O264" s="194">
        <v>8640</v>
      </c>
      <c r="P264" s="208">
        <v>11921</v>
      </c>
      <c r="Q264" s="178">
        <v>42660</v>
      </c>
      <c r="R264" s="178">
        <v>42735</v>
      </c>
      <c r="S264" s="20" t="s">
        <v>281</v>
      </c>
      <c r="T264" s="193"/>
      <c r="U264" s="193"/>
      <c r="V264" s="193"/>
      <c r="W264" s="193" t="s">
        <v>117</v>
      </c>
      <c r="X264" s="193"/>
      <c r="Y264" s="5" t="s">
        <v>138</v>
      </c>
      <c r="Z264" s="178">
        <v>42733</v>
      </c>
      <c r="AA264" s="208">
        <v>11989</v>
      </c>
      <c r="AB264" s="20" t="s">
        <v>1226</v>
      </c>
      <c r="AC264" s="178">
        <v>42735</v>
      </c>
      <c r="AD264" s="178">
        <v>42978</v>
      </c>
      <c r="AE264" s="193"/>
      <c r="AF264" s="193"/>
      <c r="AG264" s="193"/>
      <c r="AH264" s="193"/>
      <c r="AI264" s="193"/>
      <c r="AJ264" s="193"/>
      <c r="AK264" s="193"/>
      <c r="AL264" s="194">
        <f t="shared" si="2"/>
        <v>8640</v>
      </c>
      <c r="AM264" s="218">
        <f>0</f>
        <v>0</v>
      </c>
      <c r="AN264" s="221">
        <f>0+4320+2592</f>
        <v>6912</v>
      </c>
      <c r="AO264" s="138">
        <f t="shared" si="1"/>
        <v>6912</v>
      </c>
      <c r="AP264" s="193"/>
      <c r="AQ264" s="193"/>
      <c r="AR264" s="193"/>
      <c r="AS264" s="193"/>
      <c r="AT264" s="193"/>
      <c r="AU264" s="193"/>
      <c r="AV264" s="16" t="s">
        <v>122</v>
      </c>
      <c r="AW264" s="71" t="s">
        <v>987</v>
      </c>
      <c r="AX264" s="228">
        <v>11874</v>
      </c>
      <c r="AY264" s="227">
        <v>42604</v>
      </c>
      <c r="AZ264" s="228">
        <v>11912</v>
      </c>
      <c r="BA264" s="227">
        <v>42657</v>
      </c>
      <c r="BB264" s="20"/>
      <c r="BC264" s="20"/>
      <c r="BD264" s="193"/>
      <c r="BE264" s="193"/>
      <c r="BF264" s="193"/>
      <c r="BG264" s="193"/>
      <c r="BH264" s="193"/>
      <c r="BI264" s="193"/>
      <c r="BJ264" s="193"/>
      <c r="BK264" s="193"/>
      <c r="BL264" s="193"/>
      <c r="BM264" s="193"/>
    </row>
    <row r="265" spans="1:65" ht="63.75" x14ac:dyDescent="0.2">
      <c r="A265" s="330">
        <v>66</v>
      </c>
      <c r="B265" s="328" t="s">
        <v>1013</v>
      </c>
      <c r="C265" s="1" t="s">
        <v>672</v>
      </c>
      <c r="D265" s="20" t="s">
        <v>272</v>
      </c>
      <c r="E265" s="2" t="s">
        <v>126</v>
      </c>
      <c r="F265" s="20" t="s">
        <v>1017</v>
      </c>
      <c r="G265" s="71"/>
      <c r="H265" s="7"/>
      <c r="I265" s="7"/>
      <c r="J265" s="7"/>
      <c r="K265" s="5" t="s">
        <v>998</v>
      </c>
      <c r="L265" s="20" t="s">
        <v>1018</v>
      </c>
      <c r="M265" s="193" t="s">
        <v>1019</v>
      </c>
      <c r="N265" s="178">
        <v>42660</v>
      </c>
      <c r="O265" s="194">
        <v>10152</v>
      </c>
      <c r="P265" s="208">
        <v>11928</v>
      </c>
      <c r="Q265" s="178">
        <v>42660</v>
      </c>
      <c r="R265" s="178">
        <v>42735</v>
      </c>
      <c r="S265" s="20" t="s">
        <v>281</v>
      </c>
      <c r="T265" s="193"/>
      <c r="U265" s="193"/>
      <c r="V265" s="193"/>
      <c r="W265" s="193" t="s">
        <v>117</v>
      </c>
      <c r="X265" s="193"/>
      <c r="Y265" s="5" t="s">
        <v>138</v>
      </c>
      <c r="Z265" s="178">
        <v>42733</v>
      </c>
      <c r="AA265" s="208">
        <v>11989</v>
      </c>
      <c r="AB265" s="20" t="s">
        <v>1226</v>
      </c>
      <c r="AC265" s="178">
        <v>42735</v>
      </c>
      <c r="AD265" s="178">
        <v>42978</v>
      </c>
      <c r="AE265" s="193"/>
      <c r="AF265" s="193"/>
      <c r="AG265" s="193"/>
      <c r="AH265" s="193"/>
      <c r="AI265" s="193"/>
      <c r="AJ265" s="193"/>
      <c r="AK265" s="193"/>
      <c r="AL265" s="194">
        <f t="shared" si="2"/>
        <v>10152</v>
      </c>
      <c r="AM265" s="218">
        <f>0</f>
        <v>0</v>
      </c>
      <c r="AN265" s="221">
        <f>0</f>
        <v>0</v>
      </c>
      <c r="AO265" s="138">
        <f t="shared" si="1"/>
        <v>0</v>
      </c>
      <c r="AP265" s="193"/>
      <c r="AQ265" s="193"/>
      <c r="AR265" s="193"/>
      <c r="AS265" s="193"/>
      <c r="AT265" s="193"/>
      <c r="AU265" s="193"/>
      <c r="AV265" s="16" t="s">
        <v>122</v>
      </c>
      <c r="AW265" s="71" t="s">
        <v>987</v>
      </c>
      <c r="AX265" s="228">
        <v>11874</v>
      </c>
      <c r="AY265" s="227">
        <v>42604</v>
      </c>
      <c r="AZ265" s="228">
        <v>11912</v>
      </c>
      <c r="BA265" s="227">
        <v>42657</v>
      </c>
      <c r="BB265" s="20"/>
      <c r="BC265" s="20"/>
      <c r="BD265" s="193"/>
      <c r="BE265" s="193"/>
      <c r="BF265" s="193"/>
      <c r="BG265" s="193"/>
      <c r="BH265" s="193"/>
      <c r="BI265" s="193"/>
      <c r="BJ265" s="193"/>
      <c r="BK265" s="193"/>
      <c r="BL265" s="193"/>
      <c r="BM265" s="193"/>
    </row>
    <row r="266" spans="1:65" ht="63.75" x14ac:dyDescent="0.2">
      <c r="A266" s="330">
        <v>67</v>
      </c>
      <c r="B266" s="328" t="s">
        <v>1013</v>
      </c>
      <c r="C266" s="1" t="s">
        <v>672</v>
      </c>
      <c r="D266" s="20" t="s">
        <v>272</v>
      </c>
      <c r="E266" s="2" t="s">
        <v>126</v>
      </c>
      <c r="F266" s="20" t="s">
        <v>1022</v>
      </c>
      <c r="G266" s="71"/>
      <c r="H266" s="7"/>
      <c r="I266" s="7"/>
      <c r="J266" s="7"/>
      <c r="K266" s="5" t="s">
        <v>999</v>
      </c>
      <c r="L266" s="20" t="s">
        <v>1020</v>
      </c>
      <c r="M266" s="193" t="s">
        <v>1021</v>
      </c>
      <c r="N266" s="178">
        <v>42660</v>
      </c>
      <c r="O266" s="194">
        <v>8640</v>
      </c>
      <c r="P266" s="208">
        <v>11921</v>
      </c>
      <c r="Q266" s="178">
        <v>42660</v>
      </c>
      <c r="R266" s="178">
        <v>42735</v>
      </c>
      <c r="S266" s="20" t="s">
        <v>281</v>
      </c>
      <c r="T266" s="193"/>
      <c r="U266" s="193"/>
      <c r="V266" s="193"/>
      <c r="W266" s="193" t="s">
        <v>117</v>
      </c>
      <c r="X266" s="193" t="s">
        <v>1470</v>
      </c>
      <c r="Y266" s="5" t="s">
        <v>138</v>
      </c>
      <c r="Z266" s="178">
        <v>42733</v>
      </c>
      <c r="AA266" s="208">
        <v>12180</v>
      </c>
      <c r="AB266" s="20" t="s">
        <v>2044</v>
      </c>
      <c r="AC266" s="178">
        <v>42735</v>
      </c>
      <c r="AD266" s="178">
        <v>43100</v>
      </c>
      <c r="AE266" s="193"/>
      <c r="AF266" s="193"/>
      <c r="AG266" s="193"/>
      <c r="AH266" s="193"/>
      <c r="AI266" s="193"/>
      <c r="AJ266" s="193"/>
      <c r="AK266" s="193"/>
      <c r="AL266" s="194">
        <f t="shared" si="2"/>
        <v>8640</v>
      </c>
      <c r="AM266" s="218">
        <f>0</f>
        <v>0</v>
      </c>
      <c r="AN266" s="221">
        <f>0</f>
        <v>0</v>
      </c>
      <c r="AO266" s="138">
        <f t="shared" si="1"/>
        <v>0</v>
      </c>
      <c r="AP266" s="193"/>
      <c r="AQ266" s="193"/>
      <c r="AR266" s="193"/>
      <c r="AS266" s="193"/>
      <c r="AT266" s="193"/>
      <c r="AU266" s="193"/>
      <c r="AV266" s="16" t="s">
        <v>122</v>
      </c>
      <c r="AW266" s="71" t="s">
        <v>987</v>
      </c>
      <c r="AX266" s="228">
        <v>11874</v>
      </c>
      <c r="AY266" s="227">
        <v>42604</v>
      </c>
      <c r="AZ266" s="228">
        <v>11912</v>
      </c>
      <c r="BA266" s="227">
        <v>42657</v>
      </c>
      <c r="BB266" s="20"/>
      <c r="BC266" s="20"/>
      <c r="BD266" s="193"/>
      <c r="BE266" s="193"/>
      <c r="BF266" s="193"/>
      <c r="BG266" s="193"/>
      <c r="BH266" s="193"/>
      <c r="BI266" s="193"/>
      <c r="BJ266" s="193"/>
      <c r="BK266" s="193"/>
      <c r="BL266" s="193"/>
      <c r="BM266" s="193"/>
    </row>
    <row r="267" spans="1:65" ht="63.75" x14ac:dyDescent="0.2">
      <c r="A267" s="330">
        <v>68</v>
      </c>
      <c r="B267" s="328" t="s">
        <v>1013</v>
      </c>
      <c r="C267" s="1" t="s">
        <v>672</v>
      </c>
      <c r="D267" s="20" t="s">
        <v>272</v>
      </c>
      <c r="E267" s="2" t="s">
        <v>126</v>
      </c>
      <c r="F267" s="20" t="s">
        <v>1025</v>
      </c>
      <c r="G267" s="71"/>
      <c r="H267" s="7"/>
      <c r="I267" s="7"/>
      <c r="J267" s="7"/>
      <c r="K267" s="5" t="s">
        <v>1002</v>
      </c>
      <c r="L267" s="20" t="s">
        <v>1023</v>
      </c>
      <c r="M267" s="193" t="s">
        <v>1024</v>
      </c>
      <c r="N267" s="178">
        <v>42660</v>
      </c>
      <c r="O267" s="194">
        <v>10044</v>
      </c>
      <c r="P267" s="208">
        <v>11927</v>
      </c>
      <c r="Q267" s="178">
        <v>42660</v>
      </c>
      <c r="R267" s="178">
        <v>42735</v>
      </c>
      <c r="S267" s="20" t="s">
        <v>281</v>
      </c>
      <c r="T267" s="193"/>
      <c r="U267" s="193"/>
      <c r="V267" s="193"/>
      <c r="W267" s="193" t="s">
        <v>117</v>
      </c>
      <c r="X267" s="193"/>
      <c r="Y267" s="5" t="s">
        <v>138</v>
      </c>
      <c r="Z267" s="178">
        <v>42733</v>
      </c>
      <c r="AA267" s="208">
        <v>11989</v>
      </c>
      <c r="AB267" s="20" t="s">
        <v>1226</v>
      </c>
      <c r="AC267" s="178">
        <v>42735</v>
      </c>
      <c r="AD267" s="178">
        <v>42978</v>
      </c>
      <c r="AE267" s="193"/>
      <c r="AF267" s="193"/>
      <c r="AG267" s="193"/>
      <c r="AH267" s="193"/>
      <c r="AI267" s="193"/>
      <c r="AJ267" s="193"/>
      <c r="AK267" s="193"/>
      <c r="AL267" s="194">
        <f t="shared" si="2"/>
        <v>10044</v>
      </c>
      <c r="AM267" s="218">
        <f>0</f>
        <v>0</v>
      </c>
      <c r="AN267" s="221">
        <f>0</f>
        <v>0</v>
      </c>
      <c r="AO267" s="138">
        <f t="shared" si="1"/>
        <v>0</v>
      </c>
      <c r="AP267" s="193"/>
      <c r="AQ267" s="193"/>
      <c r="AR267" s="193"/>
      <c r="AS267" s="193"/>
      <c r="AT267" s="193"/>
      <c r="AU267" s="193"/>
      <c r="AV267" s="16" t="s">
        <v>122</v>
      </c>
      <c r="AW267" s="71" t="s">
        <v>987</v>
      </c>
      <c r="AX267" s="228">
        <v>11874</v>
      </c>
      <c r="AY267" s="227">
        <v>42604</v>
      </c>
      <c r="AZ267" s="228">
        <v>11912</v>
      </c>
      <c r="BA267" s="227">
        <v>42657</v>
      </c>
      <c r="BB267" s="20"/>
      <c r="BC267" s="20"/>
      <c r="BD267" s="193"/>
      <c r="BE267" s="193"/>
      <c r="BF267" s="193"/>
      <c r="BG267" s="193"/>
      <c r="BH267" s="193"/>
      <c r="BI267" s="193"/>
      <c r="BJ267" s="193"/>
      <c r="BK267" s="193"/>
      <c r="BL267" s="193"/>
      <c r="BM267" s="193"/>
    </row>
    <row r="268" spans="1:65" ht="63.75" x14ac:dyDescent="0.2">
      <c r="A268" s="330">
        <v>69</v>
      </c>
      <c r="B268" s="328" t="s">
        <v>1013</v>
      </c>
      <c r="C268" s="1" t="s">
        <v>672</v>
      </c>
      <c r="D268" s="20" t="s">
        <v>272</v>
      </c>
      <c r="E268" s="2" t="s">
        <v>126</v>
      </c>
      <c r="F268" s="20" t="s">
        <v>1028</v>
      </c>
      <c r="G268" s="71"/>
      <c r="H268" s="7"/>
      <c r="I268" s="7"/>
      <c r="J268" s="7"/>
      <c r="K268" s="5" t="s">
        <v>1003</v>
      </c>
      <c r="L268" s="20" t="s">
        <v>1026</v>
      </c>
      <c r="M268" s="193" t="s">
        <v>1027</v>
      </c>
      <c r="N268" s="178">
        <v>42660</v>
      </c>
      <c r="O268" s="194">
        <v>8640</v>
      </c>
      <c r="P268" s="208">
        <v>11921</v>
      </c>
      <c r="Q268" s="178">
        <v>42660</v>
      </c>
      <c r="R268" s="178">
        <v>42735</v>
      </c>
      <c r="S268" s="20" t="s">
        <v>281</v>
      </c>
      <c r="T268" s="193"/>
      <c r="U268" s="193"/>
      <c r="V268" s="193"/>
      <c r="W268" s="193" t="s">
        <v>117</v>
      </c>
      <c r="X268" s="193"/>
      <c r="Y268" s="5" t="s">
        <v>138</v>
      </c>
      <c r="Z268" s="178">
        <v>42733</v>
      </c>
      <c r="AA268" s="208">
        <v>11989</v>
      </c>
      <c r="AB268" s="20" t="s">
        <v>1226</v>
      </c>
      <c r="AC268" s="178">
        <v>42735</v>
      </c>
      <c r="AD268" s="178">
        <v>42978</v>
      </c>
      <c r="AE268" s="193"/>
      <c r="AF268" s="193"/>
      <c r="AG268" s="193"/>
      <c r="AH268" s="193"/>
      <c r="AI268" s="193"/>
      <c r="AJ268" s="193"/>
      <c r="AK268" s="193"/>
      <c r="AL268" s="194">
        <f t="shared" si="2"/>
        <v>8640</v>
      </c>
      <c r="AM268" s="218">
        <f>0</f>
        <v>0</v>
      </c>
      <c r="AN268" s="221">
        <f>0+4320</f>
        <v>4320</v>
      </c>
      <c r="AO268" s="138">
        <f t="shared" si="1"/>
        <v>4320</v>
      </c>
      <c r="AP268" s="193"/>
      <c r="AQ268" s="193"/>
      <c r="AR268" s="193"/>
      <c r="AS268" s="193"/>
      <c r="AT268" s="193"/>
      <c r="AU268" s="193"/>
      <c r="AV268" s="16" t="s">
        <v>122</v>
      </c>
      <c r="AW268" s="71" t="s">
        <v>987</v>
      </c>
      <c r="AX268" s="228">
        <v>11874</v>
      </c>
      <c r="AY268" s="227">
        <v>42604</v>
      </c>
      <c r="AZ268" s="228">
        <v>11912</v>
      </c>
      <c r="BA268" s="227">
        <v>42657</v>
      </c>
      <c r="BB268" s="20"/>
      <c r="BC268" s="20"/>
      <c r="BD268" s="193"/>
      <c r="BE268" s="193"/>
      <c r="BF268" s="193"/>
      <c r="BG268" s="193"/>
      <c r="BH268" s="193"/>
      <c r="BI268" s="193"/>
      <c r="BJ268" s="193"/>
      <c r="BK268" s="193"/>
      <c r="BL268" s="193"/>
      <c r="BM268" s="193"/>
    </row>
    <row r="269" spans="1:65" ht="63.75" x14ac:dyDescent="0.2">
      <c r="A269" s="330">
        <v>70</v>
      </c>
      <c r="B269" s="328" t="s">
        <v>1013</v>
      </c>
      <c r="C269" s="1" t="s">
        <v>672</v>
      </c>
      <c r="D269" s="20" t="s">
        <v>272</v>
      </c>
      <c r="E269" s="2" t="s">
        <v>126</v>
      </c>
      <c r="F269" s="20" t="s">
        <v>1031</v>
      </c>
      <c r="G269" s="71"/>
      <c r="H269" s="7"/>
      <c r="I269" s="7"/>
      <c r="J269" s="7"/>
      <c r="K269" s="5" t="s">
        <v>1004</v>
      </c>
      <c r="L269" s="20" t="s">
        <v>1029</v>
      </c>
      <c r="M269" s="193" t="s">
        <v>1030</v>
      </c>
      <c r="N269" s="178">
        <v>42660</v>
      </c>
      <c r="O269" s="194">
        <v>8640</v>
      </c>
      <c r="P269" s="208">
        <v>11921</v>
      </c>
      <c r="Q269" s="178">
        <v>42660</v>
      </c>
      <c r="R269" s="178">
        <v>42735</v>
      </c>
      <c r="S269" s="20" t="s">
        <v>281</v>
      </c>
      <c r="T269" s="193"/>
      <c r="U269" s="193"/>
      <c r="V269" s="193"/>
      <c r="W269" s="193" t="s">
        <v>117</v>
      </c>
      <c r="X269" s="193"/>
      <c r="Y269" s="5" t="s">
        <v>138</v>
      </c>
      <c r="Z269" s="178">
        <v>42733</v>
      </c>
      <c r="AA269" s="208">
        <v>11989</v>
      </c>
      <c r="AB269" s="20" t="s">
        <v>1226</v>
      </c>
      <c r="AC269" s="178">
        <v>42735</v>
      </c>
      <c r="AD269" s="178">
        <v>42978</v>
      </c>
      <c r="AE269" s="193"/>
      <c r="AF269" s="193"/>
      <c r="AG269" s="193"/>
      <c r="AH269" s="193"/>
      <c r="AI269" s="193"/>
      <c r="AJ269" s="193"/>
      <c r="AK269" s="193"/>
      <c r="AL269" s="194">
        <f t="shared" si="2"/>
        <v>8640</v>
      </c>
      <c r="AM269" s="218">
        <f>0</f>
        <v>0</v>
      </c>
      <c r="AN269" s="221">
        <f>0</f>
        <v>0</v>
      </c>
      <c r="AO269" s="138">
        <f t="shared" si="1"/>
        <v>0</v>
      </c>
      <c r="AP269" s="193"/>
      <c r="AQ269" s="193"/>
      <c r="AR269" s="193"/>
      <c r="AS269" s="193"/>
      <c r="AT269" s="193"/>
      <c r="AU269" s="193"/>
      <c r="AV269" s="16" t="s">
        <v>122</v>
      </c>
      <c r="AW269" s="71" t="s">
        <v>987</v>
      </c>
      <c r="AX269" s="228">
        <v>11874</v>
      </c>
      <c r="AY269" s="227">
        <v>42604</v>
      </c>
      <c r="AZ269" s="228">
        <v>11912</v>
      </c>
      <c r="BA269" s="227">
        <v>42657</v>
      </c>
      <c r="BB269" s="20"/>
      <c r="BC269" s="20"/>
      <c r="BD269" s="193"/>
      <c r="BE269" s="193"/>
      <c r="BF269" s="193"/>
      <c r="BG269" s="193"/>
      <c r="BH269" s="193"/>
      <c r="BI269" s="193"/>
      <c r="BJ269" s="193"/>
      <c r="BK269" s="193"/>
      <c r="BL269" s="193"/>
      <c r="BM269" s="193"/>
    </row>
    <row r="270" spans="1:65" ht="89.25" x14ac:dyDescent="0.2">
      <c r="A270" s="330">
        <v>71</v>
      </c>
      <c r="B270" s="328" t="s">
        <v>1043</v>
      </c>
      <c r="C270" s="1" t="s">
        <v>645</v>
      </c>
      <c r="D270" s="20" t="s">
        <v>196</v>
      </c>
      <c r="E270" s="2" t="s">
        <v>126</v>
      </c>
      <c r="F270" s="20" t="s">
        <v>1044</v>
      </c>
      <c r="G270" s="71" t="s">
        <v>1048</v>
      </c>
      <c r="H270" s="7" t="s">
        <v>655</v>
      </c>
      <c r="I270" s="67">
        <v>42663</v>
      </c>
      <c r="J270" s="67">
        <v>43028</v>
      </c>
      <c r="K270" s="5" t="s">
        <v>1005</v>
      </c>
      <c r="L270" s="20" t="s">
        <v>1045</v>
      </c>
      <c r="M270" s="193" t="s">
        <v>1046</v>
      </c>
      <c r="N270" s="178">
        <v>42695</v>
      </c>
      <c r="O270" s="194">
        <v>215730</v>
      </c>
      <c r="P270" s="208">
        <v>11940</v>
      </c>
      <c r="Q270" s="178">
        <v>42695</v>
      </c>
      <c r="R270" s="178">
        <v>43060</v>
      </c>
      <c r="S270" s="20" t="s">
        <v>927</v>
      </c>
      <c r="T270" s="193"/>
      <c r="U270" s="193"/>
      <c r="V270" s="193"/>
      <c r="W270" s="193" t="s">
        <v>192</v>
      </c>
      <c r="X270" s="193" t="s">
        <v>498</v>
      </c>
      <c r="Y270" s="5" t="s">
        <v>138</v>
      </c>
      <c r="Z270" s="178">
        <v>42842</v>
      </c>
      <c r="AA270" s="208">
        <v>12038</v>
      </c>
      <c r="AB270" s="20" t="s">
        <v>1516</v>
      </c>
      <c r="AC270" s="193"/>
      <c r="AD270" s="193"/>
      <c r="AE270" s="193">
        <v>25</v>
      </c>
      <c r="AF270" s="193"/>
      <c r="AG270" s="226">
        <v>17500</v>
      </c>
      <c r="AH270" s="193"/>
      <c r="AI270" s="193"/>
      <c r="AJ270" s="193"/>
      <c r="AK270" s="193"/>
      <c r="AL270" s="194">
        <f>O270-AH270+AG270</f>
        <v>233230</v>
      </c>
      <c r="AM270" s="218">
        <f>0+44999.5</f>
        <v>44999.5</v>
      </c>
      <c r="AN270" s="219">
        <f>49998.75+46363+35896.15+25595.5+21525+8848</f>
        <v>188226.4</v>
      </c>
      <c r="AO270" s="138">
        <f t="shared" si="1"/>
        <v>233225.9</v>
      </c>
      <c r="AP270" s="7" t="s">
        <v>655</v>
      </c>
      <c r="AQ270" s="67">
        <v>42663</v>
      </c>
      <c r="AR270" s="67">
        <v>43028</v>
      </c>
      <c r="AS270" s="208">
        <v>11920</v>
      </c>
      <c r="AT270" s="20" t="s">
        <v>1047</v>
      </c>
      <c r="AU270" s="193"/>
      <c r="AV270" s="5"/>
      <c r="AW270" s="193"/>
      <c r="AX270" s="193"/>
      <c r="AY270" s="193"/>
      <c r="AZ270" s="193"/>
      <c r="BA270" s="193"/>
      <c r="BB270" s="20"/>
      <c r="BC270" s="20"/>
      <c r="BD270" s="193"/>
      <c r="BE270" s="193"/>
      <c r="BF270" s="193"/>
      <c r="BG270" s="193"/>
      <c r="BH270" s="193"/>
      <c r="BI270" s="193"/>
      <c r="BJ270" s="193"/>
      <c r="BK270" s="193"/>
      <c r="BL270" s="193"/>
      <c r="BM270" s="193"/>
    </row>
    <row r="271" spans="1:65" ht="76.5" x14ac:dyDescent="0.2">
      <c r="A271" s="403">
        <v>72</v>
      </c>
      <c r="B271" s="418" t="s">
        <v>1049</v>
      </c>
      <c r="C271" s="422" t="s">
        <v>692</v>
      </c>
      <c r="D271" s="427" t="s">
        <v>130</v>
      </c>
      <c r="E271" s="410" t="s">
        <v>126</v>
      </c>
      <c r="F271" s="427" t="s">
        <v>1052</v>
      </c>
      <c r="G271" s="480" t="s">
        <v>1053</v>
      </c>
      <c r="H271" s="439" t="s">
        <v>679</v>
      </c>
      <c r="I271" s="453">
        <v>42706</v>
      </c>
      <c r="J271" s="453">
        <v>43071</v>
      </c>
      <c r="K271" s="576" t="s">
        <v>1041</v>
      </c>
      <c r="L271" s="427" t="s">
        <v>1050</v>
      </c>
      <c r="M271" s="582" t="s">
        <v>1051</v>
      </c>
      <c r="N271" s="492">
        <v>42709</v>
      </c>
      <c r="O271" s="533">
        <v>139387.97</v>
      </c>
      <c r="P271" s="666">
        <v>11956</v>
      </c>
      <c r="Q271" s="492">
        <v>42709</v>
      </c>
      <c r="R271" s="671">
        <v>43074</v>
      </c>
      <c r="S271" s="427" t="s">
        <v>927</v>
      </c>
      <c r="T271" s="576"/>
      <c r="U271" s="576"/>
      <c r="V271" s="576"/>
      <c r="W271" s="582" t="s">
        <v>137</v>
      </c>
      <c r="X271" s="193" t="s">
        <v>498</v>
      </c>
      <c r="Y271" s="5" t="s">
        <v>138</v>
      </c>
      <c r="Z271" s="178">
        <v>42845</v>
      </c>
      <c r="AA271" s="208">
        <v>12045</v>
      </c>
      <c r="AB271" s="20" t="s">
        <v>1540</v>
      </c>
      <c r="AC271" s="193"/>
      <c r="AD271" s="193"/>
      <c r="AE271" s="193">
        <v>0.71</v>
      </c>
      <c r="AF271" s="193"/>
      <c r="AG271" s="226">
        <v>989.73</v>
      </c>
      <c r="AH271" s="193"/>
      <c r="AI271" s="193"/>
      <c r="AJ271" s="193"/>
      <c r="AK271" s="193"/>
      <c r="AL271" s="487">
        <f>O271-AH271+AG271-AH272+AG272</f>
        <v>141802.93000000002</v>
      </c>
      <c r="AM271" s="500">
        <f>0</f>
        <v>0</v>
      </c>
      <c r="AN271" s="529">
        <f>139387.97+989.73+1425.23</f>
        <v>141802.93000000002</v>
      </c>
      <c r="AO271" s="487">
        <f t="shared" si="1"/>
        <v>141802.93000000002</v>
      </c>
      <c r="AP271" s="193"/>
      <c r="AQ271" s="193"/>
      <c r="AR271" s="193"/>
      <c r="AS271" s="193"/>
      <c r="AT271" s="193"/>
      <c r="AU271" s="193"/>
      <c r="AV271" s="5"/>
      <c r="AW271" s="193"/>
      <c r="AX271" s="193"/>
      <c r="AY271" s="193"/>
      <c r="AZ271" s="193"/>
      <c r="BA271" s="193"/>
      <c r="BB271" s="20"/>
      <c r="BC271" s="20"/>
      <c r="BD271" s="193"/>
      <c r="BE271" s="193"/>
      <c r="BF271" s="193"/>
      <c r="BG271" s="193"/>
      <c r="BH271" s="193"/>
      <c r="BI271" s="193"/>
      <c r="BJ271" s="193"/>
      <c r="BK271" s="193"/>
      <c r="BL271" s="193"/>
      <c r="BM271" s="193"/>
    </row>
    <row r="272" spans="1:65" ht="89.25" x14ac:dyDescent="0.2">
      <c r="A272" s="404"/>
      <c r="B272" s="419"/>
      <c r="C272" s="424"/>
      <c r="D272" s="428"/>
      <c r="E272" s="412"/>
      <c r="F272" s="428"/>
      <c r="G272" s="482"/>
      <c r="H272" s="440"/>
      <c r="I272" s="455"/>
      <c r="J272" s="455"/>
      <c r="K272" s="577"/>
      <c r="L272" s="428"/>
      <c r="M272" s="583"/>
      <c r="N272" s="493"/>
      <c r="O272" s="534"/>
      <c r="P272" s="667"/>
      <c r="Q272" s="493"/>
      <c r="R272" s="672"/>
      <c r="S272" s="428"/>
      <c r="T272" s="577"/>
      <c r="U272" s="577"/>
      <c r="V272" s="577"/>
      <c r="W272" s="583"/>
      <c r="X272" s="193" t="s">
        <v>498</v>
      </c>
      <c r="Y272" s="5" t="s">
        <v>144</v>
      </c>
      <c r="Z272" s="178">
        <v>43045</v>
      </c>
      <c r="AA272" s="208">
        <v>12181</v>
      </c>
      <c r="AB272" s="20" t="s">
        <v>2045</v>
      </c>
      <c r="AC272" s="193"/>
      <c r="AD272" s="193"/>
      <c r="AE272" s="193">
        <v>1.02</v>
      </c>
      <c r="AF272" s="193"/>
      <c r="AG272" s="226">
        <v>1425.23</v>
      </c>
      <c r="AH272" s="193"/>
      <c r="AI272" s="193"/>
      <c r="AJ272" s="193"/>
      <c r="AK272" s="193"/>
      <c r="AL272" s="488"/>
      <c r="AM272" s="501"/>
      <c r="AN272" s="531"/>
      <c r="AO272" s="488"/>
      <c r="AP272" s="193"/>
      <c r="AQ272" s="193"/>
      <c r="AR272" s="193"/>
      <c r="AS272" s="193"/>
      <c r="AT272" s="193"/>
      <c r="AU272" s="193"/>
      <c r="AV272" s="5"/>
      <c r="AW272" s="193"/>
      <c r="AX272" s="193"/>
      <c r="AY272" s="193"/>
      <c r="AZ272" s="193"/>
      <c r="BA272" s="193"/>
      <c r="BB272" s="20"/>
      <c r="BC272" s="20"/>
      <c r="BD272" s="193"/>
      <c r="BE272" s="193"/>
      <c r="BF272" s="193"/>
      <c r="BG272" s="193"/>
      <c r="BH272" s="193"/>
      <c r="BI272" s="193"/>
      <c r="BJ272" s="193"/>
      <c r="BK272" s="193"/>
      <c r="BL272" s="193"/>
      <c r="BM272" s="193"/>
    </row>
    <row r="273" spans="1:65" ht="51" x14ac:dyDescent="0.2">
      <c r="A273" s="330">
        <v>73</v>
      </c>
      <c r="B273" s="328" t="s">
        <v>1123</v>
      </c>
      <c r="C273" s="1" t="s">
        <v>659</v>
      </c>
      <c r="D273" s="20" t="s">
        <v>147</v>
      </c>
      <c r="E273" s="2" t="s">
        <v>372</v>
      </c>
      <c r="F273" s="64" t="s">
        <v>1124</v>
      </c>
      <c r="G273" s="71" t="s">
        <v>1139</v>
      </c>
      <c r="H273" s="7" t="s">
        <v>658</v>
      </c>
      <c r="I273" s="227">
        <v>42471</v>
      </c>
      <c r="J273" s="227">
        <v>42836</v>
      </c>
      <c r="K273" s="2" t="s">
        <v>1083</v>
      </c>
      <c r="L273" s="20" t="s">
        <v>1125</v>
      </c>
      <c r="M273" s="20" t="s">
        <v>1126</v>
      </c>
      <c r="N273" s="59">
        <v>42738</v>
      </c>
      <c r="O273" s="65">
        <v>88200</v>
      </c>
      <c r="P273" s="71" t="s">
        <v>1140</v>
      </c>
      <c r="Q273" s="59">
        <v>42738</v>
      </c>
      <c r="R273" s="59">
        <v>43100</v>
      </c>
      <c r="S273" s="2" t="s">
        <v>919</v>
      </c>
      <c r="T273" s="2"/>
      <c r="U273" s="20"/>
      <c r="V273" s="20"/>
      <c r="W273" s="20" t="s">
        <v>137</v>
      </c>
      <c r="X273" s="229"/>
      <c r="Y273" s="229"/>
      <c r="Z273" s="229"/>
      <c r="AA273" s="64"/>
      <c r="AB273" s="64"/>
      <c r="AC273" s="64"/>
      <c r="AD273" s="94"/>
      <c r="AE273" s="64"/>
      <c r="AF273" s="95"/>
      <c r="AG273" s="230"/>
      <c r="AH273" s="95"/>
      <c r="AI273" s="95"/>
      <c r="AJ273" s="95"/>
      <c r="AK273" s="95"/>
      <c r="AL273" s="194">
        <f t="shared" si="2"/>
        <v>88200</v>
      </c>
      <c r="AM273" s="231"/>
      <c r="AN273" s="221">
        <f>0+88200</f>
        <v>88200</v>
      </c>
      <c r="AO273" s="138">
        <f t="shared" si="1"/>
        <v>88200</v>
      </c>
      <c r="AP273" s="229"/>
      <c r="AQ273" s="64"/>
      <c r="AR273" s="64"/>
      <c r="AS273" s="64"/>
      <c r="AT273" s="64"/>
      <c r="AU273" s="64"/>
      <c r="AV273" s="64"/>
      <c r="AW273" s="64"/>
      <c r="AX273" s="64"/>
      <c r="AY273" s="64"/>
      <c r="AZ273" s="64"/>
      <c r="BA273" s="64"/>
      <c r="BB273" s="64"/>
      <c r="BC273" s="64"/>
      <c r="BD273" s="64"/>
      <c r="BE273" s="64"/>
      <c r="BF273" s="64"/>
      <c r="BG273" s="64"/>
      <c r="BH273" s="193"/>
      <c r="BI273" s="193"/>
      <c r="BJ273" s="193"/>
      <c r="BK273" s="193"/>
      <c r="BL273" s="193"/>
      <c r="BM273" s="193"/>
    </row>
    <row r="274" spans="1:65" ht="63.75" x14ac:dyDescent="0.2">
      <c r="A274" s="330">
        <v>74</v>
      </c>
      <c r="B274" s="328" t="s">
        <v>1058</v>
      </c>
      <c r="C274" s="1" t="s">
        <v>646</v>
      </c>
      <c r="D274" s="20" t="s">
        <v>196</v>
      </c>
      <c r="E274" s="2" t="s">
        <v>372</v>
      </c>
      <c r="F274" s="64" t="s">
        <v>1127</v>
      </c>
      <c r="G274" s="71" t="s">
        <v>1059</v>
      </c>
      <c r="H274" s="7" t="s">
        <v>647</v>
      </c>
      <c r="I274" s="224">
        <v>42572</v>
      </c>
      <c r="J274" s="224">
        <v>42937</v>
      </c>
      <c r="K274" s="2" t="s">
        <v>1084</v>
      </c>
      <c r="L274" s="20" t="s">
        <v>715</v>
      </c>
      <c r="M274" s="20" t="s">
        <v>247</v>
      </c>
      <c r="N274" s="59">
        <v>42738</v>
      </c>
      <c r="O274" s="65">
        <v>421000</v>
      </c>
      <c r="P274" s="71" t="s">
        <v>1140</v>
      </c>
      <c r="Q274" s="59">
        <v>42738</v>
      </c>
      <c r="R274" s="59">
        <v>43100</v>
      </c>
      <c r="S274" s="2" t="s">
        <v>614</v>
      </c>
      <c r="T274" s="2"/>
      <c r="U274" s="20"/>
      <c r="V274" s="20"/>
      <c r="W274" s="20" t="s">
        <v>137</v>
      </c>
      <c r="X274" s="229"/>
      <c r="Y274" s="229"/>
      <c r="Z274" s="229"/>
      <c r="AA274" s="64"/>
      <c r="AB274" s="64"/>
      <c r="AC274" s="64"/>
      <c r="AD274" s="94"/>
      <c r="AE274" s="64"/>
      <c r="AF274" s="95"/>
      <c r="AG274" s="230"/>
      <c r="AH274" s="95"/>
      <c r="AI274" s="95"/>
      <c r="AJ274" s="95"/>
      <c r="AK274" s="95"/>
      <c r="AL274" s="194">
        <f t="shared" si="2"/>
        <v>421000</v>
      </c>
      <c r="AM274" s="231"/>
      <c r="AN274" s="219">
        <f>0+53333.33+53333.33+53333.33+53333.33+106666.66+33666.66</f>
        <v>353666.64</v>
      </c>
      <c r="AO274" s="138">
        <f t="shared" si="1"/>
        <v>353666.64</v>
      </c>
      <c r="AP274" s="229"/>
      <c r="AQ274" s="64"/>
      <c r="AR274" s="64"/>
      <c r="AS274" s="64"/>
      <c r="AT274" s="64"/>
      <c r="AU274" s="64"/>
      <c r="AV274" s="64"/>
      <c r="AW274" s="64"/>
      <c r="AX274" s="64"/>
      <c r="AY274" s="64"/>
      <c r="AZ274" s="64"/>
      <c r="BA274" s="64"/>
      <c r="BB274" s="64"/>
      <c r="BC274" s="64"/>
      <c r="BD274" s="64"/>
      <c r="BE274" s="64"/>
      <c r="BF274" s="64"/>
      <c r="BG274" s="64"/>
      <c r="BH274" s="193"/>
      <c r="BI274" s="193"/>
      <c r="BJ274" s="193"/>
      <c r="BK274" s="193"/>
      <c r="BL274" s="193"/>
      <c r="BM274" s="193"/>
    </row>
    <row r="275" spans="1:65" ht="127.5" x14ac:dyDescent="0.2">
      <c r="A275" s="330">
        <v>75</v>
      </c>
      <c r="B275" s="328" t="s">
        <v>743</v>
      </c>
      <c r="C275" s="1" t="s">
        <v>744</v>
      </c>
      <c r="D275" s="20" t="s">
        <v>147</v>
      </c>
      <c r="E275" s="2" t="s">
        <v>372</v>
      </c>
      <c r="F275" s="20" t="s">
        <v>1128</v>
      </c>
      <c r="G275" s="71" t="s">
        <v>752</v>
      </c>
      <c r="H275" s="7" t="s">
        <v>650</v>
      </c>
      <c r="I275" s="224">
        <v>42411</v>
      </c>
      <c r="J275" s="224">
        <v>42777</v>
      </c>
      <c r="K275" s="2" t="s">
        <v>1085</v>
      </c>
      <c r="L275" s="20" t="s">
        <v>244</v>
      </c>
      <c r="M275" s="20" t="s">
        <v>245</v>
      </c>
      <c r="N275" s="59">
        <v>42738</v>
      </c>
      <c r="O275" s="65">
        <v>156340.74</v>
      </c>
      <c r="P275" s="71" t="s">
        <v>1146</v>
      </c>
      <c r="Q275" s="59">
        <v>42738</v>
      </c>
      <c r="R275" s="59">
        <v>43100</v>
      </c>
      <c r="S275" s="2" t="s">
        <v>614</v>
      </c>
      <c r="T275" s="2"/>
      <c r="U275" s="20"/>
      <c r="V275" s="20"/>
      <c r="W275" s="20" t="s">
        <v>192</v>
      </c>
      <c r="X275" s="229"/>
      <c r="Y275" s="229"/>
      <c r="Z275" s="229"/>
      <c r="AA275" s="64"/>
      <c r="AB275" s="64"/>
      <c r="AC275" s="64"/>
      <c r="AD275" s="94"/>
      <c r="AE275" s="64"/>
      <c r="AF275" s="95"/>
      <c r="AG275" s="230"/>
      <c r="AH275" s="95"/>
      <c r="AI275" s="95"/>
      <c r="AJ275" s="95"/>
      <c r="AK275" s="95"/>
      <c r="AL275" s="194">
        <f t="shared" si="2"/>
        <v>156340.74</v>
      </c>
      <c r="AM275" s="231"/>
      <c r="AN275" s="219">
        <f>0+40369.7+6727.5+5870+317.5+5340</f>
        <v>58624.7</v>
      </c>
      <c r="AO275" s="138">
        <f t="shared" si="1"/>
        <v>58624.7</v>
      </c>
      <c r="AP275" s="229"/>
      <c r="AQ275" s="64"/>
      <c r="AR275" s="64"/>
      <c r="AS275" s="64"/>
      <c r="AT275" s="64"/>
      <c r="AU275" s="64"/>
      <c r="AV275" s="64"/>
      <c r="AW275" s="64"/>
      <c r="AX275" s="64"/>
      <c r="AY275" s="64"/>
      <c r="AZ275" s="64"/>
      <c r="BA275" s="64"/>
      <c r="BB275" s="64"/>
      <c r="BC275" s="64"/>
      <c r="BD275" s="64"/>
      <c r="BE275" s="64"/>
      <c r="BF275" s="64"/>
      <c r="BG275" s="64"/>
      <c r="BH275" s="193"/>
      <c r="BI275" s="193"/>
      <c r="BJ275" s="193"/>
      <c r="BK275" s="193"/>
      <c r="BL275" s="193"/>
      <c r="BM275" s="193"/>
    </row>
    <row r="276" spans="1:65" ht="127.5" x14ac:dyDescent="0.2">
      <c r="A276" s="330">
        <v>76</v>
      </c>
      <c r="B276" s="328" t="s">
        <v>743</v>
      </c>
      <c r="C276" s="1" t="s">
        <v>744</v>
      </c>
      <c r="D276" s="20" t="s">
        <v>147</v>
      </c>
      <c r="E276" s="2" t="s">
        <v>372</v>
      </c>
      <c r="F276" s="20" t="s">
        <v>1128</v>
      </c>
      <c r="G276" s="71" t="s">
        <v>752</v>
      </c>
      <c r="H276" s="7" t="s">
        <v>650</v>
      </c>
      <c r="I276" s="224">
        <v>42411</v>
      </c>
      <c r="J276" s="224">
        <v>42777</v>
      </c>
      <c r="K276" s="2" t="s">
        <v>1086</v>
      </c>
      <c r="L276" s="20" t="s">
        <v>523</v>
      </c>
      <c r="M276" s="20" t="s">
        <v>524</v>
      </c>
      <c r="N276" s="59">
        <v>42738</v>
      </c>
      <c r="O276" s="65">
        <v>24046.9</v>
      </c>
      <c r="P276" s="71" t="s">
        <v>1152</v>
      </c>
      <c r="Q276" s="59">
        <v>42738</v>
      </c>
      <c r="R276" s="59">
        <v>43100</v>
      </c>
      <c r="S276" s="2" t="s">
        <v>614</v>
      </c>
      <c r="T276" s="2"/>
      <c r="U276" s="20"/>
      <c r="V276" s="20"/>
      <c r="W276" s="20" t="s">
        <v>192</v>
      </c>
      <c r="X276" s="229"/>
      <c r="Y276" s="229"/>
      <c r="Z276" s="229"/>
      <c r="AA276" s="64"/>
      <c r="AB276" s="64"/>
      <c r="AC276" s="64"/>
      <c r="AD276" s="94"/>
      <c r="AE276" s="64"/>
      <c r="AF276" s="95"/>
      <c r="AG276" s="230"/>
      <c r="AH276" s="95"/>
      <c r="AI276" s="95"/>
      <c r="AJ276" s="95"/>
      <c r="AK276" s="95"/>
      <c r="AL276" s="194">
        <f t="shared" si="2"/>
        <v>24046.9</v>
      </c>
      <c r="AM276" s="231"/>
      <c r="AN276" s="219">
        <f>7141.3+11611.5</f>
        <v>18752.8</v>
      </c>
      <c r="AO276" s="138">
        <f t="shared" si="1"/>
        <v>18752.8</v>
      </c>
      <c r="AP276" s="229"/>
      <c r="AQ276" s="64"/>
      <c r="AR276" s="64"/>
      <c r="AS276" s="64"/>
      <c r="AT276" s="64"/>
      <c r="AU276" s="64"/>
      <c r="AV276" s="64"/>
      <c r="AW276" s="64"/>
      <c r="AX276" s="64"/>
      <c r="AY276" s="64"/>
      <c r="AZ276" s="64"/>
      <c r="BA276" s="64"/>
      <c r="BB276" s="64"/>
      <c r="BC276" s="64"/>
      <c r="BD276" s="64"/>
      <c r="BE276" s="64"/>
      <c r="BF276" s="64"/>
      <c r="BG276" s="64"/>
      <c r="BH276" s="193"/>
      <c r="BI276" s="193"/>
      <c r="BJ276" s="193"/>
      <c r="BK276" s="193"/>
      <c r="BL276" s="193"/>
      <c r="BM276" s="193"/>
    </row>
    <row r="277" spans="1:65" ht="38.25" x14ac:dyDescent="0.2">
      <c r="A277" s="330">
        <v>77</v>
      </c>
      <c r="B277" s="328">
        <v>37998</v>
      </c>
      <c r="C277" s="1" t="s">
        <v>1084</v>
      </c>
      <c r="D277" s="20" t="s">
        <v>147</v>
      </c>
      <c r="E277" s="2" t="s">
        <v>372</v>
      </c>
      <c r="F277" s="20" t="s">
        <v>1623</v>
      </c>
      <c r="G277" s="71" t="s">
        <v>1602</v>
      </c>
      <c r="H277" s="7"/>
      <c r="I277" s="224"/>
      <c r="J277" s="224"/>
      <c r="K277" s="2" t="s">
        <v>1087</v>
      </c>
      <c r="L277" s="20" t="s">
        <v>1609</v>
      </c>
      <c r="M277" s="20" t="s">
        <v>1603</v>
      </c>
      <c r="N277" s="59">
        <v>42797</v>
      </c>
      <c r="O277" s="65">
        <v>902090.64</v>
      </c>
      <c r="P277" s="232">
        <v>12032</v>
      </c>
      <c r="Q277" s="59">
        <v>42797</v>
      </c>
      <c r="R277" s="59">
        <v>43162</v>
      </c>
      <c r="S277" s="6" t="s">
        <v>206</v>
      </c>
      <c r="T277" s="2"/>
      <c r="U277" s="20"/>
      <c r="V277" s="20"/>
      <c r="W277" s="6" t="s">
        <v>222</v>
      </c>
      <c r="X277" s="229"/>
      <c r="Y277" s="229"/>
      <c r="Z277" s="229"/>
      <c r="AA277" s="64"/>
      <c r="AB277" s="64"/>
      <c r="AC277" s="64"/>
      <c r="AD277" s="94"/>
      <c r="AE277" s="64"/>
      <c r="AF277" s="95"/>
      <c r="AG277" s="230"/>
      <c r="AH277" s="95"/>
      <c r="AI277" s="95"/>
      <c r="AJ277" s="95"/>
      <c r="AK277" s="95"/>
      <c r="AL277" s="194">
        <f>O277-AH277+AG277</f>
        <v>902090.64</v>
      </c>
      <c r="AM277" s="231"/>
      <c r="AN277" s="218">
        <f>70162.61+75174.22+75174.22+75174.22+75174.22+75174.22</f>
        <v>446033.70999999996</v>
      </c>
      <c r="AO277" s="138">
        <f t="shared" si="1"/>
        <v>446033.70999999996</v>
      </c>
      <c r="AP277" s="229"/>
      <c r="AQ277" s="64"/>
      <c r="AR277" s="64"/>
      <c r="AS277" s="64"/>
      <c r="AT277" s="64"/>
      <c r="AU277" s="64"/>
      <c r="AV277" s="64"/>
      <c r="AW277" s="64"/>
      <c r="AX277" s="64"/>
      <c r="AY277" s="64"/>
      <c r="AZ277" s="64"/>
      <c r="BA277" s="64"/>
      <c r="BB277" s="64"/>
      <c r="BC277" s="64"/>
      <c r="BD277" s="64"/>
      <c r="BE277" s="64"/>
      <c r="BF277" s="64"/>
      <c r="BG277" s="64"/>
      <c r="BH277" s="193"/>
      <c r="BI277" s="193"/>
      <c r="BJ277" s="193"/>
      <c r="BK277" s="193"/>
      <c r="BL277" s="193"/>
      <c r="BM277" s="193"/>
    </row>
    <row r="278" spans="1:65" ht="127.5" x14ac:dyDescent="0.2">
      <c r="A278" s="330">
        <v>78</v>
      </c>
      <c r="B278" s="328" t="s">
        <v>743</v>
      </c>
      <c r="C278" s="1" t="s">
        <v>744</v>
      </c>
      <c r="D278" s="20" t="s">
        <v>147</v>
      </c>
      <c r="E278" s="2" t="s">
        <v>372</v>
      </c>
      <c r="F278" s="64" t="s">
        <v>1128</v>
      </c>
      <c r="G278" s="71" t="s">
        <v>752</v>
      </c>
      <c r="H278" s="7" t="s">
        <v>651</v>
      </c>
      <c r="I278" s="224">
        <v>42411</v>
      </c>
      <c r="J278" s="224">
        <v>42777</v>
      </c>
      <c r="K278" s="2" t="s">
        <v>1087</v>
      </c>
      <c r="L278" s="20" t="s">
        <v>745</v>
      </c>
      <c r="M278" s="20" t="s">
        <v>746</v>
      </c>
      <c r="N278" s="59">
        <v>42738</v>
      </c>
      <c r="O278" s="65">
        <v>240804.09</v>
      </c>
      <c r="P278" s="1" t="s">
        <v>1339</v>
      </c>
      <c r="Q278" s="59">
        <v>42738</v>
      </c>
      <c r="R278" s="59">
        <v>43100</v>
      </c>
      <c r="S278" s="2" t="s">
        <v>614</v>
      </c>
      <c r="T278" s="2"/>
      <c r="U278" s="20"/>
      <c r="V278" s="20"/>
      <c r="W278" s="20" t="s">
        <v>192</v>
      </c>
      <c r="X278" s="229"/>
      <c r="Y278" s="229"/>
      <c r="Z278" s="229"/>
      <c r="AA278" s="64"/>
      <c r="AB278" s="64"/>
      <c r="AC278" s="64"/>
      <c r="AD278" s="94"/>
      <c r="AE278" s="64"/>
      <c r="AF278" s="95"/>
      <c r="AG278" s="230"/>
      <c r="AH278" s="95"/>
      <c r="AI278" s="95"/>
      <c r="AJ278" s="95"/>
      <c r="AK278" s="95"/>
      <c r="AL278" s="194">
        <f t="shared" si="2"/>
        <v>240804.09</v>
      </c>
      <c r="AM278" s="231"/>
      <c r="AN278" s="219">
        <f>160012.32+71768.36+2500.61+4070.51+2445.33</f>
        <v>240797.12999999998</v>
      </c>
      <c r="AO278" s="138">
        <f t="shared" si="1"/>
        <v>240797.12999999998</v>
      </c>
      <c r="AP278" s="229"/>
      <c r="AQ278" s="64"/>
      <c r="AR278" s="64"/>
      <c r="AS278" s="64"/>
      <c r="AT278" s="64"/>
      <c r="AU278" s="64"/>
      <c r="AV278" s="64"/>
      <c r="AW278" s="64"/>
      <c r="AX278" s="64"/>
      <c r="AY278" s="64"/>
      <c r="AZ278" s="64"/>
      <c r="BA278" s="64"/>
      <c r="BB278" s="64"/>
      <c r="BC278" s="64"/>
      <c r="BD278" s="64"/>
      <c r="BE278" s="64"/>
      <c r="BF278" s="64"/>
      <c r="BG278" s="64"/>
      <c r="BH278" s="193"/>
      <c r="BI278" s="193"/>
      <c r="BJ278" s="193"/>
      <c r="BK278" s="193"/>
      <c r="BL278" s="193"/>
      <c r="BM278" s="193"/>
    </row>
    <row r="279" spans="1:65" ht="127.5" x14ac:dyDescent="0.2">
      <c r="A279" s="330">
        <v>79</v>
      </c>
      <c r="B279" s="328" t="s">
        <v>743</v>
      </c>
      <c r="C279" s="1" t="s">
        <v>744</v>
      </c>
      <c r="D279" s="20" t="s">
        <v>147</v>
      </c>
      <c r="E279" s="2" t="s">
        <v>372</v>
      </c>
      <c r="F279" s="64" t="s">
        <v>1128</v>
      </c>
      <c r="G279" s="71" t="s">
        <v>752</v>
      </c>
      <c r="H279" s="7" t="s">
        <v>650</v>
      </c>
      <c r="I279" s="224">
        <v>42411</v>
      </c>
      <c r="J279" s="224">
        <v>42777</v>
      </c>
      <c r="K279" s="2" t="s">
        <v>1088</v>
      </c>
      <c r="L279" s="20" t="s">
        <v>747</v>
      </c>
      <c r="M279" s="20" t="s">
        <v>569</v>
      </c>
      <c r="N279" s="59">
        <v>42738</v>
      </c>
      <c r="O279" s="65">
        <v>233987.06</v>
      </c>
      <c r="P279" s="71" t="s">
        <v>1146</v>
      </c>
      <c r="Q279" s="59">
        <v>42738</v>
      </c>
      <c r="R279" s="59">
        <v>43100</v>
      </c>
      <c r="S279" s="2" t="s">
        <v>614</v>
      </c>
      <c r="T279" s="2"/>
      <c r="U279" s="20"/>
      <c r="V279" s="20"/>
      <c r="W279" s="20" t="s">
        <v>192</v>
      </c>
      <c r="X279" s="229"/>
      <c r="Y279" s="229"/>
      <c r="Z279" s="229"/>
      <c r="AA279" s="64"/>
      <c r="AB279" s="64"/>
      <c r="AC279" s="64"/>
      <c r="AD279" s="94"/>
      <c r="AE279" s="64"/>
      <c r="AF279" s="95"/>
      <c r="AG279" s="230"/>
      <c r="AH279" s="95"/>
      <c r="AI279" s="95"/>
      <c r="AJ279" s="95"/>
      <c r="AK279" s="95"/>
      <c r="AL279" s="194">
        <f t="shared" si="2"/>
        <v>233987.06</v>
      </c>
      <c r="AM279" s="231"/>
      <c r="AN279" s="219">
        <f>0+34121+6225</f>
        <v>40346</v>
      </c>
      <c r="AO279" s="138">
        <f t="shared" si="1"/>
        <v>40346</v>
      </c>
      <c r="AP279" s="229"/>
      <c r="AQ279" s="64"/>
      <c r="AR279" s="64"/>
      <c r="AS279" s="64"/>
      <c r="AT279" s="64"/>
      <c r="AU279" s="64"/>
      <c r="AV279" s="64"/>
      <c r="AW279" s="64"/>
      <c r="AX279" s="64"/>
      <c r="AY279" s="64"/>
      <c r="AZ279" s="64"/>
      <c r="BA279" s="64"/>
      <c r="BB279" s="64"/>
      <c r="BC279" s="64"/>
      <c r="BD279" s="64"/>
      <c r="BE279" s="64"/>
      <c r="BF279" s="64"/>
      <c r="BG279" s="64"/>
      <c r="BH279" s="193"/>
      <c r="BI279" s="193"/>
      <c r="BJ279" s="193"/>
      <c r="BK279" s="193"/>
      <c r="BL279" s="193"/>
      <c r="BM279" s="193"/>
    </row>
    <row r="280" spans="1:65" ht="127.5" x14ac:dyDescent="0.2">
      <c r="A280" s="330">
        <v>80</v>
      </c>
      <c r="B280" s="328" t="s">
        <v>743</v>
      </c>
      <c r="C280" s="1" t="s">
        <v>744</v>
      </c>
      <c r="D280" s="20" t="s">
        <v>147</v>
      </c>
      <c r="E280" s="2" t="s">
        <v>372</v>
      </c>
      <c r="F280" s="64" t="s">
        <v>1128</v>
      </c>
      <c r="G280" s="71" t="s">
        <v>752</v>
      </c>
      <c r="H280" s="7" t="s">
        <v>650</v>
      </c>
      <c r="I280" s="224">
        <v>42411</v>
      </c>
      <c r="J280" s="224">
        <v>42777</v>
      </c>
      <c r="K280" s="2" t="s">
        <v>1089</v>
      </c>
      <c r="L280" s="20" t="s">
        <v>693</v>
      </c>
      <c r="M280" s="20" t="s">
        <v>694</v>
      </c>
      <c r="N280" s="59">
        <v>42738</v>
      </c>
      <c r="O280" s="65">
        <v>135836.5</v>
      </c>
      <c r="P280" s="71" t="s">
        <v>1140</v>
      </c>
      <c r="Q280" s="59">
        <v>42738</v>
      </c>
      <c r="R280" s="59">
        <v>43100</v>
      </c>
      <c r="S280" s="2" t="s">
        <v>614</v>
      </c>
      <c r="T280" s="2"/>
      <c r="U280" s="20"/>
      <c r="V280" s="20"/>
      <c r="W280" s="20" t="s">
        <v>192</v>
      </c>
      <c r="X280" s="229"/>
      <c r="Y280" s="229"/>
      <c r="Z280" s="229"/>
      <c r="AA280" s="64"/>
      <c r="AB280" s="64"/>
      <c r="AC280" s="64"/>
      <c r="AD280" s="94"/>
      <c r="AE280" s="64"/>
      <c r="AF280" s="95"/>
      <c r="AG280" s="230"/>
      <c r="AH280" s="95"/>
      <c r="AI280" s="95"/>
      <c r="AJ280" s="95"/>
      <c r="AK280" s="95"/>
      <c r="AL280" s="194">
        <f t="shared" si="2"/>
        <v>135836.5</v>
      </c>
      <c r="AM280" s="231"/>
      <c r="AN280" s="219">
        <f>0+41850+65286</f>
        <v>107136</v>
      </c>
      <c r="AO280" s="138">
        <f t="shared" si="1"/>
        <v>107136</v>
      </c>
      <c r="AP280" s="229"/>
      <c r="AQ280" s="64"/>
      <c r="AR280" s="64"/>
      <c r="AS280" s="64"/>
      <c r="AT280" s="64"/>
      <c r="AU280" s="64"/>
      <c r="AV280" s="64"/>
      <c r="AW280" s="64"/>
      <c r="AX280" s="64"/>
      <c r="AY280" s="64"/>
      <c r="AZ280" s="64"/>
      <c r="BA280" s="64"/>
      <c r="BB280" s="64"/>
      <c r="BC280" s="64"/>
      <c r="BD280" s="64"/>
      <c r="BE280" s="64"/>
      <c r="BF280" s="64"/>
      <c r="BG280" s="64"/>
      <c r="BH280" s="193"/>
      <c r="BI280" s="193"/>
      <c r="BJ280" s="193"/>
      <c r="BK280" s="193"/>
      <c r="BL280" s="193"/>
      <c r="BM280" s="193"/>
    </row>
    <row r="281" spans="1:65" ht="127.5" x14ac:dyDescent="0.2">
      <c r="A281" s="330">
        <v>81</v>
      </c>
      <c r="B281" s="328" t="s">
        <v>743</v>
      </c>
      <c r="C281" s="1" t="s">
        <v>744</v>
      </c>
      <c r="D281" s="20" t="s">
        <v>147</v>
      </c>
      <c r="E281" s="2" t="s">
        <v>372</v>
      </c>
      <c r="F281" s="64" t="s">
        <v>1128</v>
      </c>
      <c r="G281" s="71" t="s">
        <v>752</v>
      </c>
      <c r="H281" s="7" t="s">
        <v>650</v>
      </c>
      <c r="I281" s="224">
        <v>42411</v>
      </c>
      <c r="J281" s="224">
        <v>42777</v>
      </c>
      <c r="K281" s="2" t="s">
        <v>1090</v>
      </c>
      <c r="L281" s="20" t="s">
        <v>1033</v>
      </c>
      <c r="M281" s="20" t="s">
        <v>748</v>
      </c>
      <c r="N281" s="59">
        <v>42738</v>
      </c>
      <c r="O281" s="65">
        <v>327076.14</v>
      </c>
      <c r="P281" s="71" t="s">
        <v>1166</v>
      </c>
      <c r="Q281" s="59">
        <v>42738</v>
      </c>
      <c r="R281" s="59">
        <v>43100</v>
      </c>
      <c r="S281" s="2" t="s">
        <v>614</v>
      </c>
      <c r="T281" s="2"/>
      <c r="U281" s="20"/>
      <c r="V281" s="20"/>
      <c r="W281" s="20" t="s">
        <v>192</v>
      </c>
      <c r="X281" s="229"/>
      <c r="Y281" s="229"/>
      <c r="Z281" s="229"/>
      <c r="AA281" s="64"/>
      <c r="AB281" s="64"/>
      <c r="AC281" s="64"/>
      <c r="AD281" s="94"/>
      <c r="AE281" s="64"/>
      <c r="AF281" s="95"/>
      <c r="AG281" s="230"/>
      <c r="AH281" s="95"/>
      <c r="AI281" s="95"/>
      <c r="AJ281" s="95"/>
      <c r="AK281" s="95"/>
      <c r="AL281" s="194">
        <f t="shared" si="2"/>
        <v>327076.14</v>
      </c>
      <c r="AM281" s="231"/>
      <c r="AN281" s="4">
        <f>0+43883.18+2412</f>
        <v>46295.18</v>
      </c>
      <c r="AO281" s="138">
        <f t="shared" si="1"/>
        <v>46295.18</v>
      </c>
      <c r="AP281" s="229"/>
      <c r="AQ281" s="64"/>
      <c r="AR281" s="64"/>
      <c r="AS281" s="64"/>
      <c r="AT281" s="64"/>
      <c r="AU281" s="64"/>
      <c r="AV281" s="64"/>
      <c r="AW281" s="64"/>
      <c r="AX281" s="64"/>
      <c r="AY281" s="64"/>
      <c r="AZ281" s="64"/>
      <c r="BA281" s="64"/>
      <c r="BB281" s="64"/>
      <c r="BC281" s="64"/>
      <c r="BD281" s="64"/>
      <c r="BE281" s="64"/>
      <c r="BF281" s="64"/>
      <c r="BG281" s="64"/>
      <c r="BH281" s="193"/>
      <c r="BI281" s="193"/>
      <c r="BJ281" s="193"/>
      <c r="BK281" s="193"/>
      <c r="BL281" s="193"/>
      <c r="BM281" s="193"/>
    </row>
    <row r="282" spans="1:65" ht="127.5" x14ac:dyDescent="0.2">
      <c r="A282" s="330">
        <v>82</v>
      </c>
      <c r="B282" s="328" t="s">
        <v>743</v>
      </c>
      <c r="C282" s="1" t="s">
        <v>744</v>
      </c>
      <c r="D282" s="20" t="s">
        <v>147</v>
      </c>
      <c r="E282" s="2" t="s">
        <v>372</v>
      </c>
      <c r="F282" s="64" t="s">
        <v>1128</v>
      </c>
      <c r="G282" s="71" t="s">
        <v>752</v>
      </c>
      <c r="H282" s="7" t="s">
        <v>650</v>
      </c>
      <c r="I282" s="224">
        <v>42411</v>
      </c>
      <c r="J282" s="224">
        <v>42777</v>
      </c>
      <c r="K282" s="2" t="s">
        <v>1091</v>
      </c>
      <c r="L282" s="20" t="s">
        <v>269</v>
      </c>
      <c r="M282" s="20" t="s">
        <v>270</v>
      </c>
      <c r="N282" s="59">
        <v>42738</v>
      </c>
      <c r="O282" s="65">
        <v>47537.8</v>
      </c>
      <c r="P282" s="71" t="s">
        <v>1144</v>
      </c>
      <c r="Q282" s="59">
        <v>42738</v>
      </c>
      <c r="R282" s="59">
        <v>43100</v>
      </c>
      <c r="S282" s="2" t="s">
        <v>614</v>
      </c>
      <c r="T282" s="2"/>
      <c r="U282" s="20"/>
      <c r="V282" s="20"/>
      <c r="W282" s="20" t="s">
        <v>192</v>
      </c>
      <c r="X282" s="229"/>
      <c r="Y282" s="229"/>
      <c r="Z282" s="229"/>
      <c r="AA282" s="64"/>
      <c r="AB282" s="64"/>
      <c r="AC282" s="64"/>
      <c r="AD282" s="94"/>
      <c r="AE282" s="64"/>
      <c r="AF282" s="95"/>
      <c r="AG282" s="230"/>
      <c r="AH282" s="95"/>
      <c r="AI282" s="95"/>
      <c r="AJ282" s="95"/>
      <c r="AK282" s="95"/>
      <c r="AL282" s="194">
        <f t="shared" si="2"/>
        <v>47537.8</v>
      </c>
      <c r="AM282" s="231"/>
      <c r="AN282" s="219">
        <f>0+832+16302+748</f>
        <v>17882</v>
      </c>
      <c r="AO282" s="138">
        <f t="shared" si="1"/>
        <v>17882</v>
      </c>
      <c r="AP282" s="229"/>
      <c r="AQ282" s="64"/>
      <c r="AR282" s="64"/>
      <c r="AS282" s="64"/>
      <c r="AT282" s="64"/>
      <c r="AU282" s="64"/>
      <c r="AV282" s="64"/>
      <c r="AW282" s="64"/>
      <c r="AX282" s="64"/>
      <c r="AY282" s="64"/>
      <c r="AZ282" s="64"/>
      <c r="BA282" s="64"/>
      <c r="BB282" s="64"/>
      <c r="BC282" s="64"/>
      <c r="BD282" s="64"/>
      <c r="BE282" s="64"/>
      <c r="BF282" s="64"/>
      <c r="BG282" s="64"/>
      <c r="BH282" s="193"/>
      <c r="BI282" s="193"/>
      <c r="BJ282" s="193"/>
      <c r="BK282" s="193"/>
      <c r="BL282" s="193"/>
      <c r="BM282" s="193"/>
    </row>
    <row r="283" spans="1:65" ht="127.5" x14ac:dyDescent="0.2">
      <c r="A283" s="330">
        <v>83</v>
      </c>
      <c r="B283" s="328" t="s">
        <v>743</v>
      </c>
      <c r="C283" s="1" t="s">
        <v>744</v>
      </c>
      <c r="D283" s="20" t="s">
        <v>147</v>
      </c>
      <c r="E283" s="2" t="s">
        <v>372</v>
      </c>
      <c r="F283" s="64" t="s">
        <v>1128</v>
      </c>
      <c r="G283" s="71" t="s">
        <v>752</v>
      </c>
      <c r="H283" s="7" t="s">
        <v>650</v>
      </c>
      <c r="I283" s="224">
        <v>42411</v>
      </c>
      <c r="J283" s="224">
        <v>42777</v>
      </c>
      <c r="K283" s="2" t="s">
        <v>1092</v>
      </c>
      <c r="L283" s="20" t="s">
        <v>749</v>
      </c>
      <c r="M283" s="20" t="s">
        <v>471</v>
      </c>
      <c r="N283" s="59">
        <v>42738</v>
      </c>
      <c r="O283" s="65">
        <v>120443.36</v>
      </c>
      <c r="P283" s="71" t="s">
        <v>1141</v>
      </c>
      <c r="Q283" s="59">
        <v>42738</v>
      </c>
      <c r="R283" s="59">
        <v>43100</v>
      </c>
      <c r="S283" s="2" t="s">
        <v>614</v>
      </c>
      <c r="T283" s="2"/>
      <c r="U283" s="20"/>
      <c r="V283" s="20"/>
      <c r="W283" s="20" t="s">
        <v>192</v>
      </c>
      <c r="X283" s="229"/>
      <c r="Y283" s="229"/>
      <c r="Z283" s="229"/>
      <c r="AA283" s="64"/>
      <c r="AB283" s="64"/>
      <c r="AC283" s="64"/>
      <c r="AD283" s="94"/>
      <c r="AE283" s="64"/>
      <c r="AF283" s="95"/>
      <c r="AG283" s="230"/>
      <c r="AH283" s="95"/>
      <c r="AI283" s="95"/>
      <c r="AJ283" s="95"/>
      <c r="AK283" s="95"/>
      <c r="AL283" s="194">
        <f t="shared" si="2"/>
        <v>120443.36</v>
      </c>
      <c r="AM283" s="231"/>
      <c r="AN283" s="219">
        <f>0+10652.93</f>
        <v>10652.93</v>
      </c>
      <c r="AO283" s="138">
        <f t="shared" si="1"/>
        <v>10652.93</v>
      </c>
      <c r="AP283" s="229"/>
      <c r="AQ283" s="64"/>
      <c r="AR283" s="64"/>
      <c r="AS283" s="64"/>
      <c r="AT283" s="64"/>
      <c r="AU283" s="64"/>
      <c r="AV283" s="64"/>
      <c r="AW283" s="64"/>
      <c r="AX283" s="64"/>
      <c r="AY283" s="64"/>
      <c r="AZ283" s="64"/>
      <c r="BA283" s="64"/>
      <c r="BB283" s="64"/>
      <c r="BC283" s="64"/>
      <c r="BD283" s="64"/>
      <c r="BE283" s="64"/>
      <c r="BF283" s="64"/>
      <c r="BG283" s="64"/>
      <c r="BH283" s="193"/>
      <c r="BI283" s="193"/>
      <c r="BJ283" s="193"/>
      <c r="BK283" s="193"/>
      <c r="BL283" s="193"/>
      <c r="BM283" s="193"/>
    </row>
    <row r="284" spans="1:65" ht="51" x14ac:dyDescent="0.2">
      <c r="A284" s="330">
        <v>84</v>
      </c>
      <c r="B284" s="328" t="s">
        <v>992</v>
      </c>
      <c r="C284" s="1" t="s">
        <v>678</v>
      </c>
      <c r="D284" s="20" t="s">
        <v>147</v>
      </c>
      <c r="E284" s="2" t="s">
        <v>372</v>
      </c>
      <c r="F284" s="64" t="s">
        <v>993</v>
      </c>
      <c r="G284" s="71" t="s">
        <v>996</v>
      </c>
      <c r="H284" s="7" t="s">
        <v>671</v>
      </c>
      <c r="I284" s="224">
        <v>42592</v>
      </c>
      <c r="J284" s="224">
        <v>42957</v>
      </c>
      <c r="K284" s="2" t="s">
        <v>1093</v>
      </c>
      <c r="L284" s="20" t="s">
        <v>693</v>
      </c>
      <c r="M284" s="20" t="s">
        <v>694</v>
      </c>
      <c r="N284" s="59">
        <v>42739</v>
      </c>
      <c r="O284" s="65">
        <v>173833.25</v>
      </c>
      <c r="P284" s="71" t="s">
        <v>1140</v>
      </c>
      <c r="Q284" s="59">
        <v>42739</v>
      </c>
      <c r="R284" s="59">
        <v>43100</v>
      </c>
      <c r="S284" s="2" t="s">
        <v>614</v>
      </c>
      <c r="T284" s="229"/>
      <c r="U284" s="64"/>
      <c r="V284" s="64"/>
      <c r="W284" s="20" t="s">
        <v>192</v>
      </c>
      <c r="X284" s="229"/>
      <c r="Y284" s="229"/>
      <c r="Z284" s="229"/>
      <c r="AA284" s="64"/>
      <c r="AB284" s="64"/>
      <c r="AC284" s="64"/>
      <c r="AD284" s="94"/>
      <c r="AE284" s="64"/>
      <c r="AF284" s="95"/>
      <c r="AG284" s="230"/>
      <c r="AH284" s="95"/>
      <c r="AI284" s="95"/>
      <c r="AJ284" s="95"/>
      <c r="AK284" s="95"/>
      <c r="AL284" s="194">
        <f t="shared" si="2"/>
        <v>173833.25</v>
      </c>
      <c r="AM284" s="231"/>
      <c r="AN284" s="219">
        <f>0+11926.5+1234+20690</f>
        <v>33850.5</v>
      </c>
      <c r="AO284" s="138">
        <f t="shared" si="1"/>
        <v>33850.5</v>
      </c>
      <c r="AP284" s="229"/>
      <c r="AQ284" s="64"/>
      <c r="AR284" s="64"/>
      <c r="AS284" s="64"/>
      <c r="AT284" s="64"/>
      <c r="AU284" s="64"/>
      <c r="AV284" s="64"/>
      <c r="AW284" s="64"/>
      <c r="AX284" s="64"/>
      <c r="AY284" s="64"/>
      <c r="AZ284" s="64"/>
      <c r="BA284" s="64"/>
      <c r="BB284" s="64"/>
      <c r="BC284" s="64"/>
      <c r="BD284" s="64"/>
      <c r="BE284" s="64"/>
      <c r="BF284" s="64"/>
      <c r="BG284" s="64"/>
      <c r="BH284" s="193"/>
      <c r="BI284" s="193"/>
      <c r="BJ284" s="193"/>
      <c r="BK284" s="193"/>
      <c r="BL284" s="193"/>
      <c r="BM284" s="193"/>
    </row>
    <row r="285" spans="1:65" ht="51" x14ac:dyDescent="0.2">
      <c r="A285" s="330">
        <v>85</v>
      </c>
      <c r="B285" s="328" t="s">
        <v>992</v>
      </c>
      <c r="C285" s="1" t="s">
        <v>678</v>
      </c>
      <c r="D285" s="20" t="s">
        <v>147</v>
      </c>
      <c r="E285" s="2" t="s">
        <v>372</v>
      </c>
      <c r="F285" s="20" t="s">
        <v>993</v>
      </c>
      <c r="G285" s="71" t="s">
        <v>996</v>
      </c>
      <c r="H285" s="7" t="s">
        <v>671</v>
      </c>
      <c r="I285" s="224">
        <v>42592</v>
      </c>
      <c r="J285" s="224">
        <v>42957</v>
      </c>
      <c r="K285" s="2" t="s">
        <v>1094</v>
      </c>
      <c r="L285" s="20" t="s">
        <v>492</v>
      </c>
      <c r="M285" s="20" t="s">
        <v>503</v>
      </c>
      <c r="N285" s="59">
        <v>42739</v>
      </c>
      <c r="O285" s="65">
        <v>1798433.5</v>
      </c>
      <c r="P285" s="71" t="s">
        <v>1140</v>
      </c>
      <c r="Q285" s="59">
        <v>42739</v>
      </c>
      <c r="R285" s="59">
        <v>43100</v>
      </c>
      <c r="S285" s="2" t="s">
        <v>614</v>
      </c>
      <c r="T285" s="229"/>
      <c r="U285" s="64"/>
      <c r="V285" s="64"/>
      <c r="W285" s="20" t="s">
        <v>192</v>
      </c>
      <c r="X285" s="2"/>
      <c r="Y285" s="2"/>
      <c r="Z285" s="2"/>
      <c r="AA285" s="20"/>
      <c r="AB285" s="20"/>
      <c r="AC285" s="20"/>
      <c r="AD285" s="1"/>
      <c r="AE285" s="20"/>
      <c r="AF285" s="65"/>
      <c r="AG285" s="138"/>
      <c r="AH285" s="65"/>
      <c r="AI285" s="65"/>
      <c r="AJ285" s="65"/>
      <c r="AK285" s="65"/>
      <c r="AL285" s="194">
        <f t="shared" si="2"/>
        <v>1798433.5</v>
      </c>
      <c r="AM285" s="218"/>
      <c r="AN285" s="219">
        <f>0+70244+89784+40832+17114+38940+111494.2+154137</f>
        <v>522545.2</v>
      </c>
      <c r="AO285" s="138">
        <f t="shared" si="1"/>
        <v>522545.2</v>
      </c>
      <c r="AP285" s="2"/>
      <c r="AQ285" s="20"/>
      <c r="AR285" s="20"/>
      <c r="AS285" s="20"/>
      <c r="AT285" s="20"/>
      <c r="AU285" s="20"/>
      <c r="AV285" s="20"/>
      <c r="AW285" s="20"/>
      <c r="AX285" s="20"/>
      <c r="AY285" s="20"/>
      <c r="AZ285" s="20"/>
      <c r="BA285" s="20"/>
      <c r="BB285" s="20"/>
      <c r="BC285" s="20"/>
      <c r="BD285" s="20"/>
      <c r="BE285" s="20"/>
      <c r="BF285" s="20"/>
      <c r="BG285" s="20"/>
      <c r="BH285" s="193"/>
      <c r="BI285" s="193"/>
      <c r="BJ285" s="193"/>
      <c r="BK285" s="193"/>
      <c r="BL285" s="193"/>
      <c r="BM285" s="193"/>
    </row>
    <row r="286" spans="1:65" ht="51" x14ac:dyDescent="0.2">
      <c r="A286" s="330">
        <v>86</v>
      </c>
      <c r="B286" s="328" t="s">
        <v>992</v>
      </c>
      <c r="C286" s="1" t="s">
        <v>678</v>
      </c>
      <c r="D286" s="20" t="s">
        <v>147</v>
      </c>
      <c r="E286" s="2" t="s">
        <v>372</v>
      </c>
      <c r="F286" s="20" t="s">
        <v>993</v>
      </c>
      <c r="G286" s="71" t="s">
        <v>996</v>
      </c>
      <c r="H286" s="7" t="s">
        <v>671</v>
      </c>
      <c r="I286" s="224">
        <v>42592</v>
      </c>
      <c r="J286" s="224">
        <v>42957</v>
      </c>
      <c r="K286" s="2" t="s">
        <v>1095</v>
      </c>
      <c r="L286" s="20" t="s">
        <v>994</v>
      </c>
      <c r="M286" s="20" t="s">
        <v>995</v>
      </c>
      <c r="N286" s="59">
        <v>42739</v>
      </c>
      <c r="O286" s="65">
        <v>16170</v>
      </c>
      <c r="P286" s="71" t="s">
        <v>1140</v>
      </c>
      <c r="Q286" s="59">
        <v>42739</v>
      </c>
      <c r="R286" s="59">
        <v>43100</v>
      </c>
      <c r="S286" s="2" t="s">
        <v>614</v>
      </c>
      <c r="T286" s="229"/>
      <c r="U286" s="64"/>
      <c r="V286" s="64"/>
      <c r="W286" s="20" t="s">
        <v>192</v>
      </c>
      <c r="X286" s="2"/>
      <c r="Y286" s="2"/>
      <c r="Z286" s="2"/>
      <c r="AA286" s="20"/>
      <c r="AB286" s="20"/>
      <c r="AC286" s="20"/>
      <c r="AD286" s="1"/>
      <c r="AE286" s="20"/>
      <c r="AF286" s="65"/>
      <c r="AG286" s="138"/>
      <c r="AH286" s="65"/>
      <c r="AI286" s="65"/>
      <c r="AJ286" s="65"/>
      <c r="AK286" s="65"/>
      <c r="AL286" s="194">
        <f t="shared" si="2"/>
        <v>16170</v>
      </c>
      <c r="AM286" s="218"/>
      <c r="AN286" s="219">
        <f>0</f>
        <v>0</v>
      </c>
      <c r="AO286" s="138">
        <f t="shared" si="1"/>
        <v>0</v>
      </c>
      <c r="AP286" s="2"/>
      <c r="AQ286" s="20"/>
      <c r="AR286" s="20"/>
      <c r="AS286" s="20"/>
      <c r="AT286" s="20"/>
      <c r="AU286" s="20"/>
      <c r="AV286" s="20"/>
      <c r="AW286" s="20"/>
      <c r="AX286" s="20"/>
      <c r="AY286" s="20"/>
      <c r="AZ286" s="20"/>
      <c r="BA286" s="20"/>
      <c r="BB286" s="20"/>
      <c r="BC286" s="20"/>
      <c r="BD286" s="20"/>
      <c r="BE286" s="20"/>
      <c r="BF286" s="20"/>
      <c r="BG286" s="20"/>
      <c r="BH286" s="193"/>
      <c r="BI286" s="193"/>
      <c r="BJ286" s="193"/>
      <c r="BK286" s="193"/>
      <c r="BL286" s="193"/>
      <c r="BM286" s="193"/>
    </row>
    <row r="287" spans="1:65" ht="76.5" x14ac:dyDescent="0.2">
      <c r="A287" s="330">
        <v>87</v>
      </c>
      <c r="B287" s="328" t="s">
        <v>947</v>
      </c>
      <c r="C287" s="1" t="s">
        <v>673</v>
      </c>
      <c r="D287" s="20" t="s">
        <v>147</v>
      </c>
      <c r="E287" s="2" t="s">
        <v>372</v>
      </c>
      <c r="F287" s="20" t="s">
        <v>946</v>
      </c>
      <c r="G287" s="207" t="s">
        <v>948</v>
      </c>
      <c r="H287" s="3" t="s">
        <v>663</v>
      </c>
      <c r="I287" s="59">
        <v>42548</v>
      </c>
      <c r="J287" s="59">
        <v>42913</v>
      </c>
      <c r="K287" s="2" t="s">
        <v>1096</v>
      </c>
      <c r="L287" s="20" t="s">
        <v>492</v>
      </c>
      <c r="M287" s="20" t="s">
        <v>253</v>
      </c>
      <c r="N287" s="59">
        <v>42739</v>
      </c>
      <c r="O287" s="65">
        <v>6300</v>
      </c>
      <c r="P287" s="71" t="s">
        <v>1140</v>
      </c>
      <c r="Q287" s="59">
        <v>42739</v>
      </c>
      <c r="R287" s="59">
        <v>43100</v>
      </c>
      <c r="S287" s="2" t="s">
        <v>750</v>
      </c>
      <c r="T287" s="2"/>
      <c r="U287" s="20"/>
      <c r="V287" s="20"/>
      <c r="W287" s="20" t="s">
        <v>393</v>
      </c>
      <c r="X287" s="2" t="s">
        <v>498</v>
      </c>
      <c r="Y287" s="2" t="s">
        <v>138</v>
      </c>
      <c r="Z287" s="117">
        <v>42905</v>
      </c>
      <c r="AA287" s="207">
        <v>12080</v>
      </c>
      <c r="AB287" s="20" t="s">
        <v>1690</v>
      </c>
      <c r="AC287" s="20"/>
      <c r="AD287" s="1"/>
      <c r="AE287" s="20">
        <v>25</v>
      </c>
      <c r="AF287" s="65"/>
      <c r="AG287" s="138">
        <v>1575</v>
      </c>
      <c r="AH287" s="65"/>
      <c r="AI287" s="65"/>
      <c r="AJ287" s="65"/>
      <c r="AK287" s="65"/>
      <c r="AL287" s="194">
        <f>O287-AH287+AG287</f>
        <v>7875</v>
      </c>
      <c r="AM287" s="218"/>
      <c r="AN287" s="219">
        <f>0+6300+1575</f>
        <v>7875</v>
      </c>
      <c r="AO287" s="138">
        <f t="shared" si="1"/>
        <v>7875</v>
      </c>
      <c r="AP287" s="2"/>
      <c r="AQ287" s="20"/>
      <c r="AR287" s="20"/>
      <c r="AS287" s="20"/>
      <c r="AT287" s="20"/>
      <c r="AU287" s="20"/>
      <c r="AV287" s="20"/>
      <c r="AW287" s="20"/>
      <c r="AX287" s="20"/>
      <c r="AY287" s="20"/>
      <c r="AZ287" s="20"/>
      <c r="BA287" s="20"/>
      <c r="BB287" s="20"/>
      <c r="BC287" s="20"/>
      <c r="BD287" s="20"/>
      <c r="BE287" s="20"/>
      <c r="BF287" s="20"/>
      <c r="BG287" s="20"/>
      <c r="BH287" s="193"/>
      <c r="BI287" s="193"/>
      <c r="BJ287" s="193"/>
      <c r="BK287" s="193"/>
      <c r="BL287" s="193"/>
      <c r="BM287" s="193"/>
    </row>
    <row r="288" spans="1:65" ht="63.75" x14ac:dyDescent="0.2">
      <c r="A288" s="403">
        <v>88</v>
      </c>
      <c r="B288" s="418" t="s">
        <v>947</v>
      </c>
      <c r="C288" s="422" t="s">
        <v>673</v>
      </c>
      <c r="D288" s="405" t="s">
        <v>147</v>
      </c>
      <c r="E288" s="410" t="s">
        <v>372</v>
      </c>
      <c r="F288" s="405" t="s">
        <v>946</v>
      </c>
      <c r="G288" s="407" t="s">
        <v>948</v>
      </c>
      <c r="H288" s="441" t="s">
        <v>663</v>
      </c>
      <c r="I288" s="431">
        <v>42548</v>
      </c>
      <c r="J288" s="431">
        <v>42913</v>
      </c>
      <c r="K288" s="427" t="s">
        <v>1097</v>
      </c>
      <c r="L288" s="405" t="s">
        <v>522</v>
      </c>
      <c r="M288" s="405" t="s">
        <v>243</v>
      </c>
      <c r="N288" s="431">
        <v>42739</v>
      </c>
      <c r="O288" s="430">
        <v>39300</v>
      </c>
      <c r="P288" s="514" t="s">
        <v>1140</v>
      </c>
      <c r="Q288" s="431">
        <v>42739</v>
      </c>
      <c r="R288" s="431">
        <v>43100</v>
      </c>
      <c r="S288" s="427" t="s">
        <v>750</v>
      </c>
      <c r="T288" s="427"/>
      <c r="U288" s="427"/>
      <c r="V288" s="427"/>
      <c r="W288" s="427" t="s">
        <v>393</v>
      </c>
      <c r="X288" s="2" t="s">
        <v>498</v>
      </c>
      <c r="Y288" s="2" t="s">
        <v>138</v>
      </c>
      <c r="Z288" s="117">
        <v>42905</v>
      </c>
      <c r="AA288" s="207">
        <v>12080</v>
      </c>
      <c r="AB288" s="20" t="s">
        <v>1691</v>
      </c>
      <c r="AC288" s="20"/>
      <c r="AD288" s="1"/>
      <c r="AE288" s="20">
        <v>25</v>
      </c>
      <c r="AF288" s="65"/>
      <c r="AG288" s="138">
        <v>5000</v>
      </c>
      <c r="AH288" s="65"/>
      <c r="AI288" s="65"/>
      <c r="AJ288" s="65"/>
      <c r="AK288" s="65"/>
      <c r="AL288" s="487">
        <f>O288-AH288+AG288-AH289+AG289</f>
        <v>44875</v>
      </c>
      <c r="AM288" s="500"/>
      <c r="AN288" s="529">
        <f>0+22296.8+11000+4996.8</f>
        <v>38293.600000000006</v>
      </c>
      <c r="AO288" s="487">
        <f t="shared" si="1"/>
        <v>38293.600000000006</v>
      </c>
      <c r="AP288" s="2"/>
      <c r="AQ288" s="20"/>
      <c r="AR288" s="20"/>
      <c r="AS288" s="20"/>
      <c r="AT288" s="20"/>
      <c r="AU288" s="20"/>
      <c r="AV288" s="20"/>
      <c r="AW288" s="20"/>
      <c r="AX288" s="20"/>
      <c r="AY288" s="20"/>
      <c r="AZ288" s="20"/>
      <c r="BA288" s="20"/>
      <c r="BB288" s="20"/>
      <c r="BC288" s="20"/>
      <c r="BD288" s="20"/>
      <c r="BE288" s="20"/>
      <c r="BF288" s="20"/>
      <c r="BG288" s="20"/>
      <c r="BH288" s="193"/>
      <c r="BI288" s="193"/>
      <c r="BJ288" s="193"/>
      <c r="BK288" s="193"/>
      <c r="BL288" s="193"/>
      <c r="BM288" s="193"/>
    </row>
    <row r="289" spans="1:65" ht="76.5" x14ac:dyDescent="0.2">
      <c r="A289" s="404"/>
      <c r="B289" s="419"/>
      <c r="C289" s="424"/>
      <c r="D289" s="406"/>
      <c r="E289" s="412"/>
      <c r="F289" s="406"/>
      <c r="G289" s="406"/>
      <c r="H289" s="428"/>
      <c r="I289" s="428"/>
      <c r="J289" s="428"/>
      <c r="K289" s="428"/>
      <c r="L289" s="406"/>
      <c r="M289" s="406"/>
      <c r="N289" s="428"/>
      <c r="O289" s="428"/>
      <c r="P289" s="428"/>
      <c r="Q289" s="428"/>
      <c r="R289" s="428"/>
      <c r="S289" s="428"/>
      <c r="T289" s="428"/>
      <c r="U289" s="428"/>
      <c r="V289" s="428"/>
      <c r="W289" s="428"/>
      <c r="X289" s="2" t="s">
        <v>498</v>
      </c>
      <c r="Y289" s="2" t="s">
        <v>144</v>
      </c>
      <c r="Z289" s="117">
        <v>42965</v>
      </c>
      <c r="AA289" s="207">
        <v>12134</v>
      </c>
      <c r="AB289" s="20" t="s">
        <v>1922</v>
      </c>
      <c r="AC289" s="20"/>
      <c r="AD289" s="1"/>
      <c r="AE289" s="20">
        <v>25</v>
      </c>
      <c r="AF289" s="65"/>
      <c r="AG289" s="138">
        <v>575</v>
      </c>
      <c r="AH289" s="65"/>
      <c r="AI289" s="65"/>
      <c r="AJ289" s="65"/>
      <c r="AK289" s="65"/>
      <c r="AL289" s="488"/>
      <c r="AM289" s="501"/>
      <c r="AN289" s="531"/>
      <c r="AO289" s="488"/>
      <c r="AP289" s="2"/>
      <c r="AQ289" s="20"/>
      <c r="AR289" s="20"/>
      <c r="AS289" s="20"/>
      <c r="AT289" s="20"/>
      <c r="AU289" s="20"/>
      <c r="AV289" s="20"/>
      <c r="AW289" s="20"/>
      <c r="AX289" s="20"/>
      <c r="AY289" s="20"/>
      <c r="AZ289" s="20"/>
      <c r="BA289" s="20"/>
      <c r="BB289" s="20"/>
      <c r="BC289" s="20"/>
      <c r="BD289" s="20"/>
      <c r="BE289" s="20"/>
      <c r="BF289" s="20"/>
      <c r="BG289" s="20"/>
      <c r="BH289" s="193"/>
      <c r="BI289" s="193"/>
      <c r="BJ289" s="193"/>
      <c r="BK289" s="193"/>
      <c r="BL289" s="193"/>
      <c r="BM289" s="193"/>
    </row>
    <row r="290" spans="1:65" ht="76.5" x14ac:dyDescent="0.2">
      <c r="A290" s="403">
        <v>89</v>
      </c>
      <c r="B290" s="418" t="s">
        <v>947</v>
      </c>
      <c r="C290" s="422" t="s">
        <v>673</v>
      </c>
      <c r="D290" s="405" t="s">
        <v>147</v>
      </c>
      <c r="E290" s="410" t="s">
        <v>372</v>
      </c>
      <c r="F290" s="405" t="s">
        <v>946</v>
      </c>
      <c r="G290" s="407" t="s">
        <v>948</v>
      </c>
      <c r="H290" s="449" t="s">
        <v>663</v>
      </c>
      <c r="I290" s="432">
        <v>42548</v>
      </c>
      <c r="J290" s="432">
        <v>42913</v>
      </c>
      <c r="K290" s="410" t="s">
        <v>1098</v>
      </c>
      <c r="L290" s="405" t="s">
        <v>520</v>
      </c>
      <c r="M290" s="405" t="s">
        <v>521</v>
      </c>
      <c r="N290" s="432">
        <v>42739</v>
      </c>
      <c r="O290" s="497">
        <v>105135</v>
      </c>
      <c r="P290" s="480" t="s">
        <v>1141</v>
      </c>
      <c r="Q290" s="432">
        <v>42739</v>
      </c>
      <c r="R290" s="432">
        <v>43100</v>
      </c>
      <c r="S290" s="410" t="s">
        <v>750</v>
      </c>
      <c r="T290" s="410"/>
      <c r="U290" s="410"/>
      <c r="V290" s="410"/>
      <c r="W290" s="410" t="s">
        <v>393</v>
      </c>
      <c r="X290" s="2" t="s">
        <v>498</v>
      </c>
      <c r="Y290" s="2" t="s">
        <v>138</v>
      </c>
      <c r="Z290" s="117">
        <v>42831</v>
      </c>
      <c r="AA290" s="207">
        <v>12033</v>
      </c>
      <c r="AB290" s="20" t="s">
        <v>1508</v>
      </c>
      <c r="AC290" s="20"/>
      <c r="AD290" s="1"/>
      <c r="AE290" s="20">
        <v>25</v>
      </c>
      <c r="AF290" s="65"/>
      <c r="AG290" s="138">
        <v>1125</v>
      </c>
      <c r="AH290" s="65"/>
      <c r="AI290" s="65"/>
      <c r="AJ290" s="65"/>
      <c r="AK290" s="65"/>
      <c r="AL290" s="487">
        <f>O290-AH290+AG290-AH291+AG291</f>
        <v>106500</v>
      </c>
      <c r="AM290" s="500"/>
      <c r="AN290" s="529">
        <f>0+40110+4500+3125+31000</f>
        <v>78735</v>
      </c>
      <c r="AO290" s="487">
        <f t="shared" si="1"/>
        <v>78735</v>
      </c>
      <c r="AP290" s="2"/>
      <c r="AQ290" s="20"/>
      <c r="AR290" s="20"/>
      <c r="AS290" s="20"/>
      <c r="AT290" s="20"/>
      <c r="AU290" s="20"/>
      <c r="AV290" s="20"/>
      <c r="AW290" s="20"/>
      <c r="AX290" s="20"/>
      <c r="AY290" s="20"/>
      <c r="AZ290" s="20"/>
      <c r="BA290" s="20"/>
      <c r="BB290" s="20"/>
      <c r="BC290" s="20"/>
      <c r="BD290" s="20"/>
      <c r="BE290" s="20"/>
      <c r="BF290" s="20"/>
      <c r="BG290" s="20"/>
      <c r="BH290" s="193"/>
      <c r="BI290" s="193"/>
      <c r="BJ290" s="193"/>
      <c r="BK290" s="193"/>
      <c r="BL290" s="193"/>
      <c r="BM290" s="193"/>
    </row>
    <row r="291" spans="1:65" ht="76.5" x14ac:dyDescent="0.2">
      <c r="A291" s="404"/>
      <c r="B291" s="419"/>
      <c r="C291" s="424"/>
      <c r="D291" s="406"/>
      <c r="E291" s="412"/>
      <c r="F291" s="406"/>
      <c r="G291" s="408"/>
      <c r="H291" s="450"/>
      <c r="I291" s="434"/>
      <c r="J291" s="434"/>
      <c r="K291" s="412"/>
      <c r="L291" s="406"/>
      <c r="M291" s="406"/>
      <c r="N291" s="434"/>
      <c r="O291" s="499"/>
      <c r="P291" s="482"/>
      <c r="Q291" s="434"/>
      <c r="R291" s="434"/>
      <c r="S291" s="412"/>
      <c r="T291" s="412"/>
      <c r="U291" s="412"/>
      <c r="V291" s="412"/>
      <c r="W291" s="412"/>
      <c r="X291" s="2" t="s">
        <v>498</v>
      </c>
      <c r="Y291" s="2" t="s">
        <v>144</v>
      </c>
      <c r="Z291" s="117">
        <v>42934</v>
      </c>
      <c r="AA291" s="207">
        <v>12109</v>
      </c>
      <c r="AB291" s="20" t="s">
        <v>1773</v>
      </c>
      <c r="AC291" s="20"/>
      <c r="AD291" s="1"/>
      <c r="AE291" s="20">
        <v>25</v>
      </c>
      <c r="AF291" s="65"/>
      <c r="AG291" s="138">
        <v>240</v>
      </c>
      <c r="AH291" s="65"/>
      <c r="AI291" s="65"/>
      <c r="AJ291" s="65"/>
      <c r="AK291" s="65"/>
      <c r="AL291" s="488"/>
      <c r="AM291" s="501"/>
      <c r="AN291" s="531"/>
      <c r="AO291" s="488"/>
      <c r="AP291" s="2"/>
      <c r="AQ291" s="20"/>
      <c r="AR291" s="20"/>
      <c r="AS291" s="20"/>
      <c r="AT291" s="20"/>
      <c r="AU291" s="20"/>
      <c r="AV291" s="20"/>
      <c r="AW291" s="20"/>
      <c r="AX291" s="20"/>
      <c r="AY291" s="20"/>
      <c r="AZ291" s="20"/>
      <c r="BA291" s="20"/>
      <c r="BB291" s="20"/>
      <c r="BC291" s="20"/>
      <c r="BD291" s="20"/>
      <c r="BE291" s="20"/>
      <c r="BF291" s="20"/>
      <c r="BG291" s="20"/>
      <c r="BH291" s="193"/>
      <c r="BI291" s="193"/>
      <c r="BJ291" s="193"/>
      <c r="BK291" s="193"/>
      <c r="BL291" s="193"/>
      <c r="BM291" s="193"/>
    </row>
    <row r="292" spans="1:65" ht="127.5" x14ac:dyDescent="0.2">
      <c r="A292" s="330">
        <v>90</v>
      </c>
      <c r="B292" s="328" t="s">
        <v>1129</v>
      </c>
      <c r="C292" s="1" t="s">
        <v>663</v>
      </c>
      <c r="D292" s="20" t="s">
        <v>147</v>
      </c>
      <c r="E292" s="2" t="s">
        <v>372</v>
      </c>
      <c r="F292" s="20" t="s">
        <v>1128</v>
      </c>
      <c r="G292" s="71" t="s">
        <v>905</v>
      </c>
      <c r="H292" s="7" t="s">
        <v>661</v>
      </c>
      <c r="I292" s="224">
        <v>42488</v>
      </c>
      <c r="J292" s="224">
        <v>42853</v>
      </c>
      <c r="K292" s="2" t="s">
        <v>1099</v>
      </c>
      <c r="L292" s="20" t="s">
        <v>693</v>
      </c>
      <c r="M292" s="20" t="s">
        <v>694</v>
      </c>
      <c r="N292" s="59">
        <v>42739</v>
      </c>
      <c r="O292" s="65">
        <v>41211.660000000003</v>
      </c>
      <c r="P292" s="71" t="s">
        <v>1140</v>
      </c>
      <c r="Q292" s="59">
        <v>42739</v>
      </c>
      <c r="R292" s="59">
        <v>43100</v>
      </c>
      <c r="S292" s="2" t="s">
        <v>614</v>
      </c>
      <c r="T292" s="2"/>
      <c r="U292" s="20"/>
      <c r="V292" s="20"/>
      <c r="W292" s="20" t="s">
        <v>192</v>
      </c>
      <c r="X292" s="2"/>
      <c r="Y292" s="2"/>
      <c r="Z292" s="2"/>
      <c r="AA292" s="20"/>
      <c r="AB292" s="20"/>
      <c r="AC292" s="20"/>
      <c r="AD292" s="1"/>
      <c r="AE292" s="20"/>
      <c r="AF292" s="65"/>
      <c r="AG292" s="138"/>
      <c r="AH292" s="65"/>
      <c r="AI292" s="65"/>
      <c r="AJ292" s="65"/>
      <c r="AK292" s="65"/>
      <c r="AL292" s="194">
        <f t="shared" si="2"/>
        <v>41211.660000000003</v>
      </c>
      <c r="AM292" s="218"/>
      <c r="AN292" s="219">
        <f>0</f>
        <v>0</v>
      </c>
      <c r="AO292" s="138">
        <f t="shared" si="1"/>
        <v>0</v>
      </c>
      <c r="AP292" s="2"/>
      <c r="AQ292" s="20"/>
      <c r="AR292" s="20"/>
      <c r="AS292" s="20"/>
      <c r="AT292" s="20"/>
      <c r="AU292" s="20"/>
      <c r="AV292" s="20"/>
      <c r="AW292" s="20"/>
      <c r="AX292" s="20"/>
      <c r="AY292" s="20"/>
      <c r="AZ292" s="20"/>
      <c r="BA292" s="20"/>
      <c r="BB292" s="20"/>
      <c r="BC292" s="20"/>
      <c r="BD292" s="20"/>
      <c r="BE292" s="20"/>
      <c r="BF292" s="20"/>
      <c r="BG292" s="20"/>
      <c r="BH292" s="193"/>
      <c r="BI292" s="193"/>
      <c r="BJ292" s="193"/>
      <c r="BK292" s="193"/>
      <c r="BL292" s="193"/>
      <c r="BM292" s="193"/>
    </row>
    <row r="293" spans="1:65" ht="76.5" x14ac:dyDescent="0.2">
      <c r="A293" s="330">
        <v>91</v>
      </c>
      <c r="B293" s="328" t="s">
        <v>1130</v>
      </c>
      <c r="C293" s="1" t="s">
        <v>667</v>
      </c>
      <c r="D293" s="20" t="s">
        <v>147</v>
      </c>
      <c r="E293" s="2" t="s">
        <v>372</v>
      </c>
      <c r="F293" s="20" t="s">
        <v>1131</v>
      </c>
      <c r="G293" s="71" t="s">
        <v>906</v>
      </c>
      <c r="H293" s="7" t="s">
        <v>660</v>
      </c>
      <c r="I293" s="227">
        <v>42486</v>
      </c>
      <c r="J293" s="227">
        <v>42851</v>
      </c>
      <c r="K293" s="2" t="s">
        <v>1100</v>
      </c>
      <c r="L293" s="20" t="s">
        <v>492</v>
      </c>
      <c r="M293" s="20" t="s">
        <v>503</v>
      </c>
      <c r="N293" s="59">
        <v>42739</v>
      </c>
      <c r="O293" s="65">
        <v>3931900</v>
      </c>
      <c r="P293" s="71" t="s">
        <v>1142</v>
      </c>
      <c r="Q293" s="59">
        <v>42739</v>
      </c>
      <c r="R293" s="59">
        <v>43100</v>
      </c>
      <c r="S293" s="2" t="s">
        <v>614</v>
      </c>
      <c r="T293" s="2"/>
      <c r="U293" s="20"/>
      <c r="V293" s="20"/>
      <c r="W293" s="20" t="s">
        <v>192</v>
      </c>
      <c r="X293" s="2" t="s">
        <v>498</v>
      </c>
      <c r="Y293" s="2" t="s">
        <v>138</v>
      </c>
      <c r="Z293" s="117">
        <v>42961</v>
      </c>
      <c r="AA293" s="207">
        <v>12118</v>
      </c>
      <c r="AB293" s="20" t="s">
        <v>1835</v>
      </c>
      <c r="AC293" s="20"/>
      <c r="AD293" s="1"/>
      <c r="AE293" s="20">
        <v>25</v>
      </c>
      <c r="AF293" s="65"/>
      <c r="AG293" s="138">
        <v>3908.1</v>
      </c>
      <c r="AH293" s="65"/>
      <c r="AI293" s="65"/>
      <c r="AJ293" s="65"/>
      <c r="AK293" s="65"/>
      <c r="AL293" s="194">
        <f>O293-AH293+AG293</f>
        <v>3935808.1</v>
      </c>
      <c r="AM293" s="218"/>
      <c r="AN293" s="219">
        <f>0+298972.17+205170.9+536099.28+219992.42+176746.35+513651.36+282124.86+106262.14+576824.69</f>
        <v>2915844.17</v>
      </c>
      <c r="AO293" s="138">
        <f t="shared" si="1"/>
        <v>2915844.17</v>
      </c>
      <c r="AP293" s="2"/>
      <c r="AQ293" s="20"/>
      <c r="AR293" s="20"/>
      <c r="AS293" s="20"/>
      <c r="AT293" s="20"/>
      <c r="AU293" s="20"/>
      <c r="AV293" s="20"/>
      <c r="AW293" s="20"/>
      <c r="AX293" s="20"/>
      <c r="AY293" s="20"/>
      <c r="AZ293" s="20"/>
      <c r="BA293" s="20"/>
      <c r="BB293" s="20"/>
      <c r="BC293" s="20"/>
      <c r="BD293" s="20"/>
      <c r="BE293" s="20"/>
      <c r="BF293" s="20"/>
      <c r="BG293" s="20"/>
      <c r="BH293" s="193"/>
      <c r="BI293" s="193"/>
      <c r="BJ293" s="193"/>
      <c r="BK293" s="193"/>
      <c r="BL293" s="193"/>
      <c r="BM293" s="193"/>
    </row>
    <row r="294" spans="1:65" ht="38.25" x14ac:dyDescent="0.2">
      <c r="A294" s="330">
        <v>92</v>
      </c>
      <c r="B294" s="328" t="s">
        <v>717</v>
      </c>
      <c r="C294" s="1" t="s">
        <v>647</v>
      </c>
      <c r="D294" s="20" t="s">
        <v>147</v>
      </c>
      <c r="E294" s="2" t="s">
        <v>372</v>
      </c>
      <c r="F294" s="20" t="s">
        <v>719</v>
      </c>
      <c r="G294" s="71" t="s">
        <v>720</v>
      </c>
      <c r="H294" s="7" t="s">
        <v>648</v>
      </c>
      <c r="I294" s="224">
        <v>42405</v>
      </c>
      <c r="J294" s="224">
        <v>42405</v>
      </c>
      <c r="K294" s="2" t="s">
        <v>1101</v>
      </c>
      <c r="L294" s="20" t="s">
        <v>883</v>
      </c>
      <c r="M294" s="20" t="s">
        <v>718</v>
      </c>
      <c r="N294" s="59">
        <v>42739</v>
      </c>
      <c r="O294" s="65">
        <v>28215</v>
      </c>
      <c r="P294" s="71" t="s">
        <v>1358</v>
      </c>
      <c r="Q294" s="59">
        <v>42739</v>
      </c>
      <c r="R294" s="59">
        <v>43100</v>
      </c>
      <c r="S294" s="2" t="s">
        <v>614</v>
      </c>
      <c r="T294" s="2"/>
      <c r="U294" s="20"/>
      <c r="V294" s="20"/>
      <c r="W294" s="20" t="s">
        <v>252</v>
      </c>
      <c r="X294" s="2"/>
      <c r="Y294" s="2"/>
      <c r="Z294" s="2"/>
      <c r="AA294" s="20"/>
      <c r="AB294" s="20"/>
      <c r="AC294" s="20"/>
      <c r="AD294" s="1"/>
      <c r="AE294" s="20"/>
      <c r="AF294" s="65"/>
      <c r="AG294" s="138"/>
      <c r="AH294" s="65"/>
      <c r="AI294" s="65"/>
      <c r="AJ294" s="65"/>
      <c r="AK294" s="65"/>
      <c r="AL294" s="194">
        <f t="shared" si="2"/>
        <v>28215</v>
      </c>
      <c r="AM294" s="218"/>
      <c r="AN294" s="219">
        <f>0+9405+9405+9405</f>
        <v>28215</v>
      </c>
      <c r="AO294" s="138">
        <f t="shared" si="1"/>
        <v>28215</v>
      </c>
      <c r="AP294" s="2"/>
      <c r="AQ294" s="20"/>
      <c r="AR294" s="20"/>
      <c r="AS294" s="20"/>
      <c r="AT294" s="20"/>
      <c r="AU294" s="20"/>
      <c r="AV294" s="20"/>
      <c r="AW294" s="20"/>
      <c r="AX294" s="20"/>
      <c r="AY294" s="20"/>
      <c r="AZ294" s="20"/>
      <c r="BA294" s="20"/>
      <c r="BB294" s="20"/>
      <c r="BC294" s="20"/>
      <c r="BD294" s="20"/>
      <c r="BE294" s="20"/>
      <c r="BF294" s="20"/>
      <c r="BG294" s="20"/>
      <c r="BH294" s="193"/>
      <c r="BI294" s="193"/>
      <c r="BJ294" s="193"/>
      <c r="BK294" s="193"/>
      <c r="BL294" s="193"/>
      <c r="BM294" s="193"/>
    </row>
    <row r="295" spans="1:65" ht="63.75" x14ac:dyDescent="0.2">
      <c r="A295" s="330">
        <v>93</v>
      </c>
      <c r="B295" s="328" t="s">
        <v>1035</v>
      </c>
      <c r="C295" s="1" t="s">
        <v>686</v>
      </c>
      <c r="D295" s="20" t="s">
        <v>147</v>
      </c>
      <c r="E295" s="2" t="s">
        <v>372</v>
      </c>
      <c r="F295" s="20" t="s">
        <v>1039</v>
      </c>
      <c r="G295" s="71" t="s">
        <v>1040</v>
      </c>
      <c r="H295" s="7" t="s">
        <v>674</v>
      </c>
      <c r="I295" s="224">
        <v>42663</v>
      </c>
      <c r="J295" s="224">
        <v>43028</v>
      </c>
      <c r="K295" s="2" t="s">
        <v>1102</v>
      </c>
      <c r="L295" s="20" t="s">
        <v>1036</v>
      </c>
      <c r="M295" s="20" t="s">
        <v>246</v>
      </c>
      <c r="N295" s="59">
        <v>42739</v>
      </c>
      <c r="O295" s="65">
        <v>44850</v>
      </c>
      <c r="P295" s="71" t="s">
        <v>1145</v>
      </c>
      <c r="Q295" s="59">
        <v>42739</v>
      </c>
      <c r="R295" s="59">
        <v>43100</v>
      </c>
      <c r="S295" s="2" t="s">
        <v>1038</v>
      </c>
      <c r="T295" s="2"/>
      <c r="U295" s="20"/>
      <c r="V295" s="20"/>
      <c r="W295" s="20" t="s">
        <v>1132</v>
      </c>
      <c r="X295" s="2"/>
      <c r="Y295" s="2"/>
      <c r="Z295" s="2"/>
      <c r="AA295" s="20"/>
      <c r="AB295" s="20"/>
      <c r="AC295" s="20"/>
      <c r="AD295" s="1"/>
      <c r="AE295" s="20"/>
      <c r="AF295" s="65"/>
      <c r="AG295" s="138"/>
      <c r="AH295" s="65"/>
      <c r="AI295" s="65"/>
      <c r="AJ295" s="65"/>
      <c r="AK295" s="65"/>
      <c r="AL295" s="194">
        <f t="shared" si="2"/>
        <v>44850</v>
      </c>
      <c r="AM295" s="218"/>
      <c r="AN295" s="219">
        <f>5750+3450</f>
        <v>9200</v>
      </c>
      <c r="AO295" s="138">
        <f t="shared" si="1"/>
        <v>9200</v>
      </c>
      <c r="AP295" s="2"/>
      <c r="AQ295" s="20"/>
      <c r="AR295" s="20"/>
      <c r="AS295" s="20"/>
      <c r="AT295" s="20"/>
      <c r="AU295" s="20"/>
      <c r="AV295" s="20"/>
      <c r="AW295" s="20"/>
      <c r="AX295" s="20"/>
      <c r="AY295" s="20"/>
      <c r="AZ295" s="20"/>
      <c r="BA295" s="20"/>
      <c r="BB295" s="20"/>
      <c r="BC295" s="20"/>
      <c r="BD295" s="20"/>
      <c r="BE295" s="20"/>
      <c r="BF295" s="20"/>
      <c r="BG295" s="20"/>
      <c r="BH295" s="193"/>
      <c r="BI295" s="193"/>
      <c r="BJ295" s="193"/>
      <c r="BK295" s="193"/>
      <c r="BL295" s="193"/>
      <c r="BM295" s="193"/>
    </row>
    <row r="296" spans="1:65" ht="63.75" x14ac:dyDescent="0.2">
      <c r="A296" s="330">
        <v>94</v>
      </c>
      <c r="B296" s="328" t="s">
        <v>1035</v>
      </c>
      <c r="C296" s="1" t="s">
        <v>686</v>
      </c>
      <c r="D296" s="20" t="s">
        <v>147</v>
      </c>
      <c r="E296" s="2" t="s">
        <v>372</v>
      </c>
      <c r="F296" s="20" t="s">
        <v>1039</v>
      </c>
      <c r="G296" s="71" t="s">
        <v>1040</v>
      </c>
      <c r="H296" s="7" t="s">
        <v>674</v>
      </c>
      <c r="I296" s="224">
        <v>42663</v>
      </c>
      <c r="J296" s="224">
        <v>43028</v>
      </c>
      <c r="K296" s="2" t="s">
        <v>1103</v>
      </c>
      <c r="L296" s="20" t="s">
        <v>269</v>
      </c>
      <c r="M296" s="20" t="s">
        <v>270</v>
      </c>
      <c r="N296" s="59">
        <v>42739</v>
      </c>
      <c r="O296" s="65">
        <v>32000</v>
      </c>
      <c r="P296" s="71" t="s">
        <v>1144</v>
      </c>
      <c r="Q296" s="59">
        <v>42739</v>
      </c>
      <c r="R296" s="59">
        <v>43100</v>
      </c>
      <c r="S296" s="2" t="s">
        <v>1038</v>
      </c>
      <c r="T296" s="2"/>
      <c r="U296" s="20"/>
      <c r="V296" s="20"/>
      <c r="W296" s="20" t="s">
        <v>1132</v>
      </c>
      <c r="X296" s="2" t="s">
        <v>498</v>
      </c>
      <c r="Y296" s="2" t="s">
        <v>138</v>
      </c>
      <c r="Z296" s="117">
        <v>42961</v>
      </c>
      <c r="AA296" s="207">
        <v>12118</v>
      </c>
      <c r="AB296" s="20" t="s">
        <v>1836</v>
      </c>
      <c r="AC296" s="20"/>
      <c r="AD296" s="1"/>
      <c r="AE296" s="20">
        <v>25</v>
      </c>
      <c r="AF296" s="65"/>
      <c r="AG296" s="138">
        <v>8000</v>
      </c>
      <c r="AH296" s="65"/>
      <c r="AI296" s="65"/>
      <c r="AJ296" s="65"/>
      <c r="AK296" s="65"/>
      <c r="AL296" s="194">
        <f>O296-AH296+AG296</f>
        <v>40000</v>
      </c>
      <c r="AM296" s="218"/>
      <c r="AN296" s="219">
        <f>0+32000+8000</f>
        <v>40000</v>
      </c>
      <c r="AO296" s="138">
        <f t="shared" si="1"/>
        <v>40000</v>
      </c>
      <c r="AP296" s="2"/>
      <c r="AQ296" s="20"/>
      <c r="AR296" s="20"/>
      <c r="AS296" s="20"/>
      <c r="AT296" s="20"/>
      <c r="AU296" s="20"/>
      <c r="AV296" s="20"/>
      <c r="AW296" s="20"/>
      <c r="AX296" s="20"/>
      <c r="AY296" s="20"/>
      <c r="AZ296" s="20"/>
      <c r="BA296" s="20"/>
      <c r="BB296" s="20"/>
      <c r="BC296" s="20"/>
      <c r="BD296" s="20"/>
      <c r="BE296" s="20"/>
      <c r="BF296" s="20"/>
      <c r="BG296" s="20"/>
      <c r="BH296" s="193"/>
      <c r="BI296" s="193"/>
      <c r="BJ296" s="193"/>
      <c r="BK296" s="193"/>
      <c r="BL296" s="193"/>
      <c r="BM296" s="193"/>
    </row>
    <row r="297" spans="1:65" ht="76.5" x14ac:dyDescent="0.2">
      <c r="A297" s="330">
        <v>95</v>
      </c>
      <c r="B297" s="328" t="s">
        <v>1035</v>
      </c>
      <c r="C297" s="1" t="s">
        <v>686</v>
      </c>
      <c r="D297" s="20" t="s">
        <v>147</v>
      </c>
      <c r="E297" s="2" t="s">
        <v>372</v>
      </c>
      <c r="F297" s="20" t="s">
        <v>1039</v>
      </c>
      <c r="G297" s="71" t="s">
        <v>1040</v>
      </c>
      <c r="H297" s="7" t="s">
        <v>674</v>
      </c>
      <c r="I297" s="224">
        <v>42663</v>
      </c>
      <c r="J297" s="224">
        <v>43028</v>
      </c>
      <c r="K297" s="2" t="s">
        <v>1104</v>
      </c>
      <c r="L297" s="20" t="s">
        <v>994</v>
      </c>
      <c r="M297" s="20" t="s">
        <v>995</v>
      </c>
      <c r="N297" s="59">
        <v>42739</v>
      </c>
      <c r="O297" s="65">
        <v>80222</v>
      </c>
      <c r="P297" s="71" t="s">
        <v>1140</v>
      </c>
      <c r="Q297" s="59">
        <v>42739</v>
      </c>
      <c r="R297" s="59">
        <v>43100</v>
      </c>
      <c r="S297" s="2" t="s">
        <v>1038</v>
      </c>
      <c r="T297" s="2"/>
      <c r="U297" s="20"/>
      <c r="V297" s="20"/>
      <c r="W297" s="20" t="s">
        <v>1132</v>
      </c>
      <c r="X297" s="2" t="s">
        <v>498</v>
      </c>
      <c r="Y297" s="2" t="s">
        <v>138</v>
      </c>
      <c r="Z297" s="117">
        <v>42961</v>
      </c>
      <c r="AA297" s="207">
        <v>12119</v>
      </c>
      <c r="AB297" s="20" t="s">
        <v>1805</v>
      </c>
      <c r="AC297" s="20"/>
      <c r="AD297" s="1"/>
      <c r="AE297" s="20">
        <v>25</v>
      </c>
      <c r="AF297" s="65"/>
      <c r="AG297" s="138">
        <v>6151</v>
      </c>
      <c r="AH297" s="65"/>
      <c r="AI297" s="65"/>
      <c r="AJ297" s="65"/>
      <c r="AK297" s="65"/>
      <c r="AL297" s="194">
        <f>O297-AH297+AG297</f>
        <v>86373</v>
      </c>
      <c r="AM297" s="218"/>
      <c r="AN297" s="219">
        <f>0+54821+11251+16340</f>
        <v>82412</v>
      </c>
      <c r="AO297" s="138">
        <f t="shared" si="1"/>
        <v>82412</v>
      </c>
      <c r="AP297" s="2"/>
      <c r="AQ297" s="20"/>
      <c r="AR297" s="20"/>
      <c r="AS297" s="20"/>
      <c r="AT297" s="20"/>
      <c r="AU297" s="20"/>
      <c r="AV297" s="20"/>
      <c r="AW297" s="20"/>
      <c r="AX297" s="20"/>
      <c r="AY297" s="20"/>
      <c r="AZ297" s="20"/>
      <c r="BA297" s="20"/>
      <c r="BB297" s="20"/>
      <c r="BC297" s="20"/>
      <c r="BD297" s="20"/>
      <c r="BE297" s="20"/>
      <c r="BF297" s="20"/>
      <c r="BG297" s="20"/>
      <c r="BH297" s="193"/>
      <c r="BI297" s="193"/>
      <c r="BJ297" s="193"/>
      <c r="BK297" s="193"/>
      <c r="BL297" s="193"/>
      <c r="BM297" s="193"/>
    </row>
    <row r="298" spans="1:65" ht="89.25" x14ac:dyDescent="0.2">
      <c r="A298" s="403">
        <v>96</v>
      </c>
      <c r="B298" s="418" t="s">
        <v>1054</v>
      </c>
      <c r="C298" s="422" t="s">
        <v>688</v>
      </c>
      <c r="D298" s="405" t="s">
        <v>147</v>
      </c>
      <c r="E298" s="410" t="s">
        <v>372</v>
      </c>
      <c r="F298" s="405" t="s">
        <v>242</v>
      </c>
      <c r="G298" s="413" t="s">
        <v>1056</v>
      </c>
      <c r="H298" s="439" t="s">
        <v>675</v>
      </c>
      <c r="I298" s="453">
        <v>42663</v>
      </c>
      <c r="J298" s="453">
        <v>43028</v>
      </c>
      <c r="K298" s="410" t="s">
        <v>1105</v>
      </c>
      <c r="L298" s="405" t="s">
        <v>516</v>
      </c>
      <c r="M298" s="405" t="s">
        <v>400</v>
      </c>
      <c r="N298" s="432">
        <v>42740</v>
      </c>
      <c r="O298" s="497">
        <v>1511067</v>
      </c>
      <c r="P298" s="480" t="s">
        <v>1140</v>
      </c>
      <c r="Q298" s="432">
        <v>42740</v>
      </c>
      <c r="R298" s="432">
        <v>43100</v>
      </c>
      <c r="S298" s="410" t="s">
        <v>750</v>
      </c>
      <c r="T298" s="2"/>
      <c r="U298" s="20"/>
      <c r="V298" s="20"/>
      <c r="W298" s="410" t="s">
        <v>393</v>
      </c>
      <c r="X298" s="2" t="s">
        <v>498</v>
      </c>
      <c r="Y298" s="2" t="s">
        <v>138</v>
      </c>
      <c r="Z298" s="117">
        <v>42831</v>
      </c>
      <c r="AA298" s="207">
        <v>12033</v>
      </c>
      <c r="AB298" s="20" t="s">
        <v>1497</v>
      </c>
      <c r="AC298" s="20"/>
      <c r="AD298" s="1"/>
      <c r="AE298" s="145">
        <v>25</v>
      </c>
      <c r="AF298" s="65"/>
      <c r="AG298" s="138">
        <v>2161.25</v>
      </c>
      <c r="AH298" s="65"/>
      <c r="AI298" s="65"/>
      <c r="AJ298" s="65"/>
      <c r="AK298" s="65"/>
      <c r="AL298" s="487">
        <f>O298-AH298+AG298-AH299+AG299-AH300+AG300-AH301+AG301</f>
        <v>1720284.75</v>
      </c>
      <c r="AM298" s="500"/>
      <c r="AN298" s="529">
        <f>0+94952.4+53500+345940+23764.21+142300.81+207959.7+129293.09+65815.36</f>
        <v>1063525.57</v>
      </c>
      <c r="AO298" s="487">
        <f t="shared" si="1"/>
        <v>1063525.57</v>
      </c>
      <c r="AP298" s="2"/>
      <c r="AQ298" s="20"/>
      <c r="AR298" s="20"/>
      <c r="AS298" s="20"/>
      <c r="AT298" s="20"/>
      <c r="AU298" s="20"/>
      <c r="AV298" s="20"/>
      <c r="AW298" s="20"/>
      <c r="AX298" s="20"/>
      <c r="AY298" s="20"/>
      <c r="AZ298" s="20"/>
      <c r="BA298" s="20"/>
      <c r="BB298" s="20"/>
      <c r="BC298" s="20"/>
      <c r="BD298" s="20"/>
      <c r="BE298" s="20"/>
      <c r="BF298" s="20"/>
      <c r="BG298" s="20"/>
      <c r="BH298" s="193"/>
      <c r="BI298" s="193"/>
      <c r="BJ298" s="193"/>
      <c r="BK298" s="193"/>
      <c r="BL298" s="193"/>
      <c r="BM298" s="193"/>
    </row>
    <row r="299" spans="1:65" ht="89.25" x14ac:dyDescent="0.2">
      <c r="A299" s="420"/>
      <c r="B299" s="421"/>
      <c r="C299" s="423"/>
      <c r="D299" s="409"/>
      <c r="E299" s="411"/>
      <c r="F299" s="409"/>
      <c r="G299" s="414"/>
      <c r="H299" s="458"/>
      <c r="I299" s="454"/>
      <c r="J299" s="454"/>
      <c r="K299" s="411"/>
      <c r="L299" s="409"/>
      <c r="M299" s="409"/>
      <c r="N299" s="433"/>
      <c r="O299" s="498"/>
      <c r="P299" s="481"/>
      <c r="Q299" s="433"/>
      <c r="R299" s="433"/>
      <c r="S299" s="411"/>
      <c r="T299" s="2"/>
      <c r="U299" s="20"/>
      <c r="V299" s="20"/>
      <c r="W299" s="411"/>
      <c r="X299" s="2" t="s">
        <v>498</v>
      </c>
      <c r="Y299" s="2" t="s">
        <v>144</v>
      </c>
      <c r="Z299" s="117">
        <v>42899</v>
      </c>
      <c r="AA299" s="207">
        <v>12075</v>
      </c>
      <c r="AB299" s="20" t="s">
        <v>1665</v>
      </c>
      <c r="AC299" s="20"/>
      <c r="AD299" s="1"/>
      <c r="AE299" s="145">
        <v>25</v>
      </c>
      <c r="AF299" s="65"/>
      <c r="AG299" s="138">
        <v>157224</v>
      </c>
      <c r="AH299" s="65"/>
      <c r="AI299" s="65"/>
      <c r="AJ299" s="65"/>
      <c r="AK299" s="65"/>
      <c r="AL299" s="528"/>
      <c r="AM299" s="532"/>
      <c r="AN299" s="530"/>
      <c r="AO299" s="528"/>
      <c r="AP299" s="2"/>
      <c r="AQ299" s="20"/>
      <c r="AR299" s="20"/>
      <c r="AS299" s="20"/>
      <c r="AT299" s="20"/>
      <c r="AU299" s="20"/>
      <c r="AV299" s="20"/>
      <c r="AW299" s="20"/>
      <c r="AX299" s="20"/>
      <c r="AY299" s="20"/>
      <c r="AZ299" s="20"/>
      <c r="BA299" s="20"/>
      <c r="BB299" s="20"/>
      <c r="BC299" s="20"/>
      <c r="BD299" s="20"/>
      <c r="BE299" s="20"/>
      <c r="BF299" s="20"/>
      <c r="BG299" s="20"/>
      <c r="BH299" s="193"/>
      <c r="BI299" s="193"/>
      <c r="BJ299" s="193"/>
      <c r="BK299" s="193"/>
      <c r="BL299" s="193"/>
      <c r="BM299" s="193"/>
    </row>
    <row r="300" spans="1:65" ht="89.25" x14ac:dyDescent="0.2">
      <c r="A300" s="420"/>
      <c r="B300" s="421"/>
      <c r="C300" s="423"/>
      <c r="D300" s="409"/>
      <c r="E300" s="411"/>
      <c r="F300" s="409"/>
      <c r="G300" s="414"/>
      <c r="H300" s="458"/>
      <c r="I300" s="454"/>
      <c r="J300" s="454"/>
      <c r="K300" s="411"/>
      <c r="L300" s="409"/>
      <c r="M300" s="409"/>
      <c r="N300" s="433"/>
      <c r="O300" s="498"/>
      <c r="P300" s="481"/>
      <c r="Q300" s="433"/>
      <c r="R300" s="433"/>
      <c r="S300" s="411"/>
      <c r="T300" s="2"/>
      <c r="U300" s="20"/>
      <c r="V300" s="20"/>
      <c r="W300" s="411"/>
      <c r="X300" s="2" t="s">
        <v>498</v>
      </c>
      <c r="Y300" s="2" t="s">
        <v>193</v>
      </c>
      <c r="Z300" s="117">
        <v>42940</v>
      </c>
      <c r="AA300" s="207">
        <v>12108</v>
      </c>
      <c r="AB300" s="20" t="s">
        <v>1771</v>
      </c>
      <c r="AC300" s="20"/>
      <c r="AD300" s="1"/>
      <c r="AE300" s="145">
        <v>25</v>
      </c>
      <c r="AF300" s="65"/>
      <c r="AG300" s="138">
        <v>36407.5</v>
      </c>
      <c r="AH300" s="65"/>
      <c r="AI300" s="65"/>
      <c r="AJ300" s="65"/>
      <c r="AK300" s="65"/>
      <c r="AL300" s="528"/>
      <c r="AM300" s="532"/>
      <c r="AN300" s="530"/>
      <c r="AO300" s="528"/>
      <c r="AP300" s="2"/>
      <c r="AQ300" s="20"/>
      <c r="AR300" s="20"/>
      <c r="AS300" s="20"/>
      <c r="AT300" s="20"/>
      <c r="AU300" s="20"/>
      <c r="AV300" s="20"/>
      <c r="AW300" s="20"/>
      <c r="AX300" s="20"/>
      <c r="AY300" s="20"/>
      <c r="AZ300" s="20"/>
      <c r="BA300" s="20"/>
      <c r="BB300" s="20"/>
      <c r="BC300" s="20"/>
      <c r="BD300" s="20"/>
      <c r="BE300" s="20"/>
      <c r="BF300" s="20"/>
      <c r="BG300" s="20"/>
      <c r="BH300" s="193"/>
      <c r="BI300" s="193"/>
      <c r="BJ300" s="193"/>
      <c r="BK300" s="193"/>
      <c r="BL300" s="193"/>
      <c r="BM300" s="193"/>
    </row>
    <row r="301" spans="1:65" ht="76.5" x14ac:dyDescent="0.2">
      <c r="A301" s="404"/>
      <c r="B301" s="419"/>
      <c r="C301" s="424"/>
      <c r="D301" s="406"/>
      <c r="E301" s="412"/>
      <c r="F301" s="406"/>
      <c r="G301" s="406"/>
      <c r="H301" s="412"/>
      <c r="I301" s="412"/>
      <c r="J301" s="412"/>
      <c r="K301" s="412"/>
      <c r="L301" s="406"/>
      <c r="M301" s="406"/>
      <c r="N301" s="412"/>
      <c r="O301" s="412"/>
      <c r="P301" s="412"/>
      <c r="Q301" s="412"/>
      <c r="R301" s="412"/>
      <c r="S301" s="412"/>
      <c r="T301" s="2"/>
      <c r="U301" s="20"/>
      <c r="V301" s="20"/>
      <c r="W301" s="412"/>
      <c r="X301" s="2" t="s">
        <v>498</v>
      </c>
      <c r="Y301" s="2" t="s">
        <v>194</v>
      </c>
      <c r="Z301" s="117">
        <v>43007</v>
      </c>
      <c r="AA301" s="207">
        <v>12151</v>
      </c>
      <c r="AB301" s="20" t="s">
        <v>1929</v>
      </c>
      <c r="AC301" s="20"/>
      <c r="AD301" s="1"/>
      <c r="AE301" s="145">
        <v>25</v>
      </c>
      <c r="AF301" s="65"/>
      <c r="AG301" s="138">
        <v>13425</v>
      </c>
      <c r="AH301" s="65"/>
      <c r="AI301" s="65"/>
      <c r="AJ301" s="65"/>
      <c r="AK301" s="65"/>
      <c r="AL301" s="488"/>
      <c r="AM301" s="501"/>
      <c r="AN301" s="531"/>
      <c r="AO301" s="488"/>
      <c r="AP301" s="2"/>
      <c r="AQ301" s="20"/>
      <c r="AR301" s="20"/>
      <c r="AS301" s="20"/>
      <c r="AT301" s="20"/>
      <c r="AU301" s="20"/>
      <c r="AV301" s="20"/>
      <c r="AW301" s="20"/>
      <c r="AX301" s="20"/>
      <c r="AY301" s="20"/>
      <c r="AZ301" s="20"/>
      <c r="BA301" s="20"/>
      <c r="BB301" s="20"/>
      <c r="BC301" s="20"/>
      <c r="BD301" s="20"/>
      <c r="BE301" s="20"/>
      <c r="BF301" s="20"/>
      <c r="BG301" s="20"/>
      <c r="BH301" s="193"/>
      <c r="BI301" s="193"/>
      <c r="BJ301" s="193"/>
      <c r="BK301" s="193"/>
      <c r="BL301" s="193"/>
      <c r="BM301" s="193"/>
    </row>
    <row r="302" spans="1:65" ht="51" x14ac:dyDescent="0.2">
      <c r="A302" s="330">
        <v>97</v>
      </c>
      <c r="B302" s="328" t="s">
        <v>1054</v>
      </c>
      <c r="C302" s="1" t="s">
        <v>688</v>
      </c>
      <c r="D302" s="20" t="s">
        <v>147</v>
      </c>
      <c r="E302" s="2" t="s">
        <v>372</v>
      </c>
      <c r="F302" s="20" t="s">
        <v>242</v>
      </c>
      <c r="G302" s="71" t="s">
        <v>1056</v>
      </c>
      <c r="H302" s="7" t="s">
        <v>675</v>
      </c>
      <c r="I302" s="224">
        <v>42663</v>
      </c>
      <c r="J302" s="224">
        <v>43028</v>
      </c>
      <c r="K302" s="2" t="s">
        <v>1106</v>
      </c>
      <c r="L302" s="20" t="s">
        <v>523</v>
      </c>
      <c r="M302" s="20" t="s">
        <v>524</v>
      </c>
      <c r="N302" s="59">
        <v>42740</v>
      </c>
      <c r="O302" s="65">
        <v>95720</v>
      </c>
      <c r="P302" s="71" t="s">
        <v>1140</v>
      </c>
      <c r="Q302" s="59">
        <v>42740</v>
      </c>
      <c r="R302" s="59">
        <v>43100</v>
      </c>
      <c r="S302" s="2" t="s">
        <v>750</v>
      </c>
      <c r="T302" s="2"/>
      <c r="U302" s="20"/>
      <c r="V302" s="20"/>
      <c r="W302" s="20" t="s">
        <v>393</v>
      </c>
      <c r="X302" s="2"/>
      <c r="Y302" s="2"/>
      <c r="Z302" s="2"/>
      <c r="AA302" s="20"/>
      <c r="AB302" s="20"/>
      <c r="AC302" s="20"/>
      <c r="AD302" s="1"/>
      <c r="AE302" s="145"/>
      <c r="AF302" s="65"/>
      <c r="AG302" s="138"/>
      <c r="AH302" s="65"/>
      <c r="AI302" s="65"/>
      <c r="AJ302" s="65"/>
      <c r="AK302" s="65"/>
      <c r="AL302" s="194">
        <f t="shared" si="2"/>
        <v>95720</v>
      </c>
      <c r="AM302" s="218"/>
      <c r="AN302" s="219">
        <f>0+20631+15073.5+10545</f>
        <v>46249.5</v>
      </c>
      <c r="AO302" s="138">
        <f t="shared" si="1"/>
        <v>46249.5</v>
      </c>
      <c r="AP302" s="2"/>
      <c r="AQ302" s="20"/>
      <c r="AR302" s="20"/>
      <c r="AS302" s="20"/>
      <c r="AT302" s="20"/>
      <c r="AU302" s="20"/>
      <c r="AV302" s="20"/>
      <c r="AW302" s="20"/>
      <c r="AX302" s="20"/>
      <c r="AY302" s="20"/>
      <c r="AZ302" s="20"/>
      <c r="BA302" s="20"/>
      <c r="BB302" s="20"/>
      <c r="BC302" s="20"/>
      <c r="BD302" s="20"/>
      <c r="BE302" s="20"/>
      <c r="BF302" s="20"/>
      <c r="BG302" s="20"/>
      <c r="BH302" s="193"/>
      <c r="BI302" s="193"/>
      <c r="BJ302" s="193"/>
      <c r="BK302" s="193"/>
      <c r="BL302" s="193"/>
      <c r="BM302" s="193"/>
    </row>
    <row r="303" spans="1:65" ht="76.5" x14ac:dyDescent="0.2">
      <c r="A303" s="403">
        <v>98</v>
      </c>
      <c r="B303" s="418" t="s">
        <v>1054</v>
      </c>
      <c r="C303" s="422" t="s">
        <v>688</v>
      </c>
      <c r="D303" s="405" t="s">
        <v>147</v>
      </c>
      <c r="E303" s="410" t="s">
        <v>372</v>
      </c>
      <c r="F303" s="405" t="s">
        <v>242</v>
      </c>
      <c r="G303" s="413" t="s">
        <v>1056</v>
      </c>
      <c r="H303" s="439" t="s">
        <v>675</v>
      </c>
      <c r="I303" s="456">
        <v>42663</v>
      </c>
      <c r="J303" s="453">
        <v>43028</v>
      </c>
      <c r="K303" s="410" t="s">
        <v>1107</v>
      </c>
      <c r="L303" s="405" t="s">
        <v>1055</v>
      </c>
      <c r="M303" s="405" t="s">
        <v>918</v>
      </c>
      <c r="N303" s="431">
        <v>42740</v>
      </c>
      <c r="O303" s="430">
        <v>743570</v>
      </c>
      <c r="P303" s="514" t="s">
        <v>1143</v>
      </c>
      <c r="Q303" s="431">
        <v>42740</v>
      </c>
      <c r="R303" s="431">
        <v>43100</v>
      </c>
      <c r="S303" s="427" t="s">
        <v>750</v>
      </c>
      <c r="T303" s="427"/>
      <c r="U303" s="427"/>
      <c r="V303" s="427"/>
      <c r="W303" s="427" t="s">
        <v>393</v>
      </c>
      <c r="X303" s="2" t="s">
        <v>498</v>
      </c>
      <c r="Y303" s="2" t="s">
        <v>138</v>
      </c>
      <c r="Z303" s="117">
        <v>42831</v>
      </c>
      <c r="AA303" s="207">
        <v>12036</v>
      </c>
      <c r="AB303" s="20" t="s">
        <v>1515</v>
      </c>
      <c r="AC303" s="20"/>
      <c r="AD303" s="1"/>
      <c r="AE303" s="20">
        <v>25</v>
      </c>
      <c r="AF303" s="65"/>
      <c r="AG303" s="138">
        <v>2125</v>
      </c>
      <c r="AH303" s="65"/>
      <c r="AI303" s="65"/>
      <c r="AJ303" s="65"/>
      <c r="AK303" s="65"/>
      <c r="AL303" s="487">
        <f>O303-AH303+AG303-AH304+AG304-AH305+AG305-AH306+AG306-AH307+AG307</f>
        <v>873177.5</v>
      </c>
      <c r="AM303" s="500"/>
      <c r="AN303" s="529">
        <f>0+315911.14+201080.94+36974.04+19885+40967.1+20118+10089.5+50575.72</f>
        <v>695601.44</v>
      </c>
      <c r="AO303" s="487">
        <f t="shared" si="1"/>
        <v>695601.44</v>
      </c>
      <c r="AP303" s="2"/>
      <c r="AQ303" s="20"/>
      <c r="AR303" s="20"/>
      <c r="AS303" s="20"/>
      <c r="AT303" s="20"/>
      <c r="AU303" s="20"/>
      <c r="AV303" s="20"/>
      <c r="AW303" s="20"/>
      <c r="AX303" s="20"/>
      <c r="AY303" s="20"/>
      <c r="AZ303" s="20"/>
      <c r="BA303" s="20"/>
      <c r="BB303" s="20"/>
      <c r="BC303" s="20"/>
      <c r="BD303" s="20"/>
      <c r="BE303" s="20"/>
      <c r="BF303" s="20"/>
      <c r="BG303" s="20"/>
      <c r="BH303" s="193"/>
      <c r="BI303" s="193"/>
      <c r="BJ303" s="193"/>
      <c r="BK303" s="193"/>
      <c r="BL303" s="193"/>
      <c r="BM303" s="193"/>
    </row>
    <row r="304" spans="1:65" ht="89.25" x14ac:dyDescent="0.2">
      <c r="A304" s="420"/>
      <c r="B304" s="421"/>
      <c r="C304" s="423"/>
      <c r="D304" s="409"/>
      <c r="E304" s="411"/>
      <c r="F304" s="409"/>
      <c r="G304" s="414"/>
      <c r="H304" s="458"/>
      <c r="I304" s="518"/>
      <c r="J304" s="454"/>
      <c r="K304" s="411"/>
      <c r="L304" s="409"/>
      <c r="M304" s="409"/>
      <c r="N304" s="437"/>
      <c r="O304" s="447"/>
      <c r="P304" s="515"/>
      <c r="Q304" s="437"/>
      <c r="R304" s="437"/>
      <c r="S304" s="429"/>
      <c r="T304" s="429"/>
      <c r="U304" s="429"/>
      <c r="V304" s="429"/>
      <c r="W304" s="429"/>
      <c r="X304" s="2" t="s">
        <v>498</v>
      </c>
      <c r="Y304" s="2" t="s">
        <v>144</v>
      </c>
      <c r="Z304" s="117">
        <v>42899</v>
      </c>
      <c r="AA304" s="207">
        <v>12081</v>
      </c>
      <c r="AB304" s="20" t="s">
        <v>1688</v>
      </c>
      <c r="AC304" s="20"/>
      <c r="AD304" s="1"/>
      <c r="AE304" s="20">
        <v>25</v>
      </c>
      <c r="AF304" s="65"/>
      <c r="AG304" s="138">
        <v>61275</v>
      </c>
      <c r="AH304" s="65"/>
      <c r="AI304" s="65"/>
      <c r="AJ304" s="65"/>
      <c r="AK304" s="65"/>
      <c r="AL304" s="528"/>
      <c r="AM304" s="532"/>
      <c r="AN304" s="530"/>
      <c r="AO304" s="528"/>
      <c r="AP304" s="2"/>
      <c r="AQ304" s="20"/>
      <c r="AR304" s="20"/>
      <c r="AS304" s="20"/>
      <c r="AT304" s="20"/>
      <c r="AU304" s="20"/>
      <c r="AV304" s="20"/>
      <c r="AW304" s="20"/>
      <c r="AX304" s="20"/>
      <c r="AY304" s="20"/>
      <c r="AZ304" s="20"/>
      <c r="BA304" s="20"/>
      <c r="BB304" s="20"/>
      <c r="BC304" s="20"/>
      <c r="BD304" s="20"/>
      <c r="BE304" s="20"/>
      <c r="BF304" s="20"/>
      <c r="BG304" s="20"/>
      <c r="BH304" s="193"/>
      <c r="BI304" s="193"/>
      <c r="BJ304" s="193"/>
      <c r="BK304" s="193"/>
      <c r="BL304" s="193"/>
      <c r="BM304" s="193"/>
    </row>
    <row r="305" spans="1:65" ht="76.5" x14ac:dyDescent="0.2">
      <c r="A305" s="420"/>
      <c r="B305" s="421"/>
      <c r="C305" s="423"/>
      <c r="D305" s="409"/>
      <c r="E305" s="411"/>
      <c r="F305" s="409"/>
      <c r="G305" s="414"/>
      <c r="H305" s="458"/>
      <c r="I305" s="518"/>
      <c r="J305" s="454"/>
      <c r="K305" s="411"/>
      <c r="L305" s="409"/>
      <c r="M305" s="409"/>
      <c r="N305" s="437"/>
      <c r="O305" s="447"/>
      <c r="P305" s="515"/>
      <c r="Q305" s="437"/>
      <c r="R305" s="437"/>
      <c r="S305" s="429"/>
      <c r="T305" s="429"/>
      <c r="U305" s="429"/>
      <c r="V305" s="429"/>
      <c r="W305" s="429"/>
      <c r="X305" s="2" t="s">
        <v>498</v>
      </c>
      <c r="Y305" s="2" t="s">
        <v>193</v>
      </c>
      <c r="Z305" s="117">
        <v>42929</v>
      </c>
      <c r="AA305" s="207">
        <v>12097</v>
      </c>
      <c r="AB305" s="20" t="s">
        <v>1754</v>
      </c>
      <c r="AC305" s="20"/>
      <c r="AD305" s="1"/>
      <c r="AE305" s="20">
        <v>25</v>
      </c>
      <c r="AF305" s="65"/>
      <c r="AG305" s="138">
        <v>3750</v>
      </c>
      <c r="AH305" s="65"/>
      <c r="AI305" s="65"/>
      <c r="AJ305" s="65"/>
      <c r="AK305" s="65"/>
      <c r="AL305" s="528"/>
      <c r="AM305" s="532"/>
      <c r="AN305" s="530"/>
      <c r="AO305" s="528"/>
      <c r="AP305" s="2"/>
      <c r="AQ305" s="20"/>
      <c r="AR305" s="20"/>
      <c r="AS305" s="20"/>
      <c r="AT305" s="20"/>
      <c r="AU305" s="20"/>
      <c r="AV305" s="20"/>
      <c r="AW305" s="20"/>
      <c r="AX305" s="20"/>
      <c r="AY305" s="20"/>
      <c r="AZ305" s="20"/>
      <c r="BA305" s="20"/>
      <c r="BB305" s="20"/>
      <c r="BC305" s="20"/>
      <c r="BD305" s="20"/>
      <c r="BE305" s="20"/>
      <c r="BF305" s="20"/>
      <c r="BG305" s="20"/>
      <c r="BH305" s="193"/>
      <c r="BI305" s="193"/>
      <c r="BJ305" s="193"/>
      <c r="BK305" s="193"/>
      <c r="BL305" s="193"/>
      <c r="BM305" s="193"/>
    </row>
    <row r="306" spans="1:65" ht="89.25" x14ac:dyDescent="0.2">
      <c r="A306" s="420"/>
      <c r="B306" s="421"/>
      <c r="C306" s="423"/>
      <c r="D306" s="409"/>
      <c r="E306" s="411"/>
      <c r="F306" s="409"/>
      <c r="G306" s="409"/>
      <c r="H306" s="411"/>
      <c r="I306" s="429"/>
      <c r="J306" s="411"/>
      <c r="K306" s="411"/>
      <c r="L306" s="409"/>
      <c r="M306" s="409"/>
      <c r="N306" s="429"/>
      <c r="O306" s="429"/>
      <c r="P306" s="429"/>
      <c r="Q306" s="429"/>
      <c r="R306" s="429"/>
      <c r="S306" s="429"/>
      <c r="T306" s="429"/>
      <c r="U306" s="429"/>
      <c r="V306" s="429"/>
      <c r="W306" s="429"/>
      <c r="X306" s="2" t="s">
        <v>498</v>
      </c>
      <c r="Y306" s="2" t="s">
        <v>194</v>
      </c>
      <c r="Z306" s="117">
        <v>42940</v>
      </c>
      <c r="AA306" s="207">
        <v>12115</v>
      </c>
      <c r="AB306" s="20" t="s">
        <v>1778</v>
      </c>
      <c r="AC306" s="20"/>
      <c r="AD306" s="1"/>
      <c r="AE306" s="20">
        <v>25</v>
      </c>
      <c r="AF306" s="65"/>
      <c r="AG306" s="138">
        <v>17607.5</v>
      </c>
      <c r="AH306" s="65"/>
      <c r="AI306" s="65"/>
      <c r="AJ306" s="65"/>
      <c r="AK306" s="65"/>
      <c r="AL306" s="528"/>
      <c r="AM306" s="532"/>
      <c r="AN306" s="530"/>
      <c r="AO306" s="528"/>
      <c r="AP306" s="2"/>
      <c r="AQ306" s="20"/>
      <c r="AR306" s="20"/>
      <c r="AS306" s="20"/>
      <c r="AT306" s="20"/>
      <c r="AU306" s="20"/>
      <c r="AV306" s="20"/>
      <c r="AW306" s="20"/>
      <c r="AX306" s="20"/>
      <c r="AY306" s="20"/>
      <c r="AZ306" s="20"/>
      <c r="BA306" s="20"/>
      <c r="BB306" s="20"/>
      <c r="BC306" s="20"/>
      <c r="BD306" s="20"/>
      <c r="BE306" s="20"/>
      <c r="BF306" s="20"/>
      <c r="BG306" s="20"/>
      <c r="BH306" s="193"/>
      <c r="BI306" s="193"/>
      <c r="BJ306" s="193"/>
      <c r="BK306" s="193"/>
      <c r="BL306" s="193"/>
      <c r="BM306" s="193"/>
    </row>
    <row r="307" spans="1:65" ht="76.5" x14ac:dyDescent="0.2">
      <c r="A307" s="404"/>
      <c r="B307" s="419"/>
      <c r="C307" s="424"/>
      <c r="D307" s="406"/>
      <c r="E307" s="412"/>
      <c r="F307" s="406"/>
      <c r="G307" s="406"/>
      <c r="H307" s="412"/>
      <c r="I307" s="428"/>
      <c r="J307" s="412"/>
      <c r="K307" s="412"/>
      <c r="L307" s="406"/>
      <c r="M307" s="406"/>
      <c r="N307" s="428"/>
      <c r="O307" s="428"/>
      <c r="P307" s="428"/>
      <c r="Q307" s="428"/>
      <c r="R307" s="428"/>
      <c r="S307" s="428"/>
      <c r="T307" s="428"/>
      <c r="U307" s="428"/>
      <c r="V307" s="428"/>
      <c r="W307" s="428"/>
      <c r="X307" s="2" t="s">
        <v>498</v>
      </c>
      <c r="Y307" s="2" t="s">
        <v>195</v>
      </c>
      <c r="Z307" s="117">
        <v>43007</v>
      </c>
      <c r="AA307" s="207">
        <v>12153</v>
      </c>
      <c r="AB307" s="20" t="s">
        <v>1987</v>
      </c>
      <c r="AC307" s="20"/>
      <c r="AD307" s="1"/>
      <c r="AE307" s="20"/>
      <c r="AF307" s="65"/>
      <c r="AG307" s="138">
        <v>44850</v>
      </c>
      <c r="AH307" s="65"/>
      <c r="AI307" s="65"/>
      <c r="AJ307" s="65"/>
      <c r="AK307" s="65"/>
      <c r="AL307" s="488"/>
      <c r="AM307" s="501"/>
      <c r="AN307" s="531"/>
      <c r="AO307" s="488"/>
      <c r="AP307" s="2"/>
      <c r="AQ307" s="20"/>
      <c r="AR307" s="20"/>
      <c r="AS307" s="20"/>
      <c r="AT307" s="20"/>
      <c r="AU307" s="20"/>
      <c r="AV307" s="20"/>
      <c r="AW307" s="20"/>
      <c r="AX307" s="20"/>
      <c r="AY307" s="20"/>
      <c r="AZ307" s="20"/>
      <c r="BA307" s="20"/>
      <c r="BB307" s="20"/>
      <c r="BC307" s="20"/>
      <c r="BD307" s="20"/>
      <c r="BE307" s="20"/>
      <c r="BF307" s="20"/>
      <c r="BG307" s="20"/>
      <c r="BH307" s="193"/>
      <c r="BI307" s="193"/>
      <c r="BJ307" s="193"/>
      <c r="BK307" s="193"/>
      <c r="BL307" s="193"/>
      <c r="BM307" s="193"/>
    </row>
    <row r="308" spans="1:65" ht="76.5" x14ac:dyDescent="0.2">
      <c r="A308" s="403">
        <v>99</v>
      </c>
      <c r="B308" s="418" t="s">
        <v>1054</v>
      </c>
      <c r="C308" s="422" t="s">
        <v>688</v>
      </c>
      <c r="D308" s="405" t="s">
        <v>147</v>
      </c>
      <c r="E308" s="410" t="s">
        <v>372</v>
      </c>
      <c r="F308" s="405" t="s">
        <v>242</v>
      </c>
      <c r="G308" s="413" t="s">
        <v>1056</v>
      </c>
      <c r="H308" s="439" t="s">
        <v>675</v>
      </c>
      <c r="I308" s="453">
        <v>42663</v>
      </c>
      <c r="J308" s="453">
        <v>43028</v>
      </c>
      <c r="K308" s="410" t="s">
        <v>1108</v>
      </c>
      <c r="L308" s="405" t="s">
        <v>522</v>
      </c>
      <c r="M308" s="405" t="s">
        <v>243</v>
      </c>
      <c r="N308" s="432">
        <v>42740</v>
      </c>
      <c r="O308" s="497">
        <v>600394</v>
      </c>
      <c r="P308" s="480" t="s">
        <v>1140</v>
      </c>
      <c r="Q308" s="432">
        <v>42740</v>
      </c>
      <c r="R308" s="432">
        <v>43100</v>
      </c>
      <c r="S308" s="410" t="s">
        <v>750</v>
      </c>
      <c r="T308" s="2"/>
      <c r="U308" s="20"/>
      <c r="V308" s="20"/>
      <c r="W308" s="410" t="s">
        <v>393</v>
      </c>
      <c r="X308" s="2" t="s">
        <v>498</v>
      </c>
      <c r="Y308" s="2" t="s">
        <v>138</v>
      </c>
      <c r="Z308" s="117">
        <v>42831</v>
      </c>
      <c r="AA308" s="207">
        <v>12033</v>
      </c>
      <c r="AB308" s="20" t="s">
        <v>1509</v>
      </c>
      <c r="AC308" s="20"/>
      <c r="AD308" s="1"/>
      <c r="AE308" s="20">
        <v>25</v>
      </c>
      <c r="AF308" s="65"/>
      <c r="AG308" s="138">
        <v>2630</v>
      </c>
      <c r="AH308" s="65"/>
      <c r="AI308" s="65"/>
      <c r="AJ308" s="65"/>
      <c r="AK308" s="65"/>
      <c r="AL308" s="533">
        <f>O308-AH308+AG308-AH309+AG309-AH310+AG310</f>
        <v>614647.75</v>
      </c>
      <c r="AM308" s="500"/>
      <c r="AN308" s="529">
        <f>0+112498+159291.2+36850+51994.8+9030+48874+35712.5+8321.25</f>
        <v>462571.75</v>
      </c>
      <c r="AO308" s="487">
        <f t="shared" si="1"/>
        <v>462571.75</v>
      </c>
      <c r="AP308" s="2"/>
      <c r="AQ308" s="20"/>
      <c r="AR308" s="20"/>
      <c r="AS308" s="20"/>
      <c r="AT308" s="20"/>
      <c r="AU308" s="20"/>
      <c r="AV308" s="20"/>
      <c r="AW308" s="20"/>
      <c r="AX308" s="20"/>
      <c r="AY308" s="20"/>
      <c r="AZ308" s="20"/>
      <c r="BA308" s="20"/>
      <c r="BB308" s="20"/>
      <c r="BC308" s="20"/>
      <c r="BD308" s="20"/>
      <c r="BE308" s="20"/>
      <c r="BF308" s="20"/>
      <c r="BG308" s="20"/>
      <c r="BH308" s="193"/>
      <c r="BI308" s="193"/>
      <c r="BJ308" s="193"/>
      <c r="BK308" s="193"/>
      <c r="BL308" s="193"/>
      <c r="BM308" s="193"/>
    </row>
    <row r="309" spans="1:65" ht="76.5" x14ac:dyDescent="0.2">
      <c r="A309" s="420"/>
      <c r="B309" s="421"/>
      <c r="C309" s="423"/>
      <c r="D309" s="409"/>
      <c r="E309" s="411"/>
      <c r="F309" s="409"/>
      <c r="G309" s="414"/>
      <c r="H309" s="458"/>
      <c r="I309" s="454"/>
      <c r="J309" s="454"/>
      <c r="K309" s="411"/>
      <c r="L309" s="409"/>
      <c r="M309" s="409"/>
      <c r="N309" s="433"/>
      <c r="O309" s="498"/>
      <c r="P309" s="481"/>
      <c r="Q309" s="433"/>
      <c r="R309" s="433"/>
      <c r="S309" s="411"/>
      <c r="T309" s="2"/>
      <c r="U309" s="20"/>
      <c r="V309" s="20"/>
      <c r="W309" s="411"/>
      <c r="X309" s="2" t="s">
        <v>498</v>
      </c>
      <c r="Y309" s="2" t="s">
        <v>144</v>
      </c>
      <c r="Z309" s="117">
        <v>42899</v>
      </c>
      <c r="AA309" s="207">
        <v>12080</v>
      </c>
      <c r="AB309" s="20" t="s">
        <v>1696</v>
      </c>
      <c r="AC309" s="20"/>
      <c r="AD309" s="1"/>
      <c r="AE309" s="20">
        <v>25</v>
      </c>
      <c r="AF309" s="65"/>
      <c r="AG309" s="138">
        <v>960</v>
      </c>
      <c r="AH309" s="65"/>
      <c r="AI309" s="65"/>
      <c r="AJ309" s="65"/>
      <c r="AK309" s="65"/>
      <c r="AL309" s="575"/>
      <c r="AM309" s="532"/>
      <c r="AN309" s="530"/>
      <c r="AO309" s="528"/>
      <c r="AP309" s="2"/>
      <c r="AQ309" s="20"/>
      <c r="AR309" s="20"/>
      <c r="AS309" s="20"/>
      <c r="AT309" s="20"/>
      <c r="AU309" s="20"/>
      <c r="AV309" s="20"/>
      <c r="AW309" s="20"/>
      <c r="AX309" s="20"/>
      <c r="AY309" s="20"/>
      <c r="AZ309" s="20"/>
      <c r="BA309" s="20"/>
      <c r="BB309" s="20"/>
      <c r="BC309" s="20"/>
      <c r="BD309" s="20"/>
      <c r="BE309" s="20"/>
      <c r="BF309" s="20"/>
      <c r="BG309" s="20"/>
      <c r="BH309" s="193"/>
      <c r="BI309" s="193"/>
      <c r="BJ309" s="193"/>
      <c r="BK309" s="193"/>
      <c r="BL309" s="193"/>
      <c r="BM309" s="193"/>
    </row>
    <row r="310" spans="1:65" ht="76.5" x14ac:dyDescent="0.2">
      <c r="A310" s="404"/>
      <c r="B310" s="419"/>
      <c r="C310" s="424"/>
      <c r="D310" s="406"/>
      <c r="E310" s="412"/>
      <c r="F310" s="406"/>
      <c r="G310" s="415"/>
      <c r="H310" s="440"/>
      <c r="I310" s="455"/>
      <c r="J310" s="455"/>
      <c r="K310" s="412"/>
      <c r="L310" s="406"/>
      <c r="M310" s="406"/>
      <c r="N310" s="434"/>
      <c r="O310" s="499"/>
      <c r="P310" s="482"/>
      <c r="Q310" s="434"/>
      <c r="R310" s="434"/>
      <c r="S310" s="412"/>
      <c r="T310" s="2"/>
      <c r="U310" s="20"/>
      <c r="V310" s="20"/>
      <c r="W310" s="412"/>
      <c r="X310" s="2" t="s">
        <v>498</v>
      </c>
      <c r="Y310" s="2" t="s">
        <v>193</v>
      </c>
      <c r="Z310" s="117">
        <v>42940</v>
      </c>
      <c r="AA310" s="207">
        <v>12108</v>
      </c>
      <c r="AB310" s="20" t="s">
        <v>1772</v>
      </c>
      <c r="AC310" s="20"/>
      <c r="AD310" s="1"/>
      <c r="AE310" s="20">
        <v>25</v>
      </c>
      <c r="AF310" s="65"/>
      <c r="AG310" s="138">
        <v>10663.75</v>
      </c>
      <c r="AH310" s="65"/>
      <c r="AI310" s="65"/>
      <c r="AJ310" s="65"/>
      <c r="AK310" s="65"/>
      <c r="AL310" s="534"/>
      <c r="AM310" s="501"/>
      <c r="AN310" s="531"/>
      <c r="AO310" s="488"/>
      <c r="AP310" s="2"/>
      <c r="AQ310" s="20"/>
      <c r="AR310" s="20"/>
      <c r="AS310" s="20"/>
      <c r="AT310" s="20"/>
      <c r="AU310" s="20"/>
      <c r="AV310" s="20"/>
      <c r="AW310" s="20"/>
      <c r="AX310" s="20"/>
      <c r="AY310" s="20"/>
      <c r="AZ310" s="20"/>
      <c r="BA310" s="20"/>
      <c r="BB310" s="20"/>
      <c r="BC310" s="20"/>
      <c r="BD310" s="20"/>
      <c r="BE310" s="20"/>
      <c r="BF310" s="20"/>
      <c r="BG310" s="20"/>
      <c r="BH310" s="193"/>
      <c r="BI310" s="193"/>
      <c r="BJ310" s="193"/>
      <c r="BK310" s="193"/>
      <c r="BL310" s="193"/>
      <c r="BM310" s="193"/>
    </row>
    <row r="311" spans="1:65" ht="76.5" x14ac:dyDescent="0.2">
      <c r="A311" s="403">
        <v>100</v>
      </c>
      <c r="B311" s="418" t="s">
        <v>1054</v>
      </c>
      <c r="C311" s="422" t="s">
        <v>688</v>
      </c>
      <c r="D311" s="405" t="s">
        <v>147</v>
      </c>
      <c r="E311" s="410" t="s">
        <v>372</v>
      </c>
      <c r="F311" s="405" t="s">
        <v>242</v>
      </c>
      <c r="G311" s="413" t="s">
        <v>1056</v>
      </c>
      <c r="H311" s="439" t="s">
        <v>675</v>
      </c>
      <c r="I311" s="453">
        <v>42663</v>
      </c>
      <c r="J311" s="453">
        <v>43028</v>
      </c>
      <c r="K311" s="410" t="s">
        <v>1109</v>
      </c>
      <c r="L311" s="405" t="s">
        <v>520</v>
      </c>
      <c r="M311" s="405" t="s">
        <v>521</v>
      </c>
      <c r="N311" s="431">
        <v>42740</v>
      </c>
      <c r="O311" s="430">
        <v>1100190</v>
      </c>
      <c r="P311" s="514" t="s">
        <v>1141</v>
      </c>
      <c r="Q311" s="431">
        <v>42740</v>
      </c>
      <c r="R311" s="431">
        <v>43100</v>
      </c>
      <c r="S311" s="427" t="s">
        <v>750</v>
      </c>
      <c r="T311" s="427"/>
      <c r="U311" s="427"/>
      <c r="V311" s="427"/>
      <c r="W311" s="427" t="s">
        <v>393</v>
      </c>
      <c r="X311" s="2" t="s">
        <v>498</v>
      </c>
      <c r="Y311" s="2" t="s">
        <v>138</v>
      </c>
      <c r="Z311" s="117">
        <v>42831</v>
      </c>
      <c r="AA311" s="207">
        <v>12033</v>
      </c>
      <c r="AB311" s="20" t="s">
        <v>1510</v>
      </c>
      <c r="AC311" s="20"/>
      <c r="AD311" s="1"/>
      <c r="AE311" s="20">
        <v>25</v>
      </c>
      <c r="AF311" s="65"/>
      <c r="AG311" s="138">
        <v>7507.5</v>
      </c>
      <c r="AH311" s="65"/>
      <c r="AI311" s="65"/>
      <c r="AJ311" s="65"/>
      <c r="AK311" s="65"/>
      <c r="AL311" s="487">
        <f>O311-AH311+AG311-AH312+AG312-AH313+AG313-AH314+AG314</f>
        <v>1249907.5</v>
      </c>
      <c r="AM311" s="500"/>
      <c r="AN311" s="529">
        <f>0+108085.99+134773+39842+232257.28+4676+128692+49650+6700+78782.1+69300.4</f>
        <v>852758.77</v>
      </c>
      <c r="AO311" s="487">
        <f t="shared" si="1"/>
        <v>852758.77</v>
      </c>
      <c r="AP311" s="2"/>
      <c r="AQ311" s="20"/>
      <c r="AR311" s="20"/>
      <c r="AS311" s="20"/>
      <c r="AT311" s="20"/>
      <c r="AU311" s="20"/>
      <c r="AV311" s="20"/>
      <c r="AW311" s="20"/>
      <c r="AX311" s="20"/>
      <c r="AY311" s="20"/>
      <c r="AZ311" s="20"/>
      <c r="BA311" s="20"/>
      <c r="BB311" s="20"/>
      <c r="BC311" s="20"/>
      <c r="BD311" s="20"/>
      <c r="BE311" s="20"/>
      <c r="BF311" s="20"/>
      <c r="BG311" s="20"/>
      <c r="BH311" s="193"/>
      <c r="BI311" s="193"/>
      <c r="BJ311" s="193"/>
      <c r="BK311" s="193"/>
      <c r="BL311" s="193"/>
      <c r="BM311" s="193"/>
    </row>
    <row r="312" spans="1:65" ht="89.25" x14ac:dyDescent="0.2">
      <c r="A312" s="420"/>
      <c r="B312" s="421"/>
      <c r="C312" s="423"/>
      <c r="D312" s="409"/>
      <c r="E312" s="411"/>
      <c r="F312" s="409"/>
      <c r="G312" s="414"/>
      <c r="H312" s="458"/>
      <c r="I312" s="454"/>
      <c r="J312" s="454"/>
      <c r="K312" s="411"/>
      <c r="L312" s="409"/>
      <c r="M312" s="409"/>
      <c r="N312" s="437"/>
      <c r="O312" s="447"/>
      <c r="P312" s="515"/>
      <c r="Q312" s="437"/>
      <c r="R312" s="437"/>
      <c r="S312" s="429"/>
      <c r="T312" s="429"/>
      <c r="U312" s="429"/>
      <c r="V312" s="429"/>
      <c r="W312" s="429"/>
      <c r="X312" s="2" t="s">
        <v>498</v>
      </c>
      <c r="Y312" s="2" t="s">
        <v>144</v>
      </c>
      <c r="Z312" s="117">
        <v>42899</v>
      </c>
      <c r="AA312" s="207">
        <v>12083</v>
      </c>
      <c r="AB312" s="20" t="s">
        <v>1698</v>
      </c>
      <c r="AC312" s="20"/>
      <c r="AD312" s="1"/>
      <c r="AE312" s="20">
        <v>25</v>
      </c>
      <c r="AF312" s="65"/>
      <c r="AG312" s="138">
        <v>83117.5</v>
      </c>
      <c r="AH312" s="65"/>
      <c r="AI312" s="65"/>
      <c r="AJ312" s="65"/>
      <c r="AK312" s="65"/>
      <c r="AL312" s="528"/>
      <c r="AM312" s="532"/>
      <c r="AN312" s="530"/>
      <c r="AO312" s="528"/>
      <c r="AP312" s="2"/>
      <c r="AQ312" s="20"/>
      <c r="AR312" s="20"/>
      <c r="AS312" s="20"/>
      <c r="AT312" s="20"/>
      <c r="AU312" s="20"/>
      <c r="AV312" s="20"/>
      <c r="AW312" s="20"/>
      <c r="AX312" s="20"/>
      <c r="AY312" s="20"/>
      <c r="AZ312" s="20"/>
      <c r="BA312" s="20"/>
      <c r="BB312" s="20"/>
      <c r="BC312" s="20"/>
      <c r="BD312" s="20"/>
      <c r="BE312" s="20"/>
      <c r="BF312" s="20"/>
      <c r="BG312" s="20"/>
      <c r="BH312" s="193"/>
      <c r="BI312" s="193"/>
      <c r="BJ312" s="193"/>
      <c r="BK312" s="193"/>
      <c r="BL312" s="193"/>
      <c r="BM312" s="193"/>
    </row>
    <row r="313" spans="1:65" ht="76.5" x14ac:dyDescent="0.2">
      <c r="A313" s="420"/>
      <c r="B313" s="421"/>
      <c r="C313" s="423"/>
      <c r="D313" s="409"/>
      <c r="E313" s="411"/>
      <c r="F313" s="409"/>
      <c r="G313" s="409"/>
      <c r="H313" s="411"/>
      <c r="I313" s="411"/>
      <c r="J313" s="411"/>
      <c r="K313" s="411"/>
      <c r="L313" s="409"/>
      <c r="M313" s="409"/>
      <c r="N313" s="429"/>
      <c r="O313" s="429"/>
      <c r="P313" s="429"/>
      <c r="Q313" s="429"/>
      <c r="R313" s="429"/>
      <c r="S313" s="429"/>
      <c r="T313" s="429"/>
      <c r="U313" s="429"/>
      <c r="V313" s="429"/>
      <c r="W313" s="429"/>
      <c r="X313" s="2" t="s">
        <v>498</v>
      </c>
      <c r="Y313" s="2" t="s">
        <v>193</v>
      </c>
      <c r="Z313" s="117">
        <v>42940</v>
      </c>
      <c r="AA313" s="207">
        <v>12109</v>
      </c>
      <c r="AB313" s="20" t="s">
        <v>1774</v>
      </c>
      <c r="AC313" s="20"/>
      <c r="AD313" s="1"/>
      <c r="AE313" s="20">
        <v>25</v>
      </c>
      <c r="AF313" s="65"/>
      <c r="AG313" s="138">
        <v>26092.5</v>
      </c>
      <c r="AH313" s="65"/>
      <c r="AI313" s="65"/>
      <c r="AJ313" s="65"/>
      <c r="AK313" s="65"/>
      <c r="AL313" s="528"/>
      <c r="AM313" s="532"/>
      <c r="AN313" s="530"/>
      <c r="AO313" s="528"/>
      <c r="AP313" s="2"/>
      <c r="AQ313" s="20"/>
      <c r="AR313" s="20"/>
      <c r="AS313" s="20"/>
      <c r="AT313" s="20"/>
      <c r="AU313" s="20"/>
      <c r="AV313" s="20"/>
      <c r="AW313" s="20"/>
      <c r="AX313" s="20"/>
      <c r="AY313" s="20"/>
      <c r="AZ313" s="20"/>
      <c r="BA313" s="20"/>
      <c r="BB313" s="20"/>
      <c r="BC313" s="20"/>
      <c r="BD313" s="20"/>
      <c r="BE313" s="20"/>
      <c r="BF313" s="20"/>
      <c r="BG313" s="20"/>
      <c r="BH313" s="193"/>
      <c r="BI313" s="193"/>
      <c r="BJ313" s="193"/>
      <c r="BK313" s="193"/>
      <c r="BL313" s="193"/>
      <c r="BM313" s="193"/>
    </row>
    <row r="314" spans="1:65" ht="76.5" x14ac:dyDescent="0.2">
      <c r="A314" s="404"/>
      <c r="B314" s="419"/>
      <c r="C314" s="424"/>
      <c r="D314" s="406"/>
      <c r="E314" s="412"/>
      <c r="F314" s="406"/>
      <c r="G314" s="406"/>
      <c r="H314" s="412"/>
      <c r="I314" s="412"/>
      <c r="J314" s="412"/>
      <c r="K314" s="412"/>
      <c r="L314" s="406"/>
      <c r="M314" s="406"/>
      <c r="N314" s="428"/>
      <c r="O314" s="428"/>
      <c r="P314" s="428"/>
      <c r="Q314" s="428"/>
      <c r="R314" s="428"/>
      <c r="S314" s="428"/>
      <c r="T314" s="428"/>
      <c r="U314" s="428"/>
      <c r="V314" s="428"/>
      <c r="W314" s="428"/>
      <c r="X314" s="2" t="s">
        <v>498</v>
      </c>
      <c r="Y314" s="2" t="s">
        <v>194</v>
      </c>
      <c r="Z314" s="117">
        <v>43007</v>
      </c>
      <c r="AA314" s="207">
        <v>12151</v>
      </c>
      <c r="AB314" s="20" t="s">
        <v>1930</v>
      </c>
      <c r="AC314" s="20"/>
      <c r="AD314" s="1"/>
      <c r="AE314" s="20">
        <v>25</v>
      </c>
      <c r="AF314" s="65"/>
      <c r="AG314" s="138">
        <v>33000</v>
      </c>
      <c r="AH314" s="65"/>
      <c r="AI314" s="65"/>
      <c r="AJ314" s="65"/>
      <c r="AK314" s="65"/>
      <c r="AL314" s="488"/>
      <c r="AM314" s="501"/>
      <c r="AN314" s="531"/>
      <c r="AO314" s="488"/>
      <c r="AP314" s="2"/>
      <c r="AQ314" s="20"/>
      <c r="AR314" s="20"/>
      <c r="AS314" s="20"/>
      <c r="AT314" s="20"/>
      <c r="AU314" s="20"/>
      <c r="AV314" s="20"/>
      <c r="AW314" s="20"/>
      <c r="AX314" s="20"/>
      <c r="AY314" s="20"/>
      <c r="AZ314" s="20"/>
      <c r="BA314" s="20"/>
      <c r="BB314" s="20"/>
      <c r="BC314" s="20"/>
      <c r="BD314" s="20"/>
      <c r="BE314" s="20"/>
      <c r="BF314" s="20"/>
      <c r="BG314" s="20"/>
      <c r="BH314" s="193"/>
      <c r="BI314" s="193"/>
      <c r="BJ314" s="193"/>
      <c r="BK314" s="193"/>
      <c r="BL314" s="193"/>
      <c r="BM314" s="193"/>
    </row>
    <row r="315" spans="1:65" ht="76.5" x14ac:dyDescent="0.2">
      <c r="A315" s="330">
        <v>101</v>
      </c>
      <c r="B315" s="328" t="s">
        <v>1054</v>
      </c>
      <c r="C315" s="1" t="s">
        <v>688</v>
      </c>
      <c r="D315" s="20" t="s">
        <v>147</v>
      </c>
      <c r="E315" s="2" t="s">
        <v>372</v>
      </c>
      <c r="F315" s="20" t="s">
        <v>242</v>
      </c>
      <c r="G315" s="71" t="s">
        <v>1056</v>
      </c>
      <c r="H315" s="7" t="s">
        <v>675</v>
      </c>
      <c r="I315" s="224">
        <v>42663</v>
      </c>
      <c r="J315" s="224">
        <v>43028</v>
      </c>
      <c r="K315" s="2" t="s">
        <v>1110</v>
      </c>
      <c r="L315" s="20" t="s">
        <v>525</v>
      </c>
      <c r="M315" s="20" t="s">
        <v>526</v>
      </c>
      <c r="N315" s="59">
        <v>42740</v>
      </c>
      <c r="O315" s="65">
        <v>181505</v>
      </c>
      <c r="P315" s="71" t="s">
        <v>1141</v>
      </c>
      <c r="Q315" s="59">
        <v>42740</v>
      </c>
      <c r="R315" s="59">
        <v>43100</v>
      </c>
      <c r="S315" s="2" t="s">
        <v>750</v>
      </c>
      <c r="T315" s="2"/>
      <c r="U315" s="20"/>
      <c r="V315" s="20"/>
      <c r="W315" s="20" t="s">
        <v>393</v>
      </c>
      <c r="X315" s="2" t="s">
        <v>498</v>
      </c>
      <c r="Y315" s="2" t="s">
        <v>138</v>
      </c>
      <c r="Z315" s="117">
        <v>42831</v>
      </c>
      <c r="AA315" s="207">
        <v>12034</v>
      </c>
      <c r="AB315" s="20" t="s">
        <v>1511</v>
      </c>
      <c r="AC315" s="20"/>
      <c r="AD315" s="1"/>
      <c r="AE315" s="20">
        <v>25</v>
      </c>
      <c r="AF315" s="65"/>
      <c r="AG315" s="138">
        <v>5160</v>
      </c>
      <c r="AH315" s="65"/>
      <c r="AI315" s="65"/>
      <c r="AJ315" s="65"/>
      <c r="AK315" s="65"/>
      <c r="AL315" s="194">
        <f>O315-AH315+AG315</f>
        <v>186665</v>
      </c>
      <c r="AM315" s="218"/>
      <c r="AN315" s="219">
        <f>80978+16795.8+5160</f>
        <v>102933.8</v>
      </c>
      <c r="AO315" s="138">
        <f t="shared" si="1"/>
        <v>102933.8</v>
      </c>
      <c r="AP315" s="2"/>
      <c r="AQ315" s="20"/>
      <c r="AR315" s="20"/>
      <c r="AS315" s="20"/>
      <c r="AT315" s="20"/>
      <c r="AU315" s="20"/>
      <c r="AV315" s="20"/>
      <c r="AW315" s="20"/>
      <c r="AX315" s="20"/>
      <c r="AY315" s="20"/>
      <c r="AZ315" s="20"/>
      <c r="BA315" s="20"/>
      <c r="BB315" s="20"/>
      <c r="BC315" s="20"/>
      <c r="BD315" s="20"/>
      <c r="BE315" s="20"/>
      <c r="BF315" s="20"/>
      <c r="BG315" s="20"/>
      <c r="BH315" s="193"/>
      <c r="BI315" s="193"/>
      <c r="BJ315" s="193"/>
      <c r="BK315" s="193"/>
      <c r="BL315" s="193"/>
      <c r="BM315" s="193"/>
    </row>
    <row r="316" spans="1:65" ht="51" x14ac:dyDescent="0.2">
      <c r="A316" s="330">
        <v>102</v>
      </c>
      <c r="B316" s="328" t="s">
        <v>980</v>
      </c>
      <c r="C316" s="1" t="s">
        <v>681</v>
      </c>
      <c r="D316" s="20" t="s">
        <v>147</v>
      </c>
      <c r="E316" s="2" t="s">
        <v>372</v>
      </c>
      <c r="F316" s="20" t="s">
        <v>982</v>
      </c>
      <c r="G316" s="71" t="s">
        <v>985</v>
      </c>
      <c r="H316" s="7" t="s">
        <v>1215</v>
      </c>
      <c r="I316" s="224">
        <v>42593</v>
      </c>
      <c r="J316" s="224">
        <v>42958</v>
      </c>
      <c r="K316" s="2" t="s">
        <v>1111</v>
      </c>
      <c r="L316" s="20" t="s">
        <v>953</v>
      </c>
      <c r="M316" s="20" t="s">
        <v>570</v>
      </c>
      <c r="N316" s="59">
        <v>42740</v>
      </c>
      <c r="O316" s="65">
        <v>1059584</v>
      </c>
      <c r="P316" s="71" t="s">
        <v>1141</v>
      </c>
      <c r="Q316" s="59">
        <v>42740</v>
      </c>
      <c r="R316" s="59">
        <v>43100</v>
      </c>
      <c r="S316" s="2" t="s">
        <v>614</v>
      </c>
      <c r="T316" s="2"/>
      <c r="U316" s="20"/>
      <c r="V316" s="20"/>
      <c r="W316" s="20" t="s">
        <v>514</v>
      </c>
      <c r="X316" s="2"/>
      <c r="Y316" s="2"/>
      <c r="Z316" s="2"/>
      <c r="AA316" s="20"/>
      <c r="AB316" s="20"/>
      <c r="AC316" s="20"/>
      <c r="AD316" s="1"/>
      <c r="AE316" s="20"/>
      <c r="AF316" s="65"/>
      <c r="AG316" s="138"/>
      <c r="AH316" s="65"/>
      <c r="AI316" s="65"/>
      <c r="AJ316" s="65"/>
      <c r="AK316" s="65"/>
      <c r="AL316" s="194">
        <f t="shared" si="2"/>
        <v>1059584</v>
      </c>
      <c r="AM316" s="218"/>
      <c r="AN316" s="219">
        <f>11250+7516+7600</f>
        <v>26366</v>
      </c>
      <c r="AO316" s="138">
        <f t="shared" si="1"/>
        <v>26366</v>
      </c>
      <c r="AP316" s="2"/>
      <c r="AQ316" s="20"/>
      <c r="AR316" s="20"/>
      <c r="AS316" s="20"/>
      <c r="AT316" s="20"/>
      <c r="AU316" s="20"/>
      <c r="AV316" s="20"/>
      <c r="AW316" s="20"/>
      <c r="AX316" s="20"/>
      <c r="AY316" s="20"/>
      <c r="AZ316" s="20"/>
      <c r="BA316" s="20"/>
      <c r="BB316" s="20"/>
      <c r="BC316" s="20"/>
      <c r="BD316" s="20"/>
      <c r="BE316" s="20"/>
      <c r="BF316" s="20"/>
      <c r="BG316" s="20"/>
      <c r="BH316" s="193"/>
      <c r="BI316" s="193"/>
      <c r="BJ316" s="193"/>
      <c r="BK316" s="193"/>
      <c r="BL316" s="193"/>
      <c r="BM316" s="193"/>
    </row>
    <row r="317" spans="1:65" ht="38.25" x14ac:dyDescent="0.2">
      <c r="A317" s="330">
        <v>103</v>
      </c>
      <c r="B317" s="328" t="s">
        <v>980</v>
      </c>
      <c r="C317" s="1" t="s">
        <v>681</v>
      </c>
      <c r="D317" s="20" t="s">
        <v>147</v>
      </c>
      <c r="E317" s="2" t="s">
        <v>372</v>
      </c>
      <c r="F317" s="20" t="s">
        <v>982</v>
      </c>
      <c r="G317" s="71" t="s">
        <v>985</v>
      </c>
      <c r="H317" s="7" t="s">
        <v>1215</v>
      </c>
      <c r="I317" s="224">
        <v>42593</v>
      </c>
      <c r="J317" s="224">
        <v>42958</v>
      </c>
      <c r="K317" s="2" t="s">
        <v>1112</v>
      </c>
      <c r="L317" s="20" t="s">
        <v>259</v>
      </c>
      <c r="M317" s="20" t="s">
        <v>260</v>
      </c>
      <c r="N317" s="59">
        <v>42740</v>
      </c>
      <c r="O317" s="65">
        <v>153040</v>
      </c>
      <c r="P317" s="71" t="s">
        <v>1141</v>
      </c>
      <c r="Q317" s="59">
        <v>42740</v>
      </c>
      <c r="R317" s="59">
        <v>43100</v>
      </c>
      <c r="S317" s="2" t="s">
        <v>614</v>
      </c>
      <c r="T317" s="2"/>
      <c r="U317" s="20"/>
      <c r="V317" s="20"/>
      <c r="W317" s="20" t="s">
        <v>229</v>
      </c>
      <c r="X317" s="2"/>
      <c r="Y317" s="2"/>
      <c r="Z317" s="2"/>
      <c r="AA317" s="20"/>
      <c r="AB317" s="20"/>
      <c r="AC317" s="20"/>
      <c r="AD317" s="1"/>
      <c r="AE317" s="20"/>
      <c r="AF317" s="65"/>
      <c r="AG317" s="138"/>
      <c r="AH317" s="65"/>
      <c r="AI317" s="65"/>
      <c r="AJ317" s="65"/>
      <c r="AK317" s="65"/>
      <c r="AL317" s="194">
        <f t="shared" si="2"/>
        <v>153040</v>
      </c>
      <c r="AM317" s="218"/>
      <c r="AN317" s="219">
        <f>1550</f>
        <v>1550</v>
      </c>
      <c r="AO317" s="138">
        <f t="shared" si="1"/>
        <v>1550</v>
      </c>
      <c r="AP317" s="2"/>
      <c r="AQ317" s="20"/>
      <c r="AR317" s="20"/>
      <c r="AS317" s="20"/>
      <c r="AT317" s="20"/>
      <c r="AU317" s="20"/>
      <c r="AV317" s="20"/>
      <c r="AW317" s="20"/>
      <c r="AX317" s="20"/>
      <c r="AY317" s="20"/>
      <c r="AZ317" s="20"/>
      <c r="BA317" s="20"/>
      <c r="BB317" s="20"/>
      <c r="BC317" s="20"/>
      <c r="BD317" s="20"/>
      <c r="BE317" s="20"/>
      <c r="BF317" s="20"/>
      <c r="BG317" s="20"/>
      <c r="BH317" s="193"/>
      <c r="BI317" s="193"/>
      <c r="BJ317" s="193"/>
      <c r="BK317" s="193"/>
      <c r="BL317" s="193"/>
      <c r="BM317" s="193"/>
    </row>
    <row r="318" spans="1:65" ht="38.25" x14ac:dyDescent="0.2">
      <c r="A318" s="330">
        <v>104</v>
      </c>
      <c r="B318" s="328" t="s">
        <v>980</v>
      </c>
      <c r="C318" s="1" t="s">
        <v>681</v>
      </c>
      <c r="D318" s="20" t="s">
        <v>147</v>
      </c>
      <c r="E318" s="2" t="s">
        <v>372</v>
      </c>
      <c r="F318" s="20" t="s">
        <v>982</v>
      </c>
      <c r="G318" s="71" t="s">
        <v>985</v>
      </c>
      <c r="H318" s="7" t="s">
        <v>1215</v>
      </c>
      <c r="I318" s="224">
        <v>42593</v>
      </c>
      <c r="J318" s="224">
        <v>42958</v>
      </c>
      <c r="K318" s="2" t="s">
        <v>1113</v>
      </c>
      <c r="L318" s="20" t="s">
        <v>1133</v>
      </c>
      <c r="M318" s="20" t="s">
        <v>1134</v>
      </c>
      <c r="N318" s="59">
        <v>42740</v>
      </c>
      <c r="O318" s="65">
        <v>26690</v>
      </c>
      <c r="P318" s="71" t="s">
        <v>1143</v>
      </c>
      <c r="Q318" s="59">
        <v>42740</v>
      </c>
      <c r="R318" s="59">
        <v>43100</v>
      </c>
      <c r="S318" s="2" t="s">
        <v>614</v>
      </c>
      <c r="T318" s="2"/>
      <c r="U318" s="20"/>
      <c r="V318" s="20"/>
      <c r="W318" s="20" t="s">
        <v>229</v>
      </c>
      <c r="X318" s="2"/>
      <c r="Y318" s="2"/>
      <c r="Z318" s="2"/>
      <c r="AA318" s="20"/>
      <c r="AB318" s="20"/>
      <c r="AC318" s="20"/>
      <c r="AD318" s="1"/>
      <c r="AE318" s="20"/>
      <c r="AF318" s="65"/>
      <c r="AG318" s="138"/>
      <c r="AH318" s="65"/>
      <c r="AI318" s="65"/>
      <c r="AJ318" s="65"/>
      <c r="AK318" s="65"/>
      <c r="AL318" s="194">
        <f t="shared" si="2"/>
        <v>26690</v>
      </c>
      <c r="AM318" s="218"/>
      <c r="AN318" s="219">
        <f>0</f>
        <v>0</v>
      </c>
      <c r="AO318" s="138">
        <f t="shared" si="1"/>
        <v>0</v>
      </c>
      <c r="AP318" s="2"/>
      <c r="AQ318" s="20"/>
      <c r="AR318" s="20"/>
      <c r="AS318" s="20"/>
      <c r="AT318" s="20"/>
      <c r="AU318" s="20"/>
      <c r="AV318" s="20"/>
      <c r="AW318" s="20"/>
      <c r="AX318" s="20"/>
      <c r="AY318" s="20"/>
      <c r="AZ318" s="20"/>
      <c r="BA318" s="20"/>
      <c r="BB318" s="20"/>
      <c r="BC318" s="20"/>
      <c r="BD318" s="20"/>
      <c r="BE318" s="20"/>
      <c r="BF318" s="20"/>
      <c r="BG318" s="20"/>
      <c r="BH318" s="193"/>
      <c r="BI318" s="193"/>
      <c r="BJ318" s="193"/>
      <c r="BK318" s="193"/>
      <c r="BL318" s="193"/>
      <c r="BM318" s="193"/>
    </row>
    <row r="319" spans="1:65" ht="51" x14ac:dyDescent="0.2">
      <c r="A319" s="330">
        <v>105</v>
      </c>
      <c r="B319" s="328" t="s">
        <v>980</v>
      </c>
      <c r="C319" s="1" t="s">
        <v>681</v>
      </c>
      <c r="D319" s="20" t="s">
        <v>147</v>
      </c>
      <c r="E319" s="2" t="s">
        <v>372</v>
      </c>
      <c r="F319" s="20" t="s">
        <v>982</v>
      </c>
      <c r="G319" s="71" t="s">
        <v>985</v>
      </c>
      <c r="H319" s="7" t="s">
        <v>1215</v>
      </c>
      <c r="I319" s="224">
        <v>42593</v>
      </c>
      <c r="J319" s="224">
        <v>42958</v>
      </c>
      <c r="K319" s="2" t="s">
        <v>1114</v>
      </c>
      <c r="L319" s="20" t="s">
        <v>296</v>
      </c>
      <c r="M319" s="20" t="s">
        <v>297</v>
      </c>
      <c r="N319" s="59">
        <v>42740</v>
      </c>
      <c r="O319" s="65">
        <v>173461</v>
      </c>
      <c r="P319" s="71" t="s">
        <v>1141</v>
      </c>
      <c r="Q319" s="59">
        <v>42740</v>
      </c>
      <c r="R319" s="59">
        <v>43100</v>
      </c>
      <c r="S319" s="2" t="s">
        <v>614</v>
      </c>
      <c r="T319" s="2"/>
      <c r="U319" s="20"/>
      <c r="V319" s="20"/>
      <c r="W319" s="20" t="s">
        <v>514</v>
      </c>
      <c r="X319" s="2"/>
      <c r="Y319" s="2"/>
      <c r="Z319" s="2"/>
      <c r="AA319" s="20"/>
      <c r="AB319" s="20"/>
      <c r="AC319" s="20"/>
      <c r="AD319" s="1"/>
      <c r="AE319" s="20"/>
      <c r="AF319" s="65"/>
      <c r="AG319" s="138"/>
      <c r="AH319" s="65"/>
      <c r="AI319" s="65"/>
      <c r="AJ319" s="65"/>
      <c r="AK319" s="65"/>
      <c r="AL319" s="194">
        <f t="shared" si="2"/>
        <v>173461</v>
      </c>
      <c r="AM319" s="218"/>
      <c r="AN319" s="219">
        <f>0+396+11153</f>
        <v>11549</v>
      </c>
      <c r="AO319" s="138">
        <f t="shared" si="1"/>
        <v>11549</v>
      </c>
      <c r="AP319" s="2"/>
      <c r="AQ319" s="20"/>
      <c r="AR319" s="20"/>
      <c r="AS319" s="20"/>
      <c r="AT319" s="20"/>
      <c r="AU319" s="20"/>
      <c r="AV319" s="20"/>
      <c r="AW319" s="20"/>
      <c r="AX319" s="20"/>
      <c r="AY319" s="20"/>
      <c r="AZ319" s="20"/>
      <c r="BA319" s="20"/>
      <c r="BB319" s="20"/>
      <c r="BC319" s="20"/>
      <c r="BD319" s="20"/>
      <c r="BE319" s="20"/>
      <c r="BF319" s="20"/>
      <c r="BG319" s="20"/>
      <c r="BH319" s="193"/>
      <c r="BI319" s="193"/>
      <c r="BJ319" s="193"/>
      <c r="BK319" s="193"/>
      <c r="BL319" s="193"/>
      <c r="BM319" s="193"/>
    </row>
    <row r="320" spans="1:65" ht="51" x14ac:dyDescent="0.2">
      <c r="A320" s="330">
        <v>106</v>
      </c>
      <c r="B320" s="328" t="s">
        <v>980</v>
      </c>
      <c r="C320" s="1" t="s">
        <v>681</v>
      </c>
      <c r="D320" s="20" t="s">
        <v>147</v>
      </c>
      <c r="E320" s="2" t="s">
        <v>372</v>
      </c>
      <c r="F320" s="20" t="s">
        <v>982</v>
      </c>
      <c r="G320" s="71" t="s">
        <v>985</v>
      </c>
      <c r="H320" s="7" t="s">
        <v>1215</v>
      </c>
      <c r="I320" s="224">
        <v>42593</v>
      </c>
      <c r="J320" s="224">
        <v>42958</v>
      </c>
      <c r="K320" s="2" t="s">
        <v>1115</v>
      </c>
      <c r="L320" s="20" t="s">
        <v>298</v>
      </c>
      <c r="M320" s="20" t="s">
        <v>981</v>
      </c>
      <c r="N320" s="59">
        <v>42740</v>
      </c>
      <c r="O320" s="65">
        <v>75239</v>
      </c>
      <c r="P320" s="71" t="s">
        <v>1147</v>
      </c>
      <c r="Q320" s="59">
        <v>42740</v>
      </c>
      <c r="R320" s="59">
        <v>43100</v>
      </c>
      <c r="S320" s="2" t="s">
        <v>614</v>
      </c>
      <c r="T320" s="2"/>
      <c r="U320" s="20"/>
      <c r="V320" s="20"/>
      <c r="W320" s="20" t="s">
        <v>514</v>
      </c>
      <c r="X320" s="2"/>
      <c r="Y320" s="2"/>
      <c r="Z320" s="2"/>
      <c r="AA320" s="20"/>
      <c r="AB320" s="20"/>
      <c r="AC320" s="20"/>
      <c r="AD320" s="1"/>
      <c r="AE320" s="20"/>
      <c r="AF320" s="65"/>
      <c r="AG320" s="138"/>
      <c r="AH320" s="65"/>
      <c r="AI320" s="65"/>
      <c r="AJ320" s="65"/>
      <c r="AK320" s="65"/>
      <c r="AL320" s="194">
        <f t="shared" si="2"/>
        <v>75239</v>
      </c>
      <c r="AM320" s="218"/>
      <c r="AN320" s="221">
        <f>1125+5592+950+1842</f>
        <v>9509</v>
      </c>
      <c r="AO320" s="138">
        <f t="shared" si="1"/>
        <v>9509</v>
      </c>
      <c r="AP320" s="2"/>
      <c r="AQ320" s="20"/>
      <c r="AR320" s="20"/>
      <c r="AS320" s="20"/>
      <c r="AT320" s="20"/>
      <c r="AU320" s="20"/>
      <c r="AV320" s="20"/>
      <c r="AW320" s="20"/>
      <c r="AX320" s="20"/>
      <c r="AY320" s="20"/>
      <c r="AZ320" s="20"/>
      <c r="BA320" s="20"/>
      <c r="BB320" s="20"/>
      <c r="BC320" s="20"/>
      <c r="BD320" s="20"/>
      <c r="BE320" s="20"/>
      <c r="BF320" s="20"/>
      <c r="BG320" s="20"/>
      <c r="BH320" s="193"/>
      <c r="BI320" s="193"/>
      <c r="BJ320" s="193"/>
      <c r="BK320" s="193"/>
      <c r="BL320" s="193"/>
      <c r="BM320" s="193"/>
    </row>
    <row r="321" spans="1:65" ht="38.25" x14ac:dyDescent="0.2">
      <c r="A321" s="330">
        <v>107</v>
      </c>
      <c r="B321" s="328" t="s">
        <v>980</v>
      </c>
      <c r="C321" s="1" t="s">
        <v>681</v>
      </c>
      <c r="D321" s="20" t="s">
        <v>147</v>
      </c>
      <c r="E321" s="2" t="s">
        <v>372</v>
      </c>
      <c r="F321" s="20" t="s">
        <v>982</v>
      </c>
      <c r="G321" s="71" t="s">
        <v>985</v>
      </c>
      <c r="H321" s="7" t="s">
        <v>1215</v>
      </c>
      <c r="I321" s="224">
        <v>42593</v>
      </c>
      <c r="J321" s="224">
        <v>42958</v>
      </c>
      <c r="K321" s="2" t="s">
        <v>1116</v>
      </c>
      <c r="L321" s="20" t="s">
        <v>983</v>
      </c>
      <c r="M321" s="20" t="s">
        <v>984</v>
      </c>
      <c r="N321" s="59">
        <v>42740</v>
      </c>
      <c r="O321" s="65">
        <v>75597</v>
      </c>
      <c r="P321" s="71" t="s">
        <v>1143</v>
      </c>
      <c r="Q321" s="59">
        <v>42740</v>
      </c>
      <c r="R321" s="59">
        <v>43100</v>
      </c>
      <c r="S321" s="2" t="s">
        <v>614</v>
      </c>
      <c r="T321" s="2"/>
      <c r="U321" s="20"/>
      <c r="V321" s="20"/>
      <c r="W321" s="20" t="s">
        <v>229</v>
      </c>
      <c r="X321" s="2"/>
      <c r="Y321" s="2"/>
      <c r="Z321" s="2"/>
      <c r="AA321" s="20"/>
      <c r="AB321" s="20"/>
      <c r="AC321" s="20"/>
      <c r="AD321" s="1"/>
      <c r="AE321" s="20"/>
      <c r="AF321" s="65"/>
      <c r="AG321" s="138"/>
      <c r="AH321" s="65"/>
      <c r="AI321" s="65"/>
      <c r="AJ321" s="65"/>
      <c r="AK321" s="65"/>
      <c r="AL321" s="194">
        <f t="shared" si="2"/>
        <v>75597</v>
      </c>
      <c r="AM321" s="218"/>
      <c r="AN321" s="219">
        <f>5579</f>
        <v>5579</v>
      </c>
      <c r="AO321" s="138">
        <f t="shared" si="1"/>
        <v>5579</v>
      </c>
      <c r="AP321" s="2"/>
      <c r="AQ321" s="20"/>
      <c r="AR321" s="20"/>
      <c r="AS321" s="20"/>
      <c r="AT321" s="20"/>
      <c r="AU321" s="20"/>
      <c r="AV321" s="20"/>
      <c r="AW321" s="20"/>
      <c r="AX321" s="20"/>
      <c r="AY321" s="20"/>
      <c r="AZ321" s="20"/>
      <c r="BA321" s="20"/>
      <c r="BB321" s="20"/>
      <c r="BC321" s="20"/>
      <c r="BD321" s="20"/>
      <c r="BE321" s="20"/>
      <c r="BF321" s="20"/>
      <c r="BG321" s="20"/>
      <c r="BH321" s="193"/>
      <c r="BI321" s="193"/>
      <c r="BJ321" s="193"/>
      <c r="BK321" s="193"/>
      <c r="BL321" s="193"/>
      <c r="BM321" s="193"/>
    </row>
    <row r="322" spans="1:65" ht="38.25" x14ac:dyDescent="0.2">
      <c r="A322" s="330">
        <v>108</v>
      </c>
      <c r="B322" s="328" t="s">
        <v>980</v>
      </c>
      <c r="C322" s="1" t="s">
        <v>681</v>
      </c>
      <c r="D322" s="20" t="s">
        <v>147</v>
      </c>
      <c r="E322" s="2" t="s">
        <v>372</v>
      </c>
      <c r="F322" s="20" t="s">
        <v>982</v>
      </c>
      <c r="G322" s="71" t="s">
        <v>985</v>
      </c>
      <c r="H322" s="7" t="s">
        <v>1215</v>
      </c>
      <c r="I322" s="224">
        <v>42593</v>
      </c>
      <c r="J322" s="224">
        <v>42958</v>
      </c>
      <c r="K322" s="2" t="s">
        <v>1117</v>
      </c>
      <c r="L322" s="20" t="s">
        <v>1000</v>
      </c>
      <c r="M322" s="20" t="s">
        <v>1001</v>
      </c>
      <c r="N322" s="59">
        <v>42740</v>
      </c>
      <c r="O322" s="65">
        <v>2685</v>
      </c>
      <c r="P322" s="71" t="s">
        <v>1146</v>
      </c>
      <c r="Q322" s="59">
        <v>42740</v>
      </c>
      <c r="R322" s="59">
        <v>43100</v>
      </c>
      <c r="S322" s="2" t="s">
        <v>614</v>
      </c>
      <c r="T322" s="2"/>
      <c r="U322" s="20"/>
      <c r="V322" s="20"/>
      <c r="W322" s="20" t="s">
        <v>229</v>
      </c>
      <c r="X322" s="2"/>
      <c r="Y322" s="2"/>
      <c r="Z322" s="2"/>
      <c r="AA322" s="20"/>
      <c r="AB322" s="20"/>
      <c r="AC322" s="20"/>
      <c r="AD322" s="1"/>
      <c r="AE322" s="20"/>
      <c r="AF322" s="65"/>
      <c r="AG322" s="138"/>
      <c r="AH322" s="65"/>
      <c r="AI322" s="65"/>
      <c r="AJ322" s="65"/>
      <c r="AK322" s="65"/>
      <c r="AL322" s="194">
        <f t="shared" si="2"/>
        <v>2685</v>
      </c>
      <c r="AM322" s="218"/>
      <c r="AN322" s="219">
        <f>2685</f>
        <v>2685</v>
      </c>
      <c r="AO322" s="138">
        <f t="shared" si="1"/>
        <v>2685</v>
      </c>
      <c r="AP322" s="2"/>
      <c r="AQ322" s="20"/>
      <c r="AR322" s="20"/>
      <c r="AS322" s="20"/>
      <c r="AT322" s="20"/>
      <c r="AU322" s="20"/>
      <c r="AV322" s="20"/>
      <c r="AW322" s="20"/>
      <c r="AX322" s="20"/>
      <c r="AY322" s="20"/>
      <c r="AZ322" s="20"/>
      <c r="BA322" s="20"/>
      <c r="BB322" s="20"/>
      <c r="BC322" s="20"/>
      <c r="BD322" s="20"/>
      <c r="BE322" s="20"/>
      <c r="BF322" s="20"/>
      <c r="BG322" s="20"/>
      <c r="BH322" s="193"/>
      <c r="BI322" s="193"/>
      <c r="BJ322" s="193"/>
      <c r="BK322" s="193"/>
      <c r="BL322" s="193"/>
      <c r="BM322" s="193"/>
    </row>
    <row r="323" spans="1:65" ht="51" x14ac:dyDescent="0.2">
      <c r="A323" s="330">
        <v>109</v>
      </c>
      <c r="B323" s="328" t="s">
        <v>1135</v>
      </c>
      <c r="C323" s="1" t="s">
        <v>651</v>
      </c>
      <c r="D323" s="20" t="s">
        <v>147</v>
      </c>
      <c r="E323" s="2" t="s">
        <v>372</v>
      </c>
      <c r="F323" s="20" t="s">
        <v>1137</v>
      </c>
      <c r="G323" s="71" t="s">
        <v>720</v>
      </c>
      <c r="H323" s="7" t="s">
        <v>649</v>
      </c>
      <c r="I323" s="224">
        <v>42405</v>
      </c>
      <c r="J323" s="224">
        <v>42771</v>
      </c>
      <c r="K323" s="2" t="s">
        <v>1118</v>
      </c>
      <c r="L323" s="20" t="s">
        <v>1136</v>
      </c>
      <c r="M323" s="20" t="s">
        <v>716</v>
      </c>
      <c r="N323" s="59">
        <v>42740</v>
      </c>
      <c r="O323" s="65">
        <v>43050</v>
      </c>
      <c r="P323" s="71" t="s">
        <v>1141</v>
      </c>
      <c r="Q323" s="59">
        <v>42740</v>
      </c>
      <c r="R323" s="59">
        <v>43100</v>
      </c>
      <c r="S323" s="2" t="s">
        <v>1138</v>
      </c>
      <c r="T323" s="2"/>
      <c r="U323" s="20"/>
      <c r="V323" s="20"/>
      <c r="W323" s="20" t="s">
        <v>137</v>
      </c>
      <c r="X323" s="2"/>
      <c r="Y323" s="2"/>
      <c r="Z323" s="2"/>
      <c r="AA323" s="20"/>
      <c r="AB323" s="20"/>
      <c r="AC323" s="20"/>
      <c r="AD323" s="1"/>
      <c r="AE323" s="20"/>
      <c r="AF323" s="65"/>
      <c r="AG323" s="138"/>
      <c r="AH323" s="65"/>
      <c r="AI323" s="65"/>
      <c r="AJ323" s="65"/>
      <c r="AK323" s="65"/>
      <c r="AL323" s="194">
        <f t="shared" si="2"/>
        <v>43050</v>
      </c>
      <c r="AM323" s="218"/>
      <c r="AN323" s="219">
        <f>0+4481.46+3877.2</f>
        <v>8358.66</v>
      </c>
      <c r="AO323" s="138">
        <f t="shared" si="1"/>
        <v>8358.66</v>
      </c>
      <c r="AP323" s="2"/>
      <c r="AQ323" s="20"/>
      <c r="AR323" s="20"/>
      <c r="AS323" s="20"/>
      <c r="AT323" s="20"/>
      <c r="AU323" s="20"/>
      <c r="AV323" s="20"/>
      <c r="AW323" s="20"/>
      <c r="AX323" s="20"/>
      <c r="AY323" s="20"/>
      <c r="AZ323" s="20"/>
      <c r="BA323" s="20"/>
      <c r="BB323" s="20"/>
      <c r="BC323" s="20"/>
      <c r="BD323" s="20"/>
      <c r="BE323" s="20"/>
      <c r="BF323" s="20"/>
      <c r="BG323" s="20"/>
      <c r="BH323" s="193"/>
      <c r="BI323" s="193"/>
      <c r="BJ323" s="193"/>
      <c r="BK323" s="193"/>
      <c r="BL323" s="193"/>
      <c r="BM323" s="193"/>
    </row>
    <row r="324" spans="1:65" ht="114.75" x14ac:dyDescent="0.2">
      <c r="A324" s="330">
        <v>110</v>
      </c>
      <c r="B324" s="328" t="s">
        <v>974</v>
      </c>
      <c r="C324" s="1" t="s">
        <v>687</v>
      </c>
      <c r="D324" s="20" t="s">
        <v>147</v>
      </c>
      <c r="E324" s="2" t="s">
        <v>372</v>
      </c>
      <c r="F324" s="20" t="s">
        <v>975</v>
      </c>
      <c r="G324" s="71" t="s">
        <v>977</v>
      </c>
      <c r="H324" s="7" t="s">
        <v>666</v>
      </c>
      <c r="I324" s="224">
        <v>42583</v>
      </c>
      <c r="J324" s="224">
        <v>42948</v>
      </c>
      <c r="K324" s="2" t="s">
        <v>1119</v>
      </c>
      <c r="L324" s="20" t="s">
        <v>295</v>
      </c>
      <c r="M324" s="20" t="s">
        <v>228</v>
      </c>
      <c r="N324" s="59">
        <v>42740</v>
      </c>
      <c r="O324" s="65">
        <v>15340</v>
      </c>
      <c r="P324" s="71" t="s">
        <v>1141</v>
      </c>
      <c r="Q324" s="59">
        <v>42740</v>
      </c>
      <c r="R324" s="59">
        <v>43100</v>
      </c>
      <c r="S324" s="2" t="s">
        <v>976</v>
      </c>
      <c r="T324" s="2"/>
      <c r="U324" s="20"/>
      <c r="V324" s="20"/>
      <c r="W324" s="20" t="s">
        <v>229</v>
      </c>
      <c r="X324" s="2"/>
      <c r="Y324" s="2"/>
      <c r="Z324" s="2"/>
      <c r="AA324" s="20"/>
      <c r="AB324" s="20"/>
      <c r="AC324" s="20"/>
      <c r="AD324" s="1"/>
      <c r="AE324" s="20"/>
      <c r="AF324" s="65"/>
      <c r="AG324" s="138"/>
      <c r="AH324" s="65"/>
      <c r="AI324" s="65"/>
      <c r="AJ324" s="65"/>
      <c r="AK324" s="65"/>
      <c r="AL324" s="194">
        <f t="shared" si="2"/>
        <v>15340</v>
      </c>
      <c r="AM324" s="218"/>
      <c r="AN324" s="219">
        <f>0</f>
        <v>0</v>
      </c>
      <c r="AO324" s="138">
        <f t="shared" si="1"/>
        <v>0</v>
      </c>
      <c r="AP324" s="2"/>
      <c r="AQ324" s="20"/>
      <c r="AR324" s="20"/>
      <c r="AS324" s="20"/>
      <c r="AT324" s="20"/>
      <c r="AU324" s="20"/>
      <c r="AV324" s="20"/>
      <c r="AW324" s="20"/>
      <c r="AX324" s="20"/>
      <c r="AY324" s="20"/>
      <c r="AZ324" s="20"/>
      <c r="BA324" s="20"/>
      <c r="BB324" s="20"/>
      <c r="BC324" s="20"/>
      <c r="BD324" s="20"/>
      <c r="BE324" s="20"/>
      <c r="BF324" s="20"/>
      <c r="BG324" s="20"/>
      <c r="BH324" s="193"/>
      <c r="BI324" s="193"/>
      <c r="BJ324" s="193"/>
      <c r="BK324" s="193"/>
      <c r="BL324" s="193"/>
      <c r="BM324" s="193"/>
    </row>
    <row r="325" spans="1:65" ht="38.25" x14ac:dyDescent="0.2">
      <c r="A325" s="330">
        <v>111</v>
      </c>
      <c r="B325" s="328" t="s">
        <v>949</v>
      </c>
      <c r="C325" s="1" t="s">
        <v>669</v>
      </c>
      <c r="D325" s="20" t="s">
        <v>147</v>
      </c>
      <c r="E325" s="2" t="s">
        <v>372</v>
      </c>
      <c r="F325" s="20" t="s">
        <v>950</v>
      </c>
      <c r="G325" s="71" t="s">
        <v>957</v>
      </c>
      <c r="H325" s="7" t="s">
        <v>665</v>
      </c>
      <c r="I325" s="224">
        <v>42566</v>
      </c>
      <c r="J325" s="224">
        <v>42931</v>
      </c>
      <c r="K325" s="2" t="s">
        <v>1120</v>
      </c>
      <c r="L325" s="20" t="s">
        <v>951</v>
      </c>
      <c r="M325" s="20" t="s">
        <v>952</v>
      </c>
      <c r="N325" s="59">
        <v>42754</v>
      </c>
      <c r="O325" s="65">
        <v>8750</v>
      </c>
      <c r="P325" s="71" t="s">
        <v>1153</v>
      </c>
      <c r="Q325" s="59">
        <v>42754</v>
      </c>
      <c r="R325" s="59">
        <v>43100</v>
      </c>
      <c r="S325" s="2" t="s">
        <v>614</v>
      </c>
      <c r="T325" s="2"/>
      <c r="U325" s="20"/>
      <c r="V325" s="20"/>
      <c r="W325" s="20" t="s">
        <v>137</v>
      </c>
      <c r="X325" s="2"/>
      <c r="Y325" s="2"/>
      <c r="Z325" s="2"/>
      <c r="AA325" s="20"/>
      <c r="AB325" s="20"/>
      <c r="AC325" s="20"/>
      <c r="AD325" s="1"/>
      <c r="AE325" s="20"/>
      <c r="AF325" s="65"/>
      <c r="AG325" s="138"/>
      <c r="AH325" s="65"/>
      <c r="AI325" s="65"/>
      <c r="AJ325" s="65"/>
      <c r="AK325" s="65"/>
      <c r="AL325" s="194">
        <f t="shared" si="2"/>
        <v>8750</v>
      </c>
      <c r="AM325" s="218"/>
      <c r="AN325" s="219">
        <f>0</f>
        <v>0</v>
      </c>
      <c r="AO325" s="138">
        <f t="shared" si="1"/>
        <v>0</v>
      </c>
      <c r="AP325" s="2"/>
      <c r="AQ325" s="20"/>
      <c r="AR325" s="20"/>
      <c r="AS325" s="20"/>
      <c r="AT325" s="20"/>
      <c r="AU325" s="20"/>
      <c r="AV325" s="20"/>
      <c r="AW325" s="20"/>
      <c r="AX325" s="20"/>
      <c r="AY325" s="20"/>
      <c r="AZ325" s="20"/>
      <c r="BA325" s="20"/>
      <c r="BB325" s="20"/>
      <c r="BC325" s="20"/>
      <c r="BD325" s="20"/>
      <c r="BE325" s="20"/>
      <c r="BF325" s="20"/>
      <c r="BG325" s="20"/>
      <c r="BH325" s="193"/>
      <c r="BI325" s="193"/>
      <c r="BJ325" s="193"/>
      <c r="BK325" s="193"/>
      <c r="BL325" s="193"/>
      <c r="BM325" s="193"/>
    </row>
    <row r="326" spans="1:65" ht="51" x14ac:dyDescent="0.2">
      <c r="A326" s="330">
        <v>112</v>
      </c>
      <c r="B326" s="328" t="s">
        <v>1158</v>
      </c>
      <c r="C326" s="1" t="s">
        <v>682</v>
      </c>
      <c r="D326" s="20" t="s">
        <v>147</v>
      </c>
      <c r="E326" s="2" t="s">
        <v>372</v>
      </c>
      <c r="F326" s="20" t="s">
        <v>1159</v>
      </c>
      <c r="G326" s="71" t="s">
        <v>1164</v>
      </c>
      <c r="H326" s="12" t="s">
        <v>667</v>
      </c>
      <c r="I326" s="224">
        <v>42583</v>
      </c>
      <c r="J326" s="224">
        <v>42948</v>
      </c>
      <c r="K326" s="2" t="s">
        <v>1121</v>
      </c>
      <c r="L326" s="20" t="s">
        <v>269</v>
      </c>
      <c r="M326" s="20" t="s">
        <v>270</v>
      </c>
      <c r="N326" s="59">
        <v>42765</v>
      </c>
      <c r="O326" s="66">
        <v>49000</v>
      </c>
      <c r="P326" s="217" t="s">
        <v>1219</v>
      </c>
      <c r="Q326" s="59">
        <v>42765</v>
      </c>
      <c r="R326" s="59">
        <v>43100</v>
      </c>
      <c r="S326" s="2" t="s">
        <v>614</v>
      </c>
      <c r="T326" s="2"/>
      <c r="U326" s="20"/>
      <c r="V326" s="20"/>
      <c r="W326" s="20" t="s">
        <v>192</v>
      </c>
      <c r="X326" s="2"/>
      <c r="Y326" s="2"/>
      <c r="Z326" s="2"/>
      <c r="AA326" s="20"/>
      <c r="AB326" s="20"/>
      <c r="AC326" s="20"/>
      <c r="AD326" s="1"/>
      <c r="AE326" s="20"/>
      <c r="AF326" s="65"/>
      <c r="AG326" s="138"/>
      <c r="AH326" s="65"/>
      <c r="AI326" s="65"/>
      <c r="AJ326" s="65"/>
      <c r="AK326" s="65"/>
      <c r="AL326" s="194">
        <f t="shared" si="2"/>
        <v>49000</v>
      </c>
      <c r="AM326" s="145"/>
      <c r="AN326" s="219">
        <f>0+7000+3500+3500+7000</f>
        <v>21000</v>
      </c>
      <c r="AO326" s="138">
        <f t="shared" si="1"/>
        <v>21000</v>
      </c>
      <c r="AP326" s="2"/>
      <c r="AQ326" s="20"/>
      <c r="AR326" s="20"/>
      <c r="AS326" s="20"/>
      <c r="AT326" s="20"/>
      <c r="AU326" s="20"/>
      <c r="AV326" s="20"/>
      <c r="AW326" s="20"/>
      <c r="AX326" s="20"/>
      <c r="AY326" s="20"/>
      <c r="AZ326" s="20"/>
      <c r="BA326" s="20"/>
      <c r="BB326" s="20"/>
      <c r="BC326" s="20"/>
      <c r="BD326" s="20"/>
      <c r="BE326" s="20"/>
      <c r="BF326" s="20"/>
      <c r="BG326" s="20"/>
      <c r="BH326" s="14"/>
      <c r="BI326" s="14"/>
      <c r="BJ326" s="14"/>
      <c r="BK326" s="15"/>
      <c r="BL326" s="16"/>
      <c r="BM326" s="16"/>
    </row>
    <row r="327" spans="1:65" ht="76.5" x14ac:dyDescent="0.2">
      <c r="A327" s="403">
        <v>113</v>
      </c>
      <c r="B327" s="418" t="s">
        <v>1160</v>
      </c>
      <c r="C327" s="422" t="s">
        <v>696</v>
      </c>
      <c r="D327" s="405" t="s">
        <v>147</v>
      </c>
      <c r="E327" s="410" t="s">
        <v>372</v>
      </c>
      <c r="F327" s="405" t="s">
        <v>242</v>
      </c>
      <c r="G327" s="413" t="s">
        <v>1165</v>
      </c>
      <c r="H327" s="410" t="s">
        <v>1085</v>
      </c>
      <c r="I327" s="453">
        <v>42753</v>
      </c>
      <c r="J327" s="453">
        <v>43118</v>
      </c>
      <c r="K327" s="410" t="s">
        <v>1122</v>
      </c>
      <c r="L327" s="405" t="s">
        <v>516</v>
      </c>
      <c r="M327" s="405" t="s">
        <v>400</v>
      </c>
      <c r="N327" s="432">
        <v>42767</v>
      </c>
      <c r="O327" s="500">
        <v>200800</v>
      </c>
      <c r="P327" s="443" t="s">
        <v>1221</v>
      </c>
      <c r="Q327" s="432">
        <v>42767</v>
      </c>
      <c r="R327" s="432">
        <v>43100</v>
      </c>
      <c r="S327" s="410" t="s">
        <v>1161</v>
      </c>
      <c r="T327" s="410"/>
      <c r="U327" s="410"/>
      <c r="V327" s="410"/>
      <c r="W327" s="410" t="s">
        <v>393</v>
      </c>
      <c r="X327" s="2" t="s">
        <v>498</v>
      </c>
      <c r="Y327" s="2" t="s">
        <v>138</v>
      </c>
      <c r="Z327" s="117">
        <v>42905</v>
      </c>
      <c r="AA327" s="207">
        <v>12080</v>
      </c>
      <c r="AB327" s="20" t="s">
        <v>1692</v>
      </c>
      <c r="AC327" s="20"/>
      <c r="AD327" s="1"/>
      <c r="AE327" s="20">
        <v>25</v>
      </c>
      <c r="AF327" s="65"/>
      <c r="AG327" s="138">
        <v>7750</v>
      </c>
      <c r="AH327" s="65"/>
      <c r="AI327" s="65"/>
      <c r="AJ327" s="65"/>
      <c r="AK327" s="65"/>
      <c r="AL327" s="533">
        <f>O327-AH327+AG327-AH328+AG328</f>
        <v>232250</v>
      </c>
      <c r="AM327" s="449"/>
      <c r="AN327" s="529">
        <f>0+108980+57650+41920+23700</f>
        <v>232250</v>
      </c>
      <c r="AO327" s="487">
        <f t="shared" si="1"/>
        <v>232250</v>
      </c>
      <c r="AP327" s="2"/>
      <c r="AQ327" s="20"/>
      <c r="AR327" s="20"/>
      <c r="AS327" s="20"/>
      <c r="AT327" s="20"/>
      <c r="AU327" s="20"/>
      <c r="AV327" s="20"/>
      <c r="AW327" s="20"/>
      <c r="AX327" s="20"/>
      <c r="AY327" s="20"/>
      <c r="AZ327" s="20"/>
      <c r="BA327" s="20"/>
      <c r="BB327" s="20"/>
      <c r="BC327" s="20"/>
      <c r="BD327" s="20"/>
      <c r="BE327" s="20"/>
      <c r="BF327" s="20"/>
      <c r="BG327" s="20"/>
      <c r="BH327" s="14"/>
      <c r="BI327" s="14"/>
      <c r="BJ327" s="14"/>
      <c r="BK327" s="15"/>
      <c r="BL327" s="16"/>
      <c r="BM327" s="16"/>
    </row>
    <row r="328" spans="1:65" ht="76.5" x14ac:dyDescent="0.2">
      <c r="A328" s="404"/>
      <c r="B328" s="419"/>
      <c r="C328" s="424"/>
      <c r="D328" s="406"/>
      <c r="E328" s="412"/>
      <c r="F328" s="406"/>
      <c r="G328" s="415"/>
      <c r="H328" s="412"/>
      <c r="I328" s="455"/>
      <c r="J328" s="455"/>
      <c r="K328" s="412"/>
      <c r="L328" s="406"/>
      <c r="M328" s="406"/>
      <c r="N328" s="434"/>
      <c r="O328" s="501"/>
      <c r="P328" s="445"/>
      <c r="Q328" s="434"/>
      <c r="R328" s="434"/>
      <c r="S328" s="412"/>
      <c r="T328" s="412"/>
      <c r="U328" s="412"/>
      <c r="V328" s="412"/>
      <c r="W328" s="412"/>
      <c r="X328" s="2" t="s">
        <v>498</v>
      </c>
      <c r="Y328" s="2" t="s">
        <v>144</v>
      </c>
      <c r="Z328" s="117">
        <v>42934</v>
      </c>
      <c r="AA328" s="207">
        <v>12108</v>
      </c>
      <c r="AB328" s="20" t="s">
        <v>1770</v>
      </c>
      <c r="AC328" s="20"/>
      <c r="AD328" s="1"/>
      <c r="AE328" s="20">
        <v>25</v>
      </c>
      <c r="AF328" s="65"/>
      <c r="AG328" s="138">
        <v>23700</v>
      </c>
      <c r="AH328" s="65"/>
      <c r="AI328" s="65"/>
      <c r="AJ328" s="65"/>
      <c r="AK328" s="65"/>
      <c r="AL328" s="534"/>
      <c r="AM328" s="450"/>
      <c r="AN328" s="531"/>
      <c r="AO328" s="488"/>
      <c r="AP328" s="2"/>
      <c r="AQ328" s="20"/>
      <c r="AR328" s="20"/>
      <c r="AS328" s="20"/>
      <c r="AT328" s="20"/>
      <c r="AU328" s="20"/>
      <c r="AV328" s="20"/>
      <c r="AW328" s="20"/>
      <c r="AX328" s="20"/>
      <c r="AY328" s="20"/>
      <c r="AZ328" s="20"/>
      <c r="BA328" s="20"/>
      <c r="BB328" s="20"/>
      <c r="BC328" s="20"/>
      <c r="BD328" s="20"/>
      <c r="BE328" s="20"/>
      <c r="BF328" s="20"/>
      <c r="BG328" s="20"/>
      <c r="BH328" s="14"/>
      <c r="BI328" s="14"/>
      <c r="BJ328" s="14"/>
      <c r="BK328" s="15"/>
      <c r="BL328" s="16"/>
      <c r="BM328" s="16"/>
    </row>
    <row r="329" spans="1:65" ht="76.5" x14ac:dyDescent="0.2">
      <c r="A329" s="330">
        <v>114</v>
      </c>
      <c r="B329" s="328" t="s">
        <v>1160</v>
      </c>
      <c r="C329" s="1" t="s">
        <v>696</v>
      </c>
      <c r="D329" s="20" t="s">
        <v>147</v>
      </c>
      <c r="E329" s="2" t="s">
        <v>372</v>
      </c>
      <c r="F329" s="20" t="s">
        <v>242</v>
      </c>
      <c r="G329" s="71" t="s">
        <v>1165</v>
      </c>
      <c r="H329" s="5" t="s">
        <v>1085</v>
      </c>
      <c r="I329" s="224">
        <v>42753</v>
      </c>
      <c r="J329" s="224">
        <v>43118</v>
      </c>
      <c r="K329" s="2" t="s">
        <v>1154</v>
      </c>
      <c r="L329" s="20" t="s">
        <v>1162</v>
      </c>
      <c r="M329" s="20" t="s">
        <v>1163</v>
      </c>
      <c r="N329" s="59">
        <v>42767</v>
      </c>
      <c r="O329" s="66">
        <v>48700</v>
      </c>
      <c r="P329" s="217" t="s">
        <v>1220</v>
      </c>
      <c r="Q329" s="59">
        <v>42767</v>
      </c>
      <c r="R329" s="59">
        <v>43100</v>
      </c>
      <c r="S329" s="2" t="s">
        <v>1161</v>
      </c>
      <c r="T329" s="2"/>
      <c r="U329" s="20"/>
      <c r="V329" s="20"/>
      <c r="W329" s="20" t="s">
        <v>393</v>
      </c>
      <c r="X329" s="2" t="s">
        <v>498</v>
      </c>
      <c r="Y329" s="2" t="s">
        <v>138</v>
      </c>
      <c r="Z329" s="117">
        <v>42905</v>
      </c>
      <c r="AA329" s="207">
        <v>12080</v>
      </c>
      <c r="AB329" s="20" t="s">
        <v>1693</v>
      </c>
      <c r="AC329" s="20"/>
      <c r="AD329" s="1"/>
      <c r="AE329" s="20">
        <v>25</v>
      </c>
      <c r="AF329" s="65"/>
      <c r="AG329" s="138">
        <v>12175</v>
      </c>
      <c r="AH329" s="65"/>
      <c r="AI329" s="65"/>
      <c r="AJ329" s="65"/>
      <c r="AK329" s="65"/>
      <c r="AL329" s="194">
        <f>O329-AH329+AG329</f>
        <v>60875</v>
      </c>
      <c r="AM329" s="145"/>
      <c r="AN329" s="219">
        <f>0+48700</f>
        <v>48700</v>
      </c>
      <c r="AO329" s="138">
        <f t="shared" si="1"/>
        <v>48700</v>
      </c>
      <c r="AP329" s="2"/>
      <c r="AQ329" s="20"/>
      <c r="AR329" s="20"/>
      <c r="AS329" s="20"/>
      <c r="AT329" s="20"/>
      <c r="AU329" s="20"/>
      <c r="AV329" s="20"/>
      <c r="AW329" s="20"/>
      <c r="AX329" s="20"/>
      <c r="AY329" s="20"/>
      <c r="AZ329" s="20"/>
      <c r="BA329" s="20"/>
      <c r="BB329" s="20"/>
      <c r="BC329" s="20"/>
      <c r="BD329" s="20"/>
      <c r="BE329" s="20"/>
      <c r="BF329" s="20"/>
      <c r="BG329" s="20"/>
      <c r="BH329" s="14"/>
      <c r="BI329" s="14"/>
      <c r="BJ329" s="14"/>
      <c r="BK329" s="15"/>
      <c r="BL329" s="16"/>
      <c r="BM329" s="16"/>
    </row>
    <row r="330" spans="1:65" ht="51" x14ac:dyDescent="0.2">
      <c r="A330" s="330">
        <v>115</v>
      </c>
      <c r="B330" s="328" t="s">
        <v>1160</v>
      </c>
      <c r="C330" s="1" t="s">
        <v>696</v>
      </c>
      <c r="D330" s="20" t="s">
        <v>147</v>
      </c>
      <c r="E330" s="2" t="s">
        <v>372</v>
      </c>
      <c r="F330" s="20" t="s">
        <v>242</v>
      </c>
      <c r="G330" s="71" t="s">
        <v>1165</v>
      </c>
      <c r="H330" s="5" t="s">
        <v>1085</v>
      </c>
      <c r="I330" s="224">
        <v>42753</v>
      </c>
      <c r="J330" s="224">
        <v>43118</v>
      </c>
      <c r="K330" s="2" t="s">
        <v>1155</v>
      </c>
      <c r="L330" s="20" t="s">
        <v>525</v>
      </c>
      <c r="M330" s="20" t="s">
        <v>526</v>
      </c>
      <c r="N330" s="59">
        <v>42767</v>
      </c>
      <c r="O330" s="66">
        <v>1080</v>
      </c>
      <c r="P330" s="217" t="s">
        <v>1221</v>
      </c>
      <c r="Q330" s="59">
        <v>42767</v>
      </c>
      <c r="R330" s="59">
        <v>43100</v>
      </c>
      <c r="S330" s="2" t="s">
        <v>1161</v>
      </c>
      <c r="T330" s="2"/>
      <c r="U330" s="20"/>
      <c r="V330" s="20"/>
      <c r="W330" s="20" t="s">
        <v>393</v>
      </c>
      <c r="X330" s="2"/>
      <c r="Y330" s="2"/>
      <c r="Z330" s="2"/>
      <c r="AA330" s="20"/>
      <c r="AB330" s="20"/>
      <c r="AC330" s="20"/>
      <c r="AD330" s="1"/>
      <c r="AE330" s="20"/>
      <c r="AF330" s="65"/>
      <c r="AG330" s="138"/>
      <c r="AH330" s="65"/>
      <c r="AI330" s="65"/>
      <c r="AJ330" s="65"/>
      <c r="AK330" s="65"/>
      <c r="AL330" s="194">
        <f t="shared" si="2"/>
        <v>1080</v>
      </c>
      <c r="AM330" s="145"/>
      <c r="AN330" s="219">
        <f>0+1080</f>
        <v>1080</v>
      </c>
      <c r="AO330" s="138">
        <f t="shared" si="1"/>
        <v>1080</v>
      </c>
      <c r="AP330" s="2"/>
      <c r="AQ330" s="20"/>
      <c r="AR330" s="20"/>
      <c r="AS330" s="20"/>
      <c r="AT330" s="20"/>
      <c r="AU330" s="20"/>
      <c r="AV330" s="20"/>
      <c r="AW330" s="20"/>
      <c r="AX330" s="20"/>
      <c r="AY330" s="20"/>
      <c r="AZ330" s="20"/>
      <c r="BA330" s="20"/>
      <c r="BB330" s="20"/>
      <c r="BC330" s="20"/>
      <c r="BD330" s="20"/>
      <c r="BE330" s="20"/>
      <c r="BF330" s="20"/>
      <c r="BG330" s="20"/>
      <c r="BH330" s="14"/>
      <c r="BI330" s="14"/>
      <c r="BJ330" s="14"/>
      <c r="BK330" s="15"/>
      <c r="BL330" s="16"/>
      <c r="BM330" s="16"/>
    </row>
    <row r="331" spans="1:65" ht="51" x14ac:dyDescent="0.2">
      <c r="A331" s="330">
        <v>116</v>
      </c>
      <c r="B331" s="328" t="s">
        <v>938</v>
      </c>
      <c r="C331" s="1" t="s">
        <v>644</v>
      </c>
      <c r="D331" s="20" t="s">
        <v>196</v>
      </c>
      <c r="E331" s="2" t="s">
        <v>372</v>
      </c>
      <c r="F331" s="20" t="s">
        <v>1169</v>
      </c>
      <c r="G331" s="207" t="s">
        <v>959</v>
      </c>
      <c r="H331" s="3" t="s">
        <v>643</v>
      </c>
      <c r="I331" s="59">
        <v>42473</v>
      </c>
      <c r="J331" s="59">
        <v>42838</v>
      </c>
      <c r="K331" s="2" t="s">
        <v>1156</v>
      </c>
      <c r="L331" s="20" t="s">
        <v>1167</v>
      </c>
      <c r="M331" s="20" t="s">
        <v>1168</v>
      </c>
      <c r="N331" s="59">
        <v>42768</v>
      </c>
      <c r="O331" s="66">
        <v>448306.8</v>
      </c>
      <c r="P331" s="217" t="s">
        <v>1227</v>
      </c>
      <c r="Q331" s="59">
        <v>42768</v>
      </c>
      <c r="R331" s="59">
        <v>43133</v>
      </c>
      <c r="S331" s="2" t="s">
        <v>136</v>
      </c>
      <c r="T331" s="2"/>
      <c r="U331" s="20"/>
      <c r="V331" s="20"/>
      <c r="W331" s="20" t="s">
        <v>137</v>
      </c>
      <c r="X331" s="2"/>
      <c r="Y331" s="2"/>
      <c r="Z331" s="2"/>
      <c r="AA331" s="20"/>
      <c r="AB331" s="20"/>
      <c r="AC331" s="20"/>
      <c r="AD331" s="1"/>
      <c r="AE331" s="20"/>
      <c r="AF331" s="65"/>
      <c r="AG331" s="138"/>
      <c r="AH331" s="65"/>
      <c r="AI331" s="65"/>
      <c r="AJ331" s="65"/>
      <c r="AK331" s="65"/>
      <c r="AL331" s="194">
        <f t="shared" si="2"/>
        <v>448306.8</v>
      </c>
      <c r="AM331" s="145"/>
      <c r="AN331" s="219">
        <f>17434.15+18679.45+21917.22+26151.23+26151.23</f>
        <v>110333.28</v>
      </c>
      <c r="AO331" s="138">
        <f t="shared" si="1"/>
        <v>110333.28</v>
      </c>
      <c r="AP331" s="2"/>
      <c r="AQ331" s="20"/>
      <c r="AR331" s="20"/>
      <c r="AS331" s="20"/>
      <c r="AT331" s="20"/>
      <c r="AU331" s="20"/>
      <c r="AV331" s="20"/>
      <c r="AW331" s="20"/>
      <c r="AX331" s="20"/>
      <c r="AY331" s="20"/>
      <c r="AZ331" s="20"/>
      <c r="BA331" s="20"/>
      <c r="BB331" s="20"/>
      <c r="BC331" s="20"/>
      <c r="BD331" s="20"/>
      <c r="BE331" s="20"/>
      <c r="BF331" s="20"/>
      <c r="BG331" s="20"/>
      <c r="BH331" s="14"/>
      <c r="BI331" s="14"/>
      <c r="BJ331" s="14"/>
      <c r="BK331" s="15"/>
      <c r="BL331" s="16"/>
      <c r="BM331" s="16"/>
    </row>
    <row r="332" spans="1:65" ht="51" x14ac:dyDescent="0.2">
      <c r="A332" s="330">
        <v>117</v>
      </c>
      <c r="B332" s="328" t="s">
        <v>1228</v>
      </c>
      <c r="C332" s="1" t="s">
        <v>1218</v>
      </c>
      <c r="D332" s="20" t="s">
        <v>147</v>
      </c>
      <c r="E332" s="2" t="s">
        <v>372</v>
      </c>
      <c r="F332" s="20" t="s">
        <v>1229</v>
      </c>
      <c r="G332" s="71" t="s">
        <v>1248</v>
      </c>
      <c r="H332" s="12" t="s">
        <v>1454</v>
      </c>
      <c r="I332" s="67">
        <v>42726</v>
      </c>
      <c r="J332" s="67">
        <v>43091</v>
      </c>
      <c r="K332" s="2" t="s">
        <v>1157</v>
      </c>
      <c r="L332" s="20" t="s">
        <v>693</v>
      </c>
      <c r="M332" s="20" t="s">
        <v>694</v>
      </c>
      <c r="N332" s="59">
        <v>42775</v>
      </c>
      <c r="O332" s="66">
        <v>501642</v>
      </c>
      <c r="P332" s="1" t="s">
        <v>1339</v>
      </c>
      <c r="Q332" s="59">
        <v>42775</v>
      </c>
      <c r="R332" s="59">
        <v>43100</v>
      </c>
      <c r="S332" s="2" t="s">
        <v>1230</v>
      </c>
      <c r="T332" s="2"/>
      <c r="U332" s="20"/>
      <c r="V332" s="20"/>
      <c r="W332" s="20" t="s">
        <v>751</v>
      </c>
      <c r="X332" s="2"/>
      <c r="Y332" s="2"/>
      <c r="Z332" s="2"/>
      <c r="AA332" s="20"/>
      <c r="AB332" s="20"/>
      <c r="AC332" s="20"/>
      <c r="AD332" s="1"/>
      <c r="AE332" s="20"/>
      <c r="AF332" s="65"/>
      <c r="AG332" s="138"/>
      <c r="AH332" s="65"/>
      <c r="AI332" s="65"/>
      <c r="AJ332" s="65"/>
      <c r="AK332" s="65"/>
      <c r="AL332" s="194">
        <f t="shared" si="2"/>
        <v>501642</v>
      </c>
      <c r="AM332" s="145"/>
      <c r="AN332" s="219">
        <f>4635</f>
        <v>4635</v>
      </c>
      <c r="AO332" s="138">
        <f t="shared" si="1"/>
        <v>4635</v>
      </c>
      <c r="AP332" s="2"/>
      <c r="AQ332" s="20"/>
      <c r="AR332" s="20"/>
      <c r="AS332" s="20"/>
      <c r="AT332" s="20"/>
      <c r="AU332" s="20"/>
      <c r="AV332" s="20"/>
      <c r="AW332" s="20"/>
      <c r="AX332" s="20"/>
      <c r="AY332" s="20"/>
      <c r="AZ332" s="20"/>
      <c r="BA332" s="20"/>
      <c r="BB332" s="20"/>
      <c r="BC332" s="20"/>
      <c r="BD332" s="20"/>
      <c r="BE332" s="20"/>
      <c r="BF332" s="20"/>
      <c r="BG332" s="20"/>
      <c r="BH332" s="14"/>
      <c r="BI332" s="14"/>
      <c r="BJ332" s="14"/>
      <c r="BK332" s="15"/>
      <c r="BL332" s="16"/>
      <c r="BM332" s="16"/>
    </row>
    <row r="333" spans="1:65" ht="51" x14ac:dyDescent="0.2">
      <c r="A333" s="330">
        <v>118</v>
      </c>
      <c r="B333" s="328" t="s">
        <v>1228</v>
      </c>
      <c r="C333" s="1" t="s">
        <v>1218</v>
      </c>
      <c r="D333" s="20" t="s">
        <v>147</v>
      </c>
      <c r="E333" s="2" t="s">
        <v>372</v>
      </c>
      <c r="F333" s="20" t="s">
        <v>1229</v>
      </c>
      <c r="G333" s="71" t="s">
        <v>1248</v>
      </c>
      <c r="H333" s="12" t="s">
        <v>1454</v>
      </c>
      <c r="I333" s="67">
        <v>42726</v>
      </c>
      <c r="J333" s="67">
        <v>43091</v>
      </c>
      <c r="K333" s="31" t="s">
        <v>1222</v>
      </c>
      <c r="L333" s="123" t="s">
        <v>1231</v>
      </c>
      <c r="M333" s="123" t="s">
        <v>1232</v>
      </c>
      <c r="N333" s="59">
        <v>42775</v>
      </c>
      <c r="O333" s="68">
        <v>379165.36</v>
      </c>
      <c r="P333" s="217" t="s">
        <v>1352</v>
      </c>
      <c r="Q333" s="59">
        <v>42775</v>
      </c>
      <c r="R333" s="59">
        <v>43100</v>
      </c>
      <c r="S333" s="2" t="s">
        <v>1230</v>
      </c>
      <c r="T333" s="24"/>
      <c r="U333" s="123"/>
      <c r="V333" s="123"/>
      <c r="W333" s="123" t="s">
        <v>751</v>
      </c>
      <c r="X333" s="24"/>
      <c r="Y333" s="24"/>
      <c r="Z333" s="24"/>
      <c r="AA333" s="123"/>
      <c r="AB333" s="123"/>
      <c r="AC333" s="123"/>
      <c r="AD333" s="169"/>
      <c r="AE333" s="123"/>
      <c r="AF333" s="170"/>
      <c r="AG333" s="139"/>
      <c r="AH333" s="170"/>
      <c r="AI333" s="170"/>
      <c r="AJ333" s="170"/>
      <c r="AK333" s="170"/>
      <c r="AL333" s="194">
        <f t="shared" si="2"/>
        <v>379165.36</v>
      </c>
      <c r="AM333" s="147"/>
      <c r="AN333" s="219">
        <f>2500+12275</f>
        <v>14775</v>
      </c>
      <c r="AO333" s="138">
        <f t="shared" ref="AO333:AO396" si="3">AM333+AN333</f>
        <v>14775</v>
      </c>
      <c r="AP333" s="31"/>
      <c r="AQ333" s="233"/>
      <c r="AR333" s="233"/>
      <c r="AS333" s="233"/>
      <c r="AT333" s="20"/>
      <c r="AU333" s="20"/>
      <c r="AV333" s="123"/>
      <c r="AW333" s="123"/>
      <c r="AX333" s="123"/>
      <c r="AY333" s="123"/>
      <c r="AZ333" s="234"/>
      <c r="BA333" s="235"/>
      <c r="BB333" s="123"/>
      <c r="BC333" s="123"/>
      <c r="BD333" s="123"/>
      <c r="BE333" s="234"/>
      <c r="BF333" s="234"/>
      <c r="BG333" s="234"/>
      <c r="BH333" s="14"/>
      <c r="BI333" s="14"/>
      <c r="BJ333" s="14"/>
      <c r="BK333" s="15"/>
      <c r="BL333" s="16"/>
      <c r="BM333" s="16"/>
    </row>
    <row r="334" spans="1:65" ht="51" x14ac:dyDescent="0.2">
      <c r="A334" s="330">
        <v>119</v>
      </c>
      <c r="B334" s="328" t="s">
        <v>1228</v>
      </c>
      <c r="C334" s="1" t="s">
        <v>1218</v>
      </c>
      <c r="D334" s="20" t="s">
        <v>147</v>
      </c>
      <c r="E334" s="2" t="s">
        <v>372</v>
      </c>
      <c r="F334" s="20" t="s">
        <v>1229</v>
      </c>
      <c r="G334" s="71" t="s">
        <v>1248</v>
      </c>
      <c r="H334" s="12" t="s">
        <v>2051</v>
      </c>
      <c r="I334" s="67">
        <v>42726</v>
      </c>
      <c r="J334" s="67">
        <v>43091</v>
      </c>
      <c r="K334" s="31" t="s">
        <v>1223</v>
      </c>
      <c r="L334" s="123" t="s">
        <v>287</v>
      </c>
      <c r="M334" s="123" t="s">
        <v>288</v>
      </c>
      <c r="N334" s="59">
        <v>42775</v>
      </c>
      <c r="O334" s="68">
        <v>192756.12</v>
      </c>
      <c r="P334" s="1" t="s">
        <v>1339</v>
      </c>
      <c r="Q334" s="59">
        <v>42775</v>
      </c>
      <c r="R334" s="59">
        <v>43100</v>
      </c>
      <c r="S334" s="2" t="s">
        <v>1230</v>
      </c>
      <c r="T334" s="24"/>
      <c r="U334" s="123"/>
      <c r="V334" s="123"/>
      <c r="W334" s="123" t="s">
        <v>751</v>
      </c>
      <c r="X334" s="24"/>
      <c r="Y334" s="24"/>
      <c r="Z334" s="24"/>
      <c r="AA334" s="123"/>
      <c r="AB334" s="123"/>
      <c r="AC334" s="123"/>
      <c r="AD334" s="169"/>
      <c r="AE334" s="123"/>
      <c r="AF334" s="170"/>
      <c r="AG334" s="139"/>
      <c r="AH334" s="170"/>
      <c r="AI334" s="170"/>
      <c r="AJ334" s="170"/>
      <c r="AK334" s="170"/>
      <c r="AL334" s="194">
        <f t="shared" si="2"/>
        <v>192756.12</v>
      </c>
      <c r="AM334" s="147"/>
      <c r="AN334" s="219">
        <f>7098.92</f>
        <v>7098.92</v>
      </c>
      <c r="AO334" s="138">
        <f t="shared" si="3"/>
        <v>7098.92</v>
      </c>
      <c r="AP334" s="31"/>
      <c r="AQ334" s="233"/>
      <c r="AR334" s="233"/>
      <c r="AS334" s="233"/>
      <c r="AT334" s="20"/>
      <c r="AU334" s="20"/>
      <c r="AV334" s="123"/>
      <c r="AW334" s="123"/>
      <c r="AX334" s="123"/>
      <c r="AY334" s="123"/>
      <c r="AZ334" s="234"/>
      <c r="BA334" s="235"/>
      <c r="BB334" s="123"/>
      <c r="BC334" s="123"/>
      <c r="BD334" s="123"/>
      <c r="BE334" s="234"/>
      <c r="BF334" s="234"/>
      <c r="BG334" s="234"/>
      <c r="BH334" s="14"/>
      <c r="BI334" s="14"/>
      <c r="BJ334" s="14"/>
      <c r="BK334" s="15"/>
      <c r="BL334" s="16"/>
      <c r="BM334" s="16"/>
    </row>
    <row r="335" spans="1:65" ht="51" x14ac:dyDescent="0.2">
      <c r="A335" s="330">
        <v>120</v>
      </c>
      <c r="B335" s="328" t="s">
        <v>1228</v>
      </c>
      <c r="C335" s="1" t="s">
        <v>1218</v>
      </c>
      <c r="D335" s="20" t="s">
        <v>147</v>
      </c>
      <c r="E335" s="2" t="s">
        <v>372</v>
      </c>
      <c r="F335" s="20" t="s">
        <v>1229</v>
      </c>
      <c r="G335" s="71" t="s">
        <v>1248</v>
      </c>
      <c r="H335" s="12" t="s">
        <v>680</v>
      </c>
      <c r="I335" s="67">
        <v>42726</v>
      </c>
      <c r="J335" s="67">
        <v>43091</v>
      </c>
      <c r="K335" s="31" t="s">
        <v>1224</v>
      </c>
      <c r="L335" s="123" t="s">
        <v>1233</v>
      </c>
      <c r="M335" s="123" t="s">
        <v>615</v>
      </c>
      <c r="N335" s="59">
        <v>42775</v>
      </c>
      <c r="O335" s="68">
        <v>521276.15</v>
      </c>
      <c r="P335" s="1" t="s">
        <v>1339</v>
      </c>
      <c r="Q335" s="59">
        <v>42775</v>
      </c>
      <c r="R335" s="59">
        <v>43100</v>
      </c>
      <c r="S335" s="2" t="s">
        <v>1230</v>
      </c>
      <c r="T335" s="24"/>
      <c r="U335" s="123"/>
      <c r="V335" s="123"/>
      <c r="W335" s="123" t="s">
        <v>751</v>
      </c>
      <c r="X335" s="24"/>
      <c r="Y335" s="24"/>
      <c r="Z335" s="24"/>
      <c r="AA335" s="123"/>
      <c r="AB335" s="123"/>
      <c r="AC335" s="123"/>
      <c r="AD335" s="169"/>
      <c r="AE335" s="123"/>
      <c r="AF335" s="170"/>
      <c r="AG335" s="139"/>
      <c r="AH335" s="170"/>
      <c r="AI335" s="170"/>
      <c r="AJ335" s="170"/>
      <c r="AK335" s="170"/>
      <c r="AL335" s="194">
        <f t="shared" si="2"/>
        <v>521276.15</v>
      </c>
      <c r="AM335" s="147"/>
      <c r="AN335" s="219">
        <f>7098.2+5244.34+9691.19+12195</f>
        <v>34228.730000000003</v>
      </c>
      <c r="AO335" s="138">
        <f t="shared" si="3"/>
        <v>34228.730000000003</v>
      </c>
      <c r="AP335" s="31"/>
      <c r="AQ335" s="233"/>
      <c r="AR335" s="233"/>
      <c r="AS335" s="233"/>
      <c r="AT335" s="20"/>
      <c r="AU335" s="20"/>
      <c r="AV335" s="123"/>
      <c r="AW335" s="123"/>
      <c r="AX335" s="123"/>
      <c r="AY335" s="123"/>
      <c r="AZ335" s="234"/>
      <c r="BA335" s="235"/>
      <c r="BB335" s="123"/>
      <c r="BC335" s="123"/>
      <c r="BD335" s="123"/>
      <c r="BE335" s="234"/>
      <c r="BF335" s="234"/>
      <c r="BG335" s="234"/>
      <c r="BH335" s="14"/>
      <c r="BI335" s="14"/>
      <c r="BJ335" s="14"/>
      <c r="BK335" s="15"/>
      <c r="BL335" s="16"/>
      <c r="BM335" s="16"/>
    </row>
    <row r="336" spans="1:65" ht="51" x14ac:dyDescent="0.2">
      <c r="A336" s="330">
        <v>121</v>
      </c>
      <c r="B336" s="328" t="s">
        <v>1228</v>
      </c>
      <c r="C336" s="1" t="s">
        <v>1218</v>
      </c>
      <c r="D336" s="20" t="s">
        <v>147</v>
      </c>
      <c r="E336" s="2" t="s">
        <v>372</v>
      </c>
      <c r="F336" s="20" t="s">
        <v>1229</v>
      </c>
      <c r="G336" s="71" t="s">
        <v>1248</v>
      </c>
      <c r="H336" s="12" t="s">
        <v>1454</v>
      </c>
      <c r="I336" s="67">
        <v>42726</v>
      </c>
      <c r="J336" s="67">
        <v>43091</v>
      </c>
      <c r="K336" s="31" t="s">
        <v>1225</v>
      </c>
      <c r="L336" s="123" t="s">
        <v>1234</v>
      </c>
      <c r="M336" s="123" t="s">
        <v>1235</v>
      </c>
      <c r="N336" s="59">
        <v>42775</v>
      </c>
      <c r="O336" s="68">
        <v>70000</v>
      </c>
      <c r="P336" s="217" t="s">
        <v>1352</v>
      </c>
      <c r="Q336" s="59">
        <v>42775</v>
      </c>
      <c r="R336" s="59">
        <v>43100</v>
      </c>
      <c r="S336" s="2" t="s">
        <v>1230</v>
      </c>
      <c r="T336" s="24"/>
      <c r="U336" s="123"/>
      <c r="V336" s="123"/>
      <c r="W336" s="123" t="s">
        <v>751</v>
      </c>
      <c r="X336" s="24"/>
      <c r="Y336" s="24"/>
      <c r="Z336" s="24"/>
      <c r="AA336" s="123"/>
      <c r="AB336" s="123"/>
      <c r="AC336" s="123"/>
      <c r="AD336" s="169"/>
      <c r="AE336" s="123"/>
      <c r="AF336" s="170"/>
      <c r="AG336" s="139"/>
      <c r="AH336" s="170"/>
      <c r="AI336" s="170"/>
      <c r="AJ336" s="170"/>
      <c r="AK336" s="170"/>
      <c r="AL336" s="194">
        <f t="shared" si="2"/>
        <v>70000</v>
      </c>
      <c r="AM336" s="147"/>
      <c r="AN336" s="219">
        <f>0</f>
        <v>0</v>
      </c>
      <c r="AO336" s="138">
        <f t="shared" si="3"/>
        <v>0</v>
      </c>
      <c r="AP336" s="31"/>
      <c r="AQ336" s="233"/>
      <c r="AR336" s="233"/>
      <c r="AS336" s="233"/>
      <c r="AT336" s="20"/>
      <c r="AU336" s="20"/>
      <c r="AV336" s="123"/>
      <c r="AW336" s="123"/>
      <c r="AX336" s="123"/>
      <c r="AY336" s="123"/>
      <c r="AZ336" s="234"/>
      <c r="BA336" s="235"/>
      <c r="BB336" s="123"/>
      <c r="BC336" s="123"/>
      <c r="BD336" s="123"/>
      <c r="BE336" s="234"/>
      <c r="BF336" s="234"/>
      <c r="BG336" s="234"/>
      <c r="BH336" s="14"/>
      <c r="BI336" s="14"/>
      <c r="BJ336" s="14"/>
      <c r="BK336" s="15"/>
      <c r="BL336" s="16"/>
      <c r="BM336" s="16"/>
    </row>
    <row r="337" spans="1:65" ht="51" x14ac:dyDescent="0.2">
      <c r="A337" s="330">
        <v>122</v>
      </c>
      <c r="B337" s="328" t="s">
        <v>1228</v>
      </c>
      <c r="C337" s="1" t="s">
        <v>1218</v>
      </c>
      <c r="D337" s="20" t="s">
        <v>147</v>
      </c>
      <c r="E337" s="2" t="s">
        <v>372</v>
      </c>
      <c r="F337" s="20" t="s">
        <v>1229</v>
      </c>
      <c r="G337" s="71" t="s">
        <v>1248</v>
      </c>
      <c r="H337" s="12" t="s">
        <v>680</v>
      </c>
      <c r="I337" s="67">
        <v>42726</v>
      </c>
      <c r="J337" s="67">
        <v>43091</v>
      </c>
      <c r="K337" s="31" t="s">
        <v>1236</v>
      </c>
      <c r="L337" s="123" t="s">
        <v>695</v>
      </c>
      <c r="M337" s="123" t="s">
        <v>571</v>
      </c>
      <c r="N337" s="59">
        <v>42775</v>
      </c>
      <c r="O337" s="68">
        <v>80600</v>
      </c>
      <c r="P337" s="217" t="s">
        <v>1345</v>
      </c>
      <c r="Q337" s="59">
        <v>42775</v>
      </c>
      <c r="R337" s="59">
        <v>43100</v>
      </c>
      <c r="S337" s="2" t="s">
        <v>1230</v>
      </c>
      <c r="T337" s="24"/>
      <c r="U337" s="123"/>
      <c r="V337" s="123"/>
      <c r="W337" s="123" t="s">
        <v>751</v>
      </c>
      <c r="X337" s="24"/>
      <c r="Y337" s="24"/>
      <c r="Z337" s="24"/>
      <c r="AA337" s="123"/>
      <c r="AB337" s="123"/>
      <c r="AC337" s="123"/>
      <c r="AD337" s="169"/>
      <c r="AE337" s="123"/>
      <c r="AF337" s="170"/>
      <c r="AG337" s="139"/>
      <c r="AH337" s="170"/>
      <c r="AI337" s="170"/>
      <c r="AJ337" s="170"/>
      <c r="AK337" s="170"/>
      <c r="AL337" s="194">
        <f t="shared" si="2"/>
        <v>80600</v>
      </c>
      <c r="AM337" s="147"/>
      <c r="AN337" s="219">
        <f>5200</f>
        <v>5200</v>
      </c>
      <c r="AO337" s="138">
        <f t="shared" si="3"/>
        <v>5200</v>
      </c>
      <c r="AP337" s="31"/>
      <c r="AQ337" s="233"/>
      <c r="AR337" s="233"/>
      <c r="AS337" s="233"/>
      <c r="AT337" s="20"/>
      <c r="AU337" s="20"/>
      <c r="AV337" s="123"/>
      <c r="AW337" s="123"/>
      <c r="AX337" s="123"/>
      <c r="AY337" s="123"/>
      <c r="AZ337" s="234"/>
      <c r="BA337" s="235"/>
      <c r="BB337" s="123"/>
      <c r="BC337" s="123"/>
      <c r="BD337" s="123"/>
      <c r="BE337" s="234"/>
      <c r="BF337" s="234"/>
      <c r="BG337" s="234"/>
      <c r="BH337" s="14"/>
      <c r="BI337" s="14"/>
      <c r="BJ337" s="14"/>
      <c r="BK337" s="15"/>
      <c r="BL337" s="16"/>
      <c r="BM337" s="16"/>
    </row>
    <row r="338" spans="1:65" ht="51" x14ac:dyDescent="0.2">
      <c r="A338" s="330">
        <v>123</v>
      </c>
      <c r="B338" s="328" t="s">
        <v>1228</v>
      </c>
      <c r="C338" s="1" t="s">
        <v>1218</v>
      </c>
      <c r="D338" s="20" t="s">
        <v>147</v>
      </c>
      <c r="E338" s="2" t="s">
        <v>372</v>
      </c>
      <c r="F338" s="20" t="s">
        <v>1229</v>
      </c>
      <c r="G338" s="71" t="s">
        <v>1248</v>
      </c>
      <c r="H338" s="12" t="s">
        <v>1454</v>
      </c>
      <c r="I338" s="67">
        <v>42726</v>
      </c>
      <c r="J338" s="67">
        <v>43091</v>
      </c>
      <c r="K338" s="31" t="s">
        <v>1237</v>
      </c>
      <c r="L338" s="123" t="s">
        <v>954</v>
      </c>
      <c r="M338" s="123" t="s">
        <v>955</v>
      </c>
      <c r="N338" s="59">
        <v>42775</v>
      </c>
      <c r="O338" s="68">
        <v>55876.3</v>
      </c>
      <c r="P338" s="1" t="s">
        <v>1339</v>
      </c>
      <c r="Q338" s="59">
        <v>42775</v>
      </c>
      <c r="R338" s="59">
        <v>43100</v>
      </c>
      <c r="S338" s="2" t="s">
        <v>1230</v>
      </c>
      <c r="T338" s="24"/>
      <c r="U338" s="123"/>
      <c r="V338" s="123"/>
      <c r="W338" s="123" t="s">
        <v>751</v>
      </c>
      <c r="X338" s="24"/>
      <c r="Y338" s="24"/>
      <c r="Z338" s="24"/>
      <c r="AA338" s="123"/>
      <c r="AB338" s="123"/>
      <c r="AC338" s="123"/>
      <c r="AD338" s="169"/>
      <c r="AE338" s="123"/>
      <c r="AF338" s="170"/>
      <c r="AG338" s="139"/>
      <c r="AH338" s="170"/>
      <c r="AI338" s="170"/>
      <c r="AJ338" s="170"/>
      <c r="AK338" s="170"/>
      <c r="AL338" s="194">
        <f t="shared" si="2"/>
        <v>55876.3</v>
      </c>
      <c r="AM338" s="147"/>
      <c r="AN338" s="219">
        <f>13486</f>
        <v>13486</v>
      </c>
      <c r="AO338" s="138">
        <f t="shared" si="3"/>
        <v>13486</v>
      </c>
      <c r="AP338" s="31"/>
      <c r="AQ338" s="233"/>
      <c r="AR338" s="233"/>
      <c r="AS338" s="233"/>
      <c r="AT338" s="20"/>
      <c r="AU338" s="20"/>
      <c r="AV338" s="123"/>
      <c r="AW338" s="123"/>
      <c r="AX338" s="123"/>
      <c r="AY338" s="123"/>
      <c r="AZ338" s="234"/>
      <c r="BA338" s="235"/>
      <c r="BB338" s="123"/>
      <c r="BC338" s="123"/>
      <c r="BD338" s="123"/>
      <c r="BE338" s="234"/>
      <c r="BF338" s="234"/>
      <c r="BG338" s="234"/>
      <c r="BH338" s="14"/>
      <c r="BI338" s="14"/>
      <c r="BJ338" s="14"/>
      <c r="BK338" s="15"/>
      <c r="BL338" s="16"/>
      <c r="BM338" s="16"/>
    </row>
    <row r="339" spans="1:65" ht="51" x14ac:dyDescent="0.2">
      <c r="A339" s="330">
        <v>124</v>
      </c>
      <c r="B339" s="328" t="s">
        <v>1228</v>
      </c>
      <c r="C339" s="1" t="s">
        <v>1218</v>
      </c>
      <c r="D339" s="20" t="s">
        <v>147</v>
      </c>
      <c r="E339" s="2" t="s">
        <v>372</v>
      </c>
      <c r="F339" s="20" t="s">
        <v>1229</v>
      </c>
      <c r="G339" s="71" t="s">
        <v>1248</v>
      </c>
      <c r="H339" s="12" t="s">
        <v>1454</v>
      </c>
      <c r="I339" s="67">
        <v>42726</v>
      </c>
      <c r="J339" s="67">
        <v>43091</v>
      </c>
      <c r="K339" s="31" t="s">
        <v>1238</v>
      </c>
      <c r="L339" s="123" t="s">
        <v>289</v>
      </c>
      <c r="M339" s="123" t="s">
        <v>290</v>
      </c>
      <c r="N339" s="59">
        <v>42775</v>
      </c>
      <c r="O339" s="68">
        <v>138177.9</v>
      </c>
      <c r="P339" s="1" t="s">
        <v>1339</v>
      </c>
      <c r="Q339" s="59">
        <v>42775</v>
      </c>
      <c r="R339" s="59">
        <v>43100</v>
      </c>
      <c r="S339" s="2" t="s">
        <v>1230</v>
      </c>
      <c r="T339" s="24"/>
      <c r="U339" s="123"/>
      <c r="V339" s="123"/>
      <c r="W339" s="123" t="s">
        <v>751</v>
      </c>
      <c r="X339" s="24"/>
      <c r="Y339" s="24"/>
      <c r="Z339" s="24"/>
      <c r="AA339" s="123"/>
      <c r="AB339" s="123"/>
      <c r="AC339" s="123"/>
      <c r="AD339" s="169"/>
      <c r="AE339" s="123"/>
      <c r="AF339" s="170"/>
      <c r="AG339" s="139"/>
      <c r="AH339" s="170"/>
      <c r="AI339" s="170"/>
      <c r="AJ339" s="170"/>
      <c r="AK339" s="170"/>
      <c r="AL339" s="194">
        <f t="shared" si="2"/>
        <v>138177.9</v>
      </c>
      <c r="AM339" s="147"/>
      <c r="AN339" s="219">
        <f>0</f>
        <v>0</v>
      </c>
      <c r="AO339" s="138">
        <f t="shared" si="3"/>
        <v>0</v>
      </c>
      <c r="AP339" s="31"/>
      <c r="AQ339" s="233"/>
      <c r="AR339" s="233"/>
      <c r="AS339" s="233"/>
      <c r="AT339" s="20"/>
      <c r="AU339" s="20"/>
      <c r="AV339" s="123"/>
      <c r="AW339" s="123"/>
      <c r="AX339" s="123"/>
      <c r="AY339" s="123"/>
      <c r="AZ339" s="234"/>
      <c r="BA339" s="235"/>
      <c r="BB339" s="123"/>
      <c r="BC339" s="123"/>
      <c r="BD339" s="123"/>
      <c r="BE339" s="234"/>
      <c r="BF339" s="234"/>
      <c r="BG339" s="234"/>
      <c r="BH339" s="14"/>
      <c r="BI339" s="14"/>
      <c r="BJ339" s="14"/>
      <c r="BK339" s="15"/>
      <c r="BL339" s="16"/>
      <c r="BM339" s="16"/>
    </row>
    <row r="340" spans="1:65" ht="51" x14ac:dyDescent="0.2">
      <c r="A340" s="330">
        <v>125</v>
      </c>
      <c r="B340" s="328" t="s">
        <v>1228</v>
      </c>
      <c r="C340" s="1" t="s">
        <v>1218</v>
      </c>
      <c r="D340" s="20" t="s">
        <v>147</v>
      </c>
      <c r="E340" s="2" t="s">
        <v>372</v>
      </c>
      <c r="F340" s="20" t="s">
        <v>1229</v>
      </c>
      <c r="G340" s="71" t="s">
        <v>1248</v>
      </c>
      <c r="H340" s="12" t="s">
        <v>1455</v>
      </c>
      <c r="I340" s="67">
        <v>42726</v>
      </c>
      <c r="J340" s="67">
        <v>43091</v>
      </c>
      <c r="K340" s="31" t="s">
        <v>1239</v>
      </c>
      <c r="L340" s="123" t="s">
        <v>1240</v>
      </c>
      <c r="M340" s="123" t="s">
        <v>1241</v>
      </c>
      <c r="N340" s="59">
        <v>42775</v>
      </c>
      <c r="O340" s="68">
        <v>59850</v>
      </c>
      <c r="P340" s="1" t="s">
        <v>1339</v>
      </c>
      <c r="Q340" s="59">
        <v>42775</v>
      </c>
      <c r="R340" s="59">
        <v>43100</v>
      </c>
      <c r="S340" s="2" t="s">
        <v>1230</v>
      </c>
      <c r="T340" s="24"/>
      <c r="U340" s="123"/>
      <c r="V340" s="123"/>
      <c r="W340" s="123" t="s">
        <v>751</v>
      </c>
      <c r="X340" s="24"/>
      <c r="Y340" s="24"/>
      <c r="Z340" s="24"/>
      <c r="AA340" s="123"/>
      <c r="AB340" s="123"/>
      <c r="AC340" s="123"/>
      <c r="AD340" s="169"/>
      <c r="AE340" s="123"/>
      <c r="AF340" s="170"/>
      <c r="AG340" s="139"/>
      <c r="AH340" s="170"/>
      <c r="AI340" s="170"/>
      <c r="AJ340" s="170"/>
      <c r="AK340" s="170"/>
      <c r="AL340" s="194">
        <f t="shared" si="2"/>
        <v>59850</v>
      </c>
      <c r="AM340" s="147"/>
      <c r="AN340" s="219">
        <f>0</f>
        <v>0</v>
      </c>
      <c r="AO340" s="138">
        <f t="shared" si="3"/>
        <v>0</v>
      </c>
      <c r="AP340" s="31"/>
      <c r="AQ340" s="233"/>
      <c r="AR340" s="233"/>
      <c r="AS340" s="233"/>
      <c r="AT340" s="20"/>
      <c r="AU340" s="20"/>
      <c r="AV340" s="123"/>
      <c r="AW340" s="123"/>
      <c r="AX340" s="123"/>
      <c r="AY340" s="123"/>
      <c r="AZ340" s="234"/>
      <c r="BA340" s="235"/>
      <c r="BB340" s="123"/>
      <c r="BC340" s="123"/>
      <c r="BD340" s="123"/>
      <c r="BE340" s="234"/>
      <c r="BF340" s="234"/>
      <c r="BG340" s="234"/>
      <c r="BH340" s="14"/>
      <c r="BI340" s="14"/>
      <c r="BJ340" s="14"/>
      <c r="BK340" s="15"/>
      <c r="BL340" s="16"/>
      <c r="BM340" s="16"/>
    </row>
    <row r="341" spans="1:65" ht="89.25" x14ac:dyDescent="0.2">
      <c r="A341" s="330">
        <v>126</v>
      </c>
      <c r="B341" s="328" t="s">
        <v>1243</v>
      </c>
      <c r="C341" s="1" t="s">
        <v>1083</v>
      </c>
      <c r="D341" s="20" t="s">
        <v>1244</v>
      </c>
      <c r="E341" s="2" t="s">
        <v>372</v>
      </c>
      <c r="F341" s="20" t="s">
        <v>1247</v>
      </c>
      <c r="G341" s="71" t="s">
        <v>1355</v>
      </c>
      <c r="H341" s="12" t="s">
        <v>646</v>
      </c>
      <c r="I341" s="224">
        <v>42734</v>
      </c>
      <c r="J341" s="224">
        <v>43099</v>
      </c>
      <c r="K341" s="31" t="s">
        <v>1242</v>
      </c>
      <c r="L341" s="123" t="s">
        <v>1245</v>
      </c>
      <c r="M341" s="123" t="s">
        <v>1246</v>
      </c>
      <c r="N341" s="59">
        <v>42775</v>
      </c>
      <c r="O341" s="68">
        <v>6042</v>
      </c>
      <c r="P341" s="217" t="s">
        <v>1339</v>
      </c>
      <c r="Q341" s="59">
        <v>42775</v>
      </c>
      <c r="R341" s="59">
        <v>43100</v>
      </c>
      <c r="S341" s="2" t="s">
        <v>136</v>
      </c>
      <c r="T341" s="24"/>
      <c r="U341" s="123"/>
      <c r="V341" s="123"/>
      <c r="W341" s="123" t="s">
        <v>192</v>
      </c>
      <c r="X341" s="24" t="s">
        <v>498</v>
      </c>
      <c r="Y341" s="24" t="s">
        <v>138</v>
      </c>
      <c r="Z341" s="164">
        <v>42913</v>
      </c>
      <c r="AA341" s="210">
        <v>12095</v>
      </c>
      <c r="AB341" s="123" t="s">
        <v>1753</v>
      </c>
      <c r="AC341" s="123"/>
      <c r="AD341" s="169"/>
      <c r="AE341" s="123">
        <v>25</v>
      </c>
      <c r="AF341" s="170"/>
      <c r="AG341" s="139">
        <v>1510.5</v>
      </c>
      <c r="AH341" s="170"/>
      <c r="AI341" s="170"/>
      <c r="AJ341" s="170"/>
      <c r="AK341" s="170"/>
      <c r="AL341" s="194">
        <f>O341-AH341+AG341</f>
        <v>7552.5</v>
      </c>
      <c r="AM341" s="147"/>
      <c r="AN341" s="219">
        <f>0+2534.83+1844.98+1021.92+1289.6+837.2</f>
        <v>7528.53</v>
      </c>
      <c r="AO341" s="138">
        <f t="shared" si="3"/>
        <v>7528.53</v>
      </c>
      <c r="AP341" s="71" t="s">
        <v>646</v>
      </c>
      <c r="AQ341" s="224">
        <v>42734</v>
      </c>
      <c r="AR341" s="224">
        <v>43099</v>
      </c>
      <c r="AS341" s="236">
        <v>11969</v>
      </c>
      <c r="AT341" s="235" t="s">
        <v>1356</v>
      </c>
      <c r="AU341" s="207">
        <v>11969</v>
      </c>
      <c r="AV341" s="123"/>
      <c r="AW341" s="123"/>
      <c r="AX341" s="123"/>
      <c r="AY341" s="123"/>
      <c r="AZ341" s="234"/>
      <c r="BA341" s="235"/>
      <c r="BB341" s="123"/>
      <c r="BC341" s="123"/>
      <c r="BD341" s="123"/>
      <c r="BE341" s="234"/>
      <c r="BF341" s="234"/>
      <c r="BG341" s="234"/>
      <c r="BH341" s="14"/>
      <c r="BI341" s="14"/>
      <c r="BJ341" s="14"/>
      <c r="BK341" s="15"/>
      <c r="BL341" s="16"/>
      <c r="BM341" s="16"/>
    </row>
    <row r="342" spans="1:65" ht="102" x14ac:dyDescent="0.2">
      <c r="A342" s="330">
        <v>127</v>
      </c>
      <c r="B342" s="328" t="s">
        <v>1250</v>
      </c>
      <c r="C342" s="1" t="s">
        <v>689</v>
      </c>
      <c r="D342" s="20" t="s">
        <v>147</v>
      </c>
      <c r="E342" s="2" t="s">
        <v>372</v>
      </c>
      <c r="F342" s="20" t="s">
        <v>1251</v>
      </c>
      <c r="G342" s="71" t="s">
        <v>1338</v>
      </c>
      <c r="H342" s="12" t="s">
        <v>2052</v>
      </c>
      <c r="I342" s="224">
        <v>42767</v>
      </c>
      <c r="J342" s="224">
        <v>43132</v>
      </c>
      <c r="K342" s="31" t="s">
        <v>1249</v>
      </c>
      <c r="L342" s="123" t="s">
        <v>295</v>
      </c>
      <c r="M342" s="123" t="s">
        <v>228</v>
      </c>
      <c r="N342" s="59">
        <v>42775</v>
      </c>
      <c r="O342" s="68">
        <v>789890</v>
      </c>
      <c r="P342" s="237" t="s">
        <v>1339</v>
      </c>
      <c r="Q342" s="59">
        <v>42775</v>
      </c>
      <c r="R342" s="176">
        <v>43100</v>
      </c>
      <c r="S342" s="24" t="s">
        <v>1252</v>
      </c>
      <c r="T342" s="24"/>
      <c r="U342" s="123"/>
      <c r="V342" s="123"/>
      <c r="W342" s="21" t="s">
        <v>1253</v>
      </c>
      <c r="X342" s="24"/>
      <c r="Y342" s="24"/>
      <c r="Z342" s="24"/>
      <c r="AA342" s="123"/>
      <c r="AB342" s="123"/>
      <c r="AC342" s="123"/>
      <c r="AD342" s="169"/>
      <c r="AE342" s="123"/>
      <c r="AF342" s="170"/>
      <c r="AG342" s="139"/>
      <c r="AH342" s="170"/>
      <c r="AI342" s="170"/>
      <c r="AJ342" s="170"/>
      <c r="AK342" s="170"/>
      <c r="AL342" s="194">
        <f t="shared" si="2"/>
        <v>789890</v>
      </c>
      <c r="AM342" s="147"/>
      <c r="AN342" s="219">
        <f>0+217490+164960+225960+181480</f>
        <v>789890</v>
      </c>
      <c r="AO342" s="138">
        <f t="shared" si="3"/>
        <v>789890</v>
      </c>
      <c r="AP342" s="31"/>
      <c r="AQ342" s="233"/>
      <c r="AR342" s="233"/>
      <c r="AS342" s="233"/>
      <c r="AT342" s="20"/>
      <c r="AU342" s="20"/>
      <c r="AV342" s="123"/>
      <c r="AW342" s="123"/>
      <c r="AX342" s="123"/>
      <c r="AY342" s="123"/>
      <c r="AZ342" s="234"/>
      <c r="BA342" s="235"/>
      <c r="BB342" s="123"/>
      <c r="BC342" s="123"/>
      <c r="BD342" s="123"/>
      <c r="BE342" s="234"/>
      <c r="BF342" s="234"/>
      <c r="BG342" s="234"/>
      <c r="BH342" s="14"/>
      <c r="BI342" s="14"/>
      <c r="BJ342" s="14"/>
      <c r="BK342" s="15"/>
      <c r="BL342" s="16"/>
      <c r="BM342" s="16"/>
    </row>
    <row r="343" spans="1:65" ht="89.25" x14ac:dyDescent="0.2">
      <c r="A343" s="330">
        <v>128</v>
      </c>
      <c r="B343" s="328" t="s">
        <v>1250</v>
      </c>
      <c r="C343" s="1" t="s">
        <v>689</v>
      </c>
      <c r="D343" s="20" t="s">
        <v>147</v>
      </c>
      <c r="E343" s="2" t="s">
        <v>372</v>
      </c>
      <c r="F343" s="20" t="s">
        <v>1251</v>
      </c>
      <c r="G343" s="71" t="s">
        <v>1338</v>
      </c>
      <c r="H343" s="12" t="s">
        <v>1456</v>
      </c>
      <c r="I343" s="224">
        <v>42767</v>
      </c>
      <c r="J343" s="224">
        <v>43132</v>
      </c>
      <c r="K343" s="31" t="s">
        <v>1254</v>
      </c>
      <c r="L343" s="123" t="s">
        <v>1255</v>
      </c>
      <c r="M343" s="123" t="s">
        <v>539</v>
      </c>
      <c r="N343" s="59">
        <v>42775</v>
      </c>
      <c r="O343" s="68">
        <v>6981</v>
      </c>
      <c r="P343" s="237" t="s">
        <v>1339</v>
      </c>
      <c r="Q343" s="59">
        <v>42775</v>
      </c>
      <c r="R343" s="176">
        <v>43100</v>
      </c>
      <c r="S343" s="24" t="s">
        <v>1256</v>
      </c>
      <c r="T343" s="24"/>
      <c r="U343" s="123"/>
      <c r="V343" s="123"/>
      <c r="W343" s="21" t="s">
        <v>1253</v>
      </c>
      <c r="X343" s="24"/>
      <c r="Y343" s="24"/>
      <c r="Z343" s="24"/>
      <c r="AA343" s="123"/>
      <c r="AB343" s="123"/>
      <c r="AC343" s="123"/>
      <c r="AD343" s="169"/>
      <c r="AE343" s="123"/>
      <c r="AF343" s="170"/>
      <c r="AG343" s="139"/>
      <c r="AH343" s="170"/>
      <c r="AI343" s="170"/>
      <c r="AJ343" s="170"/>
      <c r="AK343" s="170"/>
      <c r="AL343" s="194">
        <f t="shared" si="2"/>
        <v>6981</v>
      </c>
      <c r="AM343" s="147"/>
      <c r="AN343" s="219">
        <f>0+6981</f>
        <v>6981</v>
      </c>
      <c r="AO343" s="138">
        <f t="shared" si="3"/>
        <v>6981</v>
      </c>
      <c r="AP343" s="31"/>
      <c r="AQ343" s="233"/>
      <c r="AR343" s="233"/>
      <c r="AS343" s="233"/>
      <c r="AT343" s="20"/>
      <c r="AU343" s="20"/>
      <c r="AV343" s="123"/>
      <c r="AW343" s="123"/>
      <c r="AX343" s="123"/>
      <c r="AY343" s="123"/>
      <c r="AZ343" s="234"/>
      <c r="BA343" s="235"/>
      <c r="BB343" s="123"/>
      <c r="BC343" s="123"/>
      <c r="BD343" s="123"/>
      <c r="BE343" s="234"/>
      <c r="BF343" s="234"/>
      <c r="BG343" s="234"/>
      <c r="BH343" s="14"/>
      <c r="BI343" s="14"/>
      <c r="BJ343" s="14"/>
      <c r="BK343" s="15"/>
      <c r="BL343" s="16"/>
      <c r="BM343" s="16"/>
    </row>
    <row r="344" spans="1:65" ht="102" x14ac:dyDescent="0.2">
      <c r="A344" s="330">
        <v>129</v>
      </c>
      <c r="B344" s="328" t="s">
        <v>1250</v>
      </c>
      <c r="C344" s="1" t="s">
        <v>689</v>
      </c>
      <c r="D344" s="20" t="s">
        <v>147</v>
      </c>
      <c r="E344" s="2" t="s">
        <v>372</v>
      </c>
      <c r="F344" s="20" t="s">
        <v>1251</v>
      </c>
      <c r="G344" s="71" t="s">
        <v>1338</v>
      </c>
      <c r="H344" s="12" t="s">
        <v>2052</v>
      </c>
      <c r="I344" s="224">
        <v>42767</v>
      </c>
      <c r="J344" s="224">
        <v>43132</v>
      </c>
      <c r="K344" s="31" t="s">
        <v>1257</v>
      </c>
      <c r="L344" s="123" t="s">
        <v>259</v>
      </c>
      <c r="M344" s="123" t="s">
        <v>260</v>
      </c>
      <c r="N344" s="59">
        <v>42775</v>
      </c>
      <c r="O344" s="68">
        <v>34935</v>
      </c>
      <c r="P344" s="237" t="s">
        <v>1339</v>
      </c>
      <c r="Q344" s="59">
        <v>42775</v>
      </c>
      <c r="R344" s="176">
        <v>43100</v>
      </c>
      <c r="S344" s="24" t="s">
        <v>1252</v>
      </c>
      <c r="T344" s="24"/>
      <c r="U344" s="123"/>
      <c r="V344" s="123"/>
      <c r="W344" s="21" t="s">
        <v>1253</v>
      </c>
      <c r="X344" s="24" t="s">
        <v>498</v>
      </c>
      <c r="Y344" s="24" t="s">
        <v>138</v>
      </c>
      <c r="Z344" s="164">
        <v>42919</v>
      </c>
      <c r="AA344" s="210">
        <v>12108</v>
      </c>
      <c r="AB344" s="123" t="s">
        <v>1769</v>
      </c>
      <c r="AC344" s="123"/>
      <c r="AD344" s="169"/>
      <c r="AE344" s="123">
        <v>25</v>
      </c>
      <c r="AF344" s="170"/>
      <c r="AG344" s="139">
        <v>8631</v>
      </c>
      <c r="AH344" s="170"/>
      <c r="AI344" s="170"/>
      <c r="AJ344" s="170"/>
      <c r="AK344" s="170"/>
      <c r="AL344" s="194">
        <f>O344-AH344+AG344</f>
        <v>43566</v>
      </c>
      <c r="AM344" s="147"/>
      <c r="AN344" s="219">
        <f>0+34935</f>
        <v>34935</v>
      </c>
      <c r="AO344" s="138">
        <f t="shared" si="3"/>
        <v>34935</v>
      </c>
      <c r="AP344" s="31"/>
      <c r="AQ344" s="233"/>
      <c r="AR344" s="233"/>
      <c r="AS344" s="233"/>
      <c r="AT344" s="20"/>
      <c r="AU344" s="20"/>
      <c r="AV344" s="123"/>
      <c r="AW344" s="123"/>
      <c r="AX344" s="123"/>
      <c r="AY344" s="123"/>
      <c r="AZ344" s="234"/>
      <c r="BA344" s="235"/>
      <c r="BB344" s="123"/>
      <c r="BC344" s="123"/>
      <c r="BD344" s="123"/>
      <c r="BE344" s="234"/>
      <c r="BF344" s="234"/>
      <c r="BG344" s="234"/>
      <c r="BH344" s="14"/>
      <c r="BI344" s="14"/>
      <c r="BJ344" s="14"/>
      <c r="BK344" s="15"/>
      <c r="BL344" s="16"/>
      <c r="BM344" s="16"/>
    </row>
    <row r="345" spans="1:65" ht="38.25" x14ac:dyDescent="0.2">
      <c r="A345" s="330">
        <v>130</v>
      </c>
      <c r="B345" s="328" t="s">
        <v>1259</v>
      </c>
      <c r="C345" s="1" t="s">
        <v>668</v>
      </c>
      <c r="D345" s="20" t="s">
        <v>147</v>
      </c>
      <c r="E345" s="2" t="s">
        <v>372</v>
      </c>
      <c r="F345" s="20" t="s">
        <v>531</v>
      </c>
      <c r="G345" s="71" t="s">
        <v>1340</v>
      </c>
      <c r="H345" s="12" t="s">
        <v>1086</v>
      </c>
      <c r="I345" s="224">
        <v>42765</v>
      </c>
      <c r="J345" s="224">
        <v>43130</v>
      </c>
      <c r="K345" s="31" t="s">
        <v>1258</v>
      </c>
      <c r="L345" s="123" t="s">
        <v>244</v>
      </c>
      <c r="M345" s="123" t="s">
        <v>1260</v>
      </c>
      <c r="N345" s="59">
        <v>42775</v>
      </c>
      <c r="O345" s="68">
        <v>464995</v>
      </c>
      <c r="P345" s="237" t="s">
        <v>1343</v>
      </c>
      <c r="Q345" s="59">
        <v>42775</v>
      </c>
      <c r="R345" s="176">
        <v>43100</v>
      </c>
      <c r="S345" s="24" t="s">
        <v>614</v>
      </c>
      <c r="T345" s="24"/>
      <c r="U345" s="123"/>
      <c r="V345" s="123"/>
      <c r="W345" s="123" t="s">
        <v>192</v>
      </c>
      <c r="X345" s="24"/>
      <c r="Y345" s="24"/>
      <c r="Z345" s="24"/>
      <c r="AA345" s="123"/>
      <c r="AB345" s="123"/>
      <c r="AC345" s="123"/>
      <c r="AD345" s="169"/>
      <c r="AE345" s="123"/>
      <c r="AF345" s="170"/>
      <c r="AG345" s="139"/>
      <c r="AH345" s="170"/>
      <c r="AI345" s="170"/>
      <c r="AJ345" s="170"/>
      <c r="AK345" s="170"/>
      <c r="AL345" s="194">
        <f t="shared" ref="AL345:AL407" si="4">O345-AH345+AG345</f>
        <v>464995</v>
      </c>
      <c r="AM345" s="147"/>
      <c r="AN345" s="219">
        <f>0+130375.4+143689.5+2625+9048+69665+2602</f>
        <v>358004.9</v>
      </c>
      <c r="AO345" s="138">
        <f t="shared" si="3"/>
        <v>358004.9</v>
      </c>
      <c r="AP345" s="31"/>
      <c r="AQ345" s="233"/>
      <c r="AR345" s="233"/>
      <c r="AS345" s="233"/>
      <c r="AT345" s="20"/>
      <c r="AU345" s="20"/>
      <c r="AV345" s="123"/>
      <c r="AW345" s="123"/>
      <c r="AX345" s="123"/>
      <c r="AY345" s="123"/>
      <c r="AZ345" s="234"/>
      <c r="BA345" s="235"/>
      <c r="BB345" s="123"/>
      <c r="BC345" s="123"/>
      <c r="BD345" s="123"/>
      <c r="BE345" s="234"/>
      <c r="BF345" s="234"/>
      <c r="BG345" s="234"/>
      <c r="BH345" s="14"/>
      <c r="BI345" s="14"/>
      <c r="BJ345" s="14"/>
      <c r="BK345" s="15"/>
      <c r="BL345" s="16"/>
      <c r="BM345" s="16"/>
    </row>
    <row r="346" spans="1:65" ht="38.25" x14ac:dyDescent="0.2">
      <c r="A346" s="330">
        <v>131</v>
      </c>
      <c r="B346" s="328" t="s">
        <v>1259</v>
      </c>
      <c r="C346" s="1" t="s">
        <v>668</v>
      </c>
      <c r="D346" s="20" t="s">
        <v>147</v>
      </c>
      <c r="E346" s="2" t="s">
        <v>372</v>
      </c>
      <c r="F346" s="20" t="s">
        <v>531</v>
      </c>
      <c r="G346" s="71" t="s">
        <v>1340</v>
      </c>
      <c r="H346" s="12" t="s">
        <v>1086</v>
      </c>
      <c r="I346" s="224">
        <v>42765</v>
      </c>
      <c r="J346" s="224">
        <v>43130</v>
      </c>
      <c r="K346" s="31" t="s">
        <v>1261</v>
      </c>
      <c r="L346" s="123" t="s">
        <v>1262</v>
      </c>
      <c r="M346" s="123" t="s">
        <v>290</v>
      </c>
      <c r="N346" s="59">
        <v>42775</v>
      </c>
      <c r="O346" s="68">
        <v>1923.5</v>
      </c>
      <c r="P346" s="1" t="s">
        <v>1339</v>
      </c>
      <c r="Q346" s="59">
        <v>42775</v>
      </c>
      <c r="R346" s="176">
        <v>43100</v>
      </c>
      <c r="S346" s="24" t="s">
        <v>614</v>
      </c>
      <c r="T346" s="24"/>
      <c r="U346" s="123"/>
      <c r="V346" s="123"/>
      <c r="W346" s="123" t="s">
        <v>192</v>
      </c>
      <c r="X346" s="24"/>
      <c r="Y346" s="24"/>
      <c r="Z346" s="24"/>
      <c r="AA346" s="123"/>
      <c r="AB346" s="123"/>
      <c r="AC346" s="123"/>
      <c r="AD346" s="169"/>
      <c r="AE346" s="123"/>
      <c r="AF346" s="170"/>
      <c r="AG346" s="139"/>
      <c r="AH346" s="170"/>
      <c r="AI346" s="170"/>
      <c r="AJ346" s="170"/>
      <c r="AK346" s="170"/>
      <c r="AL346" s="194">
        <f t="shared" si="4"/>
        <v>1923.5</v>
      </c>
      <c r="AM346" s="147"/>
      <c r="AN346" s="219">
        <f>0</f>
        <v>0</v>
      </c>
      <c r="AO346" s="138">
        <f t="shared" si="3"/>
        <v>0</v>
      </c>
      <c r="AP346" s="31"/>
      <c r="AQ346" s="233"/>
      <c r="AR346" s="233"/>
      <c r="AS346" s="233"/>
      <c r="AT346" s="20"/>
      <c r="AU346" s="20"/>
      <c r="AV346" s="123"/>
      <c r="AW346" s="123"/>
      <c r="AX346" s="123"/>
      <c r="AY346" s="123"/>
      <c r="AZ346" s="234"/>
      <c r="BA346" s="235"/>
      <c r="BB346" s="123"/>
      <c r="BC346" s="123"/>
      <c r="BD346" s="123"/>
      <c r="BE346" s="234"/>
      <c r="BF346" s="234"/>
      <c r="BG346" s="234"/>
      <c r="BH346" s="14"/>
      <c r="BI346" s="14"/>
      <c r="BJ346" s="14"/>
      <c r="BK346" s="15"/>
      <c r="BL346" s="16"/>
      <c r="BM346" s="16"/>
    </row>
    <row r="347" spans="1:65" ht="38.25" x14ac:dyDescent="0.2">
      <c r="A347" s="330">
        <v>132</v>
      </c>
      <c r="B347" s="328" t="s">
        <v>1259</v>
      </c>
      <c r="C347" s="1" t="s">
        <v>668</v>
      </c>
      <c r="D347" s="20" t="s">
        <v>147</v>
      </c>
      <c r="E347" s="2" t="s">
        <v>372</v>
      </c>
      <c r="F347" s="20" t="s">
        <v>531</v>
      </c>
      <c r="G347" s="71" t="s">
        <v>1340</v>
      </c>
      <c r="H347" s="12" t="s">
        <v>1086</v>
      </c>
      <c r="I347" s="224">
        <v>42765</v>
      </c>
      <c r="J347" s="224">
        <v>43130</v>
      </c>
      <c r="K347" s="31" t="s">
        <v>1263</v>
      </c>
      <c r="L347" s="123" t="s">
        <v>1264</v>
      </c>
      <c r="M347" s="123" t="s">
        <v>1265</v>
      </c>
      <c r="N347" s="59">
        <v>42775</v>
      </c>
      <c r="O347" s="68">
        <v>239700</v>
      </c>
      <c r="P347" s="1" t="s">
        <v>1339</v>
      </c>
      <c r="Q347" s="59">
        <v>42775</v>
      </c>
      <c r="R347" s="176">
        <v>43100</v>
      </c>
      <c r="S347" s="24" t="s">
        <v>614</v>
      </c>
      <c r="T347" s="24"/>
      <c r="U347" s="123"/>
      <c r="V347" s="123"/>
      <c r="W347" s="123" t="s">
        <v>192</v>
      </c>
      <c r="X347" s="24"/>
      <c r="Y347" s="24"/>
      <c r="Z347" s="24"/>
      <c r="AA347" s="123"/>
      <c r="AB347" s="123"/>
      <c r="AC347" s="123"/>
      <c r="AD347" s="169"/>
      <c r="AE347" s="123"/>
      <c r="AF347" s="170"/>
      <c r="AG347" s="139"/>
      <c r="AH347" s="170"/>
      <c r="AI347" s="170"/>
      <c r="AJ347" s="170"/>
      <c r="AK347" s="170"/>
      <c r="AL347" s="194">
        <f t="shared" si="4"/>
        <v>239700</v>
      </c>
      <c r="AM347" s="147"/>
      <c r="AN347" s="219">
        <f>1850+8870+44400+71980.6+57000</f>
        <v>184100.6</v>
      </c>
      <c r="AO347" s="138">
        <f t="shared" si="3"/>
        <v>184100.6</v>
      </c>
      <c r="AP347" s="31"/>
      <c r="AQ347" s="233"/>
      <c r="AR347" s="233"/>
      <c r="AS347" s="233"/>
      <c r="AT347" s="20"/>
      <c r="AU347" s="20"/>
      <c r="AV347" s="123"/>
      <c r="AW347" s="123"/>
      <c r="AX347" s="123"/>
      <c r="AY347" s="123"/>
      <c r="AZ347" s="234"/>
      <c r="BA347" s="235"/>
      <c r="BB347" s="123"/>
      <c r="BC347" s="123"/>
      <c r="BD347" s="123"/>
      <c r="BE347" s="234"/>
      <c r="BF347" s="234"/>
      <c r="BG347" s="234"/>
      <c r="BH347" s="14"/>
      <c r="BI347" s="14"/>
      <c r="BJ347" s="14"/>
      <c r="BK347" s="15"/>
      <c r="BL347" s="16"/>
      <c r="BM347" s="16"/>
    </row>
    <row r="348" spans="1:65" ht="38.25" x14ac:dyDescent="0.2">
      <c r="A348" s="330">
        <v>133</v>
      </c>
      <c r="B348" s="328" t="s">
        <v>1259</v>
      </c>
      <c r="C348" s="1" t="s">
        <v>668</v>
      </c>
      <c r="D348" s="20" t="s">
        <v>147</v>
      </c>
      <c r="E348" s="2" t="s">
        <v>372</v>
      </c>
      <c r="F348" s="20" t="s">
        <v>531</v>
      </c>
      <c r="G348" s="71" t="s">
        <v>1340</v>
      </c>
      <c r="H348" s="12" t="s">
        <v>1086</v>
      </c>
      <c r="I348" s="224">
        <v>42765</v>
      </c>
      <c r="J348" s="224">
        <v>43130</v>
      </c>
      <c r="K348" s="31" t="s">
        <v>1266</v>
      </c>
      <c r="L348" s="123" t="s">
        <v>492</v>
      </c>
      <c r="M348" s="123" t="s">
        <v>503</v>
      </c>
      <c r="N348" s="59">
        <v>42775</v>
      </c>
      <c r="O348" s="68">
        <v>515275</v>
      </c>
      <c r="P348" s="1" t="s">
        <v>1339</v>
      </c>
      <c r="Q348" s="59">
        <v>42775</v>
      </c>
      <c r="R348" s="176">
        <v>43100</v>
      </c>
      <c r="S348" s="24" t="s">
        <v>614</v>
      </c>
      <c r="T348" s="24"/>
      <c r="U348" s="123"/>
      <c r="V348" s="123"/>
      <c r="W348" s="123" t="s">
        <v>192</v>
      </c>
      <c r="X348" s="24"/>
      <c r="Y348" s="24"/>
      <c r="Z348" s="24"/>
      <c r="AA348" s="123"/>
      <c r="AB348" s="123"/>
      <c r="AC348" s="123"/>
      <c r="AD348" s="169"/>
      <c r="AE348" s="123"/>
      <c r="AF348" s="170"/>
      <c r="AG348" s="139"/>
      <c r="AH348" s="170"/>
      <c r="AI348" s="170"/>
      <c r="AJ348" s="170"/>
      <c r="AK348" s="170"/>
      <c r="AL348" s="194">
        <f t="shared" si="4"/>
        <v>515275</v>
      </c>
      <c r="AM348" s="147"/>
      <c r="AN348" s="219">
        <f>0+109062.5+72613.1+44690+41336+22910+1273+80800+5726</f>
        <v>378410.6</v>
      </c>
      <c r="AO348" s="138">
        <f t="shared" si="3"/>
        <v>378410.6</v>
      </c>
      <c r="AP348" s="31"/>
      <c r="AQ348" s="233"/>
      <c r="AR348" s="233"/>
      <c r="AS348" s="233"/>
      <c r="AT348" s="20"/>
      <c r="AU348" s="20"/>
      <c r="AV348" s="123"/>
      <c r="AW348" s="123"/>
      <c r="AX348" s="123"/>
      <c r="AY348" s="123"/>
      <c r="AZ348" s="234"/>
      <c r="BA348" s="235"/>
      <c r="BB348" s="123"/>
      <c r="BC348" s="123"/>
      <c r="BD348" s="123"/>
      <c r="BE348" s="234"/>
      <c r="BF348" s="234"/>
      <c r="BG348" s="234"/>
      <c r="BH348" s="14"/>
      <c r="BI348" s="14"/>
      <c r="BJ348" s="14"/>
      <c r="BK348" s="15"/>
      <c r="BL348" s="16"/>
      <c r="BM348" s="16"/>
    </row>
    <row r="349" spans="1:65" ht="38.25" x14ac:dyDescent="0.2">
      <c r="A349" s="330">
        <v>134</v>
      </c>
      <c r="B349" s="328" t="s">
        <v>1259</v>
      </c>
      <c r="C349" s="1" t="s">
        <v>668</v>
      </c>
      <c r="D349" s="20" t="s">
        <v>147</v>
      </c>
      <c r="E349" s="2" t="s">
        <v>372</v>
      </c>
      <c r="F349" s="20" t="s">
        <v>531</v>
      </c>
      <c r="G349" s="71" t="s">
        <v>1340</v>
      </c>
      <c r="H349" s="12" t="s">
        <v>1086</v>
      </c>
      <c r="I349" s="224">
        <v>42765</v>
      </c>
      <c r="J349" s="224">
        <v>43130</v>
      </c>
      <c r="K349" s="31" t="s">
        <v>1267</v>
      </c>
      <c r="L349" s="123" t="s">
        <v>522</v>
      </c>
      <c r="M349" s="123" t="s">
        <v>243</v>
      </c>
      <c r="N349" s="59">
        <v>42775</v>
      </c>
      <c r="O349" s="68">
        <v>842975</v>
      </c>
      <c r="P349" s="237" t="s">
        <v>1343</v>
      </c>
      <c r="Q349" s="59">
        <v>42775</v>
      </c>
      <c r="R349" s="176">
        <v>43100</v>
      </c>
      <c r="S349" s="24" t="s">
        <v>614</v>
      </c>
      <c r="T349" s="24"/>
      <c r="U349" s="123"/>
      <c r="V349" s="123"/>
      <c r="W349" s="123" t="s">
        <v>192</v>
      </c>
      <c r="X349" s="24"/>
      <c r="Y349" s="24"/>
      <c r="Z349" s="24"/>
      <c r="AA349" s="123"/>
      <c r="AB349" s="123"/>
      <c r="AC349" s="123"/>
      <c r="AD349" s="169"/>
      <c r="AE349" s="123"/>
      <c r="AF349" s="170"/>
      <c r="AG349" s="139"/>
      <c r="AH349" s="170"/>
      <c r="AI349" s="170"/>
      <c r="AJ349" s="170"/>
      <c r="AK349" s="170"/>
      <c r="AL349" s="194">
        <f t="shared" si="4"/>
        <v>842975</v>
      </c>
      <c r="AM349" s="147"/>
      <c r="AN349" s="219">
        <f>0+19778.74+61191.86+209641.13+69801.6+184800+264000</f>
        <v>809213.33</v>
      </c>
      <c r="AO349" s="138">
        <f t="shared" si="3"/>
        <v>809213.33</v>
      </c>
      <c r="AP349" s="31"/>
      <c r="AQ349" s="233"/>
      <c r="AR349" s="233"/>
      <c r="AS349" s="233"/>
      <c r="AT349" s="20"/>
      <c r="AU349" s="20"/>
      <c r="AV349" s="123"/>
      <c r="AW349" s="123"/>
      <c r="AX349" s="123"/>
      <c r="AY349" s="123"/>
      <c r="AZ349" s="234"/>
      <c r="BA349" s="235"/>
      <c r="BB349" s="123"/>
      <c r="BC349" s="123"/>
      <c r="BD349" s="123"/>
      <c r="BE349" s="234"/>
      <c r="BF349" s="234"/>
      <c r="BG349" s="234"/>
      <c r="BH349" s="14"/>
      <c r="BI349" s="14"/>
      <c r="BJ349" s="14"/>
      <c r="BK349" s="15"/>
      <c r="BL349" s="16"/>
      <c r="BM349" s="16"/>
    </row>
    <row r="350" spans="1:65" ht="38.25" x14ac:dyDescent="0.2">
      <c r="A350" s="330">
        <v>135</v>
      </c>
      <c r="B350" s="328" t="s">
        <v>1259</v>
      </c>
      <c r="C350" s="1" t="s">
        <v>668</v>
      </c>
      <c r="D350" s="20" t="s">
        <v>147</v>
      </c>
      <c r="E350" s="2" t="s">
        <v>372</v>
      </c>
      <c r="F350" s="20" t="s">
        <v>531</v>
      </c>
      <c r="G350" s="71" t="s">
        <v>1340</v>
      </c>
      <c r="H350" s="12" t="s">
        <v>1086</v>
      </c>
      <c r="I350" s="224">
        <v>42765</v>
      </c>
      <c r="J350" s="224">
        <v>43130</v>
      </c>
      <c r="K350" s="31" t="s">
        <v>1268</v>
      </c>
      <c r="L350" s="123" t="s">
        <v>1361</v>
      </c>
      <c r="M350" s="123" t="s">
        <v>1274</v>
      </c>
      <c r="N350" s="59">
        <v>42775</v>
      </c>
      <c r="O350" s="68">
        <v>1200</v>
      </c>
      <c r="P350" s="237" t="s">
        <v>1343</v>
      </c>
      <c r="Q350" s="59">
        <v>42775</v>
      </c>
      <c r="R350" s="176">
        <v>43100</v>
      </c>
      <c r="S350" s="24" t="s">
        <v>614</v>
      </c>
      <c r="T350" s="24"/>
      <c r="U350" s="123"/>
      <c r="V350" s="123"/>
      <c r="W350" s="123" t="s">
        <v>192</v>
      </c>
      <c r="X350" s="24"/>
      <c r="Y350" s="24"/>
      <c r="Z350" s="24"/>
      <c r="AA350" s="123"/>
      <c r="AB350" s="123"/>
      <c r="AC350" s="123"/>
      <c r="AD350" s="169"/>
      <c r="AE350" s="123"/>
      <c r="AF350" s="170"/>
      <c r="AG350" s="139"/>
      <c r="AH350" s="170"/>
      <c r="AI350" s="170"/>
      <c r="AJ350" s="170"/>
      <c r="AK350" s="170"/>
      <c r="AL350" s="194">
        <f t="shared" si="4"/>
        <v>1200</v>
      </c>
      <c r="AM350" s="147"/>
      <c r="AN350" s="219">
        <f>0</f>
        <v>0</v>
      </c>
      <c r="AO350" s="138">
        <f t="shared" si="3"/>
        <v>0</v>
      </c>
      <c r="AP350" s="31"/>
      <c r="AQ350" s="233"/>
      <c r="AR350" s="233"/>
      <c r="AS350" s="233"/>
      <c r="AT350" s="20"/>
      <c r="AU350" s="20"/>
      <c r="AV350" s="123"/>
      <c r="AW350" s="123"/>
      <c r="AX350" s="123"/>
      <c r="AY350" s="123"/>
      <c r="AZ350" s="234"/>
      <c r="BA350" s="235"/>
      <c r="BB350" s="123"/>
      <c r="BC350" s="123"/>
      <c r="BD350" s="123"/>
      <c r="BE350" s="234"/>
      <c r="BF350" s="234"/>
      <c r="BG350" s="234"/>
      <c r="BH350" s="14"/>
      <c r="BI350" s="14"/>
      <c r="BJ350" s="14"/>
      <c r="BK350" s="15"/>
      <c r="BL350" s="16"/>
      <c r="BM350" s="16"/>
    </row>
    <row r="351" spans="1:65" ht="38.25" x14ac:dyDescent="0.2">
      <c r="A351" s="330">
        <v>136</v>
      </c>
      <c r="B351" s="328" t="s">
        <v>1259</v>
      </c>
      <c r="C351" s="1" t="s">
        <v>668</v>
      </c>
      <c r="D351" s="20" t="s">
        <v>147</v>
      </c>
      <c r="E351" s="2" t="s">
        <v>372</v>
      </c>
      <c r="F351" s="20" t="s">
        <v>531</v>
      </c>
      <c r="G351" s="71" t="s">
        <v>1340</v>
      </c>
      <c r="H351" s="12" t="s">
        <v>1086</v>
      </c>
      <c r="I351" s="224">
        <v>42765</v>
      </c>
      <c r="J351" s="224">
        <v>43130</v>
      </c>
      <c r="K351" s="8" t="s">
        <v>1269</v>
      </c>
      <c r="L351" s="21" t="s">
        <v>525</v>
      </c>
      <c r="M351" s="21" t="s">
        <v>526</v>
      </c>
      <c r="N351" s="59">
        <v>42775</v>
      </c>
      <c r="O351" s="69">
        <v>21800</v>
      </c>
      <c r="P351" s="1" t="s">
        <v>1339</v>
      </c>
      <c r="Q351" s="59">
        <v>42775</v>
      </c>
      <c r="R351" s="176">
        <v>43100</v>
      </c>
      <c r="S351" s="24" t="s">
        <v>614</v>
      </c>
      <c r="T351" s="24"/>
      <c r="U351" s="123"/>
      <c r="V351" s="123"/>
      <c r="W351" s="123" t="s">
        <v>192</v>
      </c>
      <c r="X351" s="6"/>
      <c r="Y351" s="6"/>
      <c r="Z351" s="6"/>
      <c r="AA351" s="6"/>
      <c r="AB351" s="6"/>
      <c r="AC351" s="6"/>
      <c r="AD351" s="6"/>
      <c r="AE351" s="6"/>
      <c r="AF351" s="6"/>
      <c r="AG351" s="6"/>
      <c r="AH351" s="6"/>
      <c r="AI351" s="6"/>
      <c r="AJ351" s="6"/>
      <c r="AK351" s="6"/>
      <c r="AL351" s="194">
        <f t="shared" si="4"/>
        <v>21800</v>
      </c>
      <c r="AM351" s="10"/>
      <c r="AN351" s="219">
        <f>0</f>
        <v>0</v>
      </c>
      <c r="AO351" s="138">
        <f t="shared" si="3"/>
        <v>0</v>
      </c>
      <c r="AP351" s="13"/>
      <c r="AQ351" s="13"/>
      <c r="AR351" s="13"/>
      <c r="AS351" s="13"/>
      <c r="AT351" s="12"/>
      <c r="AU351" s="16"/>
      <c r="AV351" s="14"/>
      <c r="AW351" s="14"/>
      <c r="AX351" s="14"/>
      <c r="AY351" s="14"/>
      <c r="AZ351" s="17"/>
      <c r="BA351" s="18"/>
      <c r="BB351" s="14"/>
      <c r="BC351" s="14"/>
      <c r="BD351" s="14"/>
      <c r="BE351" s="17"/>
      <c r="BF351" s="17"/>
      <c r="BG351" s="17"/>
      <c r="BH351" s="14"/>
      <c r="BI351" s="14"/>
      <c r="BJ351" s="14"/>
      <c r="BK351" s="15"/>
      <c r="BL351" s="16"/>
      <c r="BM351" s="16"/>
    </row>
    <row r="352" spans="1:65" ht="38.25" x14ac:dyDescent="0.2">
      <c r="A352" s="330">
        <v>137</v>
      </c>
      <c r="B352" s="328" t="s">
        <v>1259</v>
      </c>
      <c r="C352" s="1" t="s">
        <v>668</v>
      </c>
      <c r="D352" s="20" t="s">
        <v>147</v>
      </c>
      <c r="E352" s="2" t="s">
        <v>372</v>
      </c>
      <c r="F352" s="20" t="s">
        <v>531</v>
      </c>
      <c r="G352" s="71" t="s">
        <v>1340</v>
      </c>
      <c r="H352" s="12" t="s">
        <v>1086</v>
      </c>
      <c r="I352" s="224">
        <v>42765</v>
      </c>
      <c r="J352" s="224">
        <v>43130</v>
      </c>
      <c r="K352" s="8" t="s">
        <v>1270</v>
      </c>
      <c r="L352" s="21" t="s">
        <v>693</v>
      </c>
      <c r="M352" s="21" t="s">
        <v>694</v>
      </c>
      <c r="N352" s="59">
        <v>42775</v>
      </c>
      <c r="O352" s="69">
        <v>99987.5</v>
      </c>
      <c r="P352" s="1" t="s">
        <v>1339</v>
      </c>
      <c r="Q352" s="59">
        <v>42775</v>
      </c>
      <c r="R352" s="176">
        <v>43100</v>
      </c>
      <c r="S352" s="24" t="s">
        <v>614</v>
      </c>
      <c r="T352" s="24"/>
      <c r="U352" s="123"/>
      <c r="V352" s="123"/>
      <c r="W352" s="123" t="s">
        <v>192</v>
      </c>
      <c r="X352" s="6"/>
      <c r="Y352" s="6"/>
      <c r="Z352" s="6"/>
      <c r="AA352" s="6"/>
      <c r="AB352" s="6"/>
      <c r="AC352" s="6"/>
      <c r="AD352" s="6"/>
      <c r="AE352" s="6"/>
      <c r="AF352" s="6"/>
      <c r="AG352" s="6"/>
      <c r="AH352" s="6"/>
      <c r="AI352" s="6"/>
      <c r="AJ352" s="6"/>
      <c r="AK352" s="6"/>
      <c r="AL352" s="194">
        <f t="shared" si="4"/>
        <v>99987.5</v>
      </c>
      <c r="AM352" s="10"/>
      <c r="AN352" s="219">
        <f>0+76.5+900+30057+9440.2+980</f>
        <v>41453.699999999997</v>
      </c>
      <c r="AO352" s="138">
        <f t="shared" si="3"/>
        <v>41453.699999999997</v>
      </c>
      <c r="AP352" s="13"/>
      <c r="AQ352" s="13"/>
      <c r="AR352" s="13"/>
      <c r="AS352" s="13"/>
      <c r="AT352" s="12"/>
      <c r="AU352" s="16"/>
      <c r="AV352" s="14"/>
      <c r="AW352" s="14"/>
      <c r="AX352" s="14"/>
      <c r="AY352" s="14"/>
      <c r="AZ352" s="17"/>
      <c r="BA352" s="18"/>
      <c r="BB352" s="14"/>
      <c r="BC352" s="14"/>
      <c r="BD352" s="14"/>
      <c r="BE352" s="17"/>
      <c r="BF352" s="17"/>
      <c r="BG352" s="17"/>
      <c r="BH352" s="14"/>
      <c r="BI352" s="14"/>
      <c r="BJ352" s="14"/>
      <c r="BK352" s="15"/>
      <c r="BL352" s="16"/>
      <c r="BM352" s="16"/>
    </row>
    <row r="353" spans="1:65" ht="38.25" x14ac:dyDescent="0.2">
      <c r="A353" s="330">
        <v>138</v>
      </c>
      <c r="B353" s="328" t="s">
        <v>1259</v>
      </c>
      <c r="C353" s="1" t="s">
        <v>668</v>
      </c>
      <c r="D353" s="20" t="s">
        <v>147</v>
      </c>
      <c r="E353" s="2" t="s">
        <v>372</v>
      </c>
      <c r="F353" s="20" t="s">
        <v>531</v>
      </c>
      <c r="G353" s="71" t="s">
        <v>1340</v>
      </c>
      <c r="H353" s="12" t="s">
        <v>1086</v>
      </c>
      <c r="I353" s="224">
        <v>42765</v>
      </c>
      <c r="J353" s="224">
        <v>43130</v>
      </c>
      <c r="K353" s="8" t="s">
        <v>1271</v>
      </c>
      <c r="L353" s="21" t="s">
        <v>1231</v>
      </c>
      <c r="M353" s="21" t="s">
        <v>1232</v>
      </c>
      <c r="N353" s="59">
        <v>42775</v>
      </c>
      <c r="O353" s="69">
        <v>44225</v>
      </c>
      <c r="P353" s="217" t="s">
        <v>1352</v>
      </c>
      <c r="Q353" s="59">
        <v>42775</v>
      </c>
      <c r="R353" s="176">
        <v>43100</v>
      </c>
      <c r="S353" s="24" t="s">
        <v>206</v>
      </c>
      <c r="T353" s="24"/>
      <c r="U353" s="123"/>
      <c r="V353" s="123"/>
      <c r="W353" s="123" t="s">
        <v>192</v>
      </c>
      <c r="X353" s="6"/>
      <c r="Y353" s="6"/>
      <c r="Z353" s="6"/>
      <c r="AA353" s="6"/>
      <c r="AB353" s="6"/>
      <c r="AC353" s="6"/>
      <c r="AD353" s="6"/>
      <c r="AE353" s="6"/>
      <c r="AF353" s="6"/>
      <c r="AG353" s="6"/>
      <c r="AH353" s="6"/>
      <c r="AI353" s="6"/>
      <c r="AJ353" s="6"/>
      <c r="AK353" s="6"/>
      <c r="AL353" s="194">
        <f t="shared" si="4"/>
        <v>44225</v>
      </c>
      <c r="AM353" s="10"/>
      <c r="AN353" s="219">
        <f>0</f>
        <v>0</v>
      </c>
      <c r="AO353" s="138">
        <f t="shared" si="3"/>
        <v>0</v>
      </c>
      <c r="AP353" s="13"/>
      <c r="AQ353" s="13"/>
      <c r="AR353" s="13"/>
      <c r="AS353" s="13"/>
      <c r="AT353" s="12"/>
      <c r="AU353" s="16"/>
      <c r="AV353" s="14"/>
      <c r="AW353" s="14"/>
      <c r="AX353" s="14"/>
      <c r="AY353" s="14"/>
      <c r="AZ353" s="17"/>
      <c r="BA353" s="18"/>
      <c r="BB353" s="14"/>
      <c r="BC353" s="14"/>
      <c r="BD353" s="14"/>
      <c r="BE353" s="17"/>
      <c r="BF353" s="17"/>
      <c r="BG353" s="17"/>
      <c r="BH353" s="14"/>
      <c r="BI353" s="14"/>
      <c r="BJ353" s="14"/>
      <c r="BK353" s="15"/>
      <c r="BL353" s="16"/>
      <c r="BM353" s="16"/>
    </row>
    <row r="354" spans="1:65" ht="38.25" x14ac:dyDescent="0.2">
      <c r="A354" s="330">
        <v>139</v>
      </c>
      <c r="B354" s="328" t="s">
        <v>1259</v>
      </c>
      <c r="C354" s="1" t="s">
        <v>668</v>
      </c>
      <c r="D354" s="20" t="s">
        <v>147</v>
      </c>
      <c r="E354" s="2" t="s">
        <v>372</v>
      </c>
      <c r="F354" s="20" t="s">
        <v>531</v>
      </c>
      <c r="G354" s="71" t="s">
        <v>1340</v>
      </c>
      <c r="H354" s="12" t="s">
        <v>1086</v>
      </c>
      <c r="I354" s="224">
        <v>42765</v>
      </c>
      <c r="J354" s="224">
        <v>43130</v>
      </c>
      <c r="K354" s="8" t="s">
        <v>1272</v>
      </c>
      <c r="L354" s="21" t="s">
        <v>994</v>
      </c>
      <c r="M354" s="21" t="s">
        <v>995</v>
      </c>
      <c r="N354" s="59">
        <v>42775</v>
      </c>
      <c r="O354" s="69">
        <v>287745</v>
      </c>
      <c r="P354" s="1" t="s">
        <v>1339</v>
      </c>
      <c r="Q354" s="59">
        <v>42775</v>
      </c>
      <c r="R354" s="176">
        <v>43100</v>
      </c>
      <c r="S354" s="24" t="s">
        <v>614</v>
      </c>
      <c r="T354" s="24"/>
      <c r="U354" s="123"/>
      <c r="V354" s="123"/>
      <c r="W354" s="123" t="s">
        <v>192</v>
      </c>
      <c r="X354" s="6"/>
      <c r="Y354" s="6"/>
      <c r="Z354" s="6"/>
      <c r="AA354" s="6"/>
      <c r="AB354" s="6"/>
      <c r="AC354" s="6"/>
      <c r="AD354" s="6"/>
      <c r="AE354" s="6"/>
      <c r="AF354" s="6"/>
      <c r="AG354" s="6"/>
      <c r="AH354" s="6"/>
      <c r="AI354" s="6"/>
      <c r="AJ354" s="6"/>
      <c r="AK354" s="6"/>
      <c r="AL354" s="194">
        <f t="shared" si="4"/>
        <v>287745</v>
      </c>
      <c r="AM354" s="10"/>
      <c r="AN354" s="219">
        <f>0+84709+58650</f>
        <v>143359</v>
      </c>
      <c r="AO354" s="138">
        <f t="shared" si="3"/>
        <v>143359</v>
      </c>
      <c r="AP354" s="13"/>
      <c r="AQ354" s="13"/>
      <c r="AR354" s="13"/>
      <c r="AS354" s="13"/>
      <c r="AT354" s="12"/>
      <c r="AU354" s="16"/>
      <c r="AV354" s="14"/>
      <c r="AW354" s="14"/>
      <c r="AX354" s="14"/>
      <c r="AY354" s="14"/>
      <c r="AZ354" s="17"/>
      <c r="BA354" s="18"/>
      <c r="BB354" s="14"/>
      <c r="BC354" s="14"/>
      <c r="BD354" s="14"/>
      <c r="BE354" s="17"/>
      <c r="BF354" s="17"/>
      <c r="BG354" s="17"/>
      <c r="BH354" s="14"/>
      <c r="BI354" s="14"/>
      <c r="BJ354" s="14"/>
      <c r="BK354" s="15"/>
      <c r="BL354" s="16"/>
      <c r="BM354" s="16"/>
    </row>
    <row r="355" spans="1:65" ht="38.25" x14ac:dyDescent="0.2">
      <c r="A355" s="330">
        <v>140</v>
      </c>
      <c r="B355" s="328" t="s">
        <v>1259</v>
      </c>
      <c r="C355" s="1" t="s">
        <v>668</v>
      </c>
      <c r="D355" s="20" t="s">
        <v>147</v>
      </c>
      <c r="E355" s="2" t="s">
        <v>372</v>
      </c>
      <c r="F355" s="20" t="s">
        <v>531</v>
      </c>
      <c r="G355" s="71" t="s">
        <v>1340</v>
      </c>
      <c r="H355" s="12" t="s">
        <v>1086</v>
      </c>
      <c r="I355" s="224">
        <v>42765</v>
      </c>
      <c r="J355" s="224">
        <v>43130</v>
      </c>
      <c r="K355" s="8" t="s">
        <v>1273</v>
      </c>
      <c r="L355" s="21" t="s">
        <v>1275</v>
      </c>
      <c r="M355" s="21" t="s">
        <v>519</v>
      </c>
      <c r="N355" s="59">
        <v>42775</v>
      </c>
      <c r="O355" s="69">
        <v>241432.5</v>
      </c>
      <c r="P355" s="1" t="s">
        <v>1339</v>
      </c>
      <c r="Q355" s="59">
        <v>42775</v>
      </c>
      <c r="R355" s="176">
        <v>43100</v>
      </c>
      <c r="S355" s="24" t="s">
        <v>614</v>
      </c>
      <c r="T355" s="24"/>
      <c r="U355" s="123"/>
      <c r="V355" s="123"/>
      <c r="W355" s="123" t="s">
        <v>192</v>
      </c>
      <c r="X355" s="6"/>
      <c r="Y355" s="6"/>
      <c r="Z355" s="6"/>
      <c r="AA355" s="6"/>
      <c r="AB355" s="6"/>
      <c r="AC355" s="6"/>
      <c r="AD355" s="6"/>
      <c r="AE355" s="6"/>
      <c r="AF355" s="6"/>
      <c r="AG355" s="6"/>
      <c r="AH355" s="6"/>
      <c r="AI355" s="6"/>
      <c r="AJ355" s="6"/>
      <c r="AK355" s="6"/>
      <c r="AL355" s="194">
        <f t="shared" si="4"/>
        <v>241432.5</v>
      </c>
      <c r="AM355" s="10"/>
      <c r="AN355" s="219">
        <f>0+11834+102875+14281+102.4+586</f>
        <v>129678.39999999999</v>
      </c>
      <c r="AO355" s="138">
        <f t="shared" si="3"/>
        <v>129678.39999999999</v>
      </c>
      <c r="AP355" s="13"/>
      <c r="AQ355" s="13"/>
      <c r="AR355" s="13"/>
      <c r="AS355" s="13"/>
      <c r="AT355" s="12"/>
      <c r="AU355" s="16"/>
      <c r="AV355" s="14"/>
      <c r="AW355" s="14"/>
      <c r="AX355" s="14"/>
      <c r="AY355" s="14"/>
      <c r="AZ355" s="17"/>
      <c r="BA355" s="18"/>
      <c r="BB355" s="14"/>
      <c r="BC355" s="14"/>
      <c r="BD355" s="14"/>
      <c r="BE355" s="17"/>
      <c r="BF355" s="17"/>
      <c r="BG355" s="17"/>
      <c r="BH355" s="14"/>
      <c r="BI355" s="14"/>
      <c r="BJ355" s="14"/>
      <c r="BK355" s="15"/>
      <c r="BL355" s="16"/>
      <c r="BM355" s="16"/>
    </row>
    <row r="356" spans="1:65" ht="51" x14ac:dyDescent="0.2">
      <c r="A356" s="330">
        <v>141</v>
      </c>
      <c r="B356" s="77" t="s">
        <v>1276</v>
      </c>
      <c r="C356" s="70" t="s">
        <v>683</v>
      </c>
      <c r="D356" s="20" t="s">
        <v>147</v>
      </c>
      <c r="E356" s="2" t="s">
        <v>372</v>
      </c>
      <c r="F356" s="71" t="s">
        <v>1277</v>
      </c>
      <c r="G356" s="71" t="s">
        <v>1341</v>
      </c>
      <c r="H356" s="7" t="s">
        <v>664</v>
      </c>
      <c r="I356" s="67">
        <v>42563</v>
      </c>
      <c r="J356" s="67">
        <v>42928</v>
      </c>
      <c r="K356" s="8" t="s">
        <v>1273</v>
      </c>
      <c r="L356" s="21" t="s">
        <v>492</v>
      </c>
      <c r="M356" s="123" t="s">
        <v>503</v>
      </c>
      <c r="N356" s="59">
        <v>42776</v>
      </c>
      <c r="O356" s="69">
        <v>1530000</v>
      </c>
      <c r="P356" s="1" t="s">
        <v>1339</v>
      </c>
      <c r="Q356" s="59">
        <v>42776</v>
      </c>
      <c r="R356" s="176">
        <v>43100</v>
      </c>
      <c r="S356" s="2" t="s">
        <v>614</v>
      </c>
      <c r="T356" s="6"/>
      <c r="U356" s="6"/>
      <c r="V356" s="6"/>
      <c r="W356" s="6" t="s">
        <v>1278</v>
      </c>
      <c r="X356" s="6"/>
      <c r="Y356" s="6"/>
      <c r="Z356" s="6"/>
      <c r="AA356" s="6"/>
      <c r="AB356" s="6"/>
      <c r="AC356" s="6"/>
      <c r="AD356" s="6"/>
      <c r="AE356" s="6"/>
      <c r="AF356" s="6"/>
      <c r="AG356" s="6"/>
      <c r="AH356" s="6"/>
      <c r="AI356" s="6"/>
      <c r="AJ356" s="6"/>
      <c r="AK356" s="6"/>
      <c r="AL356" s="194">
        <f t="shared" si="4"/>
        <v>1530000</v>
      </c>
      <c r="AM356" s="10"/>
      <c r="AN356" s="219">
        <f>0+153000+153000+102000+51000+203994.9</f>
        <v>662994.9</v>
      </c>
      <c r="AO356" s="138">
        <f t="shared" si="3"/>
        <v>662994.9</v>
      </c>
      <c r="AP356" s="13"/>
      <c r="AQ356" s="13"/>
      <c r="AR356" s="13"/>
      <c r="AS356" s="13"/>
      <c r="AT356" s="12"/>
      <c r="AU356" s="16"/>
      <c r="AV356" s="14"/>
      <c r="AW356" s="14"/>
      <c r="AX356" s="14"/>
      <c r="AY356" s="14"/>
      <c r="AZ356" s="17"/>
      <c r="BA356" s="18"/>
      <c r="BB356" s="14"/>
      <c r="BC356" s="14"/>
      <c r="BD356" s="14"/>
      <c r="BE356" s="17"/>
      <c r="BF356" s="17"/>
      <c r="BG356" s="17"/>
      <c r="BH356" s="14"/>
      <c r="BI356" s="14"/>
      <c r="BJ356" s="14"/>
      <c r="BK356" s="15"/>
      <c r="BL356" s="16"/>
      <c r="BM356" s="16"/>
    </row>
    <row r="357" spans="1:65" ht="38.25" x14ac:dyDescent="0.2">
      <c r="A357" s="330">
        <v>142</v>
      </c>
      <c r="B357" s="77" t="s">
        <v>1280</v>
      </c>
      <c r="C357" s="70" t="s">
        <v>662</v>
      </c>
      <c r="D357" s="20" t="s">
        <v>147</v>
      </c>
      <c r="E357" s="2" t="s">
        <v>372</v>
      </c>
      <c r="F357" s="71" t="s">
        <v>1281</v>
      </c>
      <c r="G357" s="71" t="s">
        <v>1342</v>
      </c>
      <c r="H357" s="7" t="s">
        <v>670</v>
      </c>
      <c r="I357" s="67">
        <v>42593</v>
      </c>
      <c r="J357" s="67">
        <v>42958</v>
      </c>
      <c r="K357" s="8" t="s">
        <v>1279</v>
      </c>
      <c r="L357" s="21" t="s">
        <v>695</v>
      </c>
      <c r="M357" s="21" t="s">
        <v>571</v>
      </c>
      <c r="N357" s="59">
        <v>42776</v>
      </c>
      <c r="O357" s="69">
        <v>389735</v>
      </c>
      <c r="P357" s="237" t="s">
        <v>1345</v>
      </c>
      <c r="Q357" s="59">
        <v>42776</v>
      </c>
      <c r="R357" s="176">
        <v>43100</v>
      </c>
      <c r="S357" s="2" t="s">
        <v>614</v>
      </c>
      <c r="T357" s="6"/>
      <c r="U357" s="6"/>
      <c r="V357" s="6"/>
      <c r="W357" s="6" t="s">
        <v>1282</v>
      </c>
      <c r="X357" s="6"/>
      <c r="Y357" s="6"/>
      <c r="Z357" s="6"/>
      <c r="AA357" s="6"/>
      <c r="AB357" s="6"/>
      <c r="AC357" s="6"/>
      <c r="AD357" s="6"/>
      <c r="AE357" s="6"/>
      <c r="AF357" s="6"/>
      <c r="AG357" s="6"/>
      <c r="AH357" s="6"/>
      <c r="AI357" s="6"/>
      <c r="AJ357" s="6"/>
      <c r="AK357" s="6"/>
      <c r="AL357" s="194">
        <f t="shared" si="4"/>
        <v>389735</v>
      </c>
      <c r="AM357" s="10"/>
      <c r="AN357" s="219">
        <f>0</f>
        <v>0</v>
      </c>
      <c r="AO357" s="138">
        <f t="shared" si="3"/>
        <v>0</v>
      </c>
      <c r="AP357" s="13"/>
      <c r="AQ357" s="13"/>
      <c r="AR357" s="13"/>
      <c r="AS357" s="13"/>
      <c r="AT357" s="12"/>
      <c r="AU357" s="16"/>
      <c r="AV357" s="14"/>
      <c r="AW357" s="14"/>
      <c r="AX357" s="14"/>
      <c r="AY357" s="14"/>
      <c r="AZ357" s="17"/>
      <c r="BA357" s="18"/>
      <c r="BB357" s="14"/>
      <c r="BC357" s="14"/>
      <c r="BD357" s="14"/>
      <c r="BE357" s="17"/>
      <c r="BF357" s="17"/>
      <c r="BG357" s="17"/>
      <c r="BH357" s="14"/>
      <c r="BI357" s="14"/>
      <c r="BJ357" s="14"/>
      <c r="BK357" s="15"/>
      <c r="BL357" s="16"/>
      <c r="BM357" s="16"/>
    </row>
    <row r="358" spans="1:65" ht="38.25" x14ac:dyDescent="0.2">
      <c r="A358" s="330">
        <v>143</v>
      </c>
      <c r="B358" s="77" t="s">
        <v>1280</v>
      </c>
      <c r="C358" s="70" t="s">
        <v>662</v>
      </c>
      <c r="D358" s="20" t="s">
        <v>147</v>
      </c>
      <c r="E358" s="2" t="s">
        <v>372</v>
      </c>
      <c r="F358" s="71" t="s">
        <v>1281</v>
      </c>
      <c r="G358" s="71" t="s">
        <v>1342</v>
      </c>
      <c r="H358" s="7" t="s">
        <v>670</v>
      </c>
      <c r="I358" s="67">
        <v>42593</v>
      </c>
      <c r="J358" s="67">
        <v>42958</v>
      </c>
      <c r="K358" s="8" t="s">
        <v>1283</v>
      </c>
      <c r="L358" s="21" t="s">
        <v>287</v>
      </c>
      <c r="M358" s="21" t="s">
        <v>288</v>
      </c>
      <c r="N358" s="59">
        <v>42776</v>
      </c>
      <c r="O358" s="69">
        <v>117000</v>
      </c>
      <c r="P358" s="237" t="s">
        <v>1343</v>
      </c>
      <c r="Q358" s="59">
        <v>42776</v>
      </c>
      <c r="R358" s="176">
        <v>43100</v>
      </c>
      <c r="S358" s="2" t="s">
        <v>614</v>
      </c>
      <c r="T358" s="6"/>
      <c r="U358" s="6"/>
      <c r="V358" s="6"/>
      <c r="W358" s="6" t="s">
        <v>1282</v>
      </c>
      <c r="X358" s="6"/>
      <c r="Y358" s="6"/>
      <c r="Z358" s="6"/>
      <c r="AA358" s="6"/>
      <c r="AB358" s="6"/>
      <c r="AC358" s="6"/>
      <c r="AD358" s="6"/>
      <c r="AE358" s="6"/>
      <c r="AF358" s="6"/>
      <c r="AG358" s="6"/>
      <c r="AH358" s="6"/>
      <c r="AI358" s="6"/>
      <c r="AJ358" s="6"/>
      <c r="AK358" s="6"/>
      <c r="AL358" s="194">
        <f t="shared" si="4"/>
        <v>117000</v>
      </c>
      <c r="AM358" s="10"/>
      <c r="AN358" s="219">
        <f>0</f>
        <v>0</v>
      </c>
      <c r="AO358" s="138">
        <f t="shared" si="3"/>
        <v>0</v>
      </c>
      <c r="AP358" s="13"/>
      <c r="AQ358" s="13"/>
      <c r="AR358" s="13"/>
      <c r="AS358" s="13"/>
      <c r="AT358" s="12"/>
      <c r="AU358" s="16"/>
      <c r="AV358" s="14"/>
      <c r="AW358" s="14"/>
      <c r="AX358" s="14"/>
      <c r="AY358" s="14"/>
      <c r="AZ358" s="17"/>
      <c r="BA358" s="18"/>
      <c r="BB358" s="14"/>
      <c r="BC358" s="14"/>
      <c r="BD358" s="14"/>
      <c r="BE358" s="17"/>
      <c r="BF358" s="17"/>
      <c r="BG358" s="17"/>
      <c r="BH358" s="14"/>
      <c r="BI358" s="14"/>
      <c r="BJ358" s="14"/>
      <c r="BK358" s="15"/>
      <c r="BL358" s="16"/>
      <c r="BM358" s="16"/>
    </row>
    <row r="359" spans="1:65" ht="38.25" x14ac:dyDescent="0.2">
      <c r="A359" s="330">
        <v>144</v>
      </c>
      <c r="B359" s="77" t="s">
        <v>1280</v>
      </c>
      <c r="C359" s="70" t="s">
        <v>662</v>
      </c>
      <c r="D359" s="20" t="s">
        <v>147</v>
      </c>
      <c r="E359" s="2" t="s">
        <v>372</v>
      </c>
      <c r="F359" s="71" t="s">
        <v>1281</v>
      </c>
      <c r="G359" s="71" t="s">
        <v>1342</v>
      </c>
      <c r="H359" s="7" t="s">
        <v>673</v>
      </c>
      <c r="I359" s="67">
        <v>42608</v>
      </c>
      <c r="J359" s="67">
        <v>42973</v>
      </c>
      <c r="K359" s="8" t="s">
        <v>1284</v>
      </c>
      <c r="L359" s="21" t="s">
        <v>709</v>
      </c>
      <c r="M359" s="21" t="s">
        <v>710</v>
      </c>
      <c r="N359" s="59">
        <v>42776</v>
      </c>
      <c r="O359" s="69">
        <v>112789.25</v>
      </c>
      <c r="P359" s="237" t="s">
        <v>1344</v>
      </c>
      <c r="Q359" s="59">
        <v>42776</v>
      </c>
      <c r="R359" s="176">
        <v>43100</v>
      </c>
      <c r="S359" s="2" t="s">
        <v>614</v>
      </c>
      <c r="T359" s="6"/>
      <c r="U359" s="6"/>
      <c r="V359" s="6"/>
      <c r="W359" s="6" t="s">
        <v>1282</v>
      </c>
      <c r="X359" s="6"/>
      <c r="Y359" s="6"/>
      <c r="Z359" s="6"/>
      <c r="AA359" s="6"/>
      <c r="AB359" s="6"/>
      <c r="AC359" s="6"/>
      <c r="AD359" s="6"/>
      <c r="AE359" s="6"/>
      <c r="AF359" s="6"/>
      <c r="AG359" s="6"/>
      <c r="AH359" s="6"/>
      <c r="AI359" s="6"/>
      <c r="AJ359" s="6"/>
      <c r="AK359" s="6"/>
      <c r="AL359" s="194">
        <f t="shared" si="4"/>
        <v>112789.25</v>
      </c>
      <c r="AM359" s="10"/>
      <c r="AN359" s="219">
        <f>0</f>
        <v>0</v>
      </c>
      <c r="AO359" s="138">
        <f t="shared" si="3"/>
        <v>0</v>
      </c>
      <c r="AP359" s="13"/>
      <c r="AQ359" s="13"/>
      <c r="AR359" s="13"/>
      <c r="AS359" s="13"/>
      <c r="AT359" s="12"/>
      <c r="AU359" s="16"/>
      <c r="AV359" s="14"/>
      <c r="AW359" s="14"/>
      <c r="AX359" s="14"/>
      <c r="AY359" s="14"/>
      <c r="AZ359" s="17"/>
      <c r="BA359" s="18"/>
      <c r="BB359" s="14"/>
      <c r="BC359" s="14"/>
      <c r="BD359" s="14"/>
      <c r="BE359" s="17"/>
      <c r="BF359" s="17"/>
      <c r="BG359" s="17"/>
      <c r="BH359" s="14"/>
      <c r="BI359" s="14"/>
      <c r="BJ359" s="14"/>
      <c r="BK359" s="15"/>
      <c r="BL359" s="16"/>
      <c r="BM359" s="16"/>
    </row>
    <row r="360" spans="1:65" ht="51" x14ac:dyDescent="0.2">
      <c r="A360" s="330">
        <v>145</v>
      </c>
      <c r="B360" s="77" t="s">
        <v>1286</v>
      </c>
      <c r="C360" s="70" t="s">
        <v>684</v>
      </c>
      <c r="D360" s="20" t="s">
        <v>147</v>
      </c>
      <c r="E360" s="2" t="s">
        <v>372</v>
      </c>
      <c r="F360" s="71" t="s">
        <v>1287</v>
      </c>
      <c r="G360" s="71" t="s">
        <v>1346</v>
      </c>
      <c r="H360" s="7" t="s">
        <v>676</v>
      </c>
      <c r="I360" s="67">
        <v>42682</v>
      </c>
      <c r="J360" s="67">
        <v>43047</v>
      </c>
      <c r="K360" s="8" t="s">
        <v>1285</v>
      </c>
      <c r="L360" s="21" t="s">
        <v>693</v>
      </c>
      <c r="M360" s="21" t="s">
        <v>694</v>
      </c>
      <c r="N360" s="59">
        <v>42776</v>
      </c>
      <c r="O360" s="69">
        <v>26950</v>
      </c>
      <c r="P360" s="237" t="s">
        <v>1339</v>
      </c>
      <c r="Q360" s="59">
        <v>42776</v>
      </c>
      <c r="R360" s="176">
        <v>43100</v>
      </c>
      <c r="S360" s="6" t="s">
        <v>919</v>
      </c>
      <c r="T360" s="6"/>
      <c r="U360" s="6"/>
      <c r="V360" s="6"/>
      <c r="W360" s="6" t="s">
        <v>1278</v>
      </c>
      <c r="X360" s="6"/>
      <c r="Y360" s="6"/>
      <c r="Z360" s="6"/>
      <c r="AA360" s="6"/>
      <c r="AB360" s="6"/>
      <c r="AC360" s="6"/>
      <c r="AD360" s="6"/>
      <c r="AE360" s="6"/>
      <c r="AF360" s="6"/>
      <c r="AG360" s="6"/>
      <c r="AH360" s="6"/>
      <c r="AI360" s="6"/>
      <c r="AJ360" s="6"/>
      <c r="AK360" s="6"/>
      <c r="AL360" s="194">
        <f t="shared" si="4"/>
        <v>26950</v>
      </c>
      <c r="AM360" s="10"/>
      <c r="AN360" s="219">
        <f>0</f>
        <v>0</v>
      </c>
      <c r="AO360" s="138">
        <f t="shared" si="3"/>
        <v>0</v>
      </c>
      <c r="AP360" s="13"/>
      <c r="AQ360" s="13"/>
      <c r="AR360" s="13"/>
      <c r="AS360" s="13"/>
      <c r="AT360" s="12"/>
      <c r="AU360" s="16"/>
      <c r="AV360" s="14"/>
      <c r="AW360" s="14"/>
      <c r="AX360" s="14"/>
      <c r="AY360" s="14"/>
      <c r="AZ360" s="17"/>
      <c r="BA360" s="18"/>
      <c r="BB360" s="14"/>
      <c r="BC360" s="14"/>
      <c r="BD360" s="14"/>
      <c r="BE360" s="17"/>
      <c r="BF360" s="17"/>
      <c r="BG360" s="17"/>
      <c r="BH360" s="14"/>
      <c r="BI360" s="14"/>
      <c r="BJ360" s="14"/>
      <c r="BK360" s="15"/>
      <c r="BL360" s="16"/>
      <c r="BM360" s="16"/>
    </row>
    <row r="361" spans="1:65" ht="76.5" x14ac:dyDescent="0.2">
      <c r="A361" s="330">
        <v>146</v>
      </c>
      <c r="B361" s="77" t="s">
        <v>1288</v>
      </c>
      <c r="C361" s="70" t="s">
        <v>691</v>
      </c>
      <c r="D361" s="20" t="s">
        <v>147</v>
      </c>
      <c r="E361" s="2" t="s">
        <v>372</v>
      </c>
      <c r="F361" s="71" t="s">
        <v>1039</v>
      </c>
      <c r="G361" s="71" t="s">
        <v>1347</v>
      </c>
      <c r="H361" s="7" t="s">
        <v>1089</v>
      </c>
      <c r="I361" s="67">
        <v>42767</v>
      </c>
      <c r="J361" s="67">
        <v>43132</v>
      </c>
      <c r="K361" s="8" t="s">
        <v>1289</v>
      </c>
      <c r="L361" s="21" t="s">
        <v>269</v>
      </c>
      <c r="M361" s="21" t="s">
        <v>270</v>
      </c>
      <c r="N361" s="59">
        <v>42776</v>
      </c>
      <c r="O361" s="69">
        <v>37000</v>
      </c>
      <c r="P361" s="237" t="s">
        <v>1348</v>
      </c>
      <c r="Q361" s="59">
        <v>42776</v>
      </c>
      <c r="R361" s="176">
        <v>43100</v>
      </c>
      <c r="S361" s="6" t="s">
        <v>1290</v>
      </c>
      <c r="T361" s="6"/>
      <c r="U361" s="6"/>
      <c r="V361" s="6"/>
      <c r="W361" s="6" t="s">
        <v>1037</v>
      </c>
      <c r="X361" s="2" t="s">
        <v>498</v>
      </c>
      <c r="Y361" s="2" t="s">
        <v>138</v>
      </c>
      <c r="Z361" s="117">
        <v>42961</v>
      </c>
      <c r="AA361" s="207">
        <v>12118</v>
      </c>
      <c r="AB361" s="72" t="s">
        <v>1837</v>
      </c>
      <c r="AC361" s="6"/>
      <c r="AD361" s="6"/>
      <c r="AE361" s="6"/>
      <c r="AF361" s="6"/>
      <c r="AG361" s="10">
        <v>8750</v>
      </c>
      <c r="AH361" s="6"/>
      <c r="AI361" s="6"/>
      <c r="AJ361" s="6"/>
      <c r="AK361" s="6"/>
      <c r="AL361" s="194">
        <f>O361-AH361+AG361</f>
        <v>45750</v>
      </c>
      <c r="AM361" s="10"/>
      <c r="AN361" s="219">
        <f>0+22200+14000+8750</f>
        <v>44950</v>
      </c>
      <c r="AO361" s="138">
        <f t="shared" si="3"/>
        <v>44950</v>
      </c>
      <c r="AP361" s="13"/>
      <c r="AQ361" s="13"/>
      <c r="AR361" s="13"/>
      <c r="AS361" s="13"/>
      <c r="AT361" s="12"/>
      <c r="AU361" s="16"/>
      <c r="AV361" s="14"/>
      <c r="AW361" s="14"/>
      <c r="AX361" s="14"/>
      <c r="AY361" s="14"/>
      <c r="AZ361" s="17"/>
      <c r="BA361" s="18"/>
      <c r="BB361" s="14"/>
      <c r="BC361" s="14"/>
      <c r="BD361" s="14"/>
      <c r="BE361" s="17"/>
      <c r="BF361" s="17"/>
      <c r="BG361" s="17"/>
      <c r="BH361" s="14"/>
      <c r="BI361" s="14"/>
      <c r="BJ361" s="14"/>
      <c r="BK361" s="15"/>
      <c r="BL361" s="16"/>
      <c r="BM361" s="16"/>
    </row>
    <row r="362" spans="1:65" ht="63.75" x14ac:dyDescent="0.2">
      <c r="A362" s="330">
        <v>147</v>
      </c>
      <c r="B362" s="77" t="s">
        <v>1288</v>
      </c>
      <c r="C362" s="70" t="s">
        <v>691</v>
      </c>
      <c r="D362" s="20" t="s">
        <v>147</v>
      </c>
      <c r="E362" s="2" t="s">
        <v>372</v>
      </c>
      <c r="F362" s="71" t="s">
        <v>1039</v>
      </c>
      <c r="G362" s="71" t="s">
        <v>1347</v>
      </c>
      <c r="H362" s="7" t="s">
        <v>1089</v>
      </c>
      <c r="I362" s="67">
        <v>42767</v>
      </c>
      <c r="J362" s="67">
        <v>43132</v>
      </c>
      <c r="K362" s="8" t="s">
        <v>1291</v>
      </c>
      <c r="L362" s="21" t="s">
        <v>1036</v>
      </c>
      <c r="M362" s="21" t="s">
        <v>246</v>
      </c>
      <c r="N362" s="59">
        <v>42776</v>
      </c>
      <c r="O362" s="69">
        <v>58400</v>
      </c>
      <c r="P362" s="237" t="s">
        <v>1344</v>
      </c>
      <c r="Q362" s="59">
        <v>42776</v>
      </c>
      <c r="R362" s="176">
        <v>43100</v>
      </c>
      <c r="S362" s="6" t="s">
        <v>1290</v>
      </c>
      <c r="T362" s="6"/>
      <c r="U362" s="6"/>
      <c r="V362" s="6"/>
      <c r="W362" s="6" t="s">
        <v>1037</v>
      </c>
      <c r="X362" s="6"/>
      <c r="Y362" s="6"/>
      <c r="Z362" s="6"/>
      <c r="AA362" s="6"/>
      <c r="AB362" s="6"/>
      <c r="AC362" s="6"/>
      <c r="AD362" s="6"/>
      <c r="AE362" s="6"/>
      <c r="AF362" s="6"/>
      <c r="AG362" s="6"/>
      <c r="AH362" s="6"/>
      <c r="AI362" s="6"/>
      <c r="AJ362" s="6"/>
      <c r="AK362" s="6"/>
      <c r="AL362" s="194">
        <f t="shared" si="4"/>
        <v>58400</v>
      </c>
      <c r="AM362" s="10"/>
      <c r="AN362" s="219">
        <f>0+22306+20094+7000</f>
        <v>49400</v>
      </c>
      <c r="AO362" s="138">
        <f t="shared" si="3"/>
        <v>49400</v>
      </c>
      <c r="AP362" s="13"/>
      <c r="AQ362" s="13"/>
      <c r="AR362" s="13"/>
      <c r="AS362" s="13"/>
      <c r="AT362" s="12"/>
      <c r="AU362" s="16"/>
      <c r="AV362" s="14"/>
      <c r="AW362" s="14"/>
      <c r="AX362" s="14"/>
      <c r="AY362" s="14"/>
      <c r="AZ362" s="17"/>
      <c r="BA362" s="18"/>
      <c r="BB362" s="14"/>
      <c r="BC362" s="14"/>
      <c r="BD362" s="14"/>
      <c r="BE362" s="17"/>
      <c r="BF362" s="17"/>
      <c r="BG362" s="17"/>
      <c r="BH362" s="14"/>
      <c r="BI362" s="14"/>
      <c r="BJ362" s="14"/>
      <c r="BK362" s="15"/>
      <c r="BL362" s="16"/>
      <c r="BM362" s="16"/>
    </row>
    <row r="363" spans="1:65" ht="51" x14ac:dyDescent="0.2">
      <c r="A363" s="330">
        <v>148</v>
      </c>
      <c r="B363" s="77" t="s">
        <v>1294</v>
      </c>
      <c r="C363" s="70" t="s">
        <v>1083</v>
      </c>
      <c r="D363" s="20" t="s">
        <v>147</v>
      </c>
      <c r="E363" s="2" t="s">
        <v>372</v>
      </c>
      <c r="F363" s="71" t="s">
        <v>1293</v>
      </c>
      <c r="G363" s="71" t="s">
        <v>1349</v>
      </c>
      <c r="H363" s="7" t="s">
        <v>1087</v>
      </c>
      <c r="I363" s="67">
        <v>42767</v>
      </c>
      <c r="J363" s="67">
        <v>43132</v>
      </c>
      <c r="K363" s="8" t="s">
        <v>1292</v>
      </c>
      <c r="L363" s="21" t="s">
        <v>884</v>
      </c>
      <c r="M363" s="21" t="s">
        <v>885</v>
      </c>
      <c r="N363" s="59">
        <v>42776</v>
      </c>
      <c r="O363" s="69">
        <v>9980</v>
      </c>
      <c r="P363" s="237" t="s">
        <v>1343</v>
      </c>
      <c r="Q363" s="59">
        <v>42776</v>
      </c>
      <c r="R363" s="176">
        <v>43100</v>
      </c>
      <c r="S363" s="6" t="s">
        <v>1295</v>
      </c>
      <c r="T363" s="6"/>
      <c r="U363" s="6"/>
      <c r="V363" s="6"/>
      <c r="W363" s="6" t="s">
        <v>192</v>
      </c>
      <c r="X363" s="6"/>
      <c r="Y363" s="6"/>
      <c r="Z363" s="6"/>
      <c r="AA363" s="6"/>
      <c r="AB363" s="6"/>
      <c r="AC363" s="6"/>
      <c r="AD363" s="6"/>
      <c r="AE363" s="6"/>
      <c r="AF363" s="6"/>
      <c r="AG363" s="6"/>
      <c r="AH363" s="6"/>
      <c r="AI363" s="6"/>
      <c r="AJ363" s="6"/>
      <c r="AK363" s="6"/>
      <c r="AL363" s="194">
        <f t="shared" si="4"/>
        <v>9980</v>
      </c>
      <c r="AM363" s="10"/>
      <c r="AN363" s="219">
        <f>0</f>
        <v>0</v>
      </c>
      <c r="AO363" s="138">
        <f t="shared" si="3"/>
        <v>0</v>
      </c>
      <c r="AP363" s="13"/>
      <c r="AQ363" s="13"/>
      <c r="AR363" s="13"/>
      <c r="AS363" s="13"/>
      <c r="AT363" s="12"/>
      <c r="AU363" s="16"/>
      <c r="AV363" s="14"/>
      <c r="AW363" s="14"/>
      <c r="AX363" s="14"/>
      <c r="AY363" s="14"/>
      <c r="AZ363" s="17"/>
      <c r="BA363" s="18"/>
      <c r="BB363" s="14"/>
      <c r="BC363" s="14"/>
      <c r="BD363" s="14"/>
      <c r="BE363" s="17"/>
      <c r="BF363" s="17"/>
      <c r="BG363" s="17"/>
      <c r="BH363" s="14"/>
      <c r="BI363" s="14"/>
      <c r="BJ363" s="14"/>
      <c r="BK363" s="15"/>
      <c r="BL363" s="16"/>
      <c r="BM363" s="16"/>
    </row>
    <row r="364" spans="1:65" ht="51" x14ac:dyDescent="0.2">
      <c r="A364" s="330">
        <v>149</v>
      </c>
      <c r="B364" s="77" t="s">
        <v>1294</v>
      </c>
      <c r="C364" s="70" t="s">
        <v>1083</v>
      </c>
      <c r="D364" s="20" t="s">
        <v>147</v>
      </c>
      <c r="E364" s="2" t="s">
        <v>372</v>
      </c>
      <c r="F364" s="71" t="s">
        <v>1293</v>
      </c>
      <c r="G364" s="71" t="s">
        <v>1349</v>
      </c>
      <c r="H364" s="7" t="s">
        <v>1087</v>
      </c>
      <c r="I364" s="67">
        <v>42767</v>
      </c>
      <c r="J364" s="67">
        <v>43132</v>
      </c>
      <c r="K364" s="8" t="s">
        <v>1296</v>
      </c>
      <c r="L364" s="21" t="s">
        <v>1297</v>
      </c>
      <c r="M364" s="21" t="s">
        <v>1298</v>
      </c>
      <c r="N364" s="59">
        <v>42776</v>
      </c>
      <c r="O364" s="69">
        <v>6785</v>
      </c>
      <c r="P364" s="237" t="s">
        <v>1348</v>
      </c>
      <c r="Q364" s="59">
        <v>42776</v>
      </c>
      <c r="R364" s="176">
        <v>43100</v>
      </c>
      <c r="S364" s="6" t="s">
        <v>1295</v>
      </c>
      <c r="T364" s="6"/>
      <c r="U364" s="6"/>
      <c r="V364" s="6"/>
      <c r="W364" s="6" t="s">
        <v>192</v>
      </c>
      <c r="X364" s="6"/>
      <c r="Y364" s="6"/>
      <c r="Z364" s="6"/>
      <c r="AA364" s="6"/>
      <c r="AB364" s="6"/>
      <c r="AC364" s="6"/>
      <c r="AD364" s="6"/>
      <c r="AE364" s="6"/>
      <c r="AF364" s="6"/>
      <c r="AG364" s="6"/>
      <c r="AH364" s="6"/>
      <c r="AI364" s="6"/>
      <c r="AJ364" s="6"/>
      <c r="AK364" s="6"/>
      <c r="AL364" s="194">
        <f t="shared" si="4"/>
        <v>6785</v>
      </c>
      <c r="AM364" s="10"/>
      <c r="AN364" s="219">
        <f>0</f>
        <v>0</v>
      </c>
      <c r="AO364" s="138">
        <f t="shared" si="3"/>
        <v>0</v>
      </c>
      <c r="AP364" s="13"/>
      <c r="AQ364" s="13"/>
      <c r="AR364" s="13"/>
      <c r="AS364" s="13"/>
      <c r="AT364" s="12"/>
      <c r="AU364" s="16"/>
      <c r="AV364" s="14"/>
      <c r="AW364" s="14"/>
      <c r="AX364" s="14"/>
      <c r="AY364" s="14"/>
      <c r="AZ364" s="17"/>
      <c r="BA364" s="18"/>
      <c r="BB364" s="14"/>
      <c r="BC364" s="14"/>
      <c r="BD364" s="14"/>
      <c r="BE364" s="17"/>
      <c r="BF364" s="17"/>
      <c r="BG364" s="17"/>
      <c r="BH364" s="14"/>
      <c r="BI364" s="14"/>
      <c r="BJ364" s="14"/>
      <c r="BK364" s="15"/>
      <c r="BL364" s="16"/>
      <c r="BM364" s="16"/>
    </row>
    <row r="365" spans="1:65" ht="51" x14ac:dyDescent="0.2">
      <c r="A365" s="330">
        <v>150</v>
      </c>
      <c r="B365" s="77" t="s">
        <v>1294</v>
      </c>
      <c r="C365" s="70" t="s">
        <v>1083</v>
      </c>
      <c r="D365" s="20" t="s">
        <v>147</v>
      </c>
      <c r="E365" s="2" t="s">
        <v>372</v>
      </c>
      <c r="F365" s="71" t="s">
        <v>1293</v>
      </c>
      <c r="G365" s="71" t="s">
        <v>1349</v>
      </c>
      <c r="H365" s="7" t="s">
        <v>1087</v>
      </c>
      <c r="I365" s="67">
        <v>42767</v>
      </c>
      <c r="J365" s="67">
        <v>43132</v>
      </c>
      <c r="K365" s="8" t="s">
        <v>1299</v>
      </c>
      <c r="L365" s="21" t="s">
        <v>986</v>
      </c>
      <c r="M365" s="21" t="s">
        <v>698</v>
      </c>
      <c r="N365" s="59">
        <v>42776</v>
      </c>
      <c r="O365" s="69">
        <v>7342</v>
      </c>
      <c r="P365" s="237" t="s">
        <v>1339</v>
      </c>
      <c r="Q365" s="59">
        <v>42776</v>
      </c>
      <c r="R365" s="176">
        <v>43100</v>
      </c>
      <c r="S365" s="6" t="s">
        <v>1300</v>
      </c>
      <c r="T365" s="6"/>
      <c r="U365" s="6"/>
      <c r="V365" s="6"/>
      <c r="W365" s="6" t="s">
        <v>192</v>
      </c>
      <c r="X365" s="6"/>
      <c r="Y365" s="6"/>
      <c r="Z365" s="6"/>
      <c r="AA365" s="6"/>
      <c r="AB365" s="6"/>
      <c r="AC365" s="6"/>
      <c r="AD365" s="6"/>
      <c r="AE365" s="6"/>
      <c r="AF365" s="6"/>
      <c r="AG365" s="6"/>
      <c r="AH365" s="6"/>
      <c r="AI365" s="6"/>
      <c r="AJ365" s="6"/>
      <c r="AK365" s="6"/>
      <c r="AL365" s="194">
        <f t="shared" si="4"/>
        <v>7342</v>
      </c>
      <c r="AM365" s="10"/>
      <c r="AN365" s="219">
        <f>0</f>
        <v>0</v>
      </c>
      <c r="AO365" s="138">
        <f t="shared" si="3"/>
        <v>0</v>
      </c>
      <c r="AP365" s="13"/>
      <c r="AQ365" s="13"/>
      <c r="AR365" s="13"/>
      <c r="AS365" s="13"/>
      <c r="AT365" s="12"/>
      <c r="AU365" s="16"/>
      <c r="AV365" s="14"/>
      <c r="AW365" s="14"/>
      <c r="AX365" s="14"/>
      <c r="AY365" s="14"/>
      <c r="AZ365" s="17"/>
      <c r="BA365" s="18"/>
      <c r="BB365" s="14"/>
      <c r="BC365" s="14"/>
      <c r="BD365" s="14"/>
      <c r="BE365" s="17"/>
      <c r="BF365" s="17"/>
      <c r="BG365" s="17"/>
      <c r="BH365" s="14"/>
      <c r="BI365" s="14"/>
      <c r="BJ365" s="14"/>
      <c r="BK365" s="15"/>
      <c r="BL365" s="16"/>
      <c r="BM365" s="16"/>
    </row>
    <row r="366" spans="1:65" ht="51" x14ac:dyDescent="0.2">
      <c r="A366" s="330">
        <v>151</v>
      </c>
      <c r="B366" s="77" t="s">
        <v>1294</v>
      </c>
      <c r="C366" s="70" t="s">
        <v>1083</v>
      </c>
      <c r="D366" s="20" t="s">
        <v>147</v>
      </c>
      <c r="E366" s="2" t="s">
        <v>372</v>
      </c>
      <c r="F366" s="71" t="s">
        <v>1293</v>
      </c>
      <c r="G366" s="71" t="s">
        <v>1349</v>
      </c>
      <c r="H366" s="7" t="s">
        <v>1087</v>
      </c>
      <c r="I366" s="67">
        <v>42767</v>
      </c>
      <c r="J366" s="67">
        <v>43132</v>
      </c>
      <c r="K366" s="8" t="s">
        <v>1301</v>
      </c>
      <c r="L366" s="21" t="s">
        <v>1302</v>
      </c>
      <c r="M366" s="21" t="s">
        <v>955</v>
      </c>
      <c r="N366" s="59">
        <v>42776</v>
      </c>
      <c r="O366" s="69">
        <v>540</v>
      </c>
      <c r="P366" s="237" t="s">
        <v>1343</v>
      </c>
      <c r="Q366" s="59">
        <v>42776</v>
      </c>
      <c r="R366" s="176">
        <v>43100</v>
      </c>
      <c r="S366" s="6" t="s">
        <v>1300</v>
      </c>
      <c r="T366" s="6"/>
      <c r="U366" s="6"/>
      <c r="V366" s="6"/>
      <c r="W366" s="6" t="s">
        <v>192</v>
      </c>
      <c r="X366" s="6"/>
      <c r="Y366" s="6"/>
      <c r="Z366" s="6"/>
      <c r="AA366" s="6"/>
      <c r="AB366" s="6"/>
      <c r="AC366" s="6"/>
      <c r="AD366" s="6"/>
      <c r="AE366" s="6"/>
      <c r="AF366" s="6"/>
      <c r="AG366" s="6"/>
      <c r="AH366" s="6"/>
      <c r="AI366" s="6"/>
      <c r="AJ366" s="6"/>
      <c r="AK366" s="6"/>
      <c r="AL366" s="194">
        <f t="shared" si="4"/>
        <v>540</v>
      </c>
      <c r="AM366" s="10"/>
      <c r="AN366" s="219">
        <f>0</f>
        <v>0</v>
      </c>
      <c r="AO366" s="138">
        <f t="shared" si="3"/>
        <v>0</v>
      </c>
      <c r="AP366" s="13"/>
      <c r="AQ366" s="13"/>
      <c r="AR366" s="13"/>
      <c r="AS366" s="13"/>
      <c r="AT366" s="12"/>
      <c r="AU366" s="16"/>
      <c r="AV366" s="14"/>
      <c r="AW366" s="14"/>
      <c r="AX366" s="14"/>
      <c r="AY366" s="14"/>
      <c r="AZ366" s="17"/>
      <c r="BA366" s="18"/>
      <c r="BB366" s="14"/>
      <c r="BC366" s="14"/>
      <c r="BD366" s="14"/>
      <c r="BE366" s="17"/>
      <c r="BF366" s="17"/>
      <c r="BG366" s="17"/>
      <c r="BH366" s="14"/>
      <c r="BI366" s="14"/>
      <c r="BJ366" s="14"/>
      <c r="BK366" s="15"/>
      <c r="BL366" s="16"/>
      <c r="BM366" s="16"/>
    </row>
    <row r="367" spans="1:65" ht="76.5" x14ac:dyDescent="0.2">
      <c r="A367" s="330">
        <v>152</v>
      </c>
      <c r="B367" s="77" t="s">
        <v>1303</v>
      </c>
      <c r="C367" s="70" t="s">
        <v>685</v>
      </c>
      <c r="D367" s="20" t="s">
        <v>147</v>
      </c>
      <c r="E367" s="2" t="s">
        <v>372</v>
      </c>
      <c r="F367" s="71" t="s">
        <v>1305</v>
      </c>
      <c r="G367" s="71" t="s">
        <v>1350</v>
      </c>
      <c r="H367" s="7" t="s">
        <v>1083</v>
      </c>
      <c r="I367" s="67">
        <v>42746</v>
      </c>
      <c r="J367" s="67">
        <v>43111</v>
      </c>
      <c r="K367" s="8" t="s">
        <v>1306</v>
      </c>
      <c r="L367" s="21" t="s">
        <v>1304</v>
      </c>
      <c r="M367" s="21" t="s">
        <v>276</v>
      </c>
      <c r="N367" s="59">
        <v>42779</v>
      </c>
      <c r="O367" s="69">
        <v>356707.86</v>
      </c>
      <c r="P367" s="237" t="s">
        <v>1433</v>
      </c>
      <c r="Q367" s="59">
        <v>42779</v>
      </c>
      <c r="R367" s="176">
        <v>43100</v>
      </c>
      <c r="S367" s="6" t="s">
        <v>146</v>
      </c>
      <c r="T367" s="6"/>
      <c r="U367" s="6"/>
      <c r="V367" s="6"/>
      <c r="W367" s="6" t="s">
        <v>1278</v>
      </c>
      <c r="X367" s="6"/>
      <c r="Y367" s="6"/>
      <c r="Z367" s="6"/>
      <c r="AA367" s="6"/>
      <c r="AB367" s="6"/>
      <c r="AC367" s="6"/>
      <c r="AD367" s="6"/>
      <c r="AE367" s="6"/>
      <c r="AF367" s="6"/>
      <c r="AG367" s="6"/>
      <c r="AH367" s="6"/>
      <c r="AI367" s="6"/>
      <c r="AJ367" s="6"/>
      <c r="AK367" s="6"/>
      <c r="AL367" s="194">
        <f t="shared" si="4"/>
        <v>356707.86</v>
      </c>
      <c r="AM367" s="10"/>
      <c r="AN367" s="219">
        <f>0+34340+25130</f>
        <v>59470</v>
      </c>
      <c r="AO367" s="138">
        <f t="shared" si="3"/>
        <v>59470</v>
      </c>
      <c r="AP367" s="13"/>
      <c r="AQ367" s="13"/>
      <c r="AR367" s="13"/>
      <c r="AS367" s="13"/>
      <c r="AT367" s="12"/>
      <c r="AU367" s="16"/>
      <c r="AV367" s="14"/>
      <c r="AW367" s="14"/>
      <c r="AX367" s="14"/>
      <c r="AY367" s="14"/>
      <c r="AZ367" s="17"/>
      <c r="BA367" s="18"/>
      <c r="BB367" s="14"/>
      <c r="BC367" s="14"/>
      <c r="BD367" s="14"/>
      <c r="BE367" s="17"/>
      <c r="BF367" s="17"/>
      <c r="BG367" s="17"/>
      <c r="BH367" s="14"/>
      <c r="BI367" s="14"/>
      <c r="BJ367" s="14"/>
      <c r="BK367" s="15"/>
      <c r="BL367" s="16"/>
      <c r="BM367" s="16"/>
    </row>
    <row r="368" spans="1:65" ht="76.5" x14ac:dyDescent="0.2">
      <c r="A368" s="330">
        <v>153</v>
      </c>
      <c r="B368" s="77" t="s">
        <v>1303</v>
      </c>
      <c r="C368" s="70" t="s">
        <v>685</v>
      </c>
      <c r="D368" s="20" t="s">
        <v>147</v>
      </c>
      <c r="E368" s="2" t="s">
        <v>372</v>
      </c>
      <c r="F368" s="71" t="s">
        <v>1305</v>
      </c>
      <c r="G368" s="71" t="s">
        <v>1350</v>
      </c>
      <c r="H368" s="7" t="s">
        <v>1084</v>
      </c>
      <c r="I368" s="67">
        <v>42746</v>
      </c>
      <c r="J368" s="67">
        <v>43111</v>
      </c>
      <c r="K368" s="8" t="s">
        <v>1307</v>
      </c>
      <c r="L368" s="21" t="s">
        <v>530</v>
      </c>
      <c r="M368" s="21" t="s">
        <v>1308</v>
      </c>
      <c r="N368" s="59">
        <v>42779</v>
      </c>
      <c r="O368" s="69">
        <v>21488.85</v>
      </c>
      <c r="P368" s="237" t="s">
        <v>1362</v>
      </c>
      <c r="Q368" s="59">
        <v>42779</v>
      </c>
      <c r="R368" s="176">
        <v>43100</v>
      </c>
      <c r="S368" s="6" t="s">
        <v>146</v>
      </c>
      <c r="T368" s="6"/>
      <c r="U368" s="6"/>
      <c r="V368" s="6"/>
      <c r="W368" s="6" t="s">
        <v>1278</v>
      </c>
      <c r="X368" s="6"/>
      <c r="Y368" s="6"/>
      <c r="Z368" s="6"/>
      <c r="AA368" s="6"/>
      <c r="AB368" s="6"/>
      <c r="AC368" s="6"/>
      <c r="AD368" s="6"/>
      <c r="AE368" s="6"/>
      <c r="AF368" s="6"/>
      <c r="AG368" s="6"/>
      <c r="AH368" s="6"/>
      <c r="AI368" s="6"/>
      <c r="AJ368" s="6"/>
      <c r="AK368" s="6"/>
      <c r="AL368" s="194">
        <f t="shared" si="4"/>
        <v>21488.85</v>
      </c>
      <c r="AM368" s="10"/>
      <c r="AN368" s="219">
        <f>10830.18</f>
        <v>10830.18</v>
      </c>
      <c r="AO368" s="138">
        <f t="shared" si="3"/>
        <v>10830.18</v>
      </c>
      <c r="AP368" s="13"/>
      <c r="AQ368" s="13"/>
      <c r="AR368" s="13"/>
      <c r="AS368" s="13"/>
      <c r="AT368" s="12"/>
      <c r="AU368" s="16"/>
      <c r="AV368" s="14"/>
      <c r="AW368" s="14"/>
      <c r="AX368" s="14"/>
      <c r="AY368" s="14"/>
      <c r="AZ368" s="17"/>
      <c r="BA368" s="18"/>
      <c r="BB368" s="14"/>
      <c r="BC368" s="14"/>
      <c r="BD368" s="14"/>
      <c r="BE368" s="17"/>
      <c r="BF368" s="17"/>
      <c r="BG368" s="17"/>
      <c r="BH368" s="14"/>
      <c r="BI368" s="14"/>
      <c r="BJ368" s="14"/>
      <c r="BK368" s="15"/>
      <c r="BL368" s="16"/>
      <c r="BM368" s="16"/>
    </row>
    <row r="369" spans="1:65" ht="114.75" x14ac:dyDescent="0.2">
      <c r="A369" s="330">
        <v>154</v>
      </c>
      <c r="B369" s="77" t="s">
        <v>1309</v>
      </c>
      <c r="C369" s="70" t="s">
        <v>690</v>
      </c>
      <c r="D369" s="20" t="s">
        <v>147</v>
      </c>
      <c r="E369" s="2" t="s">
        <v>372</v>
      </c>
      <c r="F369" s="71" t="s">
        <v>1311</v>
      </c>
      <c r="G369" s="71" t="s">
        <v>1351</v>
      </c>
      <c r="H369" s="7" t="s">
        <v>677</v>
      </c>
      <c r="I369" s="67">
        <v>42695</v>
      </c>
      <c r="J369" s="67">
        <v>43060</v>
      </c>
      <c r="K369" s="8" t="s">
        <v>1312</v>
      </c>
      <c r="L369" s="21" t="s">
        <v>1310</v>
      </c>
      <c r="M369" s="21" t="s">
        <v>1232</v>
      </c>
      <c r="N369" s="59">
        <v>42779</v>
      </c>
      <c r="O369" s="69">
        <v>45240</v>
      </c>
      <c r="P369" s="237" t="s">
        <v>1352</v>
      </c>
      <c r="Q369" s="59">
        <v>42779</v>
      </c>
      <c r="R369" s="73">
        <v>43144</v>
      </c>
      <c r="S369" s="6" t="s">
        <v>135</v>
      </c>
      <c r="T369" s="6"/>
      <c r="U369" s="6"/>
      <c r="V369" s="6"/>
      <c r="W369" s="6" t="s">
        <v>461</v>
      </c>
      <c r="X369" s="6"/>
      <c r="Y369" s="6" t="s">
        <v>742</v>
      </c>
      <c r="Z369" s="73">
        <v>42998</v>
      </c>
      <c r="AA369" s="74">
        <v>12154</v>
      </c>
      <c r="AB369" s="72" t="s">
        <v>1971</v>
      </c>
      <c r="AC369" s="6"/>
      <c r="AD369" s="6"/>
      <c r="AE369" s="6"/>
      <c r="AF369" s="6"/>
      <c r="AG369" s="6"/>
      <c r="AH369" s="6"/>
      <c r="AI369" s="6"/>
      <c r="AJ369" s="6"/>
      <c r="AK369" s="6"/>
      <c r="AL369" s="194">
        <f t="shared" si="4"/>
        <v>45240</v>
      </c>
      <c r="AM369" s="10"/>
      <c r="AN369" s="219">
        <f>0</f>
        <v>0</v>
      </c>
      <c r="AO369" s="138">
        <f t="shared" si="3"/>
        <v>0</v>
      </c>
      <c r="AP369" s="13"/>
      <c r="AQ369" s="13"/>
      <c r="AR369" s="13"/>
      <c r="AS369" s="13"/>
      <c r="AT369" s="12"/>
      <c r="AU369" s="16"/>
      <c r="AV369" s="14"/>
      <c r="AW369" s="14"/>
      <c r="AX369" s="14"/>
      <c r="AY369" s="14"/>
      <c r="AZ369" s="17"/>
      <c r="BA369" s="18"/>
      <c r="BB369" s="14"/>
      <c r="BC369" s="14"/>
      <c r="BD369" s="14"/>
      <c r="BE369" s="17"/>
      <c r="BF369" s="17"/>
      <c r="BG369" s="17"/>
      <c r="BH369" s="14"/>
      <c r="BI369" s="14"/>
      <c r="BJ369" s="14"/>
      <c r="BK369" s="15"/>
      <c r="BL369" s="16"/>
      <c r="BM369" s="16"/>
    </row>
    <row r="370" spans="1:65" ht="51" x14ac:dyDescent="0.2">
      <c r="A370" s="330">
        <v>155</v>
      </c>
      <c r="B370" s="77" t="s">
        <v>1313</v>
      </c>
      <c r="C370" s="70" t="s">
        <v>1085</v>
      </c>
      <c r="D370" s="20" t="s">
        <v>147</v>
      </c>
      <c r="E370" s="2" t="s">
        <v>372</v>
      </c>
      <c r="F370" s="71" t="s">
        <v>1316</v>
      </c>
      <c r="G370" s="71" t="s">
        <v>1353</v>
      </c>
      <c r="H370" s="7" t="s">
        <v>1090</v>
      </c>
      <c r="I370" s="67">
        <v>42773</v>
      </c>
      <c r="J370" s="67">
        <v>43107</v>
      </c>
      <c r="K370" s="8" t="s">
        <v>1314</v>
      </c>
      <c r="L370" s="21" t="s">
        <v>1315</v>
      </c>
      <c r="M370" s="21" t="s">
        <v>885</v>
      </c>
      <c r="N370" s="59">
        <v>42786</v>
      </c>
      <c r="O370" s="69">
        <v>9849</v>
      </c>
      <c r="P370" s="237" t="s">
        <v>1404</v>
      </c>
      <c r="Q370" s="59">
        <v>42786</v>
      </c>
      <c r="R370" s="176">
        <v>43100</v>
      </c>
      <c r="S370" s="6" t="s">
        <v>1317</v>
      </c>
      <c r="T370" s="6"/>
      <c r="U370" s="6"/>
      <c r="V370" s="6"/>
      <c r="W370" s="6" t="s">
        <v>192</v>
      </c>
      <c r="X370" s="6"/>
      <c r="Y370" s="6"/>
      <c r="Z370" s="6"/>
      <c r="AA370" s="6"/>
      <c r="AB370" s="6"/>
      <c r="AC370" s="6"/>
      <c r="AD370" s="6"/>
      <c r="AE370" s="6"/>
      <c r="AF370" s="6"/>
      <c r="AG370" s="6"/>
      <c r="AH370" s="6"/>
      <c r="AI370" s="6"/>
      <c r="AJ370" s="6"/>
      <c r="AK370" s="6"/>
      <c r="AL370" s="194">
        <f t="shared" si="4"/>
        <v>9849</v>
      </c>
      <c r="AM370" s="10"/>
      <c r="AN370" s="219">
        <f>9849</f>
        <v>9849</v>
      </c>
      <c r="AO370" s="138">
        <f t="shared" si="3"/>
        <v>9849</v>
      </c>
      <c r="AP370" s="13"/>
      <c r="AQ370" s="13"/>
      <c r="AR370" s="13"/>
      <c r="AS370" s="13"/>
      <c r="AT370" s="12"/>
      <c r="AU370" s="16"/>
      <c r="AV370" s="14"/>
      <c r="AW370" s="14"/>
      <c r="AX370" s="14"/>
      <c r="AY370" s="14"/>
      <c r="AZ370" s="17"/>
      <c r="BA370" s="18"/>
      <c r="BB370" s="14"/>
      <c r="BC370" s="14"/>
      <c r="BD370" s="14"/>
      <c r="BE370" s="17"/>
      <c r="BF370" s="17"/>
      <c r="BG370" s="17"/>
      <c r="BH370" s="14"/>
      <c r="BI370" s="14"/>
      <c r="BJ370" s="14"/>
      <c r="BK370" s="15"/>
      <c r="BL370" s="16"/>
      <c r="BM370" s="16"/>
    </row>
    <row r="371" spans="1:65" ht="51" x14ac:dyDescent="0.2">
      <c r="A371" s="330">
        <v>156</v>
      </c>
      <c r="B371" s="77" t="s">
        <v>1313</v>
      </c>
      <c r="C371" s="70" t="s">
        <v>1085</v>
      </c>
      <c r="D371" s="20" t="s">
        <v>147</v>
      </c>
      <c r="E371" s="2" t="s">
        <v>372</v>
      </c>
      <c r="F371" s="71" t="s">
        <v>1316</v>
      </c>
      <c r="G371" s="71" t="s">
        <v>1353</v>
      </c>
      <c r="H371" s="7" t="s">
        <v>1090</v>
      </c>
      <c r="I371" s="67">
        <v>42773</v>
      </c>
      <c r="J371" s="67">
        <v>43107</v>
      </c>
      <c r="K371" s="8" t="s">
        <v>1318</v>
      </c>
      <c r="L371" s="21" t="s">
        <v>1319</v>
      </c>
      <c r="M371" s="21" t="s">
        <v>1320</v>
      </c>
      <c r="N371" s="59">
        <v>42786</v>
      </c>
      <c r="O371" s="69">
        <v>13953</v>
      </c>
      <c r="P371" s="237" t="s">
        <v>1362</v>
      </c>
      <c r="Q371" s="59">
        <v>42786</v>
      </c>
      <c r="R371" s="176">
        <v>43100</v>
      </c>
      <c r="S371" s="6" t="s">
        <v>1317</v>
      </c>
      <c r="T371" s="6"/>
      <c r="U371" s="6"/>
      <c r="V371" s="6"/>
      <c r="W371" s="6" t="s">
        <v>192</v>
      </c>
      <c r="X371" s="6"/>
      <c r="Y371" s="6"/>
      <c r="Z371" s="6"/>
      <c r="AA371" s="6"/>
      <c r="AB371" s="6"/>
      <c r="AC371" s="6"/>
      <c r="AD371" s="6"/>
      <c r="AE371" s="6"/>
      <c r="AF371" s="6"/>
      <c r="AG371" s="6"/>
      <c r="AH371" s="6"/>
      <c r="AI371" s="6"/>
      <c r="AJ371" s="6"/>
      <c r="AK371" s="6"/>
      <c r="AL371" s="194">
        <f t="shared" si="4"/>
        <v>13953</v>
      </c>
      <c r="AM371" s="10"/>
      <c r="AN371" s="219">
        <f>0+13953</f>
        <v>13953</v>
      </c>
      <c r="AO371" s="138">
        <f t="shared" si="3"/>
        <v>13953</v>
      </c>
      <c r="AP371" s="13"/>
      <c r="AQ371" s="13"/>
      <c r="AR371" s="13"/>
      <c r="AS371" s="13"/>
      <c r="AT371" s="12"/>
      <c r="AU371" s="16"/>
      <c r="AV371" s="14"/>
      <c r="AW371" s="14"/>
      <c r="AX371" s="14"/>
      <c r="AY371" s="14"/>
      <c r="AZ371" s="17"/>
      <c r="BA371" s="18"/>
      <c r="BB371" s="14"/>
      <c r="BC371" s="14"/>
      <c r="BD371" s="14"/>
      <c r="BE371" s="17"/>
      <c r="BF371" s="17"/>
      <c r="BG371" s="17"/>
      <c r="BH371" s="14"/>
      <c r="BI371" s="14"/>
      <c r="BJ371" s="14"/>
      <c r="BK371" s="15"/>
      <c r="BL371" s="16"/>
      <c r="BM371" s="16"/>
    </row>
    <row r="372" spans="1:65" ht="51" x14ac:dyDescent="0.2">
      <c r="A372" s="330">
        <v>157</v>
      </c>
      <c r="B372" s="77" t="s">
        <v>1313</v>
      </c>
      <c r="C372" s="70" t="s">
        <v>1085</v>
      </c>
      <c r="D372" s="20" t="s">
        <v>147</v>
      </c>
      <c r="E372" s="2" t="s">
        <v>372</v>
      </c>
      <c r="F372" s="71" t="s">
        <v>1316</v>
      </c>
      <c r="G372" s="71" t="s">
        <v>1353</v>
      </c>
      <c r="H372" s="7" t="s">
        <v>1090</v>
      </c>
      <c r="I372" s="67">
        <v>42773</v>
      </c>
      <c r="J372" s="67">
        <v>43107</v>
      </c>
      <c r="K372" s="8" t="s">
        <v>1321</v>
      </c>
      <c r="L372" s="21" t="s">
        <v>1322</v>
      </c>
      <c r="M372" s="21" t="s">
        <v>494</v>
      </c>
      <c r="N372" s="59">
        <v>42786</v>
      </c>
      <c r="O372" s="69">
        <v>4352.8</v>
      </c>
      <c r="P372" s="237" t="s">
        <v>1360</v>
      </c>
      <c r="Q372" s="59">
        <v>42786</v>
      </c>
      <c r="R372" s="176">
        <v>43100</v>
      </c>
      <c r="S372" s="6" t="s">
        <v>1317</v>
      </c>
      <c r="T372" s="6"/>
      <c r="U372" s="6"/>
      <c r="V372" s="6"/>
      <c r="W372" s="6" t="s">
        <v>192</v>
      </c>
      <c r="X372" s="6"/>
      <c r="Y372" s="6"/>
      <c r="Z372" s="6"/>
      <c r="AA372" s="6"/>
      <c r="AB372" s="6"/>
      <c r="AC372" s="6"/>
      <c r="AD372" s="6"/>
      <c r="AE372" s="6"/>
      <c r="AF372" s="6"/>
      <c r="AG372" s="6"/>
      <c r="AH372" s="6"/>
      <c r="AI372" s="6"/>
      <c r="AJ372" s="6"/>
      <c r="AK372" s="6"/>
      <c r="AL372" s="194">
        <f t="shared" si="4"/>
        <v>4352.8</v>
      </c>
      <c r="AM372" s="10"/>
      <c r="AN372" s="219">
        <f>0+3136.8+1216</f>
        <v>4352.8</v>
      </c>
      <c r="AO372" s="138">
        <f t="shared" si="3"/>
        <v>4352.8</v>
      </c>
      <c r="AP372" s="13"/>
      <c r="AQ372" s="13"/>
      <c r="AR372" s="13"/>
      <c r="AS372" s="13"/>
      <c r="AT372" s="12"/>
      <c r="AU372" s="16"/>
      <c r="AV372" s="14"/>
      <c r="AW372" s="14"/>
      <c r="AX372" s="14"/>
      <c r="AY372" s="14"/>
      <c r="AZ372" s="17"/>
      <c r="BA372" s="18"/>
      <c r="BB372" s="14"/>
      <c r="BC372" s="14"/>
      <c r="BD372" s="14"/>
      <c r="BE372" s="17"/>
      <c r="BF372" s="17"/>
      <c r="BG372" s="17"/>
      <c r="BH372" s="14"/>
      <c r="BI372" s="14"/>
      <c r="BJ372" s="14"/>
      <c r="BK372" s="15"/>
      <c r="BL372" s="16"/>
      <c r="BM372" s="16"/>
    </row>
    <row r="373" spans="1:65" ht="51" x14ac:dyDescent="0.2">
      <c r="A373" s="330">
        <v>158</v>
      </c>
      <c r="B373" s="77" t="s">
        <v>1313</v>
      </c>
      <c r="C373" s="70" t="s">
        <v>1085</v>
      </c>
      <c r="D373" s="20" t="s">
        <v>147</v>
      </c>
      <c r="E373" s="2" t="s">
        <v>372</v>
      </c>
      <c r="F373" s="71" t="s">
        <v>1316</v>
      </c>
      <c r="G373" s="71" t="s">
        <v>1353</v>
      </c>
      <c r="H373" s="7" t="s">
        <v>1090</v>
      </c>
      <c r="I373" s="67">
        <v>42773</v>
      </c>
      <c r="J373" s="67">
        <v>43107</v>
      </c>
      <c r="K373" s="8" t="s">
        <v>1323</v>
      </c>
      <c r="L373" s="21" t="s">
        <v>986</v>
      </c>
      <c r="M373" s="21" t="s">
        <v>698</v>
      </c>
      <c r="N373" s="59">
        <v>42786</v>
      </c>
      <c r="O373" s="69">
        <v>81600</v>
      </c>
      <c r="P373" s="237" t="s">
        <v>1357</v>
      </c>
      <c r="Q373" s="59">
        <v>42786</v>
      </c>
      <c r="R373" s="176">
        <v>43100</v>
      </c>
      <c r="S373" s="6" t="s">
        <v>1317</v>
      </c>
      <c r="T373" s="6"/>
      <c r="U373" s="6"/>
      <c r="V373" s="6"/>
      <c r="W373" s="6" t="s">
        <v>192</v>
      </c>
      <c r="X373" s="6"/>
      <c r="Y373" s="6"/>
      <c r="Z373" s="6"/>
      <c r="AA373" s="6"/>
      <c r="AB373" s="6"/>
      <c r="AC373" s="6"/>
      <c r="AD373" s="6"/>
      <c r="AE373" s="6"/>
      <c r="AF373" s="6"/>
      <c r="AG373" s="6"/>
      <c r="AH373" s="6"/>
      <c r="AI373" s="6"/>
      <c r="AJ373" s="6"/>
      <c r="AK373" s="6"/>
      <c r="AL373" s="194">
        <f t="shared" si="4"/>
        <v>81600</v>
      </c>
      <c r="AM373" s="10"/>
      <c r="AN373" s="219">
        <f>0+81600</f>
        <v>81600</v>
      </c>
      <c r="AO373" s="138">
        <f t="shared" si="3"/>
        <v>81600</v>
      </c>
      <c r="AP373" s="13"/>
      <c r="AQ373" s="13"/>
      <c r="AR373" s="13"/>
      <c r="AS373" s="13"/>
      <c r="AT373" s="12"/>
      <c r="AU373" s="16"/>
      <c r="AV373" s="14"/>
      <c r="AW373" s="14"/>
      <c r="AX373" s="14"/>
      <c r="AY373" s="14"/>
      <c r="AZ373" s="17"/>
      <c r="BA373" s="18"/>
      <c r="BB373" s="14"/>
      <c r="BC373" s="14"/>
      <c r="BD373" s="14"/>
      <c r="BE373" s="17"/>
      <c r="BF373" s="17"/>
      <c r="BG373" s="17"/>
      <c r="BH373" s="14"/>
      <c r="BI373" s="14"/>
      <c r="BJ373" s="14"/>
      <c r="BK373" s="15"/>
      <c r="BL373" s="16"/>
      <c r="BM373" s="16"/>
    </row>
    <row r="374" spans="1:65" ht="51" x14ac:dyDescent="0.2">
      <c r="A374" s="330">
        <v>159</v>
      </c>
      <c r="B374" s="77" t="s">
        <v>1313</v>
      </c>
      <c r="C374" s="70" t="s">
        <v>1085</v>
      </c>
      <c r="D374" s="20" t="s">
        <v>147</v>
      </c>
      <c r="E374" s="2" t="s">
        <v>372</v>
      </c>
      <c r="F374" s="71" t="s">
        <v>1316</v>
      </c>
      <c r="G374" s="71" t="s">
        <v>1353</v>
      </c>
      <c r="H374" s="7" t="s">
        <v>1090</v>
      </c>
      <c r="I374" s="67">
        <v>42773</v>
      </c>
      <c r="J374" s="67">
        <v>43107</v>
      </c>
      <c r="K374" s="8" t="s">
        <v>1324</v>
      </c>
      <c r="L374" s="21" t="s">
        <v>1325</v>
      </c>
      <c r="M374" s="21" t="s">
        <v>1326</v>
      </c>
      <c r="N374" s="59">
        <v>42786</v>
      </c>
      <c r="O374" s="69">
        <v>2147.92</v>
      </c>
      <c r="P374" s="237" t="s">
        <v>1360</v>
      </c>
      <c r="Q374" s="59">
        <v>42786</v>
      </c>
      <c r="R374" s="176">
        <v>43100</v>
      </c>
      <c r="S374" s="6" t="s">
        <v>1317</v>
      </c>
      <c r="T374" s="6"/>
      <c r="U374" s="6"/>
      <c r="V374" s="6"/>
      <c r="W374" s="6" t="s">
        <v>192</v>
      </c>
      <c r="X374" s="6"/>
      <c r="Y374" s="6"/>
      <c r="Z374" s="6"/>
      <c r="AA374" s="6"/>
      <c r="AB374" s="6"/>
      <c r="AC374" s="6"/>
      <c r="AD374" s="6"/>
      <c r="AE374" s="6"/>
      <c r="AF374" s="6"/>
      <c r="AG374" s="6"/>
      <c r="AH374" s="6"/>
      <c r="AI374" s="6"/>
      <c r="AJ374" s="6"/>
      <c r="AK374" s="6"/>
      <c r="AL374" s="194">
        <f t="shared" si="4"/>
        <v>2147.92</v>
      </c>
      <c r="AM374" s="10"/>
      <c r="AN374" s="219">
        <f>0+2147.92</f>
        <v>2147.92</v>
      </c>
      <c r="AO374" s="138">
        <f t="shared" si="3"/>
        <v>2147.92</v>
      </c>
      <c r="AP374" s="13"/>
      <c r="AQ374" s="13"/>
      <c r="AR374" s="13"/>
      <c r="AS374" s="13"/>
      <c r="AT374" s="12"/>
      <c r="AU374" s="16"/>
      <c r="AV374" s="14"/>
      <c r="AW374" s="14"/>
      <c r="AX374" s="14"/>
      <c r="AY374" s="14"/>
      <c r="AZ374" s="17"/>
      <c r="BA374" s="18"/>
      <c r="BB374" s="14"/>
      <c r="BC374" s="14"/>
      <c r="BD374" s="14"/>
      <c r="BE374" s="17"/>
      <c r="BF374" s="17"/>
      <c r="BG374" s="17"/>
      <c r="BH374" s="14"/>
      <c r="BI374" s="14"/>
      <c r="BJ374" s="14"/>
      <c r="BK374" s="15"/>
      <c r="BL374" s="16"/>
      <c r="BM374" s="16"/>
    </row>
    <row r="375" spans="1:65" ht="51" x14ac:dyDescent="0.2">
      <c r="A375" s="330">
        <v>160</v>
      </c>
      <c r="B375" s="77" t="s">
        <v>1313</v>
      </c>
      <c r="C375" s="70" t="s">
        <v>1085</v>
      </c>
      <c r="D375" s="20" t="s">
        <v>147</v>
      </c>
      <c r="E375" s="2" t="s">
        <v>372</v>
      </c>
      <c r="F375" s="71" t="s">
        <v>1316</v>
      </c>
      <c r="G375" s="71" t="s">
        <v>1353</v>
      </c>
      <c r="H375" s="7" t="s">
        <v>1090</v>
      </c>
      <c r="I375" s="67">
        <v>42773</v>
      </c>
      <c r="J375" s="67">
        <v>43107</v>
      </c>
      <c r="K375" s="8" t="s">
        <v>1328</v>
      </c>
      <c r="L375" s="21" t="s">
        <v>1327</v>
      </c>
      <c r="M375" s="21" t="s">
        <v>1329</v>
      </c>
      <c r="N375" s="59">
        <v>42786</v>
      </c>
      <c r="O375" s="69">
        <v>14275</v>
      </c>
      <c r="P375" s="237" t="s">
        <v>1403</v>
      </c>
      <c r="Q375" s="59">
        <v>42786</v>
      </c>
      <c r="R375" s="176">
        <v>43100</v>
      </c>
      <c r="S375" s="6" t="s">
        <v>1317</v>
      </c>
      <c r="T375" s="6"/>
      <c r="U375" s="6"/>
      <c r="V375" s="6"/>
      <c r="W375" s="6" t="s">
        <v>192</v>
      </c>
      <c r="X375" s="6"/>
      <c r="Y375" s="6"/>
      <c r="Z375" s="6"/>
      <c r="AA375" s="6"/>
      <c r="AB375" s="6"/>
      <c r="AC375" s="6"/>
      <c r="AD375" s="6"/>
      <c r="AE375" s="6"/>
      <c r="AF375" s="6"/>
      <c r="AG375" s="6"/>
      <c r="AH375" s="6"/>
      <c r="AI375" s="6"/>
      <c r="AJ375" s="6"/>
      <c r="AK375" s="6"/>
      <c r="AL375" s="194">
        <f t="shared" si="4"/>
        <v>14275</v>
      </c>
      <c r="AM375" s="10"/>
      <c r="AN375" s="219">
        <f>14275</f>
        <v>14275</v>
      </c>
      <c r="AO375" s="138">
        <f t="shared" si="3"/>
        <v>14275</v>
      </c>
      <c r="AP375" s="13"/>
      <c r="AQ375" s="13"/>
      <c r="AR375" s="13"/>
      <c r="AS375" s="13"/>
      <c r="AT375" s="12"/>
      <c r="AU375" s="16"/>
      <c r="AV375" s="14"/>
      <c r="AW375" s="14"/>
      <c r="AX375" s="14"/>
      <c r="AY375" s="14"/>
      <c r="AZ375" s="17"/>
      <c r="BA375" s="18"/>
      <c r="BB375" s="14"/>
      <c r="BC375" s="14"/>
      <c r="BD375" s="14"/>
      <c r="BE375" s="17"/>
      <c r="BF375" s="17"/>
      <c r="BG375" s="17"/>
      <c r="BH375" s="14"/>
      <c r="BI375" s="14"/>
      <c r="BJ375" s="14"/>
      <c r="BK375" s="15"/>
      <c r="BL375" s="16"/>
      <c r="BM375" s="16"/>
    </row>
    <row r="376" spans="1:65" ht="51" x14ac:dyDescent="0.2">
      <c r="A376" s="330">
        <v>161</v>
      </c>
      <c r="B376" s="77" t="s">
        <v>1313</v>
      </c>
      <c r="C376" s="70" t="s">
        <v>1085</v>
      </c>
      <c r="D376" s="20" t="s">
        <v>147</v>
      </c>
      <c r="E376" s="2" t="s">
        <v>372</v>
      </c>
      <c r="F376" s="71" t="s">
        <v>1316</v>
      </c>
      <c r="G376" s="71" t="s">
        <v>1353</v>
      </c>
      <c r="H376" s="7" t="s">
        <v>1090</v>
      </c>
      <c r="I376" s="67">
        <v>42773</v>
      </c>
      <c r="J376" s="67">
        <v>43107</v>
      </c>
      <c r="K376" s="8" t="s">
        <v>1330</v>
      </c>
      <c r="L376" s="21" t="s">
        <v>1331</v>
      </c>
      <c r="M376" s="21" t="s">
        <v>1329</v>
      </c>
      <c r="N376" s="59">
        <v>42786</v>
      </c>
      <c r="O376" s="69">
        <v>283.5</v>
      </c>
      <c r="P376" s="237" t="s">
        <v>1357</v>
      </c>
      <c r="Q376" s="59">
        <v>42786</v>
      </c>
      <c r="R376" s="176">
        <v>43100</v>
      </c>
      <c r="S376" s="6" t="s">
        <v>1317</v>
      </c>
      <c r="T376" s="6"/>
      <c r="U376" s="6"/>
      <c r="V376" s="6"/>
      <c r="W376" s="6" t="s">
        <v>192</v>
      </c>
      <c r="X376" s="6"/>
      <c r="Y376" s="6"/>
      <c r="Z376" s="6"/>
      <c r="AA376" s="6"/>
      <c r="AB376" s="6"/>
      <c r="AC376" s="6"/>
      <c r="AD376" s="6"/>
      <c r="AE376" s="6"/>
      <c r="AF376" s="6"/>
      <c r="AG376" s="6"/>
      <c r="AH376" s="6"/>
      <c r="AI376" s="6"/>
      <c r="AJ376" s="6"/>
      <c r="AK376" s="6"/>
      <c r="AL376" s="194">
        <f t="shared" si="4"/>
        <v>283.5</v>
      </c>
      <c r="AM376" s="10"/>
      <c r="AN376" s="219">
        <f>0+283.5</f>
        <v>283.5</v>
      </c>
      <c r="AO376" s="138">
        <f t="shared" si="3"/>
        <v>283.5</v>
      </c>
      <c r="AP376" s="13"/>
      <c r="AQ376" s="13"/>
      <c r="AR376" s="13"/>
      <c r="AS376" s="13"/>
      <c r="AT376" s="12"/>
      <c r="AU376" s="16"/>
      <c r="AV376" s="14"/>
      <c r="AW376" s="14"/>
      <c r="AX376" s="14"/>
      <c r="AY376" s="14"/>
      <c r="AZ376" s="17"/>
      <c r="BA376" s="18"/>
      <c r="BB376" s="14"/>
      <c r="BC376" s="14"/>
      <c r="BD376" s="14"/>
      <c r="BE376" s="17"/>
      <c r="BF376" s="17"/>
      <c r="BG376" s="17"/>
      <c r="BH376" s="14"/>
      <c r="BI376" s="14"/>
      <c r="BJ376" s="14"/>
      <c r="BK376" s="15"/>
      <c r="BL376" s="16"/>
      <c r="BM376" s="16"/>
    </row>
    <row r="377" spans="1:65" ht="38.25" x14ac:dyDescent="0.2">
      <c r="A377" s="330">
        <v>162</v>
      </c>
      <c r="B377" s="77" t="s">
        <v>1332</v>
      </c>
      <c r="C377" s="70" t="s">
        <v>1089</v>
      </c>
      <c r="D377" s="20" t="s">
        <v>147</v>
      </c>
      <c r="E377" s="2" t="s">
        <v>372</v>
      </c>
      <c r="F377" s="71" t="s">
        <v>1335</v>
      </c>
      <c r="G377" s="71" t="s">
        <v>1354</v>
      </c>
      <c r="H377" s="7" t="s">
        <v>1092</v>
      </c>
      <c r="I377" s="67">
        <v>42775</v>
      </c>
      <c r="J377" s="67">
        <v>43140</v>
      </c>
      <c r="K377" s="8" t="s">
        <v>1334</v>
      </c>
      <c r="L377" s="21" t="s">
        <v>1333</v>
      </c>
      <c r="M377" s="21" t="s">
        <v>1326</v>
      </c>
      <c r="N377" s="59">
        <v>42786</v>
      </c>
      <c r="O377" s="69">
        <v>192181</v>
      </c>
      <c r="P377" s="237" t="s">
        <v>1360</v>
      </c>
      <c r="Q377" s="59">
        <v>42786</v>
      </c>
      <c r="R377" s="176">
        <v>43100</v>
      </c>
      <c r="S377" s="6" t="s">
        <v>135</v>
      </c>
      <c r="T377" s="6"/>
      <c r="U377" s="6"/>
      <c r="V377" s="6"/>
      <c r="W377" s="6" t="s">
        <v>192</v>
      </c>
      <c r="X377" s="6"/>
      <c r="Y377" s="6"/>
      <c r="Z377" s="6"/>
      <c r="AA377" s="6"/>
      <c r="AB377" s="6"/>
      <c r="AC377" s="6"/>
      <c r="AD377" s="6"/>
      <c r="AE377" s="6"/>
      <c r="AF377" s="6"/>
      <c r="AG377" s="6"/>
      <c r="AH377" s="6"/>
      <c r="AI377" s="6"/>
      <c r="AJ377" s="6"/>
      <c r="AK377" s="6"/>
      <c r="AL377" s="194">
        <f t="shared" si="4"/>
        <v>192181</v>
      </c>
      <c r="AM377" s="10"/>
      <c r="AN377" s="219">
        <f>0+51215.9+2792+2478+27241+24721.9+34859.96+6192.9+4837.2</f>
        <v>154338.85999999999</v>
      </c>
      <c r="AO377" s="138">
        <f t="shared" si="3"/>
        <v>154338.85999999999</v>
      </c>
      <c r="AP377" s="13"/>
      <c r="AQ377" s="13"/>
      <c r="AR377" s="13"/>
      <c r="AS377" s="13"/>
      <c r="AT377" s="12"/>
      <c r="AU377" s="16"/>
      <c r="AV377" s="14"/>
      <c r="AW377" s="14"/>
      <c r="AX377" s="14"/>
      <c r="AY377" s="14"/>
      <c r="AZ377" s="17"/>
      <c r="BA377" s="18"/>
      <c r="BB377" s="14"/>
      <c r="BC377" s="14"/>
      <c r="BD377" s="14"/>
      <c r="BE377" s="17"/>
      <c r="BF377" s="17"/>
      <c r="BG377" s="17"/>
      <c r="BH377" s="14"/>
      <c r="BI377" s="14"/>
      <c r="BJ377" s="14"/>
      <c r="BK377" s="15"/>
      <c r="BL377" s="16"/>
      <c r="BM377" s="16"/>
    </row>
    <row r="378" spans="1:65" ht="38.25" x14ac:dyDescent="0.2">
      <c r="A378" s="330">
        <v>163</v>
      </c>
      <c r="B378" s="77" t="s">
        <v>1332</v>
      </c>
      <c r="C378" s="70" t="s">
        <v>1089</v>
      </c>
      <c r="D378" s="20" t="s">
        <v>147</v>
      </c>
      <c r="E378" s="2" t="s">
        <v>372</v>
      </c>
      <c r="F378" s="71" t="s">
        <v>1335</v>
      </c>
      <c r="G378" s="71" t="s">
        <v>1354</v>
      </c>
      <c r="H378" s="7" t="s">
        <v>1092</v>
      </c>
      <c r="I378" s="67">
        <v>42775</v>
      </c>
      <c r="J378" s="67">
        <v>43140</v>
      </c>
      <c r="K378" s="8" t="s">
        <v>1336</v>
      </c>
      <c r="L378" s="21" t="s">
        <v>493</v>
      </c>
      <c r="M378" s="21" t="s">
        <v>494</v>
      </c>
      <c r="N378" s="59">
        <v>42786</v>
      </c>
      <c r="O378" s="69">
        <v>165312.5</v>
      </c>
      <c r="P378" s="237" t="s">
        <v>1360</v>
      </c>
      <c r="Q378" s="59">
        <v>42786</v>
      </c>
      <c r="R378" s="176">
        <v>43100</v>
      </c>
      <c r="S378" s="6" t="s">
        <v>135</v>
      </c>
      <c r="T378" s="6"/>
      <c r="U378" s="6"/>
      <c r="V378" s="6"/>
      <c r="W378" s="6" t="s">
        <v>192</v>
      </c>
      <c r="X378" s="6"/>
      <c r="Y378" s="6"/>
      <c r="Z378" s="6"/>
      <c r="AA378" s="6"/>
      <c r="AB378" s="6"/>
      <c r="AC378" s="6"/>
      <c r="AD378" s="6"/>
      <c r="AE378" s="6"/>
      <c r="AF378" s="6"/>
      <c r="AG378" s="6"/>
      <c r="AH378" s="6"/>
      <c r="AI378" s="6"/>
      <c r="AJ378" s="6"/>
      <c r="AK378" s="6"/>
      <c r="AL378" s="194">
        <f t="shared" si="4"/>
        <v>165312.5</v>
      </c>
      <c r="AM378" s="10"/>
      <c r="AN378" s="219">
        <f>0+5895+1825+3750+37794+5485+8359.7+12994+17734.5</f>
        <v>93837.2</v>
      </c>
      <c r="AO378" s="138">
        <f t="shared" si="3"/>
        <v>93837.2</v>
      </c>
      <c r="AP378" s="13"/>
      <c r="AQ378" s="13"/>
      <c r="AR378" s="13"/>
      <c r="AS378" s="13"/>
      <c r="AT378" s="12"/>
      <c r="AU378" s="16"/>
      <c r="AV378" s="14"/>
      <c r="AW378" s="14"/>
      <c r="AX378" s="14"/>
      <c r="AY378" s="14"/>
      <c r="AZ378" s="17"/>
      <c r="BA378" s="18"/>
      <c r="BB378" s="14"/>
      <c r="BC378" s="14"/>
      <c r="BD378" s="14"/>
      <c r="BE378" s="17"/>
      <c r="BF378" s="17"/>
      <c r="BG378" s="17"/>
      <c r="BH378" s="14"/>
      <c r="BI378" s="14"/>
      <c r="BJ378" s="14"/>
      <c r="BK378" s="15"/>
      <c r="BL378" s="16"/>
      <c r="BM378" s="16"/>
    </row>
    <row r="379" spans="1:65" ht="38.25" x14ac:dyDescent="0.2">
      <c r="A379" s="330">
        <v>164</v>
      </c>
      <c r="B379" s="77" t="s">
        <v>1332</v>
      </c>
      <c r="C379" s="70" t="s">
        <v>1089</v>
      </c>
      <c r="D379" s="20" t="s">
        <v>147</v>
      </c>
      <c r="E379" s="2" t="s">
        <v>372</v>
      </c>
      <c r="F379" s="71" t="s">
        <v>1335</v>
      </c>
      <c r="G379" s="71" t="s">
        <v>1354</v>
      </c>
      <c r="H379" s="7" t="s">
        <v>1092</v>
      </c>
      <c r="I379" s="67">
        <v>42775</v>
      </c>
      <c r="J379" s="67">
        <v>43140</v>
      </c>
      <c r="K379" s="8" t="s">
        <v>1337</v>
      </c>
      <c r="L379" s="21" t="s">
        <v>609</v>
      </c>
      <c r="M379" s="21" t="s">
        <v>610</v>
      </c>
      <c r="N379" s="59">
        <v>42786</v>
      </c>
      <c r="O379" s="69">
        <v>58238.75</v>
      </c>
      <c r="P379" s="217" t="s">
        <v>1345</v>
      </c>
      <c r="Q379" s="59">
        <v>42786</v>
      </c>
      <c r="R379" s="176">
        <v>43100</v>
      </c>
      <c r="S379" s="6" t="s">
        <v>135</v>
      </c>
      <c r="T379" s="6"/>
      <c r="U379" s="6"/>
      <c r="V379" s="6"/>
      <c r="W379" s="6" t="s">
        <v>192</v>
      </c>
      <c r="X379" s="6"/>
      <c r="Y379" s="6"/>
      <c r="Z379" s="6"/>
      <c r="AA379" s="6"/>
      <c r="AB379" s="6"/>
      <c r="AC379" s="6"/>
      <c r="AD379" s="6"/>
      <c r="AE379" s="6"/>
      <c r="AF379" s="6"/>
      <c r="AG379" s="6"/>
      <c r="AH379" s="6"/>
      <c r="AI379" s="6"/>
      <c r="AJ379" s="6"/>
      <c r="AK379" s="6"/>
      <c r="AL379" s="194">
        <f t="shared" si="4"/>
        <v>58238.75</v>
      </c>
      <c r="AM379" s="10"/>
      <c r="AN379" s="219">
        <f>0+2163+1294+4440.8</f>
        <v>7897.8</v>
      </c>
      <c r="AO379" s="138">
        <f t="shared" si="3"/>
        <v>7897.8</v>
      </c>
      <c r="AP379" s="13"/>
      <c r="AQ379" s="13"/>
      <c r="AR379" s="13"/>
      <c r="AS379" s="13"/>
      <c r="AT379" s="12"/>
      <c r="AU379" s="16"/>
      <c r="AV379" s="14"/>
      <c r="AW379" s="14"/>
      <c r="AX379" s="14"/>
      <c r="AY379" s="14"/>
      <c r="AZ379" s="17"/>
      <c r="BA379" s="18"/>
      <c r="BB379" s="14"/>
      <c r="BC379" s="14"/>
      <c r="BD379" s="14"/>
      <c r="BE379" s="17"/>
      <c r="BF379" s="17"/>
      <c r="BG379" s="17"/>
      <c r="BH379" s="14"/>
      <c r="BI379" s="14"/>
      <c r="BJ379" s="14"/>
      <c r="BK379" s="15"/>
      <c r="BL379" s="16"/>
      <c r="BM379" s="16"/>
    </row>
    <row r="380" spans="1:65" ht="38.25" x14ac:dyDescent="0.2">
      <c r="A380" s="330">
        <v>165</v>
      </c>
      <c r="B380" s="77" t="s">
        <v>1387</v>
      </c>
      <c r="C380" s="70" t="s">
        <v>1096</v>
      </c>
      <c r="D380" s="20" t="s">
        <v>130</v>
      </c>
      <c r="E380" s="2" t="s">
        <v>372</v>
      </c>
      <c r="F380" s="71" t="s">
        <v>1389</v>
      </c>
      <c r="G380" s="71" t="s">
        <v>1425</v>
      </c>
      <c r="H380" s="7" t="s">
        <v>1096</v>
      </c>
      <c r="I380" s="67">
        <v>42802</v>
      </c>
      <c r="J380" s="67">
        <v>43167</v>
      </c>
      <c r="K380" s="8" t="s">
        <v>1386</v>
      </c>
      <c r="L380" s="21" t="s">
        <v>1388</v>
      </c>
      <c r="M380" s="21" t="s">
        <v>885</v>
      </c>
      <c r="N380" s="176">
        <v>42803</v>
      </c>
      <c r="O380" s="69">
        <v>38045.5</v>
      </c>
      <c r="P380" s="238">
        <v>12013</v>
      </c>
      <c r="Q380" s="176">
        <v>42803</v>
      </c>
      <c r="R380" s="176">
        <v>43100</v>
      </c>
      <c r="S380" s="6" t="s">
        <v>1390</v>
      </c>
      <c r="T380" s="6"/>
      <c r="U380" s="6"/>
      <c r="V380" s="6"/>
      <c r="W380" s="6" t="s">
        <v>192</v>
      </c>
      <c r="X380" s="6"/>
      <c r="Y380" s="6"/>
      <c r="Z380" s="6"/>
      <c r="AA380" s="6"/>
      <c r="AB380" s="6"/>
      <c r="AC380" s="6"/>
      <c r="AD380" s="6"/>
      <c r="AE380" s="6"/>
      <c r="AF380" s="6"/>
      <c r="AG380" s="6"/>
      <c r="AH380" s="6"/>
      <c r="AI380" s="6"/>
      <c r="AJ380" s="6"/>
      <c r="AK380" s="6"/>
      <c r="AL380" s="194">
        <f t="shared" si="4"/>
        <v>38045.5</v>
      </c>
      <c r="AM380" s="10"/>
      <c r="AN380" s="219">
        <f>0+2427.3+7964.63+5408.5</f>
        <v>15800.43</v>
      </c>
      <c r="AO380" s="138">
        <f t="shared" si="3"/>
        <v>15800.43</v>
      </c>
      <c r="AP380" s="13"/>
      <c r="AQ380" s="13"/>
      <c r="AR380" s="13"/>
      <c r="AS380" s="13"/>
      <c r="AT380" s="12"/>
      <c r="AU380" s="16"/>
      <c r="AV380" s="14"/>
      <c r="AW380" s="14"/>
      <c r="AX380" s="14"/>
      <c r="AY380" s="14"/>
      <c r="AZ380" s="17"/>
      <c r="BA380" s="18"/>
      <c r="BB380" s="14"/>
      <c r="BC380" s="14"/>
      <c r="BD380" s="14"/>
      <c r="BE380" s="17"/>
      <c r="BF380" s="17"/>
      <c r="BG380" s="17"/>
      <c r="BH380" s="14"/>
      <c r="BI380" s="14"/>
      <c r="BJ380" s="14"/>
      <c r="BK380" s="15"/>
      <c r="BL380" s="15"/>
      <c r="BM380" s="16"/>
    </row>
    <row r="381" spans="1:65" ht="38.25" x14ac:dyDescent="0.2">
      <c r="A381" s="330">
        <v>166</v>
      </c>
      <c r="B381" s="77" t="s">
        <v>1387</v>
      </c>
      <c r="C381" s="70" t="s">
        <v>1096</v>
      </c>
      <c r="D381" s="20" t="s">
        <v>130</v>
      </c>
      <c r="E381" s="2" t="s">
        <v>372</v>
      </c>
      <c r="F381" s="71" t="s">
        <v>1389</v>
      </c>
      <c r="G381" s="71" t="s">
        <v>1425</v>
      </c>
      <c r="H381" s="7" t="s">
        <v>1096</v>
      </c>
      <c r="I381" s="67">
        <v>42802</v>
      </c>
      <c r="J381" s="67">
        <v>43167</v>
      </c>
      <c r="K381" s="8" t="s">
        <v>1392</v>
      </c>
      <c r="L381" s="21" t="s">
        <v>1391</v>
      </c>
      <c r="M381" s="21" t="s">
        <v>1393</v>
      </c>
      <c r="N381" s="176">
        <v>42803</v>
      </c>
      <c r="O381" s="69">
        <v>8843</v>
      </c>
      <c r="P381" s="238">
        <v>12013</v>
      </c>
      <c r="Q381" s="176">
        <v>42803</v>
      </c>
      <c r="R381" s="176">
        <v>43100</v>
      </c>
      <c r="S381" s="6" t="s">
        <v>1390</v>
      </c>
      <c r="T381" s="6"/>
      <c r="U381" s="6"/>
      <c r="V381" s="6"/>
      <c r="W381" s="6" t="s">
        <v>192</v>
      </c>
      <c r="X381" s="6"/>
      <c r="Y381" s="6"/>
      <c r="Z381" s="6"/>
      <c r="AA381" s="6"/>
      <c r="AB381" s="6"/>
      <c r="AC381" s="6"/>
      <c r="AD381" s="6"/>
      <c r="AE381" s="6"/>
      <c r="AF381" s="6"/>
      <c r="AG381" s="6"/>
      <c r="AH381" s="6"/>
      <c r="AI381" s="6"/>
      <c r="AJ381" s="6"/>
      <c r="AK381" s="6"/>
      <c r="AL381" s="194">
        <f t="shared" si="4"/>
        <v>8843</v>
      </c>
      <c r="AM381" s="10"/>
      <c r="AN381" s="219">
        <f>0+1244.12+2469.38+3347.62</f>
        <v>7061.12</v>
      </c>
      <c r="AO381" s="138">
        <f t="shared" si="3"/>
        <v>7061.12</v>
      </c>
      <c r="AP381" s="13"/>
      <c r="AQ381" s="13"/>
      <c r="AR381" s="13"/>
      <c r="AS381" s="13"/>
      <c r="AT381" s="12"/>
      <c r="AU381" s="16"/>
      <c r="AV381" s="14"/>
      <c r="AW381" s="14"/>
      <c r="AX381" s="14"/>
      <c r="AY381" s="14"/>
      <c r="AZ381" s="17"/>
      <c r="BA381" s="18"/>
      <c r="BB381" s="14"/>
      <c r="BC381" s="14"/>
      <c r="BD381" s="14"/>
      <c r="BE381" s="17"/>
      <c r="BF381" s="17"/>
      <c r="BG381" s="17"/>
      <c r="BH381" s="14"/>
      <c r="BI381" s="14"/>
      <c r="BJ381" s="14"/>
      <c r="BK381" s="15"/>
      <c r="BL381" s="15"/>
      <c r="BM381" s="16"/>
    </row>
    <row r="382" spans="1:65" ht="38.25" x14ac:dyDescent="0.2">
      <c r="A382" s="330">
        <v>167</v>
      </c>
      <c r="B382" s="77" t="s">
        <v>1387</v>
      </c>
      <c r="C382" s="70" t="s">
        <v>1096</v>
      </c>
      <c r="D382" s="20" t="s">
        <v>130</v>
      </c>
      <c r="E382" s="2" t="s">
        <v>372</v>
      </c>
      <c r="F382" s="71" t="s">
        <v>1389</v>
      </c>
      <c r="G382" s="71" t="s">
        <v>1425</v>
      </c>
      <c r="H382" s="7" t="s">
        <v>1096</v>
      </c>
      <c r="I382" s="67">
        <v>42802</v>
      </c>
      <c r="J382" s="67">
        <v>43167</v>
      </c>
      <c r="K382" s="8" t="s">
        <v>1394</v>
      </c>
      <c r="L382" s="21" t="s">
        <v>1395</v>
      </c>
      <c r="M382" s="21" t="s">
        <v>1396</v>
      </c>
      <c r="N382" s="176">
        <v>42803</v>
      </c>
      <c r="O382" s="69">
        <v>83190</v>
      </c>
      <c r="P382" s="238">
        <v>12013</v>
      </c>
      <c r="Q382" s="176">
        <v>42803</v>
      </c>
      <c r="R382" s="176">
        <v>43100</v>
      </c>
      <c r="S382" s="6" t="s">
        <v>1390</v>
      </c>
      <c r="T382" s="6"/>
      <c r="U382" s="6"/>
      <c r="V382" s="6"/>
      <c r="W382" s="6" t="s">
        <v>192</v>
      </c>
      <c r="X382" s="6"/>
      <c r="Y382" s="6"/>
      <c r="Z382" s="6"/>
      <c r="AA382" s="6"/>
      <c r="AB382" s="6"/>
      <c r="AC382" s="6"/>
      <c r="AD382" s="6"/>
      <c r="AE382" s="6"/>
      <c r="AF382" s="6"/>
      <c r="AG382" s="6"/>
      <c r="AH382" s="6"/>
      <c r="AI382" s="6"/>
      <c r="AJ382" s="6"/>
      <c r="AK382" s="6"/>
      <c r="AL382" s="194">
        <f t="shared" si="4"/>
        <v>83190</v>
      </c>
      <c r="AM382" s="10"/>
      <c r="AN382" s="219">
        <f>0+10331+17431+15433</f>
        <v>43195</v>
      </c>
      <c r="AO382" s="138">
        <f t="shared" si="3"/>
        <v>43195</v>
      </c>
      <c r="AP382" s="13"/>
      <c r="AQ382" s="13"/>
      <c r="AR382" s="13"/>
      <c r="AS382" s="13"/>
      <c r="AT382" s="12"/>
      <c r="AU382" s="16"/>
      <c r="AV382" s="14"/>
      <c r="AW382" s="14"/>
      <c r="AX382" s="14"/>
      <c r="AY382" s="14"/>
      <c r="AZ382" s="17"/>
      <c r="BA382" s="18"/>
      <c r="BB382" s="14"/>
      <c r="BC382" s="14"/>
      <c r="BD382" s="14"/>
      <c r="BE382" s="17"/>
      <c r="BF382" s="17"/>
      <c r="BG382" s="17"/>
      <c r="BH382" s="14"/>
      <c r="BI382" s="14"/>
      <c r="BJ382" s="14"/>
      <c r="BK382" s="15"/>
      <c r="BL382" s="15"/>
      <c r="BM382" s="16"/>
    </row>
    <row r="383" spans="1:65" ht="38.25" x14ac:dyDescent="0.2">
      <c r="A383" s="330">
        <v>168</v>
      </c>
      <c r="B383" s="77" t="s">
        <v>1387</v>
      </c>
      <c r="C383" s="70" t="s">
        <v>1096</v>
      </c>
      <c r="D383" s="20" t="s">
        <v>130</v>
      </c>
      <c r="E383" s="2" t="s">
        <v>372</v>
      </c>
      <c r="F383" s="71" t="s">
        <v>1389</v>
      </c>
      <c r="G383" s="71" t="s">
        <v>1425</v>
      </c>
      <c r="H383" s="7" t="s">
        <v>1096</v>
      </c>
      <c r="I383" s="67">
        <v>42802</v>
      </c>
      <c r="J383" s="67">
        <v>43167</v>
      </c>
      <c r="K383" s="8" t="s">
        <v>1397</v>
      </c>
      <c r="L383" s="21" t="s">
        <v>883</v>
      </c>
      <c r="M383" s="21" t="s">
        <v>718</v>
      </c>
      <c r="N383" s="176">
        <v>42803</v>
      </c>
      <c r="O383" s="69">
        <v>1292</v>
      </c>
      <c r="P383" s="238">
        <v>12013</v>
      </c>
      <c r="Q383" s="176">
        <v>42803</v>
      </c>
      <c r="R383" s="176">
        <v>43100</v>
      </c>
      <c r="S383" s="6" t="s">
        <v>1390</v>
      </c>
      <c r="T383" s="6"/>
      <c r="U383" s="6"/>
      <c r="V383" s="6"/>
      <c r="W383" s="6" t="s">
        <v>192</v>
      </c>
      <c r="X383" s="6"/>
      <c r="Y383" s="6"/>
      <c r="Z383" s="6"/>
      <c r="AA383" s="6"/>
      <c r="AB383" s="6"/>
      <c r="AC383" s="6"/>
      <c r="AD383" s="6"/>
      <c r="AE383" s="6"/>
      <c r="AF383" s="6"/>
      <c r="AG383" s="6"/>
      <c r="AH383" s="6"/>
      <c r="AI383" s="6"/>
      <c r="AJ383" s="6"/>
      <c r="AK383" s="6"/>
      <c r="AL383" s="194">
        <f t="shared" si="4"/>
        <v>1292</v>
      </c>
      <c r="AM383" s="10"/>
      <c r="AN383" s="219">
        <f>637.8</f>
        <v>637.79999999999995</v>
      </c>
      <c r="AO383" s="138">
        <f t="shared" si="3"/>
        <v>637.79999999999995</v>
      </c>
      <c r="AP383" s="13"/>
      <c r="AQ383" s="13"/>
      <c r="AR383" s="13"/>
      <c r="AS383" s="13"/>
      <c r="AT383" s="12"/>
      <c r="AU383" s="16"/>
      <c r="AV383" s="14"/>
      <c r="AW383" s="14"/>
      <c r="AX383" s="14"/>
      <c r="AY383" s="14"/>
      <c r="AZ383" s="17"/>
      <c r="BA383" s="18"/>
      <c r="BB383" s="14"/>
      <c r="BC383" s="14"/>
      <c r="BD383" s="14"/>
      <c r="BE383" s="17"/>
      <c r="BF383" s="17"/>
      <c r="BG383" s="17"/>
      <c r="BH383" s="14"/>
      <c r="BI383" s="14"/>
      <c r="BJ383" s="14"/>
      <c r="BK383" s="15"/>
      <c r="BL383" s="15"/>
      <c r="BM383" s="16"/>
    </row>
    <row r="384" spans="1:65" ht="38.25" x14ac:dyDescent="0.2">
      <c r="A384" s="330">
        <v>169</v>
      </c>
      <c r="B384" s="77" t="s">
        <v>1387</v>
      </c>
      <c r="C384" s="70" t="s">
        <v>1096</v>
      </c>
      <c r="D384" s="20" t="s">
        <v>130</v>
      </c>
      <c r="E384" s="2" t="s">
        <v>372</v>
      </c>
      <c r="F384" s="71" t="s">
        <v>1389</v>
      </c>
      <c r="G384" s="71" t="s">
        <v>1425</v>
      </c>
      <c r="H384" s="7" t="s">
        <v>1096</v>
      </c>
      <c r="I384" s="67">
        <v>42802</v>
      </c>
      <c r="J384" s="67">
        <v>43167</v>
      </c>
      <c r="K384" s="8" t="s">
        <v>1398</v>
      </c>
      <c r="L384" s="21" t="s">
        <v>1297</v>
      </c>
      <c r="M384" s="21" t="s">
        <v>1298</v>
      </c>
      <c r="N384" s="176">
        <v>42803</v>
      </c>
      <c r="O384" s="69">
        <v>8690</v>
      </c>
      <c r="P384" s="238">
        <v>12013</v>
      </c>
      <c r="Q384" s="176">
        <v>42803</v>
      </c>
      <c r="R384" s="176">
        <v>43100</v>
      </c>
      <c r="S384" s="6" t="s">
        <v>1390</v>
      </c>
      <c r="T384" s="6"/>
      <c r="U384" s="6"/>
      <c r="V384" s="6"/>
      <c r="W384" s="6" t="s">
        <v>192</v>
      </c>
      <c r="X384" s="6"/>
      <c r="Y384" s="6"/>
      <c r="Z384" s="6"/>
      <c r="AA384" s="6"/>
      <c r="AB384" s="6"/>
      <c r="AC384" s="6"/>
      <c r="AD384" s="6"/>
      <c r="AE384" s="6"/>
      <c r="AF384" s="6"/>
      <c r="AG384" s="6"/>
      <c r="AH384" s="6"/>
      <c r="AI384" s="6"/>
      <c r="AJ384" s="6"/>
      <c r="AK384" s="6"/>
      <c r="AL384" s="194">
        <f t="shared" si="4"/>
        <v>8690</v>
      </c>
      <c r="AM384" s="10"/>
      <c r="AN384" s="219">
        <f>2656</f>
        <v>2656</v>
      </c>
      <c r="AO384" s="138">
        <f t="shared" si="3"/>
        <v>2656</v>
      </c>
      <c r="AP384" s="13"/>
      <c r="AQ384" s="13"/>
      <c r="AR384" s="13"/>
      <c r="AS384" s="13"/>
      <c r="AT384" s="12"/>
      <c r="AU384" s="16"/>
      <c r="AV384" s="14"/>
      <c r="AW384" s="14"/>
      <c r="AX384" s="14"/>
      <c r="AY384" s="14"/>
      <c r="AZ384" s="17"/>
      <c r="BA384" s="18"/>
      <c r="BB384" s="14"/>
      <c r="BC384" s="14"/>
      <c r="BD384" s="14"/>
      <c r="BE384" s="17"/>
      <c r="BF384" s="17"/>
      <c r="BG384" s="17"/>
      <c r="BH384" s="14"/>
      <c r="BI384" s="14"/>
      <c r="BJ384" s="14"/>
      <c r="BK384" s="15"/>
      <c r="BL384" s="15"/>
      <c r="BM384" s="16"/>
    </row>
    <row r="385" spans="1:65" ht="38.25" x14ac:dyDescent="0.2">
      <c r="A385" s="330">
        <v>170</v>
      </c>
      <c r="B385" s="77" t="s">
        <v>1387</v>
      </c>
      <c r="C385" s="70" t="s">
        <v>1096</v>
      </c>
      <c r="D385" s="20" t="s">
        <v>130</v>
      </c>
      <c r="E385" s="2" t="s">
        <v>372</v>
      </c>
      <c r="F385" s="71" t="s">
        <v>1389</v>
      </c>
      <c r="G385" s="71" t="s">
        <v>1425</v>
      </c>
      <c r="H385" s="7" t="s">
        <v>1096</v>
      </c>
      <c r="I385" s="67">
        <v>42802</v>
      </c>
      <c r="J385" s="67">
        <v>43167</v>
      </c>
      <c r="K385" s="8" t="s">
        <v>1399</v>
      </c>
      <c r="L385" s="21" t="s">
        <v>954</v>
      </c>
      <c r="M385" s="21" t="s">
        <v>955</v>
      </c>
      <c r="N385" s="176">
        <v>42803</v>
      </c>
      <c r="O385" s="69">
        <v>3000</v>
      </c>
      <c r="P385" s="238">
        <v>12013</v>
      </c>
      <c r="Q385" s="176">
        <v>42803</v>
      </c>
      <c r="R385" s="176">
        <v>43100</v>
      </c>
      <c r="S385" s="6" t="s">
        <v>1390</v>
      </c>
      <c r="T385" s="6"/>
      <c r="U385" s="6"/>
      <c r="V385" s="6"/>
      <c r="W385" s="6" t="s">
        <v>192</v>
      </c>
      <c r="X385" s="6"/>
      <c r="Y385" s="6"/>
      <c r="Z385" s="6"/>
      <c r="AA385" s="6"/>
      <c r="AB385" s="6"/>
      <c r="AC385" s="6"/>
      <c r="AD385" s="6"/>
      <c r="AE385" s="6"/>
      <c r="AF385" s="6"/>
      <c r="AG385" s="6"/>
      <c r="AH385" s="6"/>
      <c r="AI385" s="6"/>
      <c r="AJ385" s="6"/>
      <c r="AK385" s="6"/>
      <c r="AL385" s="194">
        <f t="shared" si="4"/>
        <v>3000</v>
      </c>
      <c r="AM385" s="10"/>
      <c r="AN385" s="219">
        <f>180</f>
        <v>180</v>
      </c>
      <c r="AO385" s="138">
        <f t="shared" si="3"/>
        <v>180</v>
      </c>
      <c r="AP385" s="13"/>
      <c r="AQ385" s="13"/>
      <c r="AR385" s="13"/>
      <c r="AS385" s="13"/>
      <c r="AT385" s="12"/>
      <c r="AU385" s="16"/>
      <c r="AV385" s="14"/>
      <c r="AW385" s="14"/>
      <c r="AX385" s="14"/>
      <c r="AY385" s="14"/>
      <c r="AZ385" s="17"/>
      <c r="BA385" s="18"/>
      <c r="BB385" s="14"/>
      <c r="BC385" s="14"/>
      <c r="BD385" s="14"/>
      <c r="BE385" s="17"/>
      <c r="BF385" s="17"/>
      <c r="BG385" s="17"/>
      <c r="BH385" s="14"/>
      <c r="BI385" s="14"/>
      <c r="BJ385" s="14"/>
      <c r="BK385" s="15"/>
      <c r="BL385" s="15"/>
      <c r="BM385" s="16"/>
    </row>
    <row r="386" spans="1:65" ht="38.25" x14ac:dyDescent="0.2">
      <c r="A386" s="330">
        <v>171</v>
      </c>
      <c r="B386" s="77" t="s">
        <v>1387</v>
      </c>
      <c r="C386" s="70" t="s">
        <v>1096</v>
      </c>
      <c r="D386" s="20" t="s">
        <v>130</v>
      </c>
      <c r="E386" s="2" t="s">
        <v>372</v>
      </c>
      <c r="F386" s="71" t="s">
        <v>1389</v>
      </c>
      <c r="G386" s="71" t="s">
        <v>1425</v>
      </c>
      <c r="H386" s="7" t="s">
        <v>1096</v>
      </c>
      <c r="I386" s="67">
        <v>42802</v>
      </c>
      <c r="J386" s="67">
        <v>43167</v>
      </c>
      <c r="K386" s="8" t="s">
        <v>1400</v>
      </c>
      <c r="L386" s="21" t="s">
        <v>1401</v>
      </c>
      <c r="M386" s="21" t="s">
        <v>1402</v>
      </c>
      <c r="N386" s="176">
        <v>42803</v>
      </c>
      <c r="O386" s="69">
        <v>71001.75</v>
      </c>
      <c r="P386" s="238">
        <v>12013</v>
      </c>
      <c r="Q386" s="176">
        <v>42803</v>
      </c>
      <c r="R386" s="176">
        <v>43100</v>
      </c>
      <c r="S386" s="6" t="s">
        <v>1390</v>
      </c>
      <c r="T386" s="6"/>
      <c r="U386" s="6"/>
      <c r="V386" s="6"/>
      <c r="W386" s="6" t="s">
        <v>192</v>
      </c>
      <c r="X386" s="6"/>
      <c r="Y386" s="6"/>
      <c r="Z386" s="6"/>
      <c r="AA386" s="6"/>
      <c r="AB386" s="6"/>
      <c r="AC386" s="6"/>
      <c r="AD386" s="6"/>
      <c r="AE386" s="6"/>
      <c r="AF386" s="6"/>
      <c r="AG386" s="6"/>
      <c r="AH386" s="6"/>
      <c r="AI386" s="6"/>
      <c r="AJ386" s="6"/>
      <c r="AK386" s="6"/>
      <c r="AL386" s="194">
        <f t="shared" si="4"/>
        <v>71001.75</v>
      </c>
      <c r="AM386" s="10"/>
      <c r="AN386" s="219">
        <f>0+2433.8+5580.09+5677.56</f>
        <v>13691.45</v>
      </c>
      <c r="AO386" s="138">
        <f t="shared" si="3"/>
        <v>13691.45</v>
      </c>
      <c r="AP386" s="13"/>
      <c r="AQ386" s="13"/>
      <c r="AR386" s="13"/>
      <c r="AS386" s="13"/>
      <c r="AT386" s="12"/>
      <c r="AU386" s="16"/>
      <c r="AV386" s="14"/>
      <c r="AW386" s="14"/>
      <c r="AX386" s="14"/>
      <c r="AY386" s="14"/>
      <c r="AZ386" s="17"/>
      <c r="BA386" s="18"/>
      <c r="BB386" s="14"/>
      <c r="BC386" s="14"/>
      <c r="BD386" s="14"/>
      <c r="BE386" s="17"/>
      <c r="BF386" s="17"/>
      <c r="BG386" s="17"/>
      <c r="BH386" s="14"/>
      <c r="BI386" s="14"/>
      <c r="BJ386" s="14"/>
      <c r="BK386" s="15"/>
      <c r="BL386" s="15"/>
      <c r="BM386" s="16"/>
    </row>
    <row r="387" spans="1:65" ht="38.25" x14ac:dyDescent="0.2">
      <c r="A387" s="330">
        <v>172</v>
      </c>
      <c r="B387" s="77" t="s">
        <v>1387</v>
      </c>
      <c r="C387" s="70" t="s">
        <v>1096</v>
      </c>
      <c r="D387" s="20" t="s">
        <v>130</v>
      </c>
      <c r="E387" s="2" t="s">
        <v>372</v>
      </c>
      <c r="F387" s="71" t="s">
        <v>1389</v>
      </c>
      <c r="G387" s="71" t="s">
        <v>1425</v>
      </c>
      <c r="H387" s="7" t="s">
        <v>1096</v>
      </c>
      <c r="I387" s="67">
        <v>42802</v>
      </c>
      <c r="J387" s="67">
        <v>43167</v>
      </c>
      <c r="K387" s="8" t="s">
        <v>1410</v>
      </c>
      <c r="L387" s="21" t="s">
        <v>886</v>
      </c>
      <c r="M387" s="21" t="s">
        <v>908</v>
      </c>
      <c r="N387" s="176">
        <v>42803</v>
      </c>
      <c r="O387" s="69">
        <v>21152.5</v>
      </c>
      <c r="P387" s="238">
        <v>12013</v>
      </c>
      <c r="Q387" s="176">
        <v>42803</v>
      </c>
      <c r="R387" s="176">
        <v>43100</v>
      </c>
      <c r="S387" s="6" t="s">
        <v>1390</v>
      </c>
      <c r="T387" s="6"/>
      <c r="U387" s="6"/>
      <c r="V387" s="6"/>
      <c r="W387" s="6" t="s">
        <v>192</v>
      </c>
      <c r="X387" s="6"/>
      <c r="Y387" s="6"/>
      <c r="Z387" s="6"/>
      <c r="AA387" s="6"/>
      <c r="AB387" s="6"/>
      <c r="AC387" s="6"/>
      <c r="AD387" s="6"/>
      <c r="AE387" s="6"/>
      <c r="AF387" s="6"/>
      <c r="AG387" s="6"/>
      <c r="AH387" s="6"/>
      <c r="AI387" s="6"/>
      <c r="AJ387" s="6"/>
      <c r="AK387" s="6"/>
      <c r="AL387" s="194">
        <f t="shared" si="4"/>
        <v>21152.5</v>
      </c>
      <c r="AM387" s="10"/>
      <c r="AN387" s="219">
        <f>2748.84+5922.46+5503.65</f>
        <v>14174.949999999999</v>
      </c>
      <c r="AO387" s="138">
        <f t="shared" si="3"/>
        <v>14174.949999999999</v>
      </c>
      <c r="AP387" s="13"/>
      <c r="AQ387" s="13"/>
      <c r="AR387" s="13"/>
      <c r="AS387" s="13"/>
      <c r="AT387" s="12"/>
      <c r="AU387" s="16"/>
      <c r="AV387" s="14"/>
      <c r="AW387" s="14"/>
      <c r="AX387" s="14"/>
      <c r="AY387" s="14"/>
      <c r="AZ387" s="17"/>
      <c r="BA387" s="18"/>
      <c r="BB387" s="14"/>
      <c r="BC387" s="14"/>
      <c r="BD387" s="14"/>
      <c r="BE387" s="17"/>
      <c r="BF387" s="17"/>
      <c r="BG387" s="17"/>
      <c r="BH387" s="14"/>
      <c r="BI387" s="14"/>
      <c r="BJ387" s="14"/>
      <c r="BK387" s="15"/>
      <c r="BL387" s="15"/>
      <c r="BM387" s="16"/>
    </row>
    <row r="388" spans="1:65" ht="38.25" x14ac:dyDescent="0.2">
      <c r="A388" s="330">
        <v>173</v>
      </c>
      <c r="B388" s="77" t="s">
        <v>1387</v>
      </c>
      <c r="C388" s="70" t="s">
        <v>1096</v>
      </c>
      <c r="D388" s="20" t="s">
        <v>130</v>
      </c>
      <c r="E388" s="2" t="s">
        <v>372</v>
      </c>
      <c r="F388" s="71" t="s">
        <v>1389</v>
      </c>
      <c r="G388" s="71" t="s">
        <v>1425</v>
      </c>
      <c r="H388" s="7" t="s">
        <v>1096</v>
      </c>
      <c r="I388" s="67">
        <v>42802</v>
      </c>
      <c r="J388" s="67">
        <v>43167</v>
      </c>
      <c r="K388" s="8" t="s">
        <v>1411</v>
      </c>
      <c r="L388" s="21" t="s">
        <v>697</v>
      </c>
      <c r="M388" s="21" t="s">
        <v>698</v>
      </c>
      <c r="N388" s="176">
        <v>42803</v>
      </c>
      <c r="O388" s="69">
        <v>6950</v>
      </c>
      <c r="P388" s="238">
        <v>12013</v>
      </c>
      <c r="Q388" s="176">
        <v>42803</v>
      </c>
      <c r="R388" s="176">
        <v>43100</v>
      </c>
      <c r="S388" s="6" t="s">
        <v>1390</v>
      </c>
      <c r="T388" s="6"/>
      <c r="U388" s="6"/>
      <c r="V388" s="6"/>
      <c r="W388" s="6" t="s">
        <v>192</v>
      </c>
      <c r="X388" s="6"/>
      <c r="Y388" s="6"/>
      <c r="Z388" s="6"/>
      <c r="AA388" s="6"/>
      <c r="AB388" s="6"/>
      <c r="AC388" s="6"/>
      <c r="AD388" s="6"/>
      <c r="AE388" s="6"/>
      <c r="AF388" s="6"/>
      <c r="AG388" s="6"/>
      <c r="AH388" s="6"/>
      <c r="AI388" s="6"/>
      <c r="AJ388" s="6"/>
      <c r="AK388" s="6"/>
      <c r="AL388" s="194">
        <f t="shared" si="4"/>
        <v>6950</v>
      </c>
      <c r="AM388" s="10"/>
      <c r="AN388" s="219">
        <f>2314.95+1949.35</f>
        <v>4264.2999999999993</v>
      </c>
      <c r="AO388" s="138">
        <f t="shared" si="3"/>
        <v>4264.2999999999993</v>
      </c>
      <c r="AP388" s="13"/>
      <c r="AQ388" s="13"/>
      <c r="AR388" s="13"/>
      <c r="AS388" s="13"/>
      <c r="AT388" s="12"/>
      <c r="AU388" s="16"/>
      <c r="AV388" s="14"/>
      <c r="AW388" s="14"/>
      <c r="AX388" s="14"/>
      <c r="AY388" s="14"/>
      <c r="AZ388" s="17"/>
      <c r="BA388" s="18"/>
      <c r="BB388" s="14"/>
      <c r="BC388" s="14"/>
      <c r="BD388" s="14"/>
      <c r="BE388" s="17"/>
      <c r="BF388" s="17"/>
      <c r="BG388" s="17"/>
      <c r="BH388" s="14"/>
      <c r="BI388" s="14"/>
      <c r="BJ388" s="14"/>
      <c r="BK388" s="15"/>
      <c r="BL388" s="15"/>
      <c r="BM388" s="16"/>
    </row>
    <row r="389" spans="1:65" ht="38.25" x14ac:dyDescent="0.2">
      <c r="A389" s="330">
        <v>174</v>
      </c>
      <c r="B389" s="77" t="s">
        <v>1387</v>
      </c>
      <c r="C389" s="70" t="s">
        <v>1096</v>
      </c>
      <c r="D389" s="20" t="s">
        <v>130</v>
      </c>
      <c r="E389" s="2" t="s">
        <v>372</v>
      </c>
      <c r="F389" s="71" t="s">
        <v>1389</v>
      </c>
      <c r="G389" s="71" t="s">
        <v>1425</v>
      </c>
      <c r="H389" s="7" t="s">
        <v>1096</v>
      </c>
      <c r="I389" s="67">
        <v>42802</v>
      </c>
      <c r="J389" s="67">
        <v>43167</v>
      </c>
      <c r="K389" s="8" t="s">
        <v>1412</v>
      </c>
      <c r="L389" s="21" t="s">
        <v>1452</v>
      </c>
      <c r="M389" s="21" t="s">
        <v>1413</v>
      </c>
      <c r="N389" s="176">
        <v>42803</v>
      </c>
      <c r="O389" s="69">
        <v>21312.5</v>
      </c>
      <c r="P389" s="238">
        <v>12013</v>
      </c>
      <c r="Q389" s="176">
        <v>42803</v>
      </c>
      <c r="R389" s="176">
        <v>43100</v>
      </c>
      <c r="S389" s="6" t="s">
        <v>1390</v>
      </c>
      <c r="T389" s="6"/>
      <c r="U389" s="6"/>
      <c r="V389" s="6"/>
      <c r="W389" s="6" t="s">
        <v>192</v>
      </c>
      <c r="X389" s="6"/>
      <c r="Y389" s="6"/>
      <c r="Z389" s="6"/>
      <c r="AA389" s="6"/>
      <c r="AB389" s="6"/>
      <c r="AC389" s="6"/>
      <c r="AD389" s="6"/>
      <c r="AE389" s="6"/>
      <c r="AF389" s="6"/>
      <c r="AG389" s="6"/>
      <c r="AH389" s="6"/>
      <c r="AI389" s="6"/>
      <c r="AJ389" s="6"/>
      <c r="AK389" s="6"/>
      <c r="AL389" s="194">
        <f t="shared" si="4"/>
        <v>21312.5</v>
      </c>
      <c r="AM389" s="10"/>
      <c r="AN389" s="219">
        <f>2727.5+5097.3+5959.1</f>
        <v>13783.900000000001</v>
      </c>
      <c r="AO389" s="138">
        <f t="shared" si="3"/>
        <v>13783.900000000001</v>
      </c>
      <c r="AP389" s="13"/>
      <c r="AQ389" s="13"/>
      <c r="AR389" s="13"/>
      <c r="AS389" s="13"/>
      <c r="AT389" s="12"/>
      <c r="AU389" s="16"/>
      <c r="AV389" s="14"/>
      <c r="AW389" s="14"/>
      <c r="AX389" s="14"/>
      <c r="AY389" s="14"/>
      <c r="AZ389" s="17"/>
      <c r="BA389" s="18"/>
      <c r="BB389" s="14"/>
      <c r="BC389" s="14"/>
      <c r="BD389" s="14"/>
      <c r="BE389" s="17"/>
      <c r="BF389" s="17"/>
      <c r="BG389" s="17"/>
      <c r="BH389" s="14"/>
      <c r="BI389" s="14"/>
      <c r="BJ389" s="14"/>
      <c r="BK389" s="15"/>
      <c r="BL389" s="15"/>
      <c r="BM389" s="16"/>
    </row>
    <row r="390" spans="1:65" ht="38.25" x14ac:dyDescent="0.2">
      <c r="A390" s="330">
        <v>175</v>
      </c>
      <c r="B390" s="77" t="s">
        <v>1387</v>
      </c>
      <c r="C390" s="70" t="s">
        <v>1096</v>
      </c>
      <c r="D390" s="20" t="s">
        <v>130</v>
      </c>
      <c r="E390" s="2" t="s">
        <v>372</v>
      </c>
      <c r="F390" s="71" t="s">
        <v>1389</v>
      </c>
      <c r="G390" s="71" t="s">
        <v>1425</v>
      </c>
      <c r="H390" s="7" t="s">
        <v>1096</v>
      </c>
      <c r="I390" s="67">
        <v>42802</v>
      </c>
      <c r="J390" s="67">
        <v>43167</v>
      </c>
      <c r="K390" s="8" t="s">
        <v>1414</v>
      </c>
      <c r="L390" s="21" t="s">
        <v>1415</v>
      </c>
      <c r="M390" s="21" t="s">
        <v>1416</v>
      </c>
      <c r="N390" s="176">
        <v>42803</v>
      </c>
      <c r="O390" s="69">
        <v>11832.5</v>
      </c>
      <c r="P390" s="238">
        <v>12013</v>
      </c>
      <c r="Q390" s="176">
        <v>42803</v>
      </c>
      <c r="R390" s="176">
        <v>43100</v>
      </c>
      <c r="S390" s="6" t="s">
        <v>1390</v>
      </c>
      <c r="T390" s="6"/>
      <c r="U390" s="6"/>
      <c r="V390" s="6"/>
      <c r="W390" s="6" t="s">
        <v>192</v>
      </c>
      <c r="X390" s="6"/>
      <c r="Y390" s="6"/>
      <c r="Z390" s="6"/>
      <c r="AA390" s="6"/>
      <c r="AB390" s="6"/>
      <c r="AC390" s="6"/>
      <c r="AD390" s="6"/>
      <c r="AE390" s="6"/>
      <c r="AF390" s="6"/>
      <c r="AG390" s="6"/>
      <c r="AH390" s="6"/>
      <c r="AI390" s="6"/>
      <c r="AJ390" s="6"/>
      <c r="AK390" s="6"/>
      <c r="AL390" s="194">
        <f t="shared" si="4"/>
        <v>11832.5</v>
      </c>
      <c r="AM390" s="10"/>
      <c r="AN390" s="219">
        <f>4541.2+3851.4</f>
        <v>8392.6</v>
      </c>
      <c r="AO390" s="138">
        <f t="shared" si="3"/>
        <v>8392.6</v>
      </c>
      <c r="AP390" s="13"/>
      <c r="AQ390" s="13"/>
      <c r="AR390" s="13"/>
      <c r="AS390" s="13"/>
      <c r="AT390" s="12"/>
      <c r="AU390" s="16"/>
      <c r="AV390" s="14"/>
      <c r="AW390" s="14"/>
      <c r="AX390" s="14"/>
      <c r="AY390" s="14"/>
      <c r="AZ390" s="17"/>
      <c r="BA390" s="18"/>
      <c r="BB390" s="14"/>
      <c r="BC390" s="14"/>
      <c r="BD390" s="14"/>
      <c r="BE390" s="17"/>
      <c r="BF390" s="17"/>
      <c r="BG390" s="17"/>
      <c r="BH390" s="14"/>
      <c r="BI390" s="14"/>
      <c r="BJ390" s="14"/>
      <c r="BK390" s="15"/>
      <c r="BL390" s="15"/>
      <c r="BM390" s="16"/>
    </row>
    <row r="391" spans="1:65" ht="38.25" x14ac:dyDescent="0.2">
      <c r="A391" s="330">
        <v>176</v>
      </c>
      <c r="B391" s="77" t="s">
        <v>1387</v>
      </c>
      <c r="C391" s="70" t="s">
        <v>1096</v>
      </c>
      <c r="D391" s="20" t="s">
        <v>130</v>
      </c>
      <c r="E391" s="2" t="s">
        <v>372</v>
      </c>
      <c r="F391" s="71" t="s">
        <v>1389</v>
      </c>
      <c r="G391" s="71" t="s">
        <v>1425</v>
      </c>
      <c r="H391" s="7" t="s">
        <v>1096</v>
      </c>
      <c r="I391" s="67">
        <v>42802</v>
      </c>
      <c r="J391" s="67">
        <v>43167</v>
      </c>
      <c r="K391" s="8" t="s">
        <v>1417</v>
      </c>
      <c r="L391" s="21" t="s">
        <v>1418</v>
      </c>
      <c r="M391" s="21" t="s">
        <v>1419</v>
      </c>
      <c r="N391" s="176">
        <v>42803</v>
      </c>
      <c r="O391" s="69">
        <v>4600</v>
      </c>
      <c r="P391" s="238">
        <v>12013</v>
      </c>
      <c r="Q391" s="176">
        <v>42803</v>
      </c>
      <c r="R391" s="176">
        <v>43100</v>
      </c>
      <c r="S391" s="6" t="s">
        <v>1390</v>
      </c>
      <c r="T391" s="6"/>
      <c r="U391" s="6"/>
      <c r="V391" s="6"/>
      <c r="W391" s="6" t="s">
        <v>192</v>
      </c>
      <c r="X391" s="6"/>
      <c r="Y391" s="6"/>
      <c r="Z391" s="6"/>
      <c r="AA391" s="6"/>
      <c r="AB391" s="6"/>
      <c r="AC391" s="6"/>
      <c r="AD391" s="6"/>
      <c r="AE391" s="6"/>
      <c r="AF391" s="6"/>
      <c r="AG391" s="6"/>
      <c r="AH391" s="6"/>
      <c r="AI391" s="6"/>
      <c r="AJ391" s="6"/>
      <c r="AK391" s="6"/>
      <c r="AL391" s="194">
        <f t="shared" si="4"/>
        <v>4600</v>
      </c>
      <c r="AM391" s="10"/>
      <c r="AN391" s="219">
        <f>0+2448.75+638.3</f>
        <v>3087.05</v>
      </c>
      <c r="AO391" s="138">
        <f t="shared" si="3"/>
        <v>3087.05</v>
      </c>
      <c r="AP391" s="13"/>
      <c r="AQ391" s="13"/>
      <c r="AR391" s="13"/>
      <c r="AS391" s="13"/>
      <c r="AT391" s="12"/>
      <c r="AU391" s="16"/>
      <c r="AV391" s="14"/>
      <c r="AW391" s="14"/>
      <c r="AX391" s="14"/>
      <c r="AY391" s="14"/>
      <c r="AZ391" s="17"/>
      <c r="BA391" s="18"/>
      <c r="BB391" s="14"/>
      <c r="BC391" s="14"/>
      <c r="BD391" s="14"/>
      <c r="BE391" s="17"/>
      <c r="BF391" s="17"/>
      <c r="BG391" s="17"/>
      <c r="BH391" s="14"/>
      <c r="BI391" s="14"/>
      <c r="BJ391" s="14"/>
      <c r="BK391" s="15"/>
      <c r="BL391" s="15"/>
      <c r="BM391" s="16"/>
    </row>
    <row r="392" spans="1:65" ht="38.25" x14ac:dyDescent="0.2">
      <c r="A392" s="330">
        <v>177</v>
      </c>
      <c r="B392" s="77" t="s">
        <v>1421</v>
      </c>
      <c r="C392" s="70" t="s">
        <v>1104</v>
      </c>
      <c r="D392" s="20" t="s">
        <v>130</v>
      </c>
      <c r="E392" s="2" t="s">
        <v>372</v>
      </c>
      <c r="F392" s="71" t="s">
        <v>1424</v>
      </c>
      <c r="G392" s="71" t="s">
        <v>1432</v>
      </c>
      <c r="H392" s="7" t="s">
        <v>1097</v>
      </c>
      <c r="I392" s="67">
        <v>42802</v>
      </c>
      <c r="J392" s="67">
        <v>43167</v>
      </c>
      <c r="K392" s="8" t="s">
        <v>1420</v>
      </c>
      <c r="L392" s="21" t="s">
        <v>1422</v>
      </c>
      <c r="M392" s="21" t="s">
        <v>1423</v>
      </c>
      <c r="N392" s="176">
        <v>42803</v>
      </c>
      <c r="O392" s="69">
        <v>18614.3</v>
      </c>
      <c r="P392" s="238">
        <v>12012</v>
      </c>
      <c r="Q392" s="176">
        <v>42803</v>
      </c>
      <c r="R392" s="176">
        <v>43100</v>
      </c>
      <c r="S392" s="6" t="s">
        <v>1390</v>
      </c>
      <c r="T392" s="6"/>
      <c r="U392" s="6"/>
      <c r="V392" s="6"/>
      <c r="W392" s="6" t="s">
        <v>192</v>
      </c>
      <c r="X392" s="6"/>
      <c r="Y392" s="6"/>
      <c r="Z392" s="6"/>
      <c r="AA392" s="6"/>
      <c r="AB392" s="6"/>
      <c r="AC392" s="6"/>
      <c r="AD392" s="6"/>
      <c r="AE392" s="6"/>
      <c r="AF392" s="6"/>
      <c r="AG392" s="6"/>
      <c r="AH392" s="6"/>
      <c r="AI392" s="6"/>
      <c r="AJ392" s="6"/>
      <c r="AK392" s="6"/>
      <c r="AL392" s="194">
        <f t="shared" si="4"/>
        <v>18614.3</v>
      </c>
      <c r="AM392" s="10"/>
      <c r="AN392" s="219">
        <f>18614.3</f>
        <v>18614.3</v>
      </c>
      <c r="AO392" s="138">
        <f t="shared" si="3"/>
        <v>18614.3</v>
      </c>
      <c r="AP392" s="13"/>
      <c r="AQ392" s="13"/>
      <c r="AR392" s="13"/>
      <c r="AS392" s="13"/>
      <c r="AT392" s="12"/>
      <c r="AU392" s="16"/>
      <c r="AV392" s="14"/>
      <c r="AW392" s="14"/>
      <c r="AX392" s="14"/>
      <c r="AY392" s="14"/>
      <c r="AZ392" s="17"/>
      <c r="BA392" s="18"/>
      <c r="BB392" s="14"/>
      <c r="BC392" s="14"/>
      <c r="BD392" s="14"/>
      <c r="BE392" s="17"/>
      <c r="BF392" s="17"/>
      <c r="BG392" s="17"/>
      <c r="BH392" s="14"/>
      <c r="BI392" s="14"/>
      <c r="BJ392" s="14"/>
      <c r="BK392" s="15"/>
      <c r="BL392" s="15"/>
      <c r="BM392" s="16"/>
    </row>
    <row r="393" spans="1:65" ht="89.25" x14ac:dyDescent="0.2">
      <c r="A393" s="330">
        <v>178</v>
      </c>
      <c r="B393" s="77" t="s">
        <v>1428</v>
      </c>
      <c r="C393" s="70" t="s">
        <v>1091</v>
      </c>
      <c r="D393" s="20" t="s">
        <v>130</v>
      </c>
      <c r="E393" s="2" t="s">
        <v>372</v>
      </c>
      <c r="F393" s="71" t="s">
        <v>1429</v>
      </c>
      <c r="G393" s="71" t="s">
        <v>1431</v>
      </c>
      <c r="H393" s="7" t="s">
        <v>1094</v>
      </c>
      <c r="I393" s="67">
        <v>42790</v>
      </c>
      <c r="J393" s="67">
        <v>43155</v>
      </c>
      <c r="K393" s="8" t="s">
        <v>1427</v>
      </c>
      <c r="L393" s="21" t="s">
        <v>715</v>
      </c>
      <c r="M393" s="21" t="s">
        <v>247</v>
      </c>
      <c r="N393" s="176">
        <v>42807</v>
      </c>
      <c r="O393" s="69">
        <v>235000</v>
      </c>
      <c r="P393" s="238">
        <v>12015</v>
      </c>
      <c r="Q393" s="176">
        <v>42807</v>
      </c>
      <c r="R393" s="176">
        <v>43100</v>
      </c>
      <c r="S393" s="6" t="s">
        <v>1390</v>
      </c>
      <c r="T393" s="6"/>
      <c r="U393" s="6" t="s">
        <v>419</v>
      </c>
      <c r="V393" s="6"/>
      <c r="W393" s="6" t="s">
        <v>714</v>
      </c>
      <c r="X393" s="6"/>
      <c r="Y393" s="6"/>
      <c r="Z393" s="6"/>
      <c r="AA393" s="6"/>
      <c r="AB393" s="6"/>
      <c r="AC393" s="6"/>
      <c r="AD393" s="6"/>
      <c r="AE393" s="6"/>
      <c r="AF393" s="6"/>
      <c r="AG393" s="6"/>
      <c r="AH393" s="6"/>
      <c r="AI393" s="6"/>
      <c r="AJ393" s="6"/>
      <c r="AK393" s="6"/>
      <c r="AL393" s="194">
        <f t="shared" si="4"/>
        <v>235000</v>
      </c>
      <c r="AM393" s="10"/>
      <c r="AN393" s="219">
        <f>25333.33+25333.33+75999.99+25333.33+10666.66</f>
        <v>162666.64000000001</v>
      </c>
      <c r="AO393" s="138">
        <f t="shared" si="3"/>
        <v>162666.64000000001</v>
      </c>
      <c r="AP393" s="13"/>
      <c r="AQ393" s="13"/>
      <c r="AR393" s="13"/>
      <c r="AS393" s="13"/>
      <c r="AT393" s="12"/>
      <c r="AU393" s="16"/>
      <c r="AV393" s="14"/>
      <c r="AW393" s="14"/>
      <c r="AX393" s="14"/>
      <c r="AY393" s="14"/>
      <c r="AZ393" s="17"/>
      <c r="BA393" s="18"/>
      <c r="BB393" s="14"/>
      <c r="BC393" s="14"/>
      <c r="BD393" s="14"/>
      <c r="BE393" s="17"/>
      <c r="BF393" s="17"/>
      <c r="BG393" s="17"/>
      <c r="BH393" s="14"/>
      <c r="BI393" s="14"/>
      <c r="BJ393" s="14"/>
      <c r="BK393" s="15"/>
      <c r="BL393" s="15"/>
      <c r="BM393" s="16"/>
    </row>
    <row r="394" spans="1:65" ht="89.25" x14ac:dyDescent="0.2">
      <c r="A394" s="330">
        <v>179</v>
      </c>
      <c r="B394" s="77" t="s">
        <v>1428</v>
      </c>
      <c r="C394" s="70" t="s">
        <v>1091</v>
      </c>
      <c r="D394" s="20" t="s">
        <v>130</v>
      </c>
      <c r="E394" s="2" t="s">
        <v>372</v>
      </c>
      <c r="F394" s="71" t="s">
        <v>1429</v>
      </c>
      <c r="G394" s="71" t="s">
        <v>1431</v>
      </c>
      <c r="H394" s="7" t="s">
        <v>1094</v>
      </c>
      <c r="I394" s="67">
        <v>42790</v>
      </c>
      <c r="J394" s="67">
        <v>43155</v>
      </c>
      <c r="K394" s="8" t="s">
        <v>1430</v>
      </c>
      <c r="L394" s="21" t="s">
        <v>712</v>
      </c>
      <c r="M394" s="21" t="s">
        <v>713</v>
      </c>
      <c r="N394" s="176">
        <v>42807</v>
      </c>
      <c r="O394" s="69">
        <v>72720</v>
      </c>
      <c r="P394" s="238">
        <v>12016</v>
      </c>
      <c r="Q394" s="176">
        <v>42807</v>
      </c>
      <c r="R394" s="176">
        <v>43100</v>
      </c>
      <c r="S394" s="6" t="s">
        <v>1390</v>
      </c>
      <c r="T394" s="6"/>
      <c r="U394" s="6"/>
      <c r="V394" s="6"/>
      <c r="W394" s="6" t="s">
        <v>714</v>
      </c>
      <c r="X394" s="6"/>
      <c r="Y394" s="6"/>
      <c r="Z394" s="6"/>
      <c r="AA394" s="6"/>
      <c r="AB394" s="6"/>
      <c r="AC394" s="6"/>
      <c r="AD394" s="6"/>
      <c r="AE394" s="6"/>
      <c r="AF394" s="6"/>
      <c r="AG394" s="6"/>
      <c r="AH394" s="6"/>
      <c r="AI394" s="6"/>
      <c r="AJ394" s="6"/>
      <c r="AK394" s="6"/>
      <c r="AL394" s="194">
        <f t="shared" si="4"/>
        <v>72720</v>
      </c>
      <c r="AM394" s="10"/>
      <c r="AN394" s="219">
        <f>72720</f>
        <v>72720</v>
      </c>
      <c r="AO394" s="138">
        <f t="shared" si="3"/>
        <v>72720</v>
      </c>
      <c r="AP394" s="13"/>
      <c r="AQ394" s="13"/>
      <c r="AR394" s="13"/>
      <c r="AS394" s="13"/>
      <c r="AT394" s="12"/>
      <c r="AU394" s="16"/>
      <c r="AV394" s="14"/>
      <c r="AW394" s="14"/>
      <c r="AX394" s="14"/>
      <c r="AY394" s="14"/>
      <c r="AZ394" s="17"/>
      <c r="BA394" s="18"/>
      <c r="BB394" s="14"/>
      <c r="BC394" s="14"/>
      <c r="BD394" s="14"/>
      <c r="BE394" s="17"/>
      <c r="BF394" s="17"/>
      <c r="BG394" s="17"/>
      <c r="BH394" s="14"/>
      <c r="BI394" s="14"/>
      <c r="BJ394" s="14"/>
      <c r="BK394" s="15"/>
      <c r="BL394" s="15"/>
      <c r="BM394" s="16"/>
    </row>
    <row r="395" spans="1:65" ht="38.25" x14ac:dyDescent="0.2">
      <c r="A395" s="330">
        <v>180</v>
      </c>
      <c r="B395" s="77" t="s">
        <v>1435</v>
      </c>
      <c r="C395" s="70" t="s">
        <v>1095</v>
      </c>
      <c r="D395" s="20" t="s">
        <v>130</v>
      </c>
      <c r="E395" s="2" t="s">
        <v>372</v>
      </c>
      <c r="F395" s="71" t="s">
        <v>1437</v>
      </c>
      <c r="G395" s="71" t="s">
        <v>1425</v>
      </c>
      <c r="H395" s="7" t="s">
        <v>1095</v>
      </c>
      <c r="I395" s="67">
        <v>42801</v>
      </c>
      <c r="J395" s="67">
        <v>43166</v>
      </c>
      <c r="K395" s="8" t="s">
        <v>1436</v>
      </c>
      <c r="L395" s="21" t="s">
        <v>431</v>
      </c>
      <c r="M395" s="21" t="s">
        <v>432</v>
      </c>
      <c r="N395" s="176">
        <v>42809</v>
      </c>
      <c r="O395" s="69">
        <v>37606.5</v>
      </c>
      <c r="P395" s="238">
        <v>12016</v>
      </c>
      <c r="Q395" s="176">
        <v>42809</v>
      </c>
      <c r="R395" s="176">
        <v>43100</v>
      </c>
      <c r="S395" s="6" t="s">
        <v>1390</v>
      </c>
      <c r="T395" s="6"/>
      <c r="U395" s="6"/>
      <c r="V395" s="6"/>
      <c r="W395" s="6" t="s">
        <v>137</v>
      </c>
      <c r="X395" s="6"/>
      <c r="Y395" s="6"/>
      <c r="Z395" s="6"/>
      <c r="AA395" s="6"/>
      <c r="AB395" s="6"/>
      <c r="AC395" s="6"/>
      <c r="AD395" s="6"/>
      <c r="AE395" s="6"/>
      <c r="AF395" s="6"/>
      <c r="AG395" s="6"/>
      <c r="AH395" s="6"/>
      <c r="AI395" s="6"/>
      <c r="AJ395" s="6"/>
      <c r="AK395" s="6"/>
      <c r="AL395" s="194">
        <f t="shared" si="4"/>
        <v>37606.5</v>
      </c>
      <c r="AM395" s="10"/>
      <c r="AN395" s="219">
        <f>2215.75+1254+1345.5</f>
        <v>4815.25</v>
      </c>
      <c r="AO395" s="138">
        <f t="shared" si="3"/>
        <v>4815.25</v>
      </c>
      <c r="AP395" s="13"/>
      <c r="AQ395" s="13"/>
      <c r="AR395" s="13"/>
      <c r="AS395" s="13"/>
      <c r="AT395" s="12"/>
      <c r="AU395" s="16"/>
      <c r="AV395" s="14"/>
      <c r="AW395" s="14"/>
      <c r="AX395" s="14"/>
      <c r="AY395" s="14"/>
      <c r="AZ395" s="17"/>
      <c r="BA395" s="18"/>
      <c r="BB395" s="14"/>
      <c r="BC395" s="14"/>
      <c r="BD395" s="14"/>
      <c r="BE395" s="17"/>
      <c r="BF395" s="17"/>
      <c r="BG395" s="17"/>
      <c r="BH395" s="14"/>
      <c r="BI395" s="14"/>
      <c r="BJ395" s="14"/>
      <c r="BK395" s="15"/>
      <c r="BL395" s="15"/>
      <c r="BM395" s="16"/>
    </row>
    <row r="396" spans="1:65" ht="38.25" x14ac:dyDescent="0.2">
      <c r="A396" s="330">
        <v>181</v>
      </c>
      <c r="B396" s="77" t="s">
        <v>1435</v>
      </c>
      <c r="C396" s="70" t="s">
        <v>1095</v>
      </c>
      <c r="D396" s="20" t="s">
        <v>130</v>
      </c>
      <c r="E396" s="2" t="s">
        <v>372</v>
      </c>
      <c r="F396" s="71" t="s">
        <v>1437</v>
      </c>
      <c r="G396" s="71" t="s">
        <v>1425</v>
      </c>
      <c r="H396" s="7" t="s">
        <v>1095</v>
      </c>
      <c r="I396" s="67">
        <v>42801</v>
      </c>
      <c r="J396" s="67">
        <v>43166</v>
      </c>
      <c r="K396" s="8" t="s">
        <v>1438</v>
      </c>
      <c r="L396" s="21" t="s">
        <v>867</v>
      </c>
      <c r="M396" s="21" t="s">
        <v>753</v>
      </c>
      <c r="N396" s="176">
        <v>42809</v>
      </c>
      <c r="O396" s="69">
        <v>84500</v>
      </c>
      <c r="P396" s="238">
        <v>12016</v>
      </c>
      <c r="Q396" s="176">
        <v>42809</v>
      </c>
      <c r="R396" s="176">
        <v>43100</v>
      </c>
      <c r="S396" s="6" t="s">
        <v>1390</v>
      </c>
      <c r="T396" s="6"/>
      <c r="U396" s="6"/>
      <c r="V396" s="6"/>
      <c r="W396" s="6" t="s">
        <v>137</v>
      </c>
      <c r="X396" s="6"/>
      <c r="Y396" s="6"/>
      <c r="Z396" s="6"/>
      <c r="AA396" s="6"/>
      <c r="AB396" s="6"/>
      <c r="AC396" s="6"/>
      <c r="AD396" s="6"/>
      <c r="AE396" s="6"/>
      <c r="AF396" s="6"/>
      <c r="AG396" s="6"/>
      <c r="AH396" s="6"/>
      <c r="AI396" s="6"/>
      <c r="AJ396" s="6"/>
      <c r="AK396" s="6"/>
      <c r="AL396" s="194">
        <f t="shared" si="4"/>
        <v>84500</v>
      </c>
      <c r="AM396" s="10"/>
      <c r="AN396" s="219">
        <f>383.5+9575.67</f>
        <v>9959.17</v>
      </c>
      <c r="AO396" s="138">
        <f t="shared" si="3"/>
        <v>9959.17</v>
      </c>
      <c r="AP396" s="13"/>
      <c r="AQ396" s="13"/>
      <c r="AR396" s="13"/>
      <c r="AS396" s="13"/>
      <c r="AT396" s="12"/>
      <c r="AU396" s="16"/>
      <c r="AV396" s="14"/>
      <c r="AW396" s="14"/>
      <c r="AX396" s="14"/>
      <c r="AY396" s="14"/>
      <c r="AZ396" s="17"/>
      <c r="BA396" s="18"/>
      <c r="BB396" s="14"/>
      <c r="BC396" s="14"/>
      <c r="BD396" s="14"/>
      <c r="BE396" s="17"/>
      <c r="BF396" s="17"/>
      <c r="BG396" s="17"/>
      <c r="BH396" s="14"/>
      <c r="BI396" s="14"/>
      <c r="BJ396" s="14"/>
      <c r="BK396" s="15"/>
      <c r="BL396" s="15"/>
      <c r="BM396" s="16"/>
    </row>
    <row r="397" spans="1:65" ht="102" x14ac:dyDescent="0.2">
      <c r="A397" s="330">
        <v>182</v>
      </c>
      <c r="B397" s="77" t="s">
        <v>938</v>
      </c>
      <c r="C397" s="70" t="s">
        <v>1084</v>
      </c>
      <c r="D397" s="20" t="s">
        <v>1439</v>
      </c>
      <c r="E397" s="2" t="s">
        <v>372</v>
      </c>
      <c r="F397" s="71" t="s">
        <v>1440</v>
      </c>
      <c r="G397" s="207" t="s">
        <v>1496</v>
      </c>
      <c r="H397" s="3" t="s">
        <v>643</v>
      </c>
      <c r="I397" s="59">
        <v>42473</v>
      </c>
      <c r="J397" s="59">
        <v>42838</v>
      </c>
      <c r="K397" s="8" t="s">
        <v>1441</v>
      </c>
      <c r="L397" s="21" t="s">
        <v>463</v>
      </c>
      <c r="M397" s="21" t="s">
        <v>487</v>
      </c>
      <c r="N397" s="176">
        <v>42814</v>
      </c>
      <c r="O397" s="69">
        <v>580653.36</v>
      </c>
      <c r="P397" s="239">
        <v>12020</v>
      </c>
      <c r="Q397" s="176">
        <v>42814</v>
      </c>
      <c r="R397" s="176">
        <v>43179</v>
      </c>
      <c r="S397" s="6" t="s">
        <v>941</v>
      </c>
      <c r="T397" s="6"/>
      <c r="U397" s="6"/>
      <c r="V397" s="6"/>
      <c r="W397" s="6" t="s">
        <v>137</v>
      </c>
      <c r="X397" s="6"/>
      <c r="Y397" s="6"/>
      <c r="Z397" s="6"/>
      <c r="AA397" s="6"/>
      <c r="AB397" s="6"/>
      <c r="AC397" s="6"/>
      <c r="AD397" s="6"/>
      <c r="AE397" s="6"/>
      <c r="AF397" s="6"/>
      <c r="AG397" s="6"/>
      <c r="AH397" s="6"/>
      <c r="AI397" s="6"/>
      <c r="AJ397" s="6"/>
      <c r="AK397" s="6"/>
      <c r="AL397" s="194">
        <f t="shared" si="4"/>
        <v>580653.36</v>
      </c>
      <c r="AM397" s="10"/>
      <c r="AN397" s="219">
        <f>0+1972.87+2466.09+12072.56+17997.51+18757.28+18757.28+18757.28+18757.28</f>
        <v>109538.15</v>
      </c>
      <c r="AO397" s="138">
        <f t="shared" ref="AO397:AO460" si="5">AM397+AN397</f>
        <v>109538.15</v>
      </c>
      <c r="AP397" s="13"/>
      <c r="AQ397" s="13"/>
      <c r="AR397" s="13"/>
      <c r="AS397" s="13"/>
      <c r="AT397" s="12"/>
      <c r="AU397" s="16"/>
      <c r="AV397" s="14"/>
      <c r="AW397" s="14"/>
      <c r="AX397" s="14"/>
      <c r="AY397" s="14"/>
      <c r="AZ397" s="17"/>
      <c r="BA397" s="18"/>
      <c r="BB397" s="14"/>
      <c r="BC397" s="14"/>
      <c r="BD397" s="14"/>
      <c r="BE397" s="17"/>
      <c r="BF397" s="17"/>
      <c r="BG397" s="17"/>
      <c r="BH397" s="14"/>
      <c r="BI397" s="14"/>
      <c r="BJ397" s="14"/>
      <c r="BK397" s="15"/>
      <c r="BL397" s="15"/>
      <c r="BM397" s="16"/>
    </row>
    <row r="398" spans="1:65" ht="76.5" x14ac:dyDescent="0.2">
      <c r="A398" s="330">
        <v>183</v>
      </c>
      <c r="B398" s="77" t="s">
        <v>1443</v>
      </c>
      <c r="C398" s="70" t="s">
        <v>1086</v>
      </c>
      <c r="D398" s="20" t="s">
        <v>130</v>
      </c>
      <c r="E398" s="2" t="s">
        <v>372</v>
      </c>
      <c r="F398" s="71" t="s">
        <v>1446</v>
      </c>
      <c r="G398" s="71" t="s">
        <v>1451</v>
      </c>
      <c r="H398" s="7" t="s">
        <v>1102</v>
      </c>
      <c r="I398" s="67">
        <v>42815</v>
      </c>
      <c r="J398" s="67">
        <v>43180</v>
      </c>
      <c r="K398" s="8" t="s">
        <v>1442</v>
      </c>
      <c r="L398" s="21" t="s">
        <v>1444</v>
      </c>
      <c r="M398" s="21" t="s">
        <v>1445</v>
      </c>
      <c r="N398" s="176">
        <v>42817</v>
      </c>
      <c r="O398" s="69">
        <v>105000</v>
      </c>
      <c r="P398" s="238">
        <v>12021</v>
      </c>
      <c r="Q398" s="176">
        <v>42817</v>
      </c>
      <c r="R398" s="176">
        <v>43100</v>
      </c>
      <c r="S398" s="6" t="s">
        <v>614</v>
      </c>
      <c r="T398" s="6"/>
      <c r="U398" s="6"/>
      <c r="V398" s="6"/>
      <c r="W398" s="6" t="s">
        <v>1447</v>
      </c>
      <c r="X398" s="6"/>
      <c r="Y398" s="6"/>
      <c r="Z398" s="6"/>
      <c r="AA398" s="6"/>
      <c r="AB398" s="6"/>
      <c r="AC398" s="6"/>
      <c r="AD398" s="6"/>
      <c r="AE398" s="6"/>
      <c r="AF398" s="6"/>
      <c r="AG398" s="6"/>
      <c r="AH398" s="6"/>
      <c r="AI398" s="6"/>
      <c r="AJ398" s="6"/>
      <c r="AK398" s="6"/>
      <c r="AL398" s="194">
        <f t="shared" si="4"/>
        <v>105000</v>
      </c>
      <c r="AM398" s="10"/>
      <c r="AN398" s="219">
        <f>105000</f>
        <v>105000</v>
      </c>
      <c r="AO398" s="138">
        <f t="shared" si="5"/>
        <v>105000</v>
      </c>
      <c r="AP398" s="13"/>
      <c r="AQ398" s="13"/>
      <c r="AR398" s="13"/>
      <c r="AS398" s="13"/>
      <c r="AT398" s="12"/>
      <c r="AU398" s="16"/>
      <c r="AV398" s="14"/>
      <c r="AW398" s="14"/>
      <c r="AX398" s="14"/>
      <c r="AY398" s="14"/>
      <c r="AZ398" s="17"/>
      <c r="BA398" s="18"/>
      <c r="BB398" s="14"/>
      <c r="BC398" s="14"/>
      <c r="BD398" s="14"/>
      <c r="BE398" s="17"/>
      <c r="BF398" s="17"/>
      <c r="BG398" s="17"/>
      <c r="BH398" s="14"/>
      <c r="BI398" s="14"/>
      <c r="BJ398" s="14"/>
      <c r="BK398" s="15"/>
      <c r="BL398" s="15"/>
      <c r="BM398" s="16"/>
    </row>
    <row r="399" spans="1:65" ht="76.5" x14ac:dyDescent="0.2">
      <c r="A399" s="330">
        <v>184</v>
      </c>
      <c r="B399" s="77" t="s">
        <v>1443</v>
      </c>
      <c r="C399" s="70" t="s">
        <v>1086</v>
      </c>
      <c r="D399" s="20" t="s">
        <v>130</v>
      </c>
      <c r="E399" s="2" t="s">
        <v>372</v>
      </c>
      <c r="F399" s="71" t="s">
        <v>1446</v>
      </c>
      <c r="G399" s="71" t="s">
        <v>1451</v>
      </c>
      <c r="H399" s="7" t="s">
        <v>1101</v>
      </c>
      <c r="I399" s="67">
        <v>42815</v>
      </c>
      <c r="J399" s="67">
        <v>43180</v>
      </c>
      <c r="K399" s="8" t="s">
        <v>1450</v>
      </c>
      <c r="L399" s="21" t="s">
        <v>1448</v>
      </c>
      <c r="M399" s="21" t="s">
        <v>1449</v>
      </c>
      <c r="N399" s="176">
        <v>42817</v>
      </c>
      <c r="O399" s="69">
        <v>70000</v>
      </c>
      <c r="P399" s="238">
        <v>12021</v>
      </c>
      <c r="Q399" s="176">
        <v>42817</v>
      </c>
      <c r="R399" s="176">
        <v>43100</v>
      </c>
      <c r="S399" s="6" t="s">
        <v>614</v>
      </c>
      <c r="T399" s="6"/>
      <c r="U399" s="6"/>
      <c r="V399" s="6"/>
      <c r="W399" s="6" t="s">
        <v>1447</v>
      </c>
      <c r="X399" s="6"/>
      <c r="Y399" s="6"/>
      <c r="Z399" s="6"/>
      <c r="AA399" s="6"/>
      <c r="AB399" s="6"/>
      <c r="AC399" s="6"/>
      <c r="AD399" s="6"/>
      <c r="AE399" s="6"/>
      <c r="AF399" s="6"/>
      <c r="AG399" s="6"/>
      <c r="AH399" s="6"/>
      <c r="AI399" s="6"/>
      <c r="AJ399" s="6"/>
      <c r="AK399" s="6"/>
      <c r="AL399" s="194">
        <f t="shared" si="4"/>
        <v>70000</v>
      </c>
      <c r="AM399" s="10"/>
      <c r="AN399" s="219">
        <f>70000</f>
        <v>70000</v>
      </c>
      <c r="AO399" s="138">
        <f t="shared" si="5"/>
        <v>70000</v>
      </c>
      <c r="AP399" s="13"/>
      <c r="AQ399" s="13"/>
      <c r="AR399" s="13"/>
      <c r="AS399" s="13"/>
      <c r="AT399" s="12"/>
      <c r="AU399" s="16"/>
      <c r="AV399" s="14"/>
      <c r="AW399" s="14"/>
      <c r="AX399" s="14"/>
      <c r="AY399" s="14"/>
      <c r="AZ399" s="17"/>
      <c r="BA399" s="18"/>
      <c r="BB399" s="14"/>
      <c r="BC399" s="14"/>
      <c r="BD399" s="14"/>
      <c r="BE399" s="17"/>
      <c r="BF399" s="17"/>
      <c r="BG399" s="17"/>
      <c r="BH399" s="14"/>
      <c r="BI399" s="14"/>
      <c r="BJ399" s="14"/>
      <c r="BK399" s="15"/>
      <c r="BL399" s="15"/>
      <c r="BM399" s="16"/>
    </row>
    <row r="400" spans="1:65" ht="38.25" x14ac:dyDescent="0.2">
      <c r="A400" s="330">
        <v>185</v>
      </c>
      <c r="B400" s="75" t="s">
        <v>888</v>
      </c>
      <c r="C400" s="22" t="s">
        <v>659</v>
      </c>
      <c r="D400" s="71" t="s">
        <v>130</v>
      </c>
      <c r="E400" s="12" t="s">
        <v>372</v>
      </c>
      <c r="F400" s="21" t="s">
        <v>1480</v>
      </c>
      <c r="G400" s="207" t="s">
        <v>1492</v>
      </c>
      <c r="H400" s="3" t="s">
        <v>657</v>
      </c>
      <c r="I400" s="59">
        <v>42467</v>
      </c>
      <c r="J400" s="59">
        <v>42832</v>
      </c>
      <c r="K400" s="76" t="s">
        <v>1479</v>
      </c>
      <c r="L400" s="21" t="s">
        <v>956</v>
      </c>
      <c r="M400" s="21" t="s">
        <v>561</v>
      </c>
      <c r="N400" s="73">
        <v>42825</v>
      </c>
      <c r="O400" s="69">
        <v>50400</v>
      </c>
      <c r="P400" s="74">
        <v>12028</v>
      </c>
      <c r="Q400" s="73">
        <v>42825</v>
      </c>
      <c r="R400" s="73">
        <v>43190</v>
      </c>
      <c r="S400" s="6" t="s">
        <v>206</v>
      </c>
      <c r="T400" s="6"/>
      <c r="U400" s="6"/>
      <c r="V400" s="6"/>
      <c r="W400" s="6" t="s">
        <v>137</v>
      </c>
      <c r="X400" s="6"/>
      <c r="Y400" s="6"/>
      <c r="Z400" s="6"/>
      <c r="AA400" s="6"/>
      <c r="AB400" s="6"/>
      <c r="AC400" s="6"/>
      <c r="AD400" s="6"/>
      <c r="AE400" s="6"/>
      <c r="AF400" s="6"/>
      <c r="AG400" s="6"/>
      <c r="AH400" s="6"/>
      <c r="AI400" s="6"/>
      <c r="AJ400" s="6"/>
      <c r="AK400" s="6"/>
      <c r="AL400" s="194">
        <f t="shared" si="4"/>
        <v>50400</v>
      </c>
      <c r="AM400" s="10"/>
      <c r="AN400" s="219">
        <f>4200+4200+4200+8400+4200+4200</f>
        <v>29400</v>
      </c>
      <c r="AO400" s="138">
        <f t="shared" si="5"/>
        <v>29400</v>
      </c>
      <c r="AP400" s="13"/>
      <c r="AQ400" s="13"/>
      <c r="AR400" s="13"/>
      <c r="AS400" s="13"/>
      <c r="AT400" s="19"/>
      <c r="AU400" s="16"/>
      <c r="AV400" s="16"/>
      <c r="AW400" s="16"/>
      <c r="AX400" s="16"/>
      <c r="AY400" s="16"/>
      <c r="AZ400" s="16"/>
      <c r="BA400" s="16"/>
      <c r="BB400" s="14"/>
      <c r="BC400" s="14"/>
      <c r="BD400" s="14"/>
      <c r="BE400" s="17"/>
      <c r="BF400" s="17"/>
      <c r="BG400" s="17"/>
      <c r="BH400" s="14"/>
      <c r="BI400" s="14"/>
      <c r="BJ400" s="14"/>
      <c r="BK400" s="16"/>
      <c r="BL400" s="16"/>
      <c r="BM400" s="16"/>
    </row>
    <row r="401" spans="1:65" ht="51" x14ac:dyDescent="0.2">
      <c r="A401" s="330">
        <v>186</v>
      </c>
      <c r="B401" s="77" t="s">
        <v>1475</v>
      </c>
      <c r="C401" s="70" t="s">
        <v>1105</v>
      </c>
      <c r="D401" s="71" t="s">
        <v>130</v>
      </c>
      <c r="E401" s="12" t="s">
        <v>372</v>
      </c>
      <c r="F401" s="71" t="s">
        <v>1478</v>
      </c>
      <c r="G401" s="71" t="s">
        <v>1432</v>
      </c>
      <c r="H401" s="7" t="s">
        <v>1099</v>
      </c>
      <c r="I401" s="67">
        <v>42807</v>
      </c>
      <c r="J401" s="67">
        <v>43172</v>
      </c>
      <c r="K401" s="76" t="s">
        <v>1474</v>
      </c>
      <c r="L401" s="21" t="s">
        <v>1476</v>
      </c>
      <c r="M401" s="21" t="s">
        <v>1477</v>
      </c>
      <c r="N401" s="176">
        <v>42828</v>
      </c>
      <c r="O401" s="69">
        <v>35952</v>
      </c>
      <c r="P401" s="238">
        <v>12029</v>
      </c>
      <c r="Q401" s="176">
        <v>42828</v>
      </c>
      <c r="R401" s="176">
        <v>43100</v>
      </c>
      <c r="S401" s="6" t="s">
        <v>206</v>
      </c>
      <c r="T401" s="6"/>
      <c r="U401" s="6"/>
      <c r="V401" s="6"/>
      <c r="W401" s="6" t="s">
        <v>192</v>
      </c>
      <c r="X401" s="6"/>
      <c r="Y401" s="6"/>
      <c r="Z401" s="6"/>
      <c r="AA401" s="6"/>
      <c r="AB401" s="6"/>
      <c r="AC401" s="6"/>
      <c r="AD401" s="6"/>
      <c r="AE401" s="6"/>
      <c r="AF401" s="6"/>
      <c r="AG401" s="6"/>
      <c r="AH401" s="6"/>
      <c r="AI401" s="6"/>
      <c r="AJ401" s="6"/>
      <c r="AK401" s="6"/>
      <c r="AL401" s="194">
        <f t="shared" si="4"/>
        <v>35952</v>
      </c>
      <c r="AM401" s="10"/>
      <c r="AN401" s="219">
        <f>1280.79+381.99+1872.5</f>
        <v>3535.2799999999997</v>
      </c>
      <c r="AO401" s="138">
        <f t="shared" si="5"/>
        <v>3535.2799999999997</v>
      </c>
      <c r="AP401" s="13"/>
      <c r="AQ401" s="13"/>
      <c r="AR401" s="13"/>
      <c r="AS401" s="13"/>
      <c r="AT401" s="78"/>
      <c r="AU401" s="16"/>
      <c r="AV401" s="16"/>
      <c r="AW401" s="16"/>
      <c r="AX401" s="16"/>
      <c r="AY401" s="16"/>
      <c r="AZ401" s="16"/>
      <c r="BA401" s="16"/>
      <c r="BB401" s="14"/>
      <c r="BC401" s="14"/>
      <c r="BD401" s="14"/>
      <c r="BE401" s="17"/>
      <c r="BF401" s="17"/>
      <c r="BG401" s="17"/>
      <c r="BH401" s="14"/>
      <c r="BI401" s="14"/>
      <c r="BJ401" s="14"/>
      <c r="BK401" s="16"/>
      <c r="BL401" s="16"/>
      <c r="BM401" s="16"/>
    </row>
    <row r="402" spans="1:65" ht="51" x14ac:dyDescent="0.2">
      <c r="A402" s="330">
        <v>187</v>
      </c>
      <c r="B402" s="77" t="s">
        <v>1481</v>
      </c>
      <c r="C402" s="70" t="s">
        <v>1088</v>
      </c>
      <c r="D402" s="71" t="s">
        <v>130</v>
      </c>
      <c r="E402" s="12" t="s">
        <v>372</v>
      </c>
      <c r="F402" s="71" t="s">
        <v>1483</v>
      </c>
      <c r="G402" s="71" t="s">
        <v>1493</v>
      </c>
      <c r="H402" s="7" t="s">
        <v>1091</v>
      </c>
      <c r="I402" s="67">
        <v>42775</v>
      </c>
      <c r="J402" s="67">
        <v>43140</v>
      </c>
      <c r="K402" s="76" t="s">
        <v>1487</v>
      </c>
      <c r="L402" s="21" t="s">
        <v>263</v>
      </c>
      <c r="M402" s="21" t="s">
        <v>1482</v>
      </c>
      <c r="N402" s="176">
        <v>42828</v>
      </c>
      <c r="O402" s="69">
        <v>117990</v>
      </c>
      <c r="P402" s="238">
        <v>12028</v>
      </c>
      <c r="Q402" s="176">
        <v>42828</v>
      </c>
      <c r="R402" s="176">
        <v>43100</v>
      </c>
      <c r="S402" s="6" t="s">
        <v>206</v>
      </c>
      <c r="T402" s="6"/>
      <c r="U402" s="6"/>
      <c r="V402" s="6"/>
      <c r="W402" s="6" t="s">
        <v>1484</v>
      </c>
      <c r="X402" s="6"/>
      <c r="Y402" s="6"/>
      <c r="Z402" s="6"/>
      <c r="AA402" s="6"/>
      <c r="AB402" s="6"/>
      <c r="AC402" s="6"/>
      <c r="AD402" s="6"/>
      <c r="AE402" s="6"/>
      <c r="AF402" s="6"/>
      <c r="AG402" s="6"/>
      <c r="AH402" s="6"/>
      <c r="AI402" s="6"/>
      <c r="AJ402" s="6"/>
      <c r="AK402" s="6"/>
      <c r="AL402" s="194">
        <f t="shared" si="4"/>
        <v>117990</v>
      </c>
      <c r="AM402" s="10"/>
      <c r="AN402" s="219">
        <f>0+3560</f>
        <v>3560</v>
      </c>
      <c r="AO402" s="138">
        <f t="shared" si="5"/>
        <v>3560</v>
      </c>
      <c r="AP402" s="13"/>
      <c r="AQ402" s="13"/>
      <c r="AR402" s="13"/>
      <c r="AS402" s="13"/>
      <c r="AT402" s="78"/>
      <c r="AU402" s="16"/>
      <c r="AV402" s="16"/>
      <c r="AW402" s="16"/>
      <c r="AX402" s="16"/>
      <c r="AY402" s="16"/>
      <c r="AZ402" s="16"/>
      <c r="BA402" s="16"/>
      <c r="BB402" s="14"/>
      <c r="BC402" s="14"/>
      <c r="BD402" s="14"/>
      <c r="BE402" s="17"/>
      <c r="BF402" s="17"/>
      <c r="BG402" s="17"/>
      <c r="BH402" s="14"/>
      <c r="BI402" s="14"/>
      <c r="BJ402" s="14"/>
      <c r="BK402" s="16"/>
      <c r="BL402" s="16"/>
      <c r="BM402" s="16"/>
    </row>
    <row r="403" spans="1:65" ht="89.25" x14ac:dyDescent="0.2">
      <c r="A403" s="330">
        <v>188</v>
      </c>
      <c r="B403" s="77" t="s">
        <v>1485</v>
      </c>
      <c r="C403" s="70" t="s">
        <v>1117</v>
      </c>
      <c r="D403" s="71" t="s">
        <v>130</v>
      </c>
      <c r="E403" s="12" t="s">
        <v>372</v>
      </c>
      <c r="F403" s="71" t="s">
        <v>1251</v>
      </c>
      <c r="G403" s="71" t="s">
        <v>1495</v>
      </c>
      <c r="H403" s="7" t="s">
        <v>1100</v>
      </c>
      <c r="I403" s="67">
        <v>42814</v>
      </c>
      <c r="J403" s="67">
        <v>43179</v>
      </c>
      <c r="K403" s="76" t="s">
        <v>1486</v>
      </c>
      <c r="L403" s="21" t="s">
        <v>295</v>
      </c>
      <c r="M403" s="21" t="s">
        <v>228</v>
      </c>
      <c r="N403" s="176">
        <v>42828</v>
      </c>
      <c r="O403" s="69">
        <v>18800</v>
      </c>
      <c r="P403" s="238">
        <v>12028</v>
      </c>
      <c r="Q403" s="176">
        <v>42828</v>
      </c>
      <c r="R403" s="176">
        <v>43100</v>
      </c>
      <c r="S403" s="6" t="s">
        <v>146</v>
      </c>
      <c r="T403" s="6"/>
      <c r="U403" s="6"/>
      <c r="V403" s="6"/>
      <c r="W403" s="6" t="s">
        <v>1491</v>
      </c>
      <c r="X403" s="6"/>
      <c r="Y403" s="6"/>
      <c r="Z403" s="6"/>
      <c r="AA403" s="6"/>
      <c r="AB403" s="6"/>
      <c r="AC403" s="6"/>
      <c r="AD403" s="6"/>
      <c r="AE403" s="6"/>
      <c r="AF403" s="6"/>
      <c r="AG403" s="6"/>
      <c r="AH403" s="6"/>
      <c r="AI403" s="6"/>
      <c r="AJ403" s="6"/>
      <c r="AK403" s="6"/>
      <c r="AL403" s="194">
        <f t="shared" si="4"/>
        <v>18800</v>
      </c>
      <c r="AM403" s="10"/>
      <c r="AN403" s="219">
        <f>0+18800</f>
        <v>18800</v>
      </c>
      <c r="AO403" s="138">
        <f t="shared" si="5"/>
        <v>18800</v>
      </c>
      <c r="AP403" s="13"/>
      <c r="AQ403" s="13"/>
      <c r="AR403" s="13"/>
      <c r="AS403" s="13"/>
      <c r="AT403" s="78"/>
      <c r="AU403" s="16"/>
      <c r="AV403" s="16"/>
      <c r="AW403" s="16"/>
      <c r="AX403" s="16"/>
      <c r="AY403" s="16"/>
      <c r="AZ403" s="16"/>
      <c r="BA403" s="16"/>
      <c r="BB403" s="14"/>
      <c r="BC403" s="14"/>
      <c r="BD403" s="14"/>
      <c r="BE403" s="17"/>
      <c r="BF403" s="17"/>
      <c r="BG403" s="17"/>
      <c r="BH403" s="14"/>
      <c r="BI403" s="14"/>
      <c r="BJ403" s="14"/>
      <c r="BK403" s="16"/>
      <c r="BL403" s="16"/>
      <c r="BM403" s="16"/>
    </row>
    <row r="404" spans="1:65" ht="89.25" x14ac:dyDescent="0.2">
      <c r="A404" s="330">
        <v>189</v>
      </c>
      <c r="B404" s="77" t="s">
        <v>1485</v>
      </c>
      <c r="C404" s="70" t="s">
        <v>1117</v>
      </c>
      <c r="D404" s="71" t="s">
        <v>130</v>
      </c>
      <c r="E404" s="12" t="s">
        <v>372</v>
      </c>
      <c r="F404" s="71" t="s">
        <v>1251</v>
      </c>
      <c r="G404" s="71" t="s">
        <v>1495</v>
      </c>
      <c r="H404" s="7" t="s">
        <v>1100</v>
      </c>
      <c r="I404" s="67">
        <v>42814</v>
      </c>
      <c r="J404" s="67">
        <v>43179</v>
      </c>
      <c r="K404" s="76" t="s">
        <v>1488</v>
      </c>
      <c r="L404" s="21" t="s">
        <v>1489</v>
      </c>
      <c r="M404" s="21" t="s">
        <v>1490</v>
      </c>
      <c r="N404" s="176">
        <v>42828</v>
      </c>
      <c r="O404" s="69">
        <v>10075</v>
      </c>
      <c r="P404" s="238">
        <v>12033</v>
      </c>
      <c r="Q404" s="176">
        <v>42828</v>
      </c>
      <c r="R404" s="176">
        <v>43100</v>
      </c>
      <c r="S404" s="6" t="s">
        <v>146</v>
      </c>
      <c r="T404" s="6"/>
      <c r="U404" s="6"/>
      <c r="V404" s="6"/>
      <c r="W404" s="6" t="s">
        <v>1491</v>
      </c>
      <c r="X404" s="6"/>
      <c r="Y404" s="6"/>
      <c r="Z404" s="6"/>
      <c r="AA404" s="6"/>
      <c r="AB404" s="6"/>
      <c r="AC404" s="6"/>
      <c r="AD404" s="6"/>
      <c r="AE404" s="6"/>
      <c r="AF404" s="6"/>
      <c r="AG404" s="6"/>
      <c r="AH404" s="6"/>
      <c r="AI404" s="6"/>
      <c r="AJ404" s="6"/>
      <c r="AK404" s="6"/>
      <c r="AL404" s="194">
        <f t="shared" si="4"/>
        <v>10075</v>
      </c>
      <c r="AM404" s="10"/>
      <c r="AN404" s="219">
        <f>10075</f>
        <v>10075</v>
      </c>
      <c r="AO404" s="138">
        <f t="shared" si="5"/>
        <v>10075</v>
      </c>
      <c r="AP404" s="13"/>
      <c r="AQ404" s="13"/>
      <c r="AR404" s="13"/>
      <c r="AS404" s="13"/>
      <c r="AT404" s="78"/>
      <c r="AU404" s="16"/>
      <c r="AV404" s="16"/>
      <c r="AW404" s="16"/>
      <c r="AX404" s="16"/>
      <c r="AY404" s="16"/>
      <c r="AZ404" s="16"/>
      <c r="BA404" s="16"/>
      <c r="BB404" s="14"/>
      <c r="BC404" s="14"/>
      <c r="BD404" s="14"/>
      <c r="BE404" s="17"/>
      <c r="BF404" s="17"/>
      <c r="BG404" s="17"/>
      <c r="BH404" s="14"/>
      <c r="BI404" s="14"/>
      <c r="BJ404" s="14"/>
      <c r="BK404" s="16"/>
      <c r="BL404" s="16"/>
      <c r="BM404" s="16"/>
    </row>
    <row r="405" spans="1:65" ht="38.25" x14ac:dyDescent="0.2">
      <c r="A405" s="330">
        <v>190</v>
      </c>
      <c r="B405" s="77" t="s">
        <v>1498</v>
      </c>
      <c r="C405" s="70" t="s">
        <v>1103</v>
      </c>
      <c r="D405" s="71" t="s">
        <v>1500</v>
      </c>
      <c r="E405" s="12" t="s">
        <v>372</v>
      </c>
      <c r="F405" s="71" t="s">
        <v>1501</v>
      </c>
      <c r="G405" s="71"/>
      <c r="H405" s="7"/>
      <c r="I405" s="67"/>
      <c r="J405" s="67"/>
      <c r="K405" s="76" t="s">
        <v>1499</v>
      </c>
      <c r="L405" s="21" t="s">
        <v>525</v>
      </c>
      <c r="M405" s="21" t="s">
        <v>526</v>
      </c>
      <c r="N405" s="176">
        <v>42836</v>
      </c>
      <c r="O405" s="69">
        <v>128323.3</v>
      </c>
      <c r="P405" s="238">
        <v>12034</v>
      </c>
      <c r="Q405" s="176">
        <v>42836</v>
      </c>
      <c r="R405" s="176">
        <v>43100</v>
      </c>
      <c r="S405" s="6" t="s">
        <v>146</v>
      </c>
      <c r="T405" s="6"/>
      <c r="U405" s="6"/>
      <c r="V405" s="6"/>
      <c r="W405" s="6" t="s">
        <v>393</v>
      </c>
      <c r="X405" s="6"/>
      <c r="Y405" s="6"/>
      <c r="Z405" s="6"/>
      <c r="AA405" s="6"/>
      <c r="AB405" s="6"/>
      <c r="AC405" s="6"/>
      <c r="AD405" s="6"/>
      <c r="AE405" s="6"/>
      <c r="AF405" s="6"/>
      <c r="AG405" s="6"/>
      <c r="AH405" s="6"/>
      <c r="AI405" s="6"/>
      <c r="AJ405" s="6"/>
      <c r="AK405" s="6"/>
      <c r="AL405" s="194">
        <f t="shared" si="4"/>
        <v>128323.3</v>
      </c>
      <c r="AM405" s="10"/>
      <c r="AN405" s="219">
        <f>46609.31</f>
        <v>46609.31</v>
      </c>
      <c r="AO405" s="138">
        <f t="shared" si="5"/>
        <v>46609.31</v>
      </c>
      <c r="AP405" s="13"/>
      <c r="AQ405" s="13"/>
      <c r="AR405" s="13"/>
      <c r="AS405" s="13"/>
      <c r="AT405" s="78"/>
      <c r="AU405" s="16"/>
      <c r="AV405" s="16" t="s">
        <v>122</v>
      </c>
      <c r="AW405" s="20" t="s">
        <v>1507</v>
      </c>
      <c r="AX405" s="79">
        <v>12029</v>
      </c>
      <c r="AY405" s="80">
        <v>42832</v>
      </c>
      <c r="AZ405" s="79">
        <v>12031</v>
      </c>
      <c r="BA405" s="80">
        <v>42836</v>
      </c>
      <c r="BB405" s="14"/>
      <c r="BC405" s="14"/>
      <c r="BD405" s="14"/>
      <c r="BE405" s="17"/>
      <c r="BF405" s="17"/>
      <c r="BG405" s="17"/>
      <c r="BH405" s="14"/>
      <c r="BI405" s="14"/>
      <c r="BJ405" s="14"/>
      <c r="BK405" s="16"/>
      <c r="BL405" s="16"/>
      <c r="BM405" s="16"/>
    </row>
    <row r="406" spans="1:65" ht="38.25" x14ac:dyDescent="0.2">
      <c r="A406" s="331">
        <v>191</v>
      </c>
      <c r="B406" s="77" t="s">
        <v>1498</v>
      </c>
      <c r="C406" s="70" t="s">
        <v>1103</v>
      </c>
      <c r="D406" s="71" t="s">
        <v>1500</v>
      </c>
      <c r="E406" s="12" t="s">
        <v>372</v>
      </c>
      <c r="F406" s="71" t="s">
        <v>1501</v>
      </c>
      <c r="G406" s="71"/>
      <c r="H406" s="7"/>
      <c r="I406" s="67"/>
      <c r="J406" s="67"/>
      <c r="K406" s="76" t="s">
        <v>1502</v>
      </c>
      <c r="L406" s="21" t="s">
        <v>1503</v>
      </c>
      <c r="M406" s="21" t="s">
        <v>1504</v>
      </c>
      <c r="N406" s="176">
        <v>42836</v>
      </c>
      <c r="O406" s="69">
        <v>122897.9</v>
      </c>
      <c r="P406" s="238">
        <v>12033</v>
      </c>
      <c r="Q406" s="176">
        <v>42836</v>
      </c>
      <c r="R406" s="176">
        <v>43100</v>
      </c>
      <c r="S406" s="6" t="s">
        <v>146</v>
      </c>
      <c r="T406" s="6"/>
      <c r="U406" s="6"/>
      <c r="V406" s="6"/>
      <c r="W406" s="6" t="s">
        <v>393</v>
      </c>
      <c r="X406" s="6"/>
      <c r="Y406" s="6"/>
      <c r="Z406" s="6"/>
      <c r="AA406" s="6"/>
      <c r="AB406" s="6"/>
      <c r="AC406" s="6"/>
      <c r="AD406" s="6"/>
      <c r="AE406" s="6"/>
      <c r="AF406" s="6"/>
      <c r="AG406" s="6"/>
      <c r="AH406" s="6"/>
      <c r="AI406" s="6"/>
      <c r="AJ406" s="6"/>
      <c r="AK406" s="6"/>
      <c r="AL406" s="194">
        <f t="shared" si="4"/>
        <v>122897.9</v>
      </c>
      <c r="AM406" s="10"/>
      <c r="AN406" s="219">
        <f>81311.53+13206.38+8514</f>
        <v>103031.91</v>
      </c>
      <c r="AO406" s="138">
        <f t="shared" si="5"/>
        <v>103031.91</v>
      </c>
      <c r="AP406" s="13"/>
      <c r="AQ406" s="13"/>
      <c r="AR406" s="13"/>
      <c r="AS406" s="13"/>
      <c r="AT406" s="12"/>
      <c r="AU406" s="16"/>
      <c r="AV406" s="16" t="s">
        <v>122</v>
      </c>
      <c r="AW406" s="20" t="s">
        <v>1507</v>
      </c>
      <c r="AX406" s="79">
        <v>12029</v>
      </c>
      <c r="AY406" s="80">
        <v>42832</v>
      </c>
      <c r="AZ406" s="79">
        <v>12031</v>
      </c>
      <c r="BA406" s="80">
        <v>42836</v>
      </c>
      <c r="BB406" s="14"/>
      <c r="BC406" s="14"/>
      <c r="BD406" s="14"/>
      <c r="BE406" s="17"/>
      <c r="BF406" s="17"/>
      <c r="BG406" s="17"/>
      <c r="BH406" s="14"/>
      <c r="BI406" s="14"/>
      <c r="BJ406" s="14"/>
      <c r="BK406" s="16"/>
      <c r="BL406" s="16"/>
      <c r="BM406" s="16"/>
    </row>
    <row r="407" spans="1:65" ht="38.25" x14ac:dyDescent="0.2">
      <c r="A407" s="330">
        <v>192</v>
      </c>
      <c r="B407" s="77" t="s">
        <v>1498</v>
      </c>
      <c r="C407" s="70" t="s">
        <v>1103</v>
      </c>
      <c r="D407" s="71" t="s">
        <v>1500</v>
      </c>
      <c r="E407" s="12" t="s">
        <v>372</v>
      </c>
      <c r="F407" s="71" t="s">
        <v>1501</v>
      </c>
      <c r="G407" s="71"/>
      <c r="H407" s="7"/>
      <c r="I407" s="67"/>
      <c r="J407" s="67"/>
      <c r="K407" s="76" t="s">
        <v>1505</v>
      </c>
      <c r="L407" s="21" t="s">
        <v>516</v>
      </c>
      <c r="M407" s="21" t="s">
        <v>400</v>
      </c>
      <c r="N407" s="176">
        <v>42836</v>
      </c>
      <c r="O407" s="69">
        <v>126260</v>
      </c>
      <c r="P407" s="238">
        <v>12033</v>
      </c>
      <c r="Q407" s="176">
        <v>42836</v>
      </c>
      <c r="R407" s="176">
        <v>43100</v>
      </c>
      <c r="S407" s="6" t="s">
        <v>146</v>
      </c>
      <c r="T407" s="6"/>
      <c r="U407" s="6"/>
      <c r="V407" s="6"/>
      <c r="W407" s="6" t="s">
        <v>393</v>
      </c>
      <c r="X407" s="6"/>
      <c r="Y407" s="6"/>
      <c r="Z407" s="6"/>
      <c r="AA407" s="6"/>
      <c r="AB407" s="6"/>
      <c r="AC407" s="6"/>
      <c r="AD407" s="6"/>
      <c r="AE407" s="6"/>
      <c r="AF407" s="6"/>
      <c r="AG407" s="6"/>
      <c r="AH407" s="6"/>
      <c r="AI407" s="6"/>
      <c r="AJ407" s="6"/>
      <c r="AK407" s="6"/>
      <c r="AL407" s="194">
        <f t="shared" si="4"/>
        <v>126260</v>
      </c>
      <c r="AM407" s="10"/>
      <c r="AN407" s="219">
        <f>126260</f>
        <v>126260</v>
      </c>
      <c r="AO407" s="138">
        <f t="shared" si="5"/>
        <v>126260</v>
      </c>
      <c r="AP407" s="13"/>
      <c r="AQ407" s="13"/>
      <c r="AR407" s="13"/>
      <c r="AS407" s="13"/>
      <c r="AT407" s="12"/>
      <c r="AU407" s="16"/>
      <c r="AV407" s="16" t="s">
        <v>122</v>
      </c>
      <c r="AW407" s="20" t="s">
        <v>1507</v>
      </c>
      <c r="AX407" s="79">
        <v>12029</v>
      </c>
      <c r="AY407" s="80">
        <v>42832</v>
      </c>
      <c r="AZ407" s="79">
        <v>12031</v>
      </c>
      <c r="BA407" s="80">
        <v>42836</v>
      </c>
      <c r="BB407" s="14"/>
      <c r="BC407" s="14"/>
      <c r="BD407" s="14"/>
      <c r="BE407" s="17"/>
      <c r="BF407" s="17"/>
      <c r="BG407" s="17"/>
      <c r="BH407" s="14"/>
      <c r="BI407" s="14"/>
      <c r="BJ407" s="14"/>
      <c r="BK407" s="16"/>
      <c r="BL407" s="16"/>
      <c r="BM407" s="16"/>
    </row>
    <row r="408" spans="1:65" ht="38.25" x14ac:dyDescent="0.2">
      <c r="A408" s="330">
        <v>193</v>
      </c>
      <c r="B408" s="77" t="s">
        <v>1498</v>
      </c>
      <c r="C408" s="70" t="s">
        <v>1103</v>
      </c>
      <c r="D408" s="71" t="s">
        <v>1500</v>
      </c>
      <c r="E408" s="12" t="s">
        <v>372</v>
      </c>
      <c r="F408" s="71" t="s">
        <v>1501</v>
      </c>
      <c r="G408" s="71"/>
      <c r="H408" s="7"/>
      <c r="I408" s="67"/>
      <c r="J408" s="67"/>
      <c r="K408" s="76" t="s">
        <v>1506</v>
      </c>
      <c r="L408" s="21" t="s">
        <v>1055</v>
      </c>
      <c r="M408" s="21" t="s">
        <v>918</v>
      </c>
      <c r="N408" s="176">
        <v>42836</v>
      </c>
      <c r="O408" s="69">
        <v>2720</v>
      </c>
      <c r="P408" s="238">
        <v>12034</v>
      </c>
      <c r="Q408" s="176">
        <v>42836</v>
      </c>
      <c r="R408" s="176">
        <v>43100</v>
      </c>
      <c r="S408" s="6" t="s">
        <v>146</v>
      </c>
      <c r="T408" s="6"/>
      <c r="U408" s="6"/>
      <c r="V408" s="6"/>
      <c r="W408" s="6" t="s">
        <v>393</v>
      </c>
      <c r="X408" s="6"/>
      <c r="Y408" s="6"/>
      <c r="Z408" s="6"/>
      <c r="AA408" s="6"/>
      <c r="AB408" s="6"/>
      <c r="AC408" s="6"/>
      <c r="AD408" s="6"/>
      <c r="AE408" s="6"/>
      <c r="AF408" s="6"/>
      <c r="AG408" s="6"/>
      <c r="AH408" s="6"/>
      <c r="AI408" s="6"/>
      <c r="AJ408" s="6"/>
      <c r="AK408" s="6"/>
      <c r="AL408" s="194">
        <f t="shared" ref="AL408:AL471" si="6">O408-AH408+AG408</f>
        <v>2720</v>
      </c>
      <c r="AM408" s="10"/>
      <c r="AN408" s="219">
        <f>2720</f>
        <v>2720</v>
      </c>
      <c r="AO408" s="138">
        <f t="shared" si="5"/>
        <v>2720</v>
      </c>
      <c r="AP408" s="13"/>
      <c r="AQ408" s="13"/>
      <c r="AR408" s="13"/>
      <c r="AS408" s="13"/>
      <c r="AT408" s="12"/>
      <c r="AU408" s="16"/>
      <c r="AV408" s="16" t="s">
        <v>122</v>
      </c>
      <c r="AW408" s="20" t="s">
        <v>1507</v>
      </c>
      <c r="AX408" s="79">
        <v>12029</v>
      </c>
      <c r="AY408" s="80">
        <v>42832</v>
      </c>
      <c r="AZ408" s="79">
        <v>12031</v>
      </c>
      <c r="BA408" s="80">
        <v>42836</v>
      </c>
      <c r="BB408" s="14"/>
      <c r="BC408" s="14"/>
      <c r="BD408" s="14"/>
      <c r="BE408" s="17"/>
      <c r="BF408" s="17"/>
      <c r="BG408" s="17"/>
      <c r="BH408" s="14"/>
      <c r="BI408" s="14"/>
      <c r="BJ408" s="14"/>
      <c r="BK408" s="16"/>
      <c r="BL408" s="16"/>
      <c r="BM408" s="16"/>
    </row>
    <row r="409" spans="1:65" ht="76.5" x14ac:dyDescent="0.2">
      <c r="A409" s="329">
        <v>194</v>
      </c>
      <c r="B409" s="77" t="s">
        <v>1543</v>
      </c>
      <c r="C409" s="70" t="s">
        <v>1083</v>
      </c>
      <c r="D409" s="81" t="s">
        <v>1542</v>
      </c>
      <c r="E409" s="12"/>
      <c r="F409" s="21" t="s">
        <v>1545</v>
      </c>
      <c r="G409" s="23"/>
      <c r="H409" s="7"/>
      <c r="I409" s="7"/>
      <c r="J409" s="7"/>
      <c r="K409" s="76" t="s">
        <v>1541</v>
      </c>
      <c r="L409" s="21" t="s">
        <v>1544</v>
      </c>
      <c r="M409" s="21" t="s">
        <v>1546</v>
      </c>
      <c r="N409" s="73">
        <v>42836</v>
      </c>
      <c r="O409" s="10">
        <v>2180.9299999999998</v>
      </c>
      <c r="P409" s="74">
        <v>12048</v>
      </c>
      <c r="Q409" s="240">
        <v>42836</v>
      </c>
      <c r="R409" s="240">
        <v>43100</v>
      </c>
      <c r="S409" s="6" t="s">
        <v>1547</v>
      </c>
      <c r="T409" s="6"/>
      <c r="U409" s="6"/>
      <c r="V409" s="6"/>
      <c r="W409" s="6" t="s">
        <v>229</v>
      </c>
      <c r="X409" s="6"/>
      <c r="Y409" s="6"/>
      <c r="Z409" s="6"/>
      <c r="AA409" s="6"/>
      <c r="AB409" s="6"/>
      <c r="AC409" s="6"/>
      <c r="AD409" s="6"/>
      <c r="AE409" s="6"/>
      <c r="AF409" s="6"/>
      <c r="AG409" s="6"/>
      <c r="AH409" s="6"/>
      <c r="AI409" s="6"/>
      <c r="AJ409" s="6"/>
      <c r="AK409" s="6"/>
      <c r="AL409" s="194">
        <f t="shared" si="6"/>
        <v>2180.9299999999998</v>
      </c>
      <c r="AM409" s="10"/>
      <c r="AN409" s="11">
        <f>2180.93</f>
        <v>2180.9299999999998</v>
      </c>
      <c r="AO409" s="138">
        <f t="shared" si="5"/>
        <v>2180.9299999999998</v>
      </c>
      <c r="AP409" s="13"/>
      <c r="AQ409" s="13"/>
      <c r="AR409" s="13"/>
      <c r="AS409" s="13"/>
      <c r="AT409" s="19"/>
      <c r="AU409" s="82"/>
      <c r="AV409" s="14" t="s">
        <v>138</v>
      </c>
      <c r="AW409" s="6" t="s">
        <v>1588</v>
      </c>
      <c r="AX409" s="83">
        <v>12022</v>
      </c>
      <c r="AY409" s="84">
        <v>42823</v>
      </c>
      <c r="AZ409" s="79">
        <v>12031</v>
      </c>
      <c r="BA409" s="80">
        <v>42836</v>
      </c>
      <c r="BB409" s="14"/>
      <c r="BC409" s="14"/>
      <c r="BD409" s="14"/>
      <c r="BE409" s="17"/>
      <c r="BF409" s="17"/>
      <c r="BG409" s="17"/>
      <c r="BH409" s="14"/>
      <c r="BI409" s="14"/>
      <c r="BJ409" s="14"/>
      <c r="BK409" s="15"/>
      <c r="BL409" s="15"/>
      <c r="BM409" s="16"/>
    </row>
    <row r="410" spans="1:65" ht="76.5" x14ac:dyDescent="0.2">
      <c r="A410" s="329">
        <v>195</v>
      </c>
      <c r="B410" s="77" t="s">
        <v>1543</v>
      </c>
      <c r="C410" s="70" t="s">
        <v>1083</v>
      </c>
      <c r="D410" s="81" t="s">
        <v>1542</v>
      </c>
      <c r="E410" s="12"/>
      <c r="F410" s="21" t="s">
        <v>1551</v>
      </c>
      <c r="G410" s="23"/>
      <c r="H410" s="7"/>
      <c r="I410" s="7"/>
      <c r="J410" s="7"/>
      <c r="K410" s="76" t="s">
        <v>1548</v>
      </c>
      <c r="L410" s="21" t="s">
        <v>1549</v>
      </c>
      <c r="M410" s="21" t="s">
        <v>1550</v>
      </c>
      <c r="N410" s="73">
        <v>42836</v>
      </c>
      <c r="O410" s="10">
        <v>1730.07</v>
      </c>
      <c r="P410" s="74">
        <v>12048</v>
      </c>
      <c r="Q410" s="240">
        <v>42836</v>
      </c>
      <c r="R410" s="240">
        <v>43100</v>
      </c>
      <c r="S410" s="6" t="s">
        <v>1552</v>
      </c>
      <c r="T410" s="6"/>
      <c r="U410" s="6"/>
      <c r="V410" s="6"/>
      <c r="W410" s="6" t="s">
        <v>229</v>
      </c>
      <c r="X410" s="6"/>
      <c r="Y410" s="6"/>
      <c r="Z410" s="6"/>
      <c r="AA410" s="6"/>
      <c r="AB410" s="6"/>
      <c r="AC410" s="6"/>
      <c r="AD410" s="6"/>
      <c r="AE410" s="6"/>
      <c r="AF410" s="6"/>
      <c r="AG410" s="6"/>
      <c r="AH410" s="6"/>
      <c r="AI410" s="6"/>
      <c r="AJ410" s="6"/>
      <c r="AK410" s="6"/>
      <c r="AL410" s="194">
        <f t="shared" si="6"/>
        <v>1730.07</v>
      </c>
      <c r="AM410" s="10"/>
      <c r="AN410" s="11">
        <f>1730.07</f>
        <v>1730.07</v>
      </c>
      <c r="AO410" s="138">
        <f t="shared" si="5"/>
        <v>1730.07</v>
      </c>
      <c r="AP410" s="13"/>
      <c r="AQ410" s="13"/>
      <c r="AR410" s="13"/>
      <c r="AS410" s="13"/>
      <c r="AT410" s="19"/>
      <c r="AU410" s="82"/>
      <c r="AV410" s="14" t="s">
        <v>138</v>
      </c>
      <c r="AW410" s="6" t="s">
        <v>1588</v>
      </c>
      <c r="AX410" s="83">
        <v>12022</v>
      </c>
      <c r="AY410" s="84">
        <v>42823</v>
      </c>
      <c r="AZ410" s="79">
        <v>12031</v>
      </c>
      <c r="BA410" s="80">
        <v>42836</v>
      </c>
      <c r="BB410" s="14"/>
      <c r="BC410" s="14"/>
      <c r="BD410" s="14"/>
      <c r="BE410" s="17"/>
      <c r="BF410" s="17"/>
      <c r="BG410" s="17"/>
      <c r="BH410" s="14"/>
      <c r="BI410" s="14"/>
      <c r="BJ410" s="14"/>
      <c r="BK410" s="15"/>
      <c r="BL410" s="15"/>
      <c r="BM410" s="16"/>
    </row>
    <row r="411" spans="1:65" ht="76.5" x14ac:dyDescent="0.2">
      <c r="A411" s="329">
        <v>196</v>
      </c>
      <c r="B411" s="77" t="s">
        <v>1543</v>
      </c>
      <c r="C411" s="70" t="s">
        <v>1083</v>
      </c>
      <c r="D411" s="81" t="s">
        <v>1542</v>
      </c>
      <c r="E411" s="12"/>
      <c r="F411" s="21" t="s">
        <v>1551</v>
      </c>
      <c r="G411" s="23"/>
      <c r="H411" s="7"/>
      <c r="I411" s="7"/>
      <c r="J411" s="7"/>
      <c r="K411" s="76" t="s">
        <v>1553</v>
      </c>
      <c r="L411" s="21" t="s">
        <v>1554</v>
      </c>
      <c r="M411" s="21" t="s">
        <v>1555</v>
      </c>
      <c r="N411" s="73">
        <v>42836</v>
      </c>
      <c r="O411" s="10">
        <v>730.5</v>
      </c>
      <c r="P411" s="74">
        <v>12048</v>
      </c>
      <c r="Q411" s="240">
        <v>42836</v>
      </c>
      <c r="R411" s="240">
        <v>43100</v>
      </c>
      <c r="S411" s="6" t="s">
        <v>1552</v>
      </c>
      <c r="T411" s="6"/>
      <c r="U411" s="6"/>
      <c r="V411" s="6"/>
      <c r="W411" s="6" t="s">
        <v>229</v>
      </c>
      <c r="X411" s="6"/>
      <c r="Y411" s="6"/>
      <c r="Z411" s="6"/>
      <c r="AA411" s="6"/>
      <c r="AB411" s="6"/>
      <c r="AC411" s="6"/>
      <c r="AD411" s="6"/>
      <c r="AE411" s="6"/>
      <c r="AF411" s="6"/>
      <c r="AG411" s="6"/>
      <c r="AH411" s="6"/>
      <c r="AI411" s="6"/>
      <c r="AJ411" s="6"/>
      <c r="AK411" s="6"/>
      <c r="AL411" s="194">
        <f t="shared" si="6"/>
        <v>730.5</v>
      </c>
      <c r="AM411" s="10"/>
      <c r="AN411" s="11">
        <v>730.5</v>
      </c>
      <c r="AO411" s="138">
        <f t="shared" si="5"/>
        <v>730.5</v>
      </c>
      <c r="AP411" s="13"/>
      <c r="AQ411" s="13"/>
      <c r="AR411" s="13"/>
      <c r="AS411" s="13"/>
      <c r="AT411" s="19"/>
      <c r="AU411" s="82"/>
      <c r="AV411" s="14" t="s">
        <v>138</v>
      </c>
      <c r="AW411" s="6" t="s">
        <v>1588</v>
      </c>
      <c r="AX411" s="83">
        <v>12022</v>
      </c>
      <c r="AY411" s="84">
        <v>42823</v>
      </c>
      <c r="AZ411" s="79">
        <v>12031</v>
      </c>
      <c r="BA411" s="80">
        <v>42836</v>
      </c>
      <c r="BB411" s="14"/>
      <c r="BC411" s="14"/>
      <c r="BD411" s="14"/>
      <c r="BE411" s="17"/>
      <c r="BF411" s="17"/>
      <c r="BG411" s="17"/>
      <c r="BH411" s="14"/>
      <c r="BI411" s="14"/>
      <c r="BJ411" s="14"/>
      <c r="BK411" s="15"/>
      <c r="BL411" s="15"/>
      <c r="BM411" s="16"/>
    </row>
    <row r="412" spans="1:65" ht="76.5" x14ac:dyDescent="0.2">
      <c r="A412" s="329">
        <v>197</v>
      </c>
      <c r="B412" s="77" t="s">
        <v>1543</v>
      </c>
      <c r="C412" s="70" t="s">
        <v>1083</v>
      </c>
      <c r="D412" s="81" t="s">
        <v>1542</v>
      </c>
      <c r="E412" s="12"/>
      <c r="F412" s="21" t="s">
        <v>1551</v>
      </c>
      <c r="G412" s="23"/>
      <c r="H412" s="7"/>
      <c r="I412" s="7"/>
      <c r="J412" s="7"/>
      <c r="K412" s="76" t="s">
        <v>1556</v>
      </c>
      <c r="L412" s="21" t="s">
        <v>1557</v>
      </c>
      <c r="M412" s="21" t="s">
        <v>1558</v>
      </c>
      <c r="N412" s="73">
        <v>42836</v>
      </c>
      <c r="O412" s="10">
        <v>2335.0300000000002</v>
      </c>
      <c r="P412" s="74">
        <v>12048</v>
      </c>
      <c r="Q412" s="240">
        <v>42836</v>
      </c>
      <c r="R412" s="240">
        <v>43100</v>
      </c>
      <c r="S412" s="6" t="s">
        <v>1552</v>
      </c>
      <c r="T412" s="6"/>
      <c r="U412" s="6"/>
      <c r="V412" s="6"/>
      <c r="W412" s="6" t="s">
        <v>229</v>
      </c>
      <c r="X412" s="6"/>
      <c r="Y412" s="6"/>
      <c r="Z412" s="6"/>
      <c r="AA412" s="6"/>
      <c r="AB412" s="6"/>
      <c r="AC412" s="6"/>
      <c r="AD412" s="6"/>
      <c r="AE412" s="6"/>
      <c r="AF412" s="6"/>
      <c r="AG412" s="6"/>
      <c r="AH412" s="6"/>
      <c r="AI412" s="6"/>
      <c r="AJ412" s="6"/>
      <c r="AK412" s="6"/>
      <c r="AL412" s="194">
        <f t="shared" si="6"/>
        <v>2335.0300000000002</v>
      </c>
      <c r="AM412" s="10"/>
      <c r="AN412" s="11">
        <f>2335.03</f>
        <v>2335.0300000000002</v>
      </c>
      <c r="AO412" s="138">
        <f t="shared" si="5"/>
        <v>2335.0300000000002</v>
      </c>
      <c r="AP412" s="13"/>
      <c r="AQ412" s="13"/>
      <c r="AR412" s="13"/>
      <c r="AS412" s="13"/>
      <c r="AT412" s="19"/>
      <c r="AU412" s="82"/>
      <c r="AV412" s="14" t="s">
        <v>138</v>
      </c>
      <c r="AW412" s="6" t="s">
        <v>1588</v>
      </c>
      <c r="AX412" s="83">
        <v>12022</v>
      </c>
      <c r="AY412" s="84">
        <v>42823</v>
      </c>
      <c r="AZ412" s="79">
        <v>12031</v>
      </c>
      <c r="BA412" s="80">
        <v>42836</v>
      </c>
      <c r="BB412" s="14"/>
      <c r="BC412" s="14"/>
      <c r="BD412" s="14"/>
      <c r="BE412" s="17"/>
      <c r="BF412" s="17"/>
      <c r="BG412" s="17"/>
      <c r="BH412" s="14"/>
      <c r="BI412" s="14"/>
      <c r="BJ412" s="14"/>
      <c r="BK412" s="15"/>
      <c r="BL412" s="15"/>
      <c r="BM412" s="16"/>
    </row>
    <row r="413" spans="1:65" ht="76.5" x14ac:dyDescent="0.2">
      <c r="A413" s="329">
        <v>198</v>
      </c>
      <c r="B413" s="77" t="s">
        <v>1543</v>
      </c>
      <c r="C413" s="70" t="s">
        <v>1083</v>
      </c>
      <c r="D413" s="81" t="s">
        <v>1542</v>
      </c>
      <c r="E413" s="12"/>
      <c r="F413" s="21" t="s">
        <v>1551</v>
      </c>
      <c r="G413" s="23"/>
      <c r="H413" s="7"/>
      <c r="I413" s="7"/>
      <c r="J413" s="7"/>
      <c r="K413" s="76" t="s">
        <v>1559</v>
      </c>
      <c r="L413" s="21" t="s">
        <v>1560</v>
      </c>
      <c r="M413" s="21" t="s">
        <v>1561</v>
      </c>
      <c r="N413" s="73">
        <v>42836</v>
      </c>
      <c r="O413" s="10">
        <v>2335.0300000000002</v>
      </c>
      <c r="P413" s="74">
        <v>12048</v>
      </c>
      <c r="Q413" s="240">
        <v>42836</v>
      </c>
      <c r="R413" s="240">
        <v>43100</v>
      </c>
      <c r="S413" s="6" t="s">
        <v>1552</v>
      </c>
      <c r="T413" s="6"/>
      <c r="U413" s="6"/>
      <c r="V413" s="6"/>
      <c r="W413" s="6" t="s">
        <v>229</v>
      </c>
      <c r="X413" s="6"/>
      <c r="Y413" s="6"/>
      <c r="Z413" s="6"/>
      <c r="AA413" s="6"/>
      <c r="AB413" s="6"/>
      <c r="AC413" s="6"/>
      <c r="AD413" s="6"/>
      <c r="AE413" s="6"/>
      <c r="AF413" s="6"/>
      <c r="AG413" s="6"/>
      <c r="AH413" s="6"/>
      <c r="AI413" s="6"/>
      <c r="AJ413" s="6"/>
      <c r="AK413" s="6"/>
      <c r="AL413" s="194">
        <f t="shared" si="6"/>
        <v>2335.0300000000002</v>
      </c>
      <c r="AM413" s="10"/>
      <c r="AN413" s="11">
        <f>2335.03</f>
        <v>2335.0300000000002</v>
      </c>
      <c r="AO413" s="138">
        <f t="shared" si="5"/>
        <v>2335.0300000000002</v>
      </c>
      <c r="AP413" s="13"/>
      <c r="AQ413" s="13"/>
      <c r="AR413" s="13"/>
      <c r="AS413" s="13"/>
      <c r="AT413" s="19"/>
      <c r="AU413" s="82"/>
      <c r="AV413" s="14" t="s">
        <v>138</v>
      </c>
      <c r="AW413" s="6" t="s">
        <v>1588</v>
      </c>
      <c r="AX413" s="83">
        <v>12022</v>
      </c>
      <c r="AY413" s="84">
        <v>42823</v>
      </c>
      <c r="AZ413" s="79">
        <v>12031</v>
      </c>
      <c r="BA413" s="80">
        <v>42836</v>
      </c>
      <c r="BB413" s="14"/>
      <c r="BC413" s="14"/>
      <c r="BD413" s="14"/>
      <c r="BE413" s="17"/>
      <c r="BF413" s="17"/>
      <c r="BG413" s="17"/>
      <c r="BH413" s="14"/>
      <c r="BI413" s="14"/>
      <c r="BJ413" s="14"/>
      <c r="BK413" s="15"/>
      <c r="BL413" s="15"/>
      <c r="BM413" s="16"/>
    </row>
    <row r="414" spans="1:65" ht="76.5" x14ac:dyDescent="0.2">
      <c r="A414" s="329">
        <v>199</v>
      </c>
      <c r="B414" s="77" t="s">
        <v>1543</v>
      </c>
      <c r="C414" s="70" t="s">
        <v>1083</v>
      </c>
      <c r="D414" s="81" t="s">
        <v>1542</v>
      </c>
      <c r="E414" s="12"/>
      <c r="F414" s="21" t="s">
        <v>1551</v>
      </c>
      <c r="G414" s="23"/>
      <c r="H414" s="7"/>
      <c r="I414" s="7"/>
      <c r="J414" s="7"/>
      <c r="K414" s="76" t="s">
        <v>1562</v>
      </c>
      <c r="L414" s="21" t="s">
        <v>1563</v>
      </c>
      <c r="M414" s="21" t="s">
        <v>1564</v>
      </c>
      <c r="N414" s="73">
        <v>42836</v>
      </c>
      <c r="O414" s="10">
        <v>1730.07</v>
      </c>
      <c r="P414" s="74">
        <v>12048</v>
      </c>
      <c r="Q414" s="240">
        <v>42836</v>
      </c>
      <c r="R414" s="240">
        <v>43100</v>
      </c>
      <c r="S414" s="6" t="s">
        <v>1552</v>
      </c>
      <c r="T414" s="6"/>
      <c r="U414" s="6"/>
      <c r="V414" s="6"/>
      <c r="W414" s="6" t="s">
        <v>229</v>
      </c>
      <c r="X414" s="6"/>
      <c r="Y414" s="6"/>
      <c r="Z414" s="6"/>
      <c r="AA414" s="6"/>
      <c r="AB414" s="6"/>
      <c r="AC414" s="6"/>
      <c r="AD414" s="6"/>
      <c r="AE414" s="6"/>
      <c r="AF414" s="6"/>
      <c r="AG414" s="6"/>
      <c r="AH414" s="6"/>
      <c r="AI414" s="6"/>
      <c r="AJ414" s="6"/>
      <c r="AK414" s="6"/>
      <c r="AL414" s="194">
        <f t="shared" si="6"/>
        <v>1730.07</v>
      </c>
      <c r="AM414" s="10"/>
      <c r="AN414" s="11">
        <f>1730.07</f>
        <v>1730.07</v>
      </c>
      <c r="AO414" s="138">
        <f t="shared" si="5"/>
        <v>1730.07</v>
      </c>
      <c r="AP414" s="13"/>
      <c r="AQ414" s="13"/>
      <c r="AR414" s="13"/>
      <c r="AS414" s="13"/>
      <c r="AT414" s="19"/>
      <c r="AU414" s="82"/>
      <c r="AV414" s="14" t="s">
        <v>138</v>
      </c>
      <c r="AW414" s="6" t="s">
        <v>1588</v>
      </c>
      <c r="AX414" s="83">
        <v>12022</v>
      </c>
      <c r="AY414" s="84">
        <v>42823</v>
      </c>
      <c r="AZ414" s="79">
        <v>12031</v>
      </c>
      <c r="BA414" s="80">
        <v>42836</v>
      </c>
      <c r="BB414" s="14"/>
      <c r="BC414" s="14"/>
      <c r="BD414" s="14"/>
      <c r="BE414" s="17"/>
      <c r="BF414" s="17"/>
      <c r="BG414" s="17"/>
      <c r="BH414" s="14"/>
      <c r="BI414" s="14"/>
      <c r="BJ414" s="14"/>
      <c r="BK414" s="15"/>
      <c r="BL414" s="15"/>
      <c r="BM414" s="16"/>
    </row>
    <row r="415" spans="1:65" ht="76.5" x14ac:dyDescent="0.2">
      <c r="A415" s="329">
        <v>200</v>
      </c>
      <c r="B415" s="77" t="s">
        <v>1543</v>
      </c>
      <c r="C415" s="70" t="s">
        <v>1083</v>
      </c>
      <c r="D415" s="81" t="s">
        <v>1542</v>
      </c>
      <c r="E415" s="12"/>
      <c r="F415" s="21" t="s">
        <v>1551</v>
      </c>
      <c r="G415" s="23"/>
      <c r="H415" s="7"/>
      <c r="I415" s="7"/>
      <c r="J415" s="7"/>
      <c r="K415" s="76" t="s">
        <v>1565</v>
      </c>
      <c r="L415" s="21" t="s">
        <v>1566</v>
      </c>
      <c r="M415" s="21" t="s">
        <v>1567</v>
      </c>
      <c r="N415" s="73">
        <v>42836</v>
      </c>
      <c r="O415" s="10">
        <v>1730.07</v>
      </c>
      <c r="P415" s="74">
        <v>12048</v>
      </c>
      <c r="Q415" s="240">
        <v>42836</v>
      </c>
      <c r="R415" s="240">
        <v>43100</v>
      </c>
      <c r="S415" s="6" t="s">
        <v>1552</v>
      </c>
      <c r="T415" s="6"/>
      <c r="U415" s="6"/>
      <c r="V415" s="6"/>
      <c r="W415" s="6" t="s">
        <v>229</v>
      </c>
      <c r="X415" s="6"/>
      <c r="Y415" s="6"/>
      <c r="Z415" s="6"/>
      <c r="AA415" s="6"/>
      <c r="AB415" s="6"/>
      <c r="AC415" s="6"/>
      <c r="AD415" s="6"/>
      <c r="AE415" s="6"/>
      <c r="AF415" s="6"/>
      <c r="AG415" s="6"/>
      <c r="AH415" s="6"/>
      <c r="AI415" s="6"/>
      <c r="AJ415" s="6"/>
      <c r="AK415" s="6"/>
      <c r="AL415" s="194">
        <f t="shared" si="6"/>
        <v>1730.07</v>
      </c>
      <c r="AM415" s="10"/>
      <c r="AN415" s="11">
        <f>1730.07</f>
        <v>1730.07</v>
      </c>
      <c r="AO415" s="138">
        <f t="shared" si="5"/>
        <v>1730.07</v>
      </c>
      <c r="AP415" s="13"/>
      <c r="AQ415" s="13"/>
      <c r="AR415" s="13"/>
      <c r="AS415" s="13"/>
      <c r="AT415" s="19"/>
      <c r="AU415" s="82"/>
      <c r="AV415" s="14" t="s">
        <v>138</v>
      </c>
      <c r="AW415" s="6" t="s">
        <v>1588</v>
      </c>
      <c r="AX415" s="83">
        <v>12022</v>
      </c>
      <c r="AY415" s="84">
        <v>42823</v>
      </c>
      <c r="AZ415" s="79">
        <v>12031</v>
      </c>
      <c r="BA415" s="80">
        <v>42836</v>
      </c>
      <c r="BB415" s="14"/>
      <c r="BC415" s="14"/>
      <c r="BD415" s="14"/>
      <c r="BE415" s="17"/>
      <c r="BF415" s="17"/>
      <c r="BG415" s="17"/>
      <c r="BH415" s="14"/>
      <c r="BI415" s="14"/>
      <c r="BJ415" s="14"/>
      <c r="BK415" s="15"/>
      <c r="BL415" s="15"/>
      <c r="BM415" s="16"/>
    </row>
    <row r="416" spans="1:65" ht="51" x14ac:dyDescent="0.2">
      <c r="A416" s="329">
        <v>201</v>
      </c>
      <c r="B416" s="77" t="s">
        <v>1569</v>
      </c>
      <c r="C416" s="70" t="s">
        <v>1090</v>
      </c>
      <c r="D416" s="81" t="s">
        <v>130</v>
      </c>
      <c r="E416" s="12" t="s">
        <v>372</v>
      </c>
      <c r="F416" s="21" t="s">
        <v>1570</v>
      </c>
      <c r="G416" s="71" t="s">
        <v>1589</v>
      </c>
      <c r="H416" s="7" t="s">
        <v>1093</v>
      </c>
      <c r="I416" s="67">
        <v>42787</v>
      </c>
      <c r="J416" s="67">
        <v>43152</v>
      </c>
      <c r="K416" s="76" t="s">
        <v>1568</v>
      </c>
      <c r="L416" s="21" t="s">
        <v>1315</v>
      </c>
      <c r="M416" s="21" t="s">
        <v>885</v>
      </c>
      <c r="N416" s="73">
        <v>42849</v>
      </c>
      <c r="O416" s="10">
        <v>13800</v>
      </c>
      <c r="P416" s="74">
        <v>12181</v>
      </c>
      <c r="Q416" s="73">
        <v>42849</v>
      </c>
      <c r="R416" s="73">
        <v>43100</v>
      </c>
      <c r="S416" s="6" t="s">
        <v>206</v>
      </c>
      <c r="T416" s="6"/>
      <c r="U416" s="6"/>
      <c r="V416" s="6"/>
      <c r="W416" s="6" t="s">
        <v>252</v>
      </c>
      <c r="X416" s="6"/>
      <c r="Y416" s="6"/>
      <c r="Z416" s="6"/>
      <c r="AA416" s="6"/>
      <c r="AB416" s="6"/>
      <c r="AC416" s="6"/>
      <c r="AD416" s="6"/>
      <c r="AE416" s="6"/>
      <c r="AF416" s="6"/>
      <c r="AG416" s="6"/>
      <c r="AH416" s="6"/>
      <c r="AI416" s="6"/>
      <c r="AJ416" s="6"/>
      <c r="AK416" s="6"/>
      <c r="AL416" s="194">
        <f t="shared" si="6"/>
        <v>13800</v>
      </c>
      <c r="AM416" s="10"/>
      <c r="AN416" s="11"/>
      <c r="AO416" s="138">
        <f t="shared" si="5"/>
        <v>0</v>
      </c>
      <c r="AP416" s="13"/>
      <c r="AQ416" s="13"/>
      <c r="AR416" s="13"/>
      <c r="AS416" s="13"/>
      <c r="AT416" s="19"/>
      <c r="AU416" s="82"/>
      <c r="AV416" s="14"/>
      <c r="AW416" s="14"/>
      <c r="AX416" s="14"/>
      <c r="AY416" s="14"/>
      <c r="AZ416" s="16"/>
      <c r="BA416" s="16"/>
      <c r="BB416" s="14"/>
      <c r="BC416" s="14"/>
      <c r="BD416" s="14"/>
      <c r="BE416" s="17"/>
      <c r="BF416" s="17"/>
      <c r="BG416" s="17"/>
      <c r="BH416" s="14"/>
      <c r="BI416" s="14"/>
      <c r="BJ416" s="14"/>
      <c r="BK416" s="15"/>
      <c r="BL416" s="15"/>
      <c r="BM416" s="16"/>
    </row>
    <row r="417" spans="1:65" ht="63.75" x14ac:dyDescent="0.2">
      <c r="A417" s="329">
        <v>202</v>
      </c>
      <c r="B417" s="77" t="s">
        <v>1572</v>
      </c>
      <c r="C417" s="70" t="s">
        <v>1270</v>
      </c>
      <c r="D417" s="81" t="s">
        <v>130</v>
      </c>
      <c r="E417" s="12" t="s">
        <v>372</v>
      </c>
      <c r="F417" s="21" t="s">
        <v>1573</v>
      </c>
      <c r="G417" s="71" t="s">
        <v>1590</v>
      </c>
      <c r="H417" s="7" t="s">
        <v>1103</v>
      </c>
      <c r="I417" s="67">
        <v>42822</v>
      </c>
      <c r="J417" s="67">
        <v>43187</v>
      </c>
      <c r="K417" s="76" t="s">
        <v>1571</v>
      </c>
      <c r="L417" s="21" t="s">
        <v>715</v>
      </c>
      <c r="M417" s="21" t="s">
        <v>247</v>
      </c>
      <c r="N417" s="73">
        <v>42851</v>
      </c>
      <c r="O417" s="10">
        <v>6360</v>
      </c>
      <c r="P417" s="74">
        <v>12043</v>
      </c>
      <c r="Q417" s="73">
        <v>42851</v>
      </c>
      <c r="R417" s="73">
        <v>43100</v>
      </c>
      <c r="S417" s="6" t="s">
        <v>1552</v>
      </c>
      <c r="T417" s="6"/>
      <c r="U417" s="6"/>
      <c r="V417" s="6"/>
      <c r="W417" s="6" t="s">
        <v>252</v>
      </c>
      <c r="X417" s="6"/>
      <c r="Y417" s="6"/>
      <c r="Z417" s="6"/>
      <c r="AA417" s="6"/>
      <c r="AB417" s="6"/>
      <c r="AC417" s="6"/>
      <c r="AD417" s="6"/>
      <c r="AE417" s="6"/>
      <c r="AF417" s="6"/>
      <c r="AG417" s="6"/>
      <c r="AH417" s="6"/>
      <c r="AI417" s="6"/>
      <c r="AJ417" s="6"/>
      <c r="AK417" s="6"/>
      <c r="AL417" s="194">
        <f t="shared" si="6"/>
        <v>6360</v>
      </c>
      <c r="AM417" s="10"/>
      <c r="AN417" s="11"/>
      <c r="AO417" s="138">
        <f t="shared" si="5"/>
        <v>0</v>
      </c>
      <c r="AP417" s="13"/>
      <c r="AQ417" s="13"/>
      <c r="AR417" s="13"/>
      <c r="AS417" s="13"/>
      <c r="AT417" s="19"/>
      <c r="AU417" s="82"/>
      <c r="AV417" s="14"/>
      <c r="AW417" s="14"/>
      <c r="AX417" s="14"/>
      <c r="AY417" s="14"/>
      <c r="AZ417" s="16"/>
      <c r="BA417" s="16"/>
      <c r="BB417" s="14"/>
      <c r="BC417" s="14"/>
      <c r="BD417" s="14"/>
      <c r="BE417" s="17"/>
      <c r="BF417" s="17"/>
      <c r="BG417" s="17"/>
      <c r="BH417" s="14"/>
      <c r="BI417" s="14"/>
      <c r="BJ417" s="14"/>
      <c r="BK417" s="15"/>
      <c r="BL417" s="15"/>
      <c r="BM417" s="16"/>
    </row>
    <row r="418" spans="1:65" ht="63.75" x14ac:dyDescent="0.2">
      <c r="A418" s="329">
        <v>203</v>
      </c>
      <c r="B418" s="77" t="s">
        <v>1572</v>
      </c>
      <c r="C418" s="70" t="s">
        <v>1270</v>
      </c>
      <c r="D418" s="81" t="s">
        <v>130</v>
      </c>
      <c r="E418" s="12" t="s">
        <v>372</v>
      </c>
      <c r="F418" s="21" t="s">
        <v>1573</v>
      </c>
      <c r="G418" s="71" t="s">
        <v>1590</v>
      </c>
      <c r="H418" s="7" t="s">
        <v>1103</v>
      </c>
      <c r="I418" s="67">
        <v>42822</v>
      </c>
      <c r="J418" s="67">
        <v>43187</v>
      </c>
      <c r="K418" s="76" t="s">
        <v>1574</v>
      </c>
      <c r="L418" s="21" t="s">
        <v>1575</v>
      </c>
      <c r="M418" s="21" t="s">
        <v>1576</v>
      </c>
      <c r="N418" s="73">
        <v>42851</v>
      </c>
      <c r="O418" s="10">
        <v>250</v>
      </c>
      <c r="P418" s="74">
        <v>12043</v>
      </c>
      <c r="Q418" s="73">
        <v>42851</v>
      </c>
      <c r="R418" s="73">
        <v>43100</v>
      </c>
      <c r="S418" s="6" t="s">
        <v>1552</v>
      </c>
      <c r="T418" s="6"/>
      <c r="U418" s="6"/>
      <c r="V418" s="6"/>
      <c r="W418" s="6" t="s">
        <v>252</v>
      </c>
      <c r="X418" s="6"/>
      <c r="Y418" s="6"/>
      <c r="Z418" s="6"/>
      <c r="AA418" s="6"/>
      <c r="AB418" s="6"/>
      <c r="AC418" s="6"/>
      <c r="AD418" s="6"/>
      <c r="AE418" s="6"/>
      <c r="AF418" s="6"/>
      <c r="AG418" s="6"/>
      <c r="AH418" s="6"/>
      <c r="AI418" s="6"/>
      <c r="AJ418" s="6"/>
      <c r="AK418" s="6"/>
      <c r="AL418" s="194">
        <f t="shared" si="6"/>
        <v>250</v>
      </c>
      <c r="AM418" s="10"/>
      <c r="AN418" s="11"/>
      <c r="AO418" s="138">
        <f t="shared" si="5"/>
        <v>0</v>
      </c>
      <c r="AP418" s="13"/>
      <c r="AQ418" s="13"/>
      <c r="AR418" s="13"/>
      <c r="AS418" s="13"/>
      <c r="AT418" s="19"/>
      <c r="AU418" s="82"/>
      <c r="AV418" s="14"/>
      <c r="AW418" s="14"/>
      <c r="AX418" s="14"/>
      <c r="AY418" s="14"/>
      <c r="AZ418" s="16"/>
      <c r="BA418" s="16"/>
      <c r="BB418" s="14"/>
      <c r="BC418" s="14"/>
      <c r="BD418" s="14"/>
      <c r="BE418" s="17"/>
      <c r="BF418" s="17"/>
      <c r="BG418" s="17"/>
      <c r="BH418" s="14"/>
      <c r="BI418" s="14"/>
      <c r="BJ418" s="14"/>
      <c r="BK418" s="15"/>
      <c r="BL418" s="15"/>
      <c r="BM418" s="16"/>
    </row>
    <row r="419" spans="1:65" ht="63.75" x14ac:dyDescent="0.2">
      <c r="A419" s="329">
        <v>204</v>
      </c>
      <c r="B419" s="77" t="s">
        <v>1572</v>
      </c>
      <c r="C419" s="70" t="s">
        <v>1270</v>
      </c>
      <c r="D419" s="81" t="s">
        <v>130</v>
      </c>
      <c r="E419" s="12" t="s">
        <v>372</v>
      </c>
      <c r="F419" s="21" t="s">
        <v>1573</v>
      </c>
      <c r="G419" s="71" t="s">
        <v>1590</v>
      </c>
      <c r="H419" s="7" t="s">
        <v>1103</v>
      </c>
      <c r="I419" s="67">
        <v>42822</v>
      </c>
      <c r="J419" s="67">
        <v>43187</v>
      </c>
      <c r="K419" s="76" t="s">
        <v>1579</v>
      </c>
      <c r="L419" s="21" t="s">
        <v>1577</v>
      </c>
      <c r="M419" s="21" t="s">
        <v>1578</v>
      </c>
      <c r="N419" s="73">
        <v>42851</v>
      </c>
      <c r="O419" s="10">
        <v>860</v>
      </c>
      <c r="P419" s="74">
        <v>12043</v>
      </c>
      <c r="Q419" s="73">
        <v>42851</v>
      </c>
      <c r="R419" s="73">
        <v>43100</v>
      </c>
      <c r="S419" s="6" t="s">
        <v>1552</v>
      </c>
      <c r="T419" s="6"/>
      <c r="U419" s="6"/>
      <c r="V419" s="6"/>
      <c r="W419" s="6" t="s">
        <v>252</v>
      </c>
      <c r="X419" s="6"/>
      <c r="Y419" s="6"/>
      <c r="Z419" s="6"/>
      <c r="AA419" s="6"/>
      <c r="AB419" s="6"/>
      <c r="AC419" s="6"/>
      <c r="AD419" s="6"/>
      <c r="AE419" s="6"/>
      <c r="AF419" s="6"/>
      <c r="AG419" s="6"/>
      <c r="AH419" s="6"/>
      <c r="AI419" s="6"/>
      <c r="AJ419" s="6"/>
      <c r="AK419" s="6"/>
      <c r="AL419" s="194">
        <f t="shared" si="6"/>
        <v>860</v>
      </c>
      <c r="AM419" s="10"/>
      <c r="AN419" s="11"/>
      <c r="AO419" s="138">
        <f t="shared" si="5"/>
        <v>0</v>
      </c>
      <c r="AP419" s="13"/>
      <c r="AQ419" s="13"/>
      <c r="AR419" s="13"/>
      <c r="AS419" s="13"/>
      <c r="AT419" s="19"/>
      <c r="AU419" s="82"/>
      <c r="AV419" s="14"/>
      <c r="AW419" s="14"/>
      <c r="AX419" s="14"/>
      <c r="AY419" s="14"/>
      <c r="AZ419" s="17"/>
      <c r="BA419" s="18"/>
      <c r="BB419" s="14"/>
      <c r="BC419" s="14"/>
      <c r="BD419" s="14"/>
      <c r="BE419" s="17"/>
      <c r="BF419" s="17"/>
      <c r="BG419" s="17"/>
      <c r="BH419" s="14"/>
      <c r="BI419" s="14"/>
      <c r="BJ419" s="14"/>
      <c r="BK419" s="15"/>
      <c r="BL419" s="15"/>
      <c r="BM419" s="16"/>
    </row>
    <row r="420" spans="1:65" ht="51" x14ac:dyDescent="0.2">
      <c r="A420" s="329">
        <v>205</v>
      </c>
      <c r="B420" s="77" t="s">
        <v>1581</v>
      </c>
      <c r="C420" s="70" t="s">
        <v>1114</v>
      </c>
      <c r="D420" s="81" t="s">
        <v>130</v>
      </c>
      <c r="E420" s="12" t="s">
        <v>372</v>
      </c>
      <c r="F420" s="21" t="s">
        <v>1583</v>
      </c>
      <c r="G420" s="71" t="s">
        <v>1591</v>
      </c>
      <c r="H420" s="7" t="s">
        <v>1105</v>
      </c>
      <c r="I420" s="67">
        <v>42860</v>
      </c>
      <c r="J420" s="67">
        <v>43225</v>
      </c>
      <c r="K420" s="76" t="s">
        <v>1580</v>
      </c>
      <c r="L420" s="21" t="s">
        <v>298</v>
      </c>
      <c r="M420" s="21" t="s">
        <v>1582</v>
      </c>
      <c r="N420" s="73">
        <v>42860</v>
      </c>
      <c r="O420" s="10">
        <v>20850</v>
      </c>
      <c r="P420" s="74">
        <v>12049</v>
      </c>
      <c r="Q420" s="73">
        <v>42860</v>
      </c>
      <c r="R420" s="73">
        <v>43100</v>
      </c>
      <c r="S420" s="6" t="s">
        <v>206</v>
      </c>
      <c r="T420" s="6"/>
      <c r="U420" s="6"/>
      <c r="V420" s="6"/>
      <c r="W420" s="6" t="s">
        <v>192</v>
      </c>
      <c r="X420" s="6"/>
      <c r="Y420" s="6"/>
      <c r="Z420" s="6"/>
      <c r="AA420" s="6"/>
      <c r="AB420" s="6"/>
      <c r="AC420" s="6"/>
      <c r="AD420" s="6"/>
      <c r="AE420" s="6"/>
      <c r="AF420" s="6"/>
      <c r="AG420" s="6"/>
      <c r="AH420" s="6"/>
      <c r="AI420" s="6"/>
      <c r="AJ420" s="6"/>
      <c r="AK420" s="6"/>
      <c r="AL420" s="194">
        <f t="shared" si="6"/>
        <v>20850</v>
      </c>
      <c r="AM420" s="10"/>
      <c r="AN420" s="11">
        <f>6950</f>
        <v>6950</v>
      </c>
      <c r="AO420" s="138">
        <f t="shared" si="5"/>
        <v>6950</v>
      </c>
      <c r="AP420" s="13"/>
      <c r="AQ420" s="13"/>
      <c r="AR420" s="13"/>
      <c r="AS420" s="13"/>
      <c r="AT420" s="19"/>
      <c r="AU420" s="82"/>
      <c r="AV420" s="14"/>
      <c r="AW420" s="14"/>
      <c r="AX420" s="14"/>
      <c r="AY420" s="14"/>
      <c r="AZ420" s="17"/>
      <c r="BA420" s="18"/>
      <c r="BB420" s="14"/>
      <c r="BC420" s="14"/>
      <c r="BD420" s="14"/>
      <c r="BE420" s="17"/>
      <c r="BF420" s="17"/>
      <c r="BG420" s="17"/>
      <c r="BH420" s="14"/>
      <c r="BI420" s="14"/>
      <c r="BJ420" s="14"/>
      <c r="BK420" s="15"/>
      <c r="BL420" s="15"/>
      <c r="BM420" s="16"/>
    </row>
    <row r="421" spans="1:65" ht="51" x14ac:dyDescent="0.2">
      <c r="A421" s="329">
        <v>206</v>
      </c>
      <c r="B421" s="77" t="s">
        <v>1593</v>
      </c>
      <c r="C421" s="70" t="s">
        <v>1111</v>
      </c>
      <c r="D421" s="81" t="s">
        <v>130</v>
      </c>
      <c r="E421" s="12" t="s">
        <v>372</v>
      </c>
      <c r="F421" s="21" t="s">
        <v>1596</v>
      </c>
      <c r="G421" s="71" t="s">
        <v>1598</v>
      </c>
      <c r="H421" s="7" t="s">
        <v>1106</v>
      </c>
      <c r="I421" s="67">
        <v>42867</v>
      </c>
      <c r="J421" s="67">
        <v>43232</v>
      </c>
      <c r="K421" s="8" t="s">
        <v>1592</v>
      </c>
      <c r="L421" s="21" t="s">
        <v>1594</v>
      </c>
      <c r="M421" s="21" t="s">
        <v>1595</v>
      </c>
      <c r="N421" s="73">
        <v>42871</v>
      </c>
      <c r="O421" s="10">
        <v>75000</v>
      </c>
      <c r="P421" s="74">
        <v>12056</v>
      </c>
      <c r="Q421" s="73">
        <v>42871</v>
      </c>
      <c r="R421" s="73">
        <v>43100</v>
      </c>
      <c r="S421" s="6" t="s">
        <v>206</v>
      </c>
      <c r="T421" s="6"/>
      <c r="U421" s="6"/>
      <c r="V421" s="6"/>
      <c r="W421" s="6" t="s">
        <v>1597</v>
      </c>
      <c r="X421" s="6"/>
      <c r="Y421" s="6"/>
      <c r="Z421" s="6"/>
      <c r="AA421" s="6"/>
      <c r="AB421" s="6"/>
      <c r="AC421" s="6"/>
      <c r="AD421" s="6"/>
      <c r="AE421" s="6"/>
      <c r="AF421" s="6"/>
      <c r="AG421" s="6"/>
      <c r="AH421" s="6"/>
      <c r="AI421" s="6"/>
      <c r="AJ421" s="6"/>
      <c r="AK421" s="6"/>
      <c r="AL421" s="194">
        <f t="shared" si="6"/>
        <v>75000</v>
      </c>
      <c r="AM421" s="10"/>
      <c r="AN421" s="11">
        <v>75000</v>
      </c>
      <c r="AO421" s="138">
        <f t="shared" si="5"/>
        <v>75000</v>
      </c>
      <c r="AP421" s="13"/>
      <c r="AQ421" s="13"/>
      <c r="AR421" s="13"/>
      <c r="AS421" s="13"/>
      <c r="AT421" s="19"/>
      <c r="AU421" s="82"/>
      <c r="AV421" s="14"/>
      <c r="AW421" s="14"/>
      <c r="AX421" s="14"/>
      <c r="AY421" s="14"/>
      <c r="AZ421" s="17"/>
      <c r="BA421" s="18"/>
      <c r="BB421" s="14"/>
      <c r="BC421" s="14"/>
      <c r="BD421" s="14"/>
      <c r="BE421" s="17"/>
      <c r="BF421" s="17"/>
      <c r="BG421" s="17"/>
      <c r="BH421" s="14"/>
      <c r="BI421" s="14"/>
      <c r="BJ421" s="14"/>
      <c r="BK421" s="15"/>
      <c r="BL421" s="15"/>
      <c r="BM421" s="16"/>
    </row>
    <row r="422" spans="1:65" ht="76.5" x14ac:dyDescent="0.2">
      <c r="A422" s="400">
        <v>207</v>
      </c>
      <c r="B422" s="668" t="s">
        <v>1605</v>
      </c>
      <c r="C422" s="480" t="s">
        <v>1085</v>
      </c>
      <c r="D422" s="551" t="s">
        <v>248</v>
      </c>
      <c r="E422" s="480" t="s">
        <v>372</v>
      </c>
      <c r="F422" s="514" t="s">
        <v>1606</v>
      </c>
      <c r="G422" s="480" t="s">
        <v>1608</v>
      </c>
      <c r="H422" s="439"/>
      <c r="I422" s="439"/>
      <c r="J422" s="439"/>
      <c r="K422" s="485" t="s">
        <v>1604</v>
      </c>
      <c r="L422" s="480" t="s">
        <v>581</v>
      </c>
      <c r="M422" s="480" t="s">
        <v>529</v>
      </c>
      <c r="N422" s="453">
        <v>42878</v>
      </c>
      <c r="O422" s="520">
        <v>141102.53</v>
      </c>
      <c r="P422" s="548">
        <v>12061</v>
      </c>
      <c r="Q422" s="453">
        <v>42878</v>
      </c>
      <c r="R422" s="453">
        <v>42998</v>
      </c>
      <c r="S422" s="480" t="s">
        <v>206</v>
      </c>
      <c r="T422" s="480"/>
      <c r="U422" s="480"/>
      <c r="V422" s="480"/>
      <c r="W422" s="480" t="s">
        <v>251</v>
      </c>
      <c r="X422" s="6"/>
      <c r="Y422" s="6"/>
      <c r="Z422" s="73"/>
      <c r="AA422" s="74"/>
      <c r="AB422" s="72"/>
      <c r="AC422" s="73"/>
      <c r="AD422" s="73"/>
      <c r="AE422" s="6"/>
      <c r="AF422" s="6"/>
      <c r="AG422" s="6"/>
      <c r="AH422" s="6"/>
      <c r="AI422" s="6"/>
      <c r="AJ422" s="6"/>
      <c r="AK422" s="6"/>
      <c r="AL422" s="533">
        <f t="shared" si="6"/>
        <v>141102.53</v>
      </c>
      <c r="AM422" s="520"/>
      <c r="AN422" s="523">
        <f>36022.32</f>
        <v>36022.32</v>
      </c>
      <c r="AO422" s="487">
        <f t="shared" si="5"/>
        <v>36022.32</v>
      </c>
      <c r="AP422" s="13"/>
      <c r="AQ422" s="13"/>
      <c r="AR422" s="13"/>
      <c r="AS422" s="13"/>
      <c r="AT422" s="19"/>
      <c r="AU422" s="82"/>
      <c r="AV422" s="14"/>
      <c r="AW422" s="14"/>
      <c r="AX422" s="14"/>
      <c r="AY422" s="14"/>
      <c r="AZ422" s="17"/>
      <c r="BA422" s="18"/>
      <c r="BB422" s="14" t="s">
        <v>1991</v>
      </c>
      <c r="BC422" s="6" t="s">
        <v>1795</v>
      </c>
      <c r="BD422" s="73">
        <v>42935</v>
      </c>
      <c r="BE422" s="85">
        <v>43025</v>
      </c>
      <c r="BF422" s="17"/>
      <c r="BG422" s="17"/>
      <c r="BH422" s="14"/>
      <c r="BI422" s="14"/>
      <c r="BJ422" s="14"/>
      <c r="BK422" s="15"/>
      <c r="BL422" s="15"/>
      <c r="BM422" s="16"/>
    </row>
    <row r="423" spans="1:65" ht="63.75" x14ac:dyDescent="0.2">
      <c r="A423" s="402"/>
      <c r="B423" s="669"/>
      <c r="C423" s="482"/>
      <c r="D423" s="670"/>
      <c r="E423" s="482"/>
      <c r="F423" s="519"/>
      <c r="G423" s="482"/>
      <c r="H423" s="440"/>
      <c r="I423" s="440"/>
      <c r="J423" s="440"/>
      <c r="K423" s="496"/>
      <c r="L423" s="482"/>
      <c r="M423" s="482"/>
      <c r="N423" s="455"/>
      <c r="O423" s="522"/>
      <c r="P423" s="550"/>
      <c r="Q423" s="455"/>
      <c r="R423" s="455"/>
      <c r="S423" s="482"/>
      <c r="T423" s="482"/>
      <c r="U423" s="482"/>
      <c r="V423" s="482"/>
      <c r="W423" s="482"/>
      <c r="X423" s="6" t="s">
        <v>1470</v>
      </c>
      <c r="Y423" s="6" t="s">
        <v>138</v>
      </c>
      <c r="Z423" s="73">
        <v>42997</v>
      </c>
      <c r="AA423" s="74">
        <v>12164</v>
      </c>
      <c r="AB423" s="72" t="s">
        <v>1990</v>
      </c>
      <c r="AC423" s="73">
        <v>42998</v>
      </c>
      <c r="AD423" s="73">
        <v>43088</v>
      </c>
      <c r="AE423" s="6"/>
      <c r="AF423" s="6"/>
      <c r="AG423" s="6"/>
      <c r="AH423" s="6"/>
      <c r="AI423" s="6"/>
      <c r="AJ423" s="6"/>
      <c r="AK423" s="6"/>
      <c r="AL423" s="534"/>
      <c r="AM423" s="522"/>
      <c r="AN423" s="525"/>
      <c r="AO423" s="488"/>
      <c r="AP423" s="13"/>
      <c r="AQ423" s="13"/>
      <c r="AR423" s="13"/>
      <c r="AS423" s="13"/>
      <c r="AT423" s="19"/>
      <c r="AU423" s="82"/>
      <c r="AV423" s="14"/>
      <c r="AW423" s="14"/>
      <c r="AX423" s="14"/>
      <c r="AY423" s="14"/>
      <c r="AZ423" s="17"/>
      <c r="BA423" s="18"/>
      <c r="BB423" s="14"/>
      <c r="BC423" s="6"/>
      <c r="BD423" s="85">
        <v>43025</v>
      </c>
      <c r="BE423" s="85">
        <v>42750</v>
      </c>
      <c r="BF423" s="17"/>
      <c r="BG423" s="17"/>
      <c r="BH423" s="14"/>
      <c r="BI423" s="14"/>
      <c r="BJ423" s="14"/>
      <c r="BK423" s="15"/>
      <c r="BL423" s="15"/>
      <c r="BM423" s="16"/>
    </row>
    <row r="424" spans="1:65" ht="51" x14ac:dyDescent="0.2">
      <c r="A424" s="332">
        <v>208</v>
      </c>
      <c r="B424" s="77" t="s">
        <v>1611</v>
      </c>
      <c r="C424" s="70" t="s">
        <v>1087</v>
      </c>
      <c r="D424" s="81" t="s">
        <v>130</v>
      </c>
      <c r="E424" s="12" t="s">
        <v>372</v>
      </c>
      <c r="F424" s="21" t="s">
        <v>1612</v>
      </c>
      <c r="G424" s="71" t="s">
        <v>1622</v>
      </c>
      <c r="H424" s="7" t="s">
        <v>1107</v>
      </c>
      <c r="I424" s="67">
        <v>42871</v>
      </c>
      <c r="J424" s="67">
        <v>43236</v>
      </c>
      <c r="K424" s="76" t="s">
        <v>1610</v>
      </c>
      <c r="L424" s="21" t="s">
        <v>954</v>
      </c>
      <c r="M424" s="21" t="s">
        <v>955</v>
      </c>
      <c r="N424" s="73">
        <v>42885</v>
      </c>
      <c r="O424" s="10">
        <v>21108</v>
      </c>
      <c r="P424" s="74">
        <v>12071</v>
      </c>
      <c r="Q424" s="73">
        <v>42885</v>
      </c>
      <c r="R424" s="73">
        <v>43100</v>
      </c>
      <c r="S424" s="6" t="s">
        <v>1613</v>
      </c>
      <c r="T424" s="6"/>
      <c r="U424" s="6"/>
      <c r="V424" s="6"/>
      <c r="W424" s="6" t="s">
        <v>192</v>
      </c>
      <c r="X424" s="6"/>
      <c r="Y424" s="6"/>
      <c r="Z424" s="6"/>
      <c r="AA424" s="6"/>
      <c r="AB424" s="6"/>
      <c r="AC424" s="6"/>
      <c r="AD424" s="6"/>
      <c r="AE424" s="6"/>
      <c r="AF424" s="6"/>
      <c r="AG424" s="6"/>
      <c r="AH424" s="6"/>
      <c r="AI424" s="6"/>
      <c r="AJ424" s="6"/>
      <c r="AK424" s="6"/>
      <c r="AL424" s="194">
        <f t="shared" si="6"/>
        <v>21108</v>
      </c>
      <c r="AM424" s="10"/>
      <c r="AN424" s="11">
        <v>21108</v>
      </c>
      <c r="AO424" s="138">
        <f t="shared" si="5"/>
        <v>21108</v>
      </c>
      <c r="AP424" s="13"/>
      <c r="AQ424" s="13"/>
      <c r="AR424" s="13"/>
      <c r="AS424" s="13"/>
      <c r="AT424" s="12"/>
      <c r="AU424" s="16"/>
      <c r="AV424" s="14"/>
      <c r="AW424" s="14"/>
      <c r="AX424" s="14"/>
      <c r="AY424" s="14"/>
      <c r="AZ424" s="16"/>
      <c r="BA424" s="16"/>
      <c r="BB424" s="14"/>
      <c r="BC424" s="14"/>
      <c r="BD424" s="14"/>
      <c r="BE424" s="17"/>
      <c r="BF424" s="17"/>
      <c r="BG424" s="17"/>
      <c r="BH424" s="14"/>
      <c r="BI424" s="14"/>
      <c r="BJ424" s="14"/>
      <c r="BK424" s="15"/>
      <c r="BL424" s="15"/>
      <c r="BM424" s="16"/>
    </row>
    <row r="425" spans="1:65" ht="51" x14ac:dyDescent="0.2">
      <c r="A425" s="332">
        <v>209</v>
      </c>
      <c r="B425" s="77" t="s">
        <v>1611</v>
      </c>
      <c r="C425" s="70" t="s">
        <v>1087</v>
      </c>
      <c r="D425" s="81" t="s">
        <v>130</v>
      </c>
      <c r="E425" s="12" t="s">
        <v>372</v>
      </c>
      <c r="F425" s="21" t="s">
        <v>1615</v>
      </c>
      <c r="G425" s="71" t="s">
        <v>1622</v>
      </c>
      <c r="H425" s="7" t="s">
        <v>1107</v>
      </c>
      <c r="I425" s="67">
        <v>42871</v>
      </c>
      <c r="J425" s="67">
        <v>43236</v>
      </c>
      <c r="K425" s="76" t="s">
        <v>1614</v>
      </c>
      <c r="L425" s="21" t="s">
        <v>994</v>
      </c>
      <c r="M425" s="21" t="s">
        <v>995</v>
      </c>
      <c r="N425" s="73">
        <v>42885</v>
      </c>
      <c r="O425" s="10">
        <v>2500</v>
      </c>
      <c r="P425" s="74">
        <v>12071</v>
      </c>
      <c r="Q425" s="73">
        <v>42885</v>
      </c>
      <c r="R425" s="73">
        <v>43100</v>
      </c>
      <c r="S425" s="6" t="s">
        <v>1613</v>
      </c>
      <c r="T425" s="6"/>
      <c r="U425" s="6"/>
      <c r="V425" s="6"/>
      <c r="W425" s="6" t="s">
        <v>192</v>
      </c>
      <c r="X425" s="6"/>
      <c r="Y425" s="6"/>
      <c r="Z425" s="6"/>
      <c r="AA425" s="6"/>
      <c r="AB425" s="6"/>
      <c r="AC425" s="6"/>
      <c r="AD425" s="6"/>
      <c r="AE425" s="6"/>
      <c r="AF425" s="6"/>
      <c r="AG425" s="6"/>
      <c r="AH425" s="6"/>
      <c r="AI425" s="6"/>
      <c r="AJ425" s="6"/>
      <c r="AK425" s="6"/>
      <c r="AL425" s="194">
        <f t="shared" si="6"/>
        <v>2500</v>
      </c>
      <c r="AM425" s="10"/>
      <c r="AN425" s="11">
        <f>2500</f>
        <v>2500</v>
      </c>
      <c r="AO425" s="138">
        <f t="shared" si="5"/>
        <v>2500</v>
      </c>
      <c r="AP425" s="13"/>
      <c r="AQ425" s="13"/>
      <c r="AR425" s="13"/>
      <c r="AS425" s="13"/>
      <c r="AT425" s="12"/>
      <c r="AU425" s="16"/>
      <c r="AV425" s="14"/>
      <c r="AW425" s="14"/>
      <c r="AX425" s="14"/>
      <c r="AY425" s="14"/>
      <c r="AZ425" s="16"/>
      <c r="BA425" s="16"/>
      <c r="BB425" s="14"/>
      <c r="BC425" s="14"/>
      <c r="BD425" s="14"/>
      <c r="BE425" s="17"/>
      <c r="BF425" s="17"/>
      <c r="BG425" s="17"/>
      <c r="BH425" s="14"/>
      <c r="BI425" s="14"/>
      <c r="BJ425" s="14"/>
      <c r="BK425" s="15"/>
      <c r="BL425" s="15"/>
      <c r="BM425" s="16"/>
    </row>
    <row r="426" spans="1:65" ht="76.5" x14ac:dyDescent="0.2">
      <c r="A426" s="332">
        <v>210</v>
      </c>
      <c r="B426" s="77" t="s">
        <v>1611</v>
      </c>
      <c r="C426" s="70" t="s">
        <v>1087</v>
      </c>
      <c r="D426" s="81" t="s">
        <v>130</v>
      </c>
      <c r="E426" s="12" t="s">
        <v>372</v>
      </c>
      <c r="F426" s="21" t="s">
        <v>1615</v>
      </c>
      <c r="G426" s="71" t="s">
        <v>1622</v>
      </c>
      <c r="H426" s="7" t="s">
        <v>1107</v>
      </c>
      <c r="I426" s="67">
        <v>42871</v>
      </c>
      <c r="J426" s="67">
        <v>43236</v>
      </c>
      <c r="K426" s="76" t="s">
        <v>1616</v>
      </c>
      <c r="L426" s="21" t="s">
        <v>697</v>
      </c>
      <c r="M426" s="21" t="s">
        <v>698</v>
      </c>
      <c r="N426" s="73">
        <v>42885</v>
      </c>
      <c r="O426" s="10">
        <v>37420</v>
      </c>
      <c r="P426" s="74">
        <v>12071</v>
      </c>
      <c r="Q426" s="73">
        <v>42885</v>
      </c>
      <c r="R426" s="73">
        <v>43100</v>
      </c>
      <c r="S426" s="6" t="s">
        <v>1613</v>
      </c>
      <c r="T426" s="6"/>
      <c r="U426" s="6"/>
      <c r="V426" s="6"/>
      <c r="W426" s="6" t="s">
        <v>192</v>
      </c>
      <c r="X426" s="2" t="s">
        <v>498</v>
      </c>
      <c r="Y426" s="2" t="s">
        <v>138</v>
      </c>
      <c r="Z426" s="117">
        <v>42961</v>
      </c>
      <c r="AA426" s="207">
        <v>12118</v>
      </c>
      <c r="AB426" s="72" t="s">
        <v>1838</v>
      </c>
      <c r="AC426" s="6"/>
      <c r="AD426" s="6"/>
      <c r="AE426" s="6"/>
      <c r="AF426" s="6"/>
      <c r="AG426" s="10">
        <v>7480</v>
      </c>
      <c r="AH426" s="6"/>
      <c r="AI426" s="6"/>
      <c r="AJ426" s="6"/>
      <c r="AK426" s="6"/>
      <c r="AL426" s="194">
        <f>O426-AH426+AG426</f>
        <v>44900</v>
      </c>
      <c r="AM426" s="10"/>
      <c r="AN426" s="11">
        <f>37420+374</f>
        <v>37794</v>
      </c>
      <c r="AO426" s="138">
        <f t="shared" si="5"/>
        <v>37794</v>
      </c>
      <c r="AP426" s="13"/>
      <c r="AQ426" s="13"/>
      <c r="AR426" s="13"/>
      <c r="AS426" s="13"/>
      <c r="AT426" s="12"/>
      <c r="AU426" s="16"/>
      <c r="AV426" s="14"/>
      <c r="AW426" s="14"/>
      <c r="AX426" s="14"/>
      <c r="AY426" s="14"/>
      <c r="AZ426" s="16"/>
      <c r="BA426" s="16"/>
      <c r="BB426" s="14"/>
      <c r="BC426" s="14"/>
      <c r="BD426" s="14"/>
      <c r="BE426" s="17"/>
      <c r="BF426" s="17"/>
      <c r="BG426" s="17"/>
      <c r="BH426" s="14"/>
      <c r="BI426" s="14"/>
      <c r="BJ426" s="14"/>
      <c r="BK426" s="15"/>
      <c r="BL426" s="15"/>
      <c r="BM426" s="16"/>
    </row>
    <row r="427" spans="1:65" ht="51" x14ac:dyDescent="0.2">
      <c r="A427" s="332">
        <v>211</v>
      </c>
      <c r="B427" s="77" t="s">
        <v>1611</v>
      </c>
      <c r="C427" s="70" t="s">
        <v>1087</v>
      </c>
      <c r="D427" s="81" t="s">
        <v>130</v>
      </c>
      <c r="E427" s="12" t="s">
        <v>372</v>
      </c>
      <c r="F427" s="21" t="s">
        <v>1615</v>
      </c>
      <c r="G427" s="71" t="s">
        <v>1622</v>
      </c>
      <c r="H427" s="7" t="s">
        <v>1107</v>
      </c>
      <c r="I427" s="67">
        <v>42871</v>
      </c>
      <c r="J427" s="67">
        <v>43236</v>
      </c>
      <c r="K427" s="70" t="s">
        <v>1617</v>
      </c>
      <c r="L427" s="21" t="s">
        <v>244</v>
      </c>
      <c r="M427" s="21" t="s">
        <v>1260</v>
      </c>
      <c r="N427" s="73">
        <v>42885</v>
      </c>
      <c r="O427" s="10">
        <v>33528.6</v>
      </c>
      <c r="P427" s="74">
        <v>12071</v>
      </c>
      <c r="Q427" s="73">
        <v>42885</v>
      </c>
      <c r="R427" s="73">
        <v>43100</v>
      </c>
      <c r="S427" s="6" t="s">
        <v>1618</v>
      </c>
      <c r="T427" s="6"/>
      <c r="U427" s="6"/>
      <c r="V427" s="6"/>
      <c r="W427" s="6" t="s">
        <v>192</v>
      </c>
      <c r="X427" s="6"/>
      <c r="Y427" s="6"/>
      <c r="Z427" s="6"/>
      <c r="AA427" s="6"/>
      <c r="AB427" s="6"/>
      <c r="AC427" s="6"/>
      <c r="AD427" s="6"/>
      <c r="AE427" s="6"/>
      <c r="AF427" s="6"/>
      <c r="AG427" s="6"/>
      <c r="AH427" s="6"/>
      <c r="AI427" s="6"/>
      <c r="AJ427" s="6"/>
      <c r="AK427" s="6"/>
      <c r="AL427" s="194">
        <f t="shared" si="6"/>
        <v>33528.6</v>
      </c>
      <c r="AM427" s="10"/>
      <c r="AN427" s="11">
        <f>16345.9+17182.7</f>
        <v>33528.6</v>
      </c>
      <c r="AO427" s="138">
        <f t="shared" si="5"/>
        <v>33528.6</v>
      </c>
      <c r="AP427" s="13"/>
      <c r="AQ427" s="13"/>
      <c r="AR427" s="13"/>
      <c r="AS427" s="13"/>
      <c r="AT427" s="12"/>
      <c r="AU427" s="16"/>
      <c r="AV427" s="14"/>
      <c r="AW427" s="14"/>
      <c r="AX427" s="14"/>
      <c r="AY427" s="14"/>
      <c r="AZ427" s="16"/>
      <c r="BA427" s="16"/>
      <c r="BB427" s="14"/>
      <c r="BC427" s="14"/>
      <c r="BD427" s="14"/>
      <c r="BE427" s="17"/>
      <c r="BF427" s="17"/>
      <c r="BG427" s="17"/>
      <c r="BH427" s="14"/>
      <c r="BI427" s="14"/>
      <c r="BJ427" s="14"/>
      <c r="BK427" s="15"/>
      <c r="BL427" s="15"/>
      <c r="BM427" s="16"/>
    </row>
    <row r="428" spans="1:65" ht="51" x14ac:dyDescent="0.2">
      <c r="A428" s="332">
        <v>212</v>
      </c>
      <c r="B428" s="77" t="s">
        <v>1611</v>
      </c>
      <c r="C428" s="70" t="s">
        <v>1087</v>
      </c>
      <c r="D428" s="81" t="s">
        <v>130</v>
      </c>
      <c r="E428" s="12" t="s">
        <v>372</v>
      </c>
      <c r="F428" s="21" t="s">
        <v>1615</v>
      </c>
      <c r="G428" s="71" t="s">
        <v>1622</v>
      </c>
      <c r="H428" s="7" t="s">
        <v>1107</v>
      </c>
      <c r="I428" s="67">
        <v>42871</v>
      </c>
      <c r="J428" s="67">
        <v>43236</v>
      </c>
      <c r="K428" s="76" t="s">
        <v>1619</v>
      </c>
      <c r="L428" s="21" t="s">
        <v>1620</v>
      </c>
      <c r="M428" s="21" t="s">
        <v>1621</v>
      </c>
      <c r="N428" s="73">
        <v>42885</v>
      </c>
      <c r="O428" s="10">
        <v>20147.5</v>
      </c>
      <c r="P428" s="74">
        <v>12071</v>
      </c>
      <c r="Q428" s="73">
        <v>42885</v>
      </c>
      <c r="R428" s="73">
        <v>43100</v>
      </c>
      <c r="S428" s="6" t="s">
        <v>1618</v>
      </c>
      <c r="T428" s="6"/>
      <c r="U428" s="6"/>
      <c r="V428" s="6"/>
      <c r="W428" s="6" t="s">
        <v>192</v>
      </c>
      <c r="X428" s="6"/>
      <c r="Y428" s="6"/>
      <c r="Z428" s="6"/>
      <c r="AA428" s="6"/>
      <c r="AB428" s="6"/>
      <c r="AC428" s="6"/>
      <c r="AD428" s="6"/>
      <c r="AE428" s="6"/>
      <c r="AF428" s="6"/>
      <c r="AG428" s="6"/>
      <c r="AH428" s="6"/>
      <c r="AI428" s="6"/>
      <c r="AJ428" s="6"/>
      <c r="AK428" s="6"/>
      <c r="AL428" s="194">
        <f t="shared" si="6"/>
        <v>20147.5</v>
      </c>
      <c r="AM428" s="10"/>
      <c r="AN428" s="11">
        <f>15149.5+4998</f>
        <v>20147.5</v>
      </c>
      <c r="AO428" s="138">
        <f t="shared" si="5"/>
        <v>20147.5</v>
      </c>
      <c r="AP428" s="13"/>
      <c r="AQ428" s="13"/>
      <c r="AR428" s="13"/>
      <c r="AS428" s="13"/>
      <c r="AT428" s="12"/>
      <c r="AU428" s="16"/>
      <c r="AV428" s="14"/>
      <c r="AW428" s="14"/>
      <c r="AX428" s="14"/>
      <c r="AY428" s="14"/>
      <c r="AZ428" s="16"/>
      <c r="BA428" s="16"/>
      <c r="BB428" s="14"/>
      <c r="BC428" s="14"/>
      <c r="BD428" s="14"/>
      <c r="BE428" s="17"/>
      <c r="BF428" s="17"/>
      <c r="BG428" s="17"/>
      <c r="BH428" s="14"/>
      <c r="BI428" s="14"/>
      <c r="BJ428" s="14"/>
      <c r="BK428" s="15"/>
      <c r="BL428" s="15"/>
      <c r="BM428" s="16"/>
    </row>
    <row r="429" spans="1:65" ht="51" x14ac:dyDescent="0.2">
      <c r="A429" s="332">
        <v>213</v>
      </c>
      <c r="B429" s="77" t="s">
        <v>1626</v>
      </c>
      <c r="C429" s="70" t="s">
        <v>1122</v>
      </c>
      <c r="D429" s="81" t="s">
        <v>130</v>
      </c>
      <c r="E429" s="12" t="s">
        <v>372</v>
      </c>
      <c r="F429" s="21" t="s">
        <v>1628</v>
      </c>
      <c r="G429" s="71" t="s">
        <v>1638</v>
      </c>
      <c r="H429" s="7" t="s">
        <v>1109</v>
      </c>
      <c r="I429" s="67">
        <v>42885</v>
      </c>
      <c r="J429" s="67">
        <v>43250</v>
      </c>
      <c r="K429" s="8" t="s">
        <v>1627</v>
      </c>
      <c r="L429" s="21" t="s">
        <v>1629</v>
      </c>
      <c r="M429" s="21" t="s">
        <v>1630</v>
      </c>
      <c r="N429" s="73">
        <v>42892</v>
      </c>
      <c r="O429" s="10">
        <v>118700</v>
      </c>
      <c r="P429" s="74">
        <v>12071</v>
      </c>
      <c r="Q429" s="73">
        <v>42892</v>
      </c>
      <c r="R429" s="73">
        <v>43100</v>
      </c>
      <c r="S429" s="6" t="s">
        <v>206</v>
      </c>
      <c r="T429" s="6"/>
      <c r="U429" s="6"/>
      <c r="V429" s="6"/>
      <c r="W429" s="6" t="s">
        <v>1278</v>
      </c>
      <c r="X429" s="6"/>
      <c r="Y429" s="6"/>
      <c r="Z429" s="6"/>
      <c r="AA429" s="6"/>
      <c r="AB429" s="6"/>
      <c r="AC429" s="6"/>
      <c r="AD429" s="6"/>
      <c r="AE429" s="6"/>
      <c r="AF429" s="6"/>
      <c r="AG429" s="6"/>
      <c r="AH429" s="6"/>
      <c r="AI429" s="6"/>
      <c r="AJ429" s="6"/>
      <c r="AK429" s="6"/>
      <c r="AL429" s="194">
        <f t="shared" si="6"/>
        <v>118700</v>
      </c>
      <c r="AM429" s="10"/>
      <c r="AN429" s="11">
        <f>34006</f>
        <v>34006</v>
      </c>
      <c r="AO429" s="138">
        <f t="shared" si="5"/>
        <v>34006</v>
      </c>
      <c r="AP429" s="13"/>
      <c r="AQ429" s="13"/>
      <c r="AR429" s="13"/>
      <c r="AS429" s="13"/>
      <c r="AT429" s="12"/>
      <c r="AU429" s="16"/>
      <c r="AV429" s="14"/>
      <c r="AW429" s="14"/>
      <c r="AX429" s="14"/>
      <c r="AY429" s="14"/>
      <c r="AZ429" s="16"/>
      <c r="BA429" s="16"/>
      <c r="BB429" s="14"/>
      <c r="BC429" s="14"/>
      <c r="BD429" s="14"/>
      <c r="BE429" s="17"/>
      <c r="BF429" s="17"/>
      <c r="BG429" s="17"/>
      <c r="BH429" s="14"/>
      <c r="BI429" s="14"/>
      <c r="BJ429" s="14"/>
      <c r="BK429" s="15"/>
      <c r="BL429" s="15"/>
      <c r="BM429" s="16"/>
    </row>
    <row r="430" spans="1:65" ht="89.25" x14ac:dyDescent="0.2">
      <c r="A430" s="332">
        <v>214</v>
      </c>
      <c r="B430" s="77" t="s">
        <v>1631</v>
      </c>
      <c r="C430" s="70" t="s">
        <v>1154</v>
      </c>
      <c r="D430" s="81" t="s">
        <v>130</v>
      </c>
      <c r="E430" s="12" t="s">
        <v>372</v>
      </c>
      <c r="F430" s="21" t="s">
        <v>1633</v>
      </c>
      <c r="G430" s="71" t="s">
        <v>1717</v>
      </c>
      <c r="H430" s="7" t="s">
        <v>1110</v>
      </c>
      <c r="I430" s="67">
        <v>42888</v>
      </c>
      <c r="J430" s="67">
        <v>43253</v>
      </c>
      <c r="K430" s="8" t="s">
        <v>1632</v>
      </c>
      <c r="L430" s="21" t="s">
        <v>693</v>
      </c>
      <c r="M430" s="21" t="s">
        <v>694</v>
      </c>
      <c r="N430" s="73">
        <v>42893</v>
      </c>
      <c r="O430" s="10">
        <v>87574.9</v>
      </c>
      <c r="P430" s="74">
        <v>12071</v>
      </c>
      <c r="Q430" s="73">
        <v>42893</v>
      </c>
      <c r="R430" s="73">
        <v>43100</v>
      </c>
      <c r="S430" s="6" t="s">
        <v>206</v>
      </c>
      <c r="T430" s="6"/>
      <c r="U430" s="6"/>
      <c r="V430" s="6"/>
      <c r="W430" s="6" t="s">
        <v>1634</v>
      </c>
      <c r="X430" s="6"/>
      <c r="Y430" s="6"/>
      <c r="Z430" s="6"/>
      <c r="AA430" s="6"/>
      <c r="AB430" s="6"/>
      <c r="AC430" s="6"/>
      <c r="AD430" s="6"/>
      <c r="AE430" s="6"/>
      <c r="AF430" s="6"/>
      <c r="AG430" s="6"/>
      <c r="AH430" s="6"/>
      <c r="AI430" s="6"/>
      <c r="AJ430" s="6"/>
      <c r="AK430" s="6"/>
      <c r="AL430" s="194">
        <f t="shared" si="6"/>
        <v>87574.9</v>
      </c>
      <c r="AM430" s="10"/>
      <c r="AN430" s="11">
        <f>87574.9</f>
        <v>87574.9</v>
      </c>
      <c r="AO430" s="138">
        <f t="shared" si="5"/>
        <v>87574.9</v>
      </c>
      <c r="AP430" s="13"/>
      <c r="AQ430" s="13"/>
      <c r="AR430" s="13"/>
      <c r="AS430" s="13"/>
      <c r="AT430" s="12"/>
      <c r="AU430" s="16"/>
      <c r="AV430" s="14"/>
      <c r="AW430" s="14"/>
      <c r="AX430" s="14"/>
      <c r="AY430" s="14"/>
      <c r="AZ430" s="16"/>
      <c r="BA430" s="16"/>
      <c r="BB430" s="14"/>
      <c r="BC430" s="14"/>
      <c r="BD430" s="14"/>
      <c r="BE430" s="17"/>
      <c r="BF430" s="17"/>
      <c r="BG430" s="17"/>
      <c r="BH430" s="14"/>
      <c r="BI430" s="14"/>
      <c r="BJ430" s="14"/>
      <c r="BK430" s="15"/>
      <c r="BL430" s="15"/>
      <c r="BM430" s="16"/>
    </row>
    <row r="431" spans="1:65" ht="51" x14ac:dyDescent="0.2">
      <c r="A431" s="332">
        <v>215</v>
      </c>
      <c r="B431" s="77" t="s">
        <v>1635</v>
      </c>
      <c r="C431" s="70" t="s">
        <v>1116</v>
      </c>
      <c r="D431" s="81" t="s">
        <v>130</v>
      </c>
      <c r="E431" s="12" t="s">
        <v>372</v>
      </c>
      <c r="F431" s="21" t="s">
        <v>1637</v>
      </c>
      <c r="G431" s="71" t="s">
        <v>1645</v>
      </c>
      <c r="H431" s="7" t="s">
        <v>1108</v>
      </c>
      <c r="I431" s="67">
        <v>42885</v>
      </c>
      <c r="J431" s="67">
        <v>43250</v>
      </c>
      <c r="K431" s="8" t="s">
        <v>1636</v>
      </c>
      <c r="L431" s="21" t="s">
        <v>693</v>
      </c>
      <c r="M431" s="21" t="s">
        <v>694</v>
      </c>
      <c r="N431" s="73">
        <v>42894</v>
      </c>
      <c r="O431" s="10">
        <v>240730</v>
      </c>
      <c r="P431" s="74">
        <v>12075</v>
      </c>
      <c r="Q431" s="73">
        <v>42894</v>
      </c>
      <c r="R431" s="73">
        <v>43100</v>
      </c>
      <c r="S431" s="6" t="s">
        <v>206</v>
      </c>
      <c r="T431" s="6"/>
      <c r="U431" s="6"/>
      <c r="V431" s="6"/>
      <c r="W431" s="6" t="s">
        <v>1278</v>
      </c>
      <c r="X431" s="6"/>
      <c r="Y431" s="6"/>
      <c r="Z431" s="6"/>
      <c r="AA431" s="6"/>
      <c r="AB431" s="6"/>
      <c r="AC431" s="6"/>
      <c r="AD431" s="6"/>
      <c r="AE431" s="6"/>
      <c r="AF431" s="6"/>
      <c r="AG431" s="6"/>
      <c r="AH431" s="6"/>
      <c r="AI431" s="6"/>
      <c r="AJ431" s="6"/>
      <c r="AK431" s="6"/>
      <c r="AL431" s="194">
        <f t="shared" si="6"/>
        <v>240730</v>
      </c>
      <c r="AM431" s="10"/>
      <c r="AN431" s="11">
        <f>36700+103300</f>
        <v>140000</v>
      </c>
      <c r="AO431" s="138">
        <f t="shared" si="5"/>
        <v>140000</v>
      </c>
      <c r="AP431" s="13"/>
      <c r="AQ431" s="13"/>
      <c r="AR431" s="13"/>
      <c r="AS431" s="13"/>
      <c r="AT431" s="12"/>
      <c r="AU431" s="16"/>
      <c r="AV431" s="14"/>
      <c r="AW431" s="14"/>
      <c r="AX431" s="14"/>
      <c r="AY431" s="14"/>
      <c r="AZ431" s="16"/>
      <c r="BA431" s="16"/>
      <c r="BB431" s="14"/>
      <c r="BC431" s="14"/>
      <c r="BD431" s="14"/>
      <c r="BE431" s="17"/>
      <c r="BF431" s="17"/>
      <c r="BG431" s="17"/>
      <c r="BH431" s="14"/>
      <c r="BI431" s="14"/>
      <c r="BJ431" s="14"/>
      <c r="BK431" s="15"/>
      <c r="BL431" s="15"/>
      <c r="BM431" s="16"/>
    </row>
    <row r="432" spans="1:65" ht="51" x14ac:dyDescent="0.2">
      <c r="A432" s="332">
        <v>216</v>
      </c>
      <c r="B432" s="77" t="s">
        <v>1639</v>
      </c>
      <c r="C432" s="70" t="s">
        <v>1121</v>
      </c>
      <c r="D432" s="81" t="s">
        <v>130</v>
      </c>
      <c r="E432" s="12" t="s">
        <v>372</v>
      </c>
      <c r="F432" s="21" t="s">
        <v>1641</v>
      </c>
      <c r="G432" s="71" t="s">
        <v>1646</v>
      </c>
      <c r="H432" s="7" t="s">
        <v>1113</v>
      </c>
      <c r="I432" s="67">
        <v>42895</v>
      </c>
      <c r="J432" s="67">
        <v>43260</v>
      </c>
      <c r="K432" s="8" t="s">
        <v>1640</v>
      </c>
      <c r="L432" s="21" t="s">
        <v>1275</v>
      </c>
      <c r="M432" s="21" t="s">
        <v>519</v>
      </c>
      <c r="N432" s="73">
        <v>42895</v>
      </c>
      <c r="O432" s="10">
        <v>178109</v>
      </c>
      <c r="P432" s="74">
        <v>12077</v>
      </c>
      <c r="Q432" s="73">
        <v>42895</v>
      </c>
      <c r="R432" s="73">
        <v>43100</v>
      </c>
      <c r="S432" s="6" t="s">
        <v>206</v>
      </c>
      <c r="T432" s="6"/>
      <c r="U432" s="6"/>
      <c r="V432" s="6"/>
      <c r="W432" s="73" t="s">
        <v>393</v>
      </c>
      <c r="X432" s="6"/>
      <c r="Y432" s="6"/>
      <c r="Z432" s="6"/>
      <c r="AA432" s="6"/>
      <c r="AB432" s="6"/>
      <c r="AC432" s="6"/>
      <c r="AD432" s="6"/>
      <c r="AE432" s="6"/>
      <c r="AF432" s="6"/>
      <c r="AG432" s="6"/>
      <c r="AH432" s="6"/>
      <c r="AI432" s="6"/>
      <c r="AJ432" s="6"/>
      <c r="AK432" s="6"/>
      <c r="AL432" s="194">
        <f t="shared" si="6"/>
        <v>178109</v>
      </c>
      <c r="AM432" s="10"/>
      <c r="AN432" s="11">
        <f>129099.86+12983.32+14311.68+17522.4</f>
        <v>173917.25999999998</v>
      </c>
      <c r="AO432" s="138">
        <f t="shared" si="5"/>
        <v>173917.25999999998</v>
      </c>
      <c r="AP432" s="13"/>
      <c r="AQ432" s="13"/>
      <c r="AR432" s="13"/>
      <c r="AS432" s="13"/>
      <c r="AT432" s="12"/>
      <c r="AU432" s="16"/>
      <c r="AV432" s="14"/>
      <c r="AW432" s="14"/>
      <c r="AX432" s="14"/>
      <c r="AY432" s="14"/>
      <c r="AZ432" s="16"/>
      <c r="BA432" s="16"/>
      <c r="BB432" s="14"/>
      <c r="BC432" s="14"/>
      <c r="BD432" s="14"/>
      <c r="BE432" s="17"/>
      <c r="BF432" s="17"/>
      <c r="BG432" s="17"/>
      <c r="BH432" s="14"/>
      <c r="BI432" s="14"/>
      <c r="BJ432" s="14"/>
      <c r="BK432" s="15"/>
      <c r="BL432" s="15"/>
      <c r="BM432" s="16"/>
    </row>
    <row r="433" spans="1:65" ht="51" x14ac:dyDescent="0.2">
      <c r="A433" s="332">
        <v>217</v>
      </c>
      <c r="B433" s="77" t="s">
        <v>1639</v>
      </c>
      <c r="C433" s="70" t="s">
        <v>1121</v>
      </c>
      <c r="D433" s="81" t="s">
        <v>130</v>
      </c>
      <c r="E433" s="12" t="s">
        <v>372</v>
      </c>
      <c r="F433" s="21" t="s">
        <v>1641</v>
      </c>
      <c r="G433" s="71" t="s">
        <v>1646</v>
      </c>
      <c r="H433" s="7" t="s">
        <v>1112</v>
      </c>
      <c r="I433" s="67">
        <v>42895</v>
      </c>
      <c r="J433" s="67">
        <v>43260</v>
      </c>
      <c r="K433" s="8" t="s">
        <v>1642</v>
      </c>
      <c r="L433" s="21" t="s">
        <v>516</v>
      </c>
      <c r="M433" s="21" t="s">
        <v>400</v>
      </c>
      <c r="N433" s="73">
        <v>42895</v>
      </c>
      <c r="O433" s="10">
        <v>110500</v>
      </c>
      <c r="P433" s="74">
        <v>12073</v>
      </c>
      <c r="Q433" s="73">
        <v>42895</v>
      </c>
      <c r="R433" s="73">
        <v>43100</v>
      </c>
      <c r="S433" s="6" t="s">
        <v>206</v>
      </c>
      <c r="T433" s="6"/>
      <c r="U433" s="6"/>
      <c r="V433" s="6"/>
      <c r="W433" s="73" t="s">
        <v>393</v>
      </c>
      <c r="X433" s="6"/>
      <c r="Y433" s="6"/>
      <c r="Z433" s="6"/>
      <c r="AA433" s="6"/>
      <c r="AB433" s="6"/>
      <c r="AC433" s="6"/>
      <c r="AD433" s="6"/>
      <c r="AE433" s="6"/>
      <c r="AF433" s="6"/>
      <c r="AG433" s="6"/>
      <c r="AH433" s="6"/>
      <c r="AI433" s="6"/>
      <c r="AJ433" s="6"/>
      <c r="AK433" s="6"/>
      <c r="AL433" s="194">
        <f t="shared" si="6"/>
        <v>110500</v>
      </c>
      <c r="AM433" s="10"/>
      <c r="AN433" s="11">
        <f>43289+61625</f>
        <v>104914</v>
      </c>
      <c r="AO433" s="138">
        <f t="shared" si="5"/>
        <v>104914</v>
      </c>
      <c r="AP433" s="13"/>
      <c r="AQ433" s="13"/>
      <c r="AR433" s="13"/>
      <c r="AS433" s="13"/>
      <c r="AT433" s="12"/>
      <c r="AU433" s="16"/>
      <c r="AV433" s="14"/>
      <c r="AW433" s="14"/>
      <c r="AX433" s="14"/>
      <c r="AY433" s="14"/>
      <c r="AZ433" s="16"/>
      <c r="BA433" s="16"/>
      <c r="BB433" s="14"/>
      <c r="BC433" s="14"/>
      <c r="BD433" s="14"/>
      <c r="BE433" s="17"/>
      <c r="BF433" s="17"/>
      <c r="BG433" s="17"/>
      <c r="BH433" s="14"/>
      <c r="BI433" s="14"/>
      <c r="BJ433" s="14"/>
      <c r="BK433" s="15"/>
      <c r="BL433" s="15"/>
      <c r="BM433" s="16"/>
    </row>
    <row r="434" spans="1:65" ht="51" x14ac:dyDescent="0.2">
      <c r="A434" s="332">
        <v>218</v>
      </c>
      <c r="B434" s="77" t="s">
        <v>1639</v>
      </c>
      <c r="C434" s="70" t="s">
        <v>1121</v>
      </c>
      <c r="D434" s="81" t="s">
        <v>130</v>
      </c>
      <c r="E434" s="12" t="s">
        <v>372</v>
      </c>
      <c r="F434" s="21" t="s">
        <v>1641</v>
      </c>
      <c r="G434" s="71" t="s">
        <v>1646</v>
      </c>
      <c r="H434" s="7" t="s">
        <v>1112</v>
      </c>
      <c r="I434" s="67">
        <v>42895</v>
      </c>
      <c r="J434" s="67">
        <v>43260</v>
      </c>
      <c r="K434" s="8" t="s">
        <v>1643</v>
      </c>
      <c r="L434" s="21" t="s">
        <v>1055</v>
      </c>
      <c r="M434" s="21" t="s">
        <v>918</v>
      </c>
      <c r="N434" s="73">
        <v>42895</v>
      </c>
      <c r="O434" s="10">
        <v>67000</v>
      </c>
      <c r="P434" s="74">
        <v>12073</v>
      </c>
      <c r="Q434" s="73">
        <v>42895</v>
      </c>
      <c r="R434" s="73">
        <v>43100</v>
      </c>
      <c r="S434" s="6" t="s">
        <v>206</v>
      </c>
      <c r="T434" s="6"/>
      <c r="U434" s="6"/>
      <c r="V434" s="6"/>
      <c r="W434" s="73" t="s">
        <v>393</v>
      </c>
      <c r="X434" s="6"/>
      <c r="Y434" s="6"/>
      <c r="Z434" s="6"/>
      <c r="AA434" s="6"/>
      <c r="AB434" s="6"/>
      <c r="AC434" s="6"/>
      <c r="AD434" s="6"/>
      <c r="AE434" s="6"/>
      <c r="AF434" s="6"/>
      <c r="AG434" s="6"/>
      <c r="AH434" s="6"/>
      <c r="AI434" s="6"/>
      <c r="AJ434" s="6"/>
      <c r="AK434" s="6"/>
      <c r="AL434" s="194">
        <f t="shared" si="6"/>
        <v>67000</v>
      </c>
      <c r="AM434" s="10"/>
      <c r="AN434" s="11"/>
      <c r="AO434" s="138">
        <f t="shared" si="5"/>
        <v>0</v>
      </c>
      <c r="AP434" s="13"/>
      <c r="AQ434" s="13"/>
      <c r="AR434" s="13"/>
      <c r="AS434" s="13"/>
      <c r="AT434" s="12"/>
      <c r="AU434" s="16"/>
      <c r="AV434" s="14"/>
      <c r="AW434" s="14"/>
      <c r="AX434" s="14"/>
      <c r="AY434" s="14"/>
      <c r="AZ434" s="16"/>
      <c r="BA434" s="16"/>
      <c r="BB434" s="14"/>
      <c r="BC434" s="14"/>
      <c r="BD434" s="14"/>
      <c r="BE434" s="17"/>
      <c r="BF434" s="17"/>
      <c r="BG434" s="17"/>
      <c r="BH434" s="14"/>
      <c r="BI434" s="14"/>
      <c r="BJ434" s="14"/>
      <c r="BK434" s="15"/>
      <c r="BL434" s="15"/>
      <c r="BM434" s="16"/>
    </row>
    <row r="435" spans="1:65" ht="127.5" x14ac:dyDescent="0.2">
      <c r="A435" s="332">
        <v>219</v>
      </c>
      <c r="B435" s="77" t="s">
        <v>1650</v>
      </c>
      <c r="C435" s="70" t="s">
        <v>1085</v>
      </c>
      <c r="D435" s="81" t="s">
        <v>1661</v>
      </c>
      <c r="E435" s="12"/>
      <c r="F435" s="21" t="s">
        <v>1651</v>
      </c>
      <c r="G435" s="23"/>
      <c r="H435" s="7"/>
      <c r="I435" s="7"/>
      <c r="J435" s="7"/>
      <c r="K435" s="8" t="s">
        <v>1649</v>
      </c>
      <c r="L435" s="21" t="s">
        <v>598</v>
      </c>
      <c r="M435" s="21" t="s">
        <v>599</v>
      </c>
      <c r="N435" s="73">
        <v>42898</v>
      </c>
      <c r="O435" s="10">
        <v>465213.22</v>
      </c>
      <c r="P435" s="74">
        <v>12075</v>
      </c>
      <c r="Q435" s="73">
        <v>42898</v>
      </c>
      <c r="R435" s="73">
        <v>43263</v>
      </c>
      <c r="S435" s="6" t="s">
        <v>146</v>
      </c>
      <c r="T435" s="6"/>
      <c r="U435" s="6"/>
      <c r="V435" s="6"/>
      <c r="W435" s="6" t="s">
        <v>137</v>
      </c>
      <c r="X435" s="6"/>
      <c r="Y435" s="6"/>
      <c r="Z435" s="6"/>
      <c r="AA435" s="6"/>
      <c r="AB435" s="6"/>
      <c r="AC435" s="6"/>
      <c r="AD435" s="6"/>
      <c r="AE435" s="6"/>
      <c r="AF435" s="6"/>
      <c r="AG435" s="6"/>
      <c r="AH435" s="6"/>
      <c r="AI435" s="6"/>
      <c r="AJ435" s="6"/>
      <c r="AK435" s="6"/>
      <c r="AL435" s="194">
        <f t="shared" si="6"/>
        <v>465213.22</v>
      </c>
      <c r="AM435" s="10"/>
      <c r="AN435" s="11">
        <f>17110.66</f>
        <v>17110.66</v>
      </c>
      <c r="AO435" s="138">
        <f t="shared" si="5"/>
        <v>17110.66</v>
      </c>
      <c r="AP435" s="13" t="s">
        <v>1660</v>
      </c>
      <c r="AQ435" s="86">
        <v>42670</v>
      </c>
      <c r="AR435" s="86">
        <v>43035</v>
      </c>
      <c r="AS435" s="87">
        <v>11965</v>
      </c>
      <c r="AT435" s="12" t="s">
        <v>611</v>
      </c>
      <c r="AU435" s="16"/>
      <c r="AV435" s="14"/>
      <c r="AW435" s="14"/>
      <c r="AX435" s="14"/>
      <c r="AY435" s="14"/>
      <c r="AZ435" s="16"/>
      <c r="BA435" s="16"/>
      <c r="BB435" s="14"/>
      <c r="BC435" s="14"/>
      <c r="BD435" s="14"/>
      <c r="BE435" s="17"/>
      <c r="BF435" s="17"/>
      <c r="BG435" s="17"/>
      <c r="BH435" s="14"/>
      <c r="BI435" s="14"/>
      <c r="BJ435" s="14"/>
      <c r="BK435" s="15"/>
      <c r="BL435" s="15"/>
      <c r="BM435" s="16"/>
    </row>
    <row r="436" spans="1:65" ht="76.5" x14ac:dyDescent="0.2">
      <c r="A436" s="332">
        <v>220</v>
      </c>
      <c r="B436" s="77" t="s">
        <v>1654</v>
      </c>
      <c r="C436" s="70" t="s">
        <v>1110</v>
      </c>
      <c r="D436" s="81" t="s">
        <v>272</v>
      </c>
      <c r="E436" s="12"/>
      <c r="F436" s="21" t="s">
        <v>1653</v>
      </c>
      <c r="G436" s="23"/>
      <c r="H436" s="7"/>
      <c r="I436" s="7"/>
      <c r="J436" s="7"/>
      <c r="K436" s="8" t="s">
        <v>1652</v>
      </c>
      <c r="L436" s="21" t="s">
        <v>1655</v>
      </c>
      <c r="M436" s="21" t="s">
        <v>1656</v>
      </c>
      <c r="N436" s="73">
        <v>42900</v>
      </c>
      <c r="O436" s="10">
        <v>30000</v>
      </c>
      <c r="P436" s="74">
        <v>12081</v>
      </c>
      <c r="Q436" s="73">
        <v>42900</v>
      </c>
      <c r="R436" s="73">
        <v>43265</v>
      </c>
      <c r="S436" s="6" t="s">
        <v>281</v>
      </c>
      <c r="T436" s="6"/>
      <c r="U436" s="6"/>
      <c r="V436" s="6"/>
      <c r="W436" s="6" t="s">
        <v>403</v>
      </c>
      <c r="X436" s="2"/>
      <c r="Y436" s="2"/>
      <c r="Z436" s="117"/>
      <c r="AA436" s="207"/>
      <c r="AB436" s="6"/>
      <c r="AC436" s="6"/>
      <c r="AD436" s="6"/>
      <c r="AE436" s="6"/>
      <c r="AF436" s="6"/>
      <c r="AG436" s="6"/>
      <c r="AH436" s="6"/>
      <c r="AI436" s="6"/>
      <c r="AJ436" s="6"/>
      <c r="AK436" s="6"/>
      <c r="AL436" s="194">
        <f t="shared" si="6"/>
        <v>30000</v>
      </c>
      <c r="AM436" s="10"/>
      <c r="AN436" s="11">
        <f>2666.66+2500+2500+2500+2500</f>
        <v>12666.66</v>
      </c>
      <c r="AO436" s="138">
        <f t="shared" si="5"/>
        <v>12666.66</v>
      </c>
      <c r="AP436" s="13"/>
      <c r="AQ436" s="13"/>
      <c r="AR436" s="13"/>
      <c r="AS436" s="13"/>
      <c r="AT436" s="12"/>
      <c r="AU436" s="16"/>
      <c r="AV436" s="14" t="s">
        <v>122</v>
      </c>
      <c r="AW436" s="6" t="s">
        <v>1697</v>
      </c>
      <c r="AX436" s="83">
        <v>12058</v>
      </c>
      <c r="AY436" s="84">
        <v>42879</v>
      </c>
      <c r="AZ436" s="79">
        <v>12074</v>
      </c>
      <c r="BA436" s="80">
        <v>42900</v>
      </c>
      <c r="BB436" s="14"/>
      <c r="BC436" s="14"/>
      <c r="BD436" s="14"/>
      <c r="BE436" s="17"/>
      <c r="BF436" s="17"/>
      <c r="BG436" s="17"/>
      <c r="BH436" s="14"/>
      <c r="BI436" s="14"/>
      <c r="BJ436" s="14"/>
      <c r="BK436" s="15"/>
      <c r="BL436" s="15"/>
      <c r="BM436" s="16"/>
    </row>
    <row r="437" spans="1:65" ht="51" x14ac:dyDescent="0.2">
      <c r="A437" s="332">
        <v>221</v>
      </c>
      <c r="B437" s="77" t="s">
        <v>1657</v>
      </c>
      <c r="C437" s="70" t="s">
        <v>1103</v>
      </c>
      <c r="D437" s="81" t="s">
        <v>130</v>
      </c>
      <c r="E437" s="12" t="s">
        <v>372</v>
      </c>
      <c r="F437" s="21" t="s">
        <v>1658</v>
      </c>
      <c r="G437" s="71" t="s">
        <v>1716</v>
      </c>
      <c r="H437" s="7" t="s">
        <v>1116</v>
      </c>
      <c r="I437" s="73">
        <v>42900</v>
      </c>
      <c r="J437" s="73">
        <v>43265</v>
      </c>
      <c r="K437" s="8" t="s">
        <v>1659</v>
      </c>
      <c r="L437" s="21" t="s">
        <v>492</v>
      </c>
      <c r="M437" s="21" t="s">
        <v>253</v>
      </c>
      <c r="N437" s="73">
        <v>42900</v>
      </c>
      <c r="O437" s="10">
        <v>948000</v>
      </c>
      <c r="P437" s="74">
        <v>12075</v>
      </c>
      <c r="Q437" s="73">
        <v>42900</v>
      </c>
      <c r="R437" s="73">
        <v>43100</v>
      </c>
      <c r="S437" s="6" t="s">
        <v>206</v>
      </c>
      <c r="T437" s="6"/>
      <c r="U437" s="6"/>
      <c r="V437" s="6"/>
      <c r="W437" s="6" t="s">
        <v>1278</v>
      </c>
      <c r="X437" s="6"/>
      <c r="Y437" s="6"/>
      <c r="Z437" s="6"/>
      <c r="AA437" s="6"/>
      <c r="AB437" s="6"/>
      <c r="AC437" s="6"/>
      <c r="AD437" s="6"/>
      <c r="AE437" s="6"/>
      <c r="AF437" s="6"/>
      <c r="AG437" s="6"/>
      <c r="AH437" s="6"/>
      <c r="AI437" s="6"/>
      <c r="AJ437" s="6"/>
      <c r="AK437" s="6"/>
      <c r="AL437" s="194">
        <f t="shared" si="6"/>
        <v>948000</v>
      </c>
      <c r="AM437" s="10"/>
      <c r="AN437" s="11">
        <f>63200+63200+22120+33338+157526</f>
        <v>339384</v>
      </c>
      <c r="AO437" s="138">
        <f t="shared" si="5"/>
        <v>339384</v>
      </c>
      <c r="AP437" s="13"/>
      <c r="AQ437" s="13"/>
      <c r="AR437" s="13"/>
      <c r="AS437" s="13"/>
      <c r="AT437" s="12"/>
      <c r="AU437" s="16"/>
      <c r="AV437" s="14"/>
      <c r="AW437" s="6"/>
      <c r="AX437" s="14"/>
      <c r="AY437" s="14"/>
      <c r="AZ437" s="16"/>
      <c r="BA437" s="16"/>
      <c r="BB437" s="14"/>
      <c r="BC437" s="14"/>
      <c r="BD437" s="14"/>
      <c r="BE437" s="17"/>
      <c r="BF437" s="17"/>
      <c r="BG437" s="17"/>
      <c r="BH437" s="14"/>
      <c r="BI437" s="14"/>
      <c r="BJ437" s="14"/>
      <c r="BK437" s="15"/>
      <c r="BL437" s="15"/>
      <c r="BM437" s="16"/>
    </row>
    <row r="438" spans="1:65" ht="51" x14ac:dyDescent="0.2">
      <c r="A438" s="332">
        <v>222</v>
      </c>
      <c r="B438" s="77" t="s">
        <v>1667</v>
      </c>
      <c r="C438" s="70" t="s">
        <v>1155</v>
      </c>
      <c r="D438" s="81" t="s">
        <v>130</v>
      </c>
      <c r="E438" s="12" t="s">
        <v>372</v>
      </c>
      <c r="F438" s="21" t="s">
        <v>1668</v>
      </c>
      <c r="G438" s="71" t="s">
        <v>1685</v>
      </c>
      <c r="H438" s="7" t="s">
        <v>1114</v>
      </c>
      <c r="I438" s="67">
        <v>42898</v>
      </c>
      <c r="J438" s="67">
        <v>43263</v>
      </c>
      <c r="K438" s="8" t="s">
        <v>1666</v>
      </c>
      <c r="L438" s="21" t="s">
        <v>492</v>
      </c>
      <c r="M438" s="21" t="s">
        <v>253</v>
      </c>
      <c r="N438" s="73">
        <v>42905</v>
      </c>
      <c r="O438" s="10">
        <v>765000</v>
      </c>
      <c r="P438" s="74">
        <v>12080</v>
      </c>
      <c r="Q438" s="73">
        <v>42905</v>
      </c>
      <c r="R438" s="73">
        <v>43100</v>
      </c>
      <c r="S438" s="6" t="s">
        <v>206</v>
      </c>
      <c r="T438" s="6"/>
      <c r="U438" s="6"/>
      <c r="V438" s="6"/>
      <c r="W438" s="6" t="s">
        <v>1278</v>
      </c>
      <c r="X438" s="6"/>
      <c r="Y438" s="6"/>
      <c r="Z438" s="6"/>
      <c r="AA438" s="6"/>
      <c r="AB438" s="6"/>
      <c r="AC438" s="6"/>
      <c r="AD438" s="6"/>
      <c r="AE438" s="6"/>
      <c r="AF438" s="6"/>
      <c r="AG438" s="6"/>
      <c r="AH438" s="6"/>
      <c r="AI438" s="6"/>
      <c r="AJ438" s="6"/>
      <c r="AK438" s="6"/>
      <c r="AL438" s="194">
        <f t="shared" si="6"/>
        <v>765000</v>
      </c>
      <c r="AM438" s="10"/>
      <c r="AN438" s="11"/>
      <c r="AO438" s="138">
        <f t="shared" si="5"/>
        <v>0</v>
      </c>
      <c r="AP438" s="13"/>
      <c r="AQ438" s="13"/>
      <c r="AR438" s="13"/>
      <c r="AS438" s="13"/>
      <c r="AT438" s="12"/>
      <c r="AU438" s="16"/>
      <c r="AV438" s="14"/>
      <c r="AW438" s="14"/>
      <c r="AX438" s="14"/>
      <c r="AY438" s="14"/>
      <c r="AZ438" s="16"/>
      <c r="BA438" s="16"/>
      <c r="BB438" s="14"/>
      <c r="BC438" s="14"/>
      <c r="BD438" s="14"/>
      <c r="BE438" s="17"/>
      <c r="BF438" s="17"/>
      <c r="BG438" s="17"/>
      <c r="BH438" s="14"/>
      <c r="BI438" s="14"/>
      <c r="BJ438" s="14"/>
      <c r="BK438" s="15"/>
      <c r="BL438" s="15"/>
      <c r="BM438" s="16"/>
    </row>
    <row r="439" spans="1:65" ht="51" x14ac:dyDescent="0.2">
      <c r="A439" s="332">
        <v>223</v>
      </c>
      <c r="B439" s="77" t="s">
        <v>1671</v>
      </c>
      <c r="C439" s="70" t="s">
        <v>1156</v>
      </c>
      <c r="D439" s="81" t="s">
        <v>130</v>
      </c>
      <c r="E439" s="12" t="s">
        <v>372</v>
      </c>
      <c r="F439" s="21" t="s">
        <v>1672</v>
      </c>
      <c r="G439" s="71" t="s">
        <v>1685</v>
      </c>
      <c r="H439" s="7" t="s">
        <v>1115</v>
      </c>
      <c r="I439" s="67">
        <v>42898</v>
      </c>
      <c r="J439" s="67">
        <v>43263</v>
      </c>
      <c r="K439" s="8" t="s">
        <v>1670</v>
      </c>
      <c r="L439" s="21" t="s">
        <v>269</v>
      </c>
      <c r="M439" s="21" t="s">
        <v>270</v>
      </c>
      <c r="N439" s="73">
        <v>42905</v>
      </c>
      <c r="O439" s="10">
        <v>36900</v>
      </c>
      <c r="P439" s="74">
        <v>12089</v>
      </c>
      <c r="Q439" s="73">
        <v>42905</v>
      </c>
      <c r="R439" s="73">
        <v>43100</v>
      </c>
      <c r="S439" s="6" t="s">
        <v>206</v>
      </c>
      <c r="T439" s="6"/>
      <c r="U439" s="6"/>
      <c r="V439" s="6"/>
      <c r="W439" s="6" t="s">
        <v>1669</v>
      </c>
      <c r="X439" s="6"/>
      <c r="Y439" s="6"/>
      <c r="Z439" s="6"/>
      <c r="AA439" s="6"/>
      <c r="AB439" s="6"/>
      <c r="AC439" s="6"/>
      <c r="AD439" s="6"/>
      <c r="AE439" s="6"/>
      <c r="AF439" s="6"/>
      <c r="AG439" s="6"/>
      <c r="AH439" s="6"/>
      <c r="AI439" s="6"/>
      <c r="AJ439" s="6"/>
      <c r="AK439" s="6"/>
      <c r="AL439" s="194">
        <f t="shared" si="6"/>
        <v>36900</v>
      </c>
      <c r="AM439" s="10"/>
      <c r="AN439" s="11"/>
      <c r="AO439" s="138">
        <f t="shared" si="5"/>
        <v>0</v>
      </c>
      <c r="AP439" s="13"/>
      <c r="AQ439" s="13"/>
      <c r="AR439" s="13"/>
      <c r="AS439" s="13"/>
      <c r="AT439" s="12"/>
      <c r="AU439" s="16"/>
      <c r="AV439" s="14"/>
      <c r="AW439" s="14"/>
      <c r="AX439" s="14"/>
      <c r="AY439" s="14"/>
      <c r="AZ439" s="16"/>
      <c r="BA439" s="16"/>
      <c r="BB439" s="14"/>
      <c r="BC439" s="14"/>
      <c r="BD439" s="14"/>
      <c r="BE439" s="17"/>
      <c r="BF439" s="17"/>
      <c r="BG439" s="17"/>
      <c r="BH439" s="14"/>
      <c r="BI439" s="14"/>
      <c r="BJ439" s="14"/>
      <c r="BK439" s="15"/>
      <c r="BL439" s="15"/>
      <c r="BM439" s="16"/>
    </row>
    <row r="440" spans="1:65" ht="63.75" x14ac:dyDescent="0.2">
      <c r="A440" s="332">
        <v>224</v>
      </c>
      <c r="B440" s="77" t="s">
        <v>1673</v>
      </c>
      <c r="C440" s="70" t="s">
        <v>1113</v>
      </c>
      <c r="D440" s="81" t="s">
        <v>130</v>
      </c>
      <c r="E440" s="12" t="s">
        <v>372</v>
      </c>
      <c r="F440" s="21" t="s">
        <v>1674</v>
      </c>
      <c r="G440" s="71" t="s">
        <v>1686</v>
      </c>
      <c r="H440" s="7" t="s">
        <v>1111</v>
      </c>
      <c r="I440" s="67">
        <v>42893</v>
      </c>
      <c r="J440" s="67">
        <v>43258</v>
      </c>
      <c r="K440" s="8" t="s">
        <v>1675</v>
      </c>
      <c r="L440" s="21" t="s">
        <v>1620</v>
      </c>
      <c r="M440" s="21" t="s">
        <v>1621</v>
      </c>
      <c r="N440" s="73">
        <v>42905</v>
      </c>
      <c r="O440" s="10">
        <v>9764</v>
      </c>
      <c r="P440" s="74">
        <v>12086</v>
      </c>
      <c r="Q440" s="73">
        <v>42905</v>
      </c>
      <c r="R440" s="73">
        <v>43100</v>
      </c>
      <c r="S440" s="6" t="s">
        <v>206</v>
      </c>
      <c r="T440" s="6"/>
      <c r="U440" s="6"/>
      <c r="V440" s="6"/>
      <c r="W440" s="6" t="s">
        <v>1278</v>
      </c>
      <c r="X440" s="6"/>
      <c r="Y440" s="6"/>
      <c r="Z440" s="6"/>
      <c r="AA440" s="6"/>
      <c r="AB440" s="6"/>
      <c r="AC440" s="6"/>
      <c r="AD440" s="6"/>
      <c r="AE440" s="6"/>
      <c r="AF440" s="6"/>
      <c r="AG440" s="6"/>
      <c r="AH440" s="6"/>
      <c r="AI440" s="6"/>
      <c r="AJ440" s="6"/>
      <c r="AK440" s="6"/>
      <c r="AL440" s="194">
        <f t="shared" si="6"/>
        <v>9764</v>
      </c>
      <c r="AM440" s="10"/>
      <c r="AN440" s="11"/>
      <c r="AO440" s="138">
        <f t="shared" si="5"/>
        <v>0</v>
      </c>
      <c r="AP440" s="13"/>
      <c r="AQ440" s="13"/>
      <c r="AR440" s="13"/>
      <c r="AS440" s="13"/>
      <c r="AT440" s="12"/>
      <c r="AU440" s="16"/>
      <c r="AV440" s="14"/>
      <c r="AW440" s="14"/>
      <c r="AX440" s="14"/>
      <c r="AY440" s="14"/>
      <c r="AZ440" s="16"/>
      <c r="BA440" s="16"/>
      <c r="BB440" s="14"/>
      <c r="BC440" s="14"/>
      <c r="BD440" s="14"/>
      <c r="BE440" s="17"/>
      <c r="BF440" s="17"/>
      <c r="BG440" s="17"/>
      <c r="BH440" s="14"/>
      <c r="BI440" s="14"/>
      <c r="BJ440" s="14"/>
      <c r="BK440" s="15"/>
      <c r="BL440" s="15"/>
      <c r="BM440" s="16"/>
    </row>
    <row r="441" spans="1:65" ht="63.75" x14ac:dyDescent="0.2">
      <c r="A441" s="332">
        <v>225</v>
      </c>
      <c r="B441" s="77" t="s">
        <v>1673</v>
      </c>
      <c r="C441" s="70" t="s">
        <v>1113</v>
      </c>
      <c r="D441" s="81" t="s">
        <v>130</v>
      </c>
      <c r="E441" s="12" t="s">
        <v>372</v>
      </c>
      <c r="F441" s="21" t="s">
        <v>1674</v>
      </c>
      <c r="G441" s="71" t="s">
        <v>1686</v>
      </c>
      <c r="H441" s="7" t="s">
        <v>1111</v>
      </c>
      <c r="I441" s="67">
        <v>42893</v>
      </c>
      <c r="J441" s="67">
        <v>43258</v>
      </c>
      <c r="K441" s="8" t="s">
        <v>1676</v>
      </c>
      <c r="L441" s="21" t="s">
        <v>1677</v>
      </c>
      <c r="M441" s="21" t="s">
        <v>1678</v>
      </c>
      <c r="N441" s="73">
        <v>42905</v>
      </c>
      <c r="O441" s="10">
        <v>13105</v>
      </c>
      <c r="P441" s="74">
        <v>12085</v>
      </c>
      <c r="Q441" s="73">
        <v>42905</v>
      </c>
      <c r="R441" s="73">
        <v>43100</v>
      </c>
      <c r="S441" s="6" t="s">
        <v>206</v>
      </c>
      <c r="T441" s="6"/>
      <c r="U441" s="6"/>
      <c r="V441" s="6"/>
      <c r="W441" s="6" t="s">
        <v>1278</v>
      </c>
      <c r="X441" s="6"/>
      <c r="Y441" s="6"/>
      <c r="Z441" s="6"/>
      <c r="AA441" s="6"/>
      <c r="AB441" s="6"/>
      <c r="AC441" s="6"/>
      <c r="AD441" s="6"/>
      <c r="AE441" s="6"/>
      <c r="AF441" s="6"/>
      <c r="AG441" s="6"/>
      <c r="AH441" s="6"/>
      <c r="AI441" s="6"/>
      <c r="AJ441" s="6"/>
      <c r="AK441" s="6"/>
      <c r="AL441" s="194">
        <f t="shared" si="6"/>
        <v>13105</v>
      </c>
      <c r="AM441" s="10"/>
      <c r="AN441" s="11">
        <f>10055</f>
        <v>10055</v>
      </c>
      <c r="AO441" s="138">
        <f t="shared" si="5"/>
        <v>10055</v>
      </c>
      <c r="AP441" s="13"/>
      <c r="AQ441" s="13"/>
      <c r="AR441" s="13"/>
      <c r="AS441" s="13"/>
      <c r="AT441" s="12"/>
      <c r="AU441" s="16"/>
      <c r="AV441" s="14"/>
      <c r="AW441" s="14"/>
      <c r="AX441" s="14"/>
      <c r="AY441" s="14"/>
      <c r="AZ441" s="16"/>
      <c r="BA441" s="16"/>
      <c r="BB441" s="14"/>
      <c r="BC441" s="14"/>
      <c r="BD441" s="14"/>
      <c r="BE441" s="17"/>
      <c r="BF441" s="17"/>
      <c r="BG441" s="17"/>
      <c r="BH441" s="14"/>
      <c r="BI441" s="14"/>
      <c r="BJ441" s="14"/>
      <c r="BK441" s="15"/>
      <c r="BL441" s="15"/>
      <c r="BM441" s="16"/>
    </row>
    <row r="442" spans="1:65" ht="89.25" x14ac:dyDescent="0.2">
      <c r="A442" s="332">
        <v>226</v>
      </c>
      <c r="B442" s="77" t="s">
        <v>1673</v>
      </c>
      <c r="C442" s="70" t="s">
        <v>1113</v>
      </c>
      <c r="D442" s="81" t="s">
        <v>130</v>
      </c>
      <c r="E442" s="12" t="s">
        <v>372</v>
      </c>
      <c r="F442" s="21" t="s">
        <v>1674</v>
      </c>
      <c r="G442" s="71" t="s">
        <v>1686</v>
      </c>
      <c r="H442" s="7" t="s">
        <v>1111</v>
      </c>
      <c r="I442" s="67">
        <v>42893</v>
      </c>
      <c r="J442" s="67">
        <v>43258</v>
      </c>
      <c r="K442" s="8" t="s">
        <v>1679</v>
      </c>
      <c r="L442" s="21" t="s">
        <v>1680</v>
      </c>
      <c r="M442" s="21" t="s">
        <v>1681</v>
      </c>
      <c r="N442" s="73">
        <v>42905</v>
      </c>
      <c r="O442" s="10">
        <v>129591.6</v>
      </c>
      <c r="P442" s="74">
        <v>12084</v>
      </c>
      <c r="Q442" s="73">
        <v>42905</v>
      </c>
      <c r="R442" s="73">
        <v>43100</v>
      </c>
      <c r="S442" s="6" t="s">
        <v>206</v>
      </c>
      <c r="T442" s="6"/>
      <c r="U442" s="6"/>
      <c r="V442" s="6"/>
      <c r="W442" s="6" t="s">
        <v>1278</v>
      </c>
      <c r="X442" s="6" t="s">
        <v>498</v>
      </c>
      <c r="Y442" s="6" t="s">
        <v>138</v>
      </c>
      <c r="Z442" s="73">
        <v>43052</v>
      </c>
      <c r="AA442" s="74">
        <v>12182</v>
      </c>
      <c r="AB442" s="72" t="s">
        <v>2046</v>
      </c>
      <c r="AC442" s="6"/>
      <c r="AD442" s="6"/>
      <c r="AE442" s="6">
        <v>25</v>
      </c>
      <c r="AF442" s="6"/>
      <c r="AG442" s="10">
        <v>9243</v>
      </c>
      <c r="AH442" s="6"/>
      <c r="AI442" s="6"/>
      <c r="AJ442" s="6"/>
      <c r="AK442" s="6"/>
      <c r="AL442" s="194">
        <f>O442-AH442+AG442</f>
        <v>138834.6</v>
      </c>
      <c r="AM442" s="10"/>
      <c r="AN442" s="11">
        <f>3900+10948.4+4314+84079.8</f>
        <v>103242.20000000001</v>
      </c>
      <c r="AO442" s="138">
        <f t="shared" si="5"/>
        <v>103242.20000000001</v>
      </c>
      <c r="AP442" s="13"/>
      <c r="AQ442" s="13"/>
      <c r="AR442" s="13"/>
      <c r="AS442" s="13"/>
      <c r="AT442" s="12"/>
      <c r="AU442" s="16"/>
      <c r="AV442" s="14"/>
      <c r="AW442" s="14"/>
      <c r="AX442" s="14"/>
      <c r="AY442" s="14"/>
      <c r="AZ442" s="16"/>
      <c r="BA442" s="16"/>
      <c r="BB442" s="14"/>
      <c r="BC442" s="14"/>
      <c r="BD442" s="14"/>
      <c r="BE442" s="17"/>
      <c r="BF442" s="17"/>
      <c r="BG442" s="17"/>
      <c r="BH442" s="14"/>
      <c r="BI442" s="14"/>
      <c r="BJ442" s="14"/>
      <c r="BK442" s="15"/>
      <c r="BL442" s="15"/>
      <c r="BM442" s="16"/>
    </row>
    <row r="443" spans="1:65" ht="63.75" x14ac:dyDescent="0.2">
      <c r="A443" s="332">
        <v>227</v>
      </c>
      <c r="B443" s="77" t="s">
        <v>1673</v>
      </c>
      <c r="C443" s="70" t="s">
        <v>1113</v>
      </c>
      <c r="D443" s="81" t="s">
        <v>130</v>
      </c>
      <c r="E443" s="12" t="s">
        <v>372</v>
      </c>
      <c r="F443" s="21" t="s">
        <v>1674</v>
      </c>
      <c r="G443" s="71" t="s">
        <v>1686</v>
      </c>
      <c r="H443" s="7" t="s">
        <v>1111</v>
      </c>
      <c r="I443" s="67">
        <v>42893</v>
      </c>
      <c r="J443" s="67">
        <v>43258</v>
      </c>
      <c r="K443" s="8" t="s">
        <v>1682</v>
      </c>
      <c r="L443" s="21" t="s">
        <v>1683</v>
      </c>
      <c r="M443" s="21" t="s">
        <v>1684</v>
      </c>
      <c r="N443" s="73">
        <v>42905</v>
      </c>
      <c r="O443" s="10">
        <v>39078.92</v>
      </c>
      <c r="P443" s="74">
        <v>12084</v>
      </c>
      <c r="Q443" s="73">
        <v>42905</v>
      </c>
      <c r="R443" s="73">
        <v>43100</v>
      </c>
      <c r="S443" s="6" t="s">
        <v>206</v>
      </c>
      <c r="T443" s="6"/>
      <c r="U443" s="6"/>
      <c r="V443" s="6"/>
      <c r="W443" s="6" t="s">
        <v>1278</v>
      </c>
      <c r="X443" s="6"/>
      <c r="Y443" s="6"/>
      <c r="Z443" s="6"/>
      <c r="AA443" s="6"/>
      <c r="AB443" s="6"/>
      <c r="AC443" s="6"/>
      <c r="AD443" s="6"/>
      <c r="AE443" s="6"/>
      <c r="AF443" s="6"/>
      <c r="AG443" s="6"/>
      <c r="AH443" s="6"/>
      <c r="AI443" s="6"/>
      <c r="AJ443" s="6"/>
      <c r="AK443" s="6"/>
      <c r="AL443" s="194">
        <f t="shared" si="6"/>
        <v>39078.92</v>
      </c>
      <c r="AM443" s="10"/>
      <c r="AN443" s="11">
        <f>36606.44</f>
        <v>36606.44</v>
      </c>
      <c r="AO443" s="138">
        <f t="shared" si="5"/>
        <v>36606.44</v>
      </c>
      <c r="AP443" s="13"/>
      <c r="AQ443" s="13"/>
      <c r="AR443" s="13"/>
      <c r="AS443" s="13"/>
      <c r="AT443" s="12"/>
      <c r="AU443" s="16"/>
      <c r="AV443" s="14"/>
      <c r="AW443" s="14"/>
      <c r="AX443" s="14"/>
      <c r="AY443" s="14"/>
      <c r="AZ443" s="16"/>
      <c r="BA443" s="16"/>
      <c r="BB443" s="14"/>
      <c r="BC443" s="14"/>
      <c r="BD443" s="14"/>
      <c r="BE443" s="17"/>
      <c r="BF443" s="17"/>
      <c r="BG443" s="17"/>
      <c r="BH443" s="14"/>
      <c r="BI443" s="14"/>
      <c r="BJ443" s="14"/>
      <c r="BK443" s="15"/>
      <c r="BL443" s="15"/>
      <c r="BM443" s="16"/>
    </row>
    <row r="444" spans="1:65" ht="63.75" x14ac:dyDescent="0.2">
      <c r="A444" s="332">
        <v>228</v>
      </c>
      <c r="B444" s="77" t="s">
        <v>1700</v>
      </c>
      <c r="C444" s="70" t="s">
        <v>1112</v>
      </c>
      <c r="D444" s="81" t="s">
        <v>130</v>
      </c>
      <c r="E444" s="12" t="s">
        <v>372</v>
      </c>
      <c r="F444" s="21" t="s">
        <v>1701</v>
      </c>
      <c r="G444" s="71" t="s">
        <v>1686</v>
      </c>
      <c r="H444" s="7" t="s">
        <v>1104</v>
      </c>
      <c r="I444" s="67">
        <v>42852</v>
      </c>
      <c r="J444" s="67">
        <v>43217</v>
      </c>
      <c r="K444" s="8" t="s">
        <v>1699</v>
      </c>
      <c r="L444" s="21" t="s">
        <v>1702</v>
      </c>
      <c r="M444" s="21" t="s">
        <v>1046</v>
      </c>
      <c r="N444" s="73">
        <v>42905</v>
      </c>
      <c r="O444" s="10">
        <v>303140</v>
      </c>
      <c r="P444" s="74">
        <v>12088</v>
      </c>
      <c r="Q444" s="73">
        <v>42905</v>
      </c>
      <c r="R444" s="73">
        <v>43100</v>
      </c>
      <c r="S444" s="6" t="s">
        <v>206</v>
      </c>
      <c r="T444" s="6"/>
      <c r="U444" s="6"/>
      <c r="V444" s="6"/>
      <c r="W444" s="6" t="s">
        <v>192</v>
      </c>
      <c r="X444" s="6"/>
      <c r="Y444" s="6"/>
      <c r="Z444" s="6"/>
      <c r="AA444" s="6"/>
      <c r="AB444" s="6"/>
      <c r="AC444" s="6"/>
      <c r="AD444" s="6"/>
      <c r="AE444" s="6"/>
      <c r="AF444" s="6"/>
      <c r="AG444" s="6"/>
      <c r="AH444" s="6"/>
      <c r="AI444" s="6"/>
      <c r="AJ444" s="6"/>
      <c r="AK444" s="6"/>
      <c r="AL444" s="194">
        <f t="shared" si="6"/>
        <v>303140</v>
      </c>
      <c r="AM444" s="10"/>
      <c r="AN444" s="11">
        <f>46275.38+27290.86+30428.57</f>
        <v>103994.81</v>
      </c>
      <c r="AO444" s="138">
        <f t="shared" si="5"/>
        <v>103994.81</v>
      </c>
      <c r="AP444" s="13"/>
      <c r="AQ444" s="13"/>
      <c r="AR444" s="13"/>
      <c r="AS444" s="13"/>
      <c r="AT444" s="12"/>
      <c r="AU444" s="16"/>
      <c r="AV444" s="14"/>
      <c r="AW444" s="14"/>
      <c r="AX444" s="14"/>
      <c r="AY444" s="14"/>
      <c r="AZ444" s="16"/>
      <c r="BA444" s="16"/>
      <c r="BB444" s="14"/>
      <c r="BC444" s="14"/>
      <c r="BD444" s="14"/>
      <c r="BE444" s="17"/>
      <c r="BF444" s="17"/>
      <c r="BG444" s="17"/>
      <c r="BH444" s="14"/>
      <c r="BI444" s="14"/>
      <c r="BJ444" s="14"/>
      <c r="BK444" s="15"/>
      <c r="BL444" s="15"/>
      <c r="BM444" s="16"/>
    </row>
    <row r="445" spans="1:65" ht="153" x14ac:dyDescent="0.2">
      <c r="A445" s="332">
        <v>229</v>
      </c>
      <c r="B445" s="77" t="s">
        <v>1703</v>
      </c>
      <c r="C445" s="70" t="s">
        <v>1086</v>
      </c>
      <c r="D445" s="81" t="s">
        <v>248</v>
      </c>
      <c r="E445" s="12" t="s">
        <v>372</v>
      </c>
      <c r="F445" s="21" t="s">
        <v>1706</v>
      </c>
      <c r="G445" s="23"/>
      <c r="H445" s="7"/>
      <c r="I445" s="7"/>
      <c r="J445" s="7"/>
      <c r="K445" s="8" t="s">
        <v>1707</v>
      </c>
      <c r="L445" s="21" t="s">
        <v>1704</v>
      </c>
      <c r="M445" s="21" t="s">
        <v>1705</v>
      </c>
      <c r="N445" s="73">
        <v>42914</v>
      </c>
      <c r="O445" s="10">
        <v>701807.89</v>
      </c>
      <c r="P445" s="74">
        <v>12084</v>
      </c>
      <c r="Q445" s="73">
        <v>42914</v>
      </c>
      <c r="R445" s="73">
        <v>43124</v>
      </c>
      <c r="S445" s="6" t="s">
        <v>1708</v>
      </c>
      <c r="T445" s="6"/>
      <c r="U445" s="6"/>
      <c r="V445" s="6"/>
      <c r="W445" s="6" t="s">
        <v>251</v>
      </c>
      <c r="X445" s="6"/>
      <c r="Y445" s="6"/>
      <c r="Z445" s="6"/>
      <c r="AA445" s="6"/>
      <c r="AB445" s="6"/>
      <c r="AC445" s="6"/>
      <c r="AD445" s="6"/>
      <c r="AE445" s="6"/>
      <c r="AF445" s="6"/>
      <c r="AG445" s="6"/>
      <c r="AH445" s="6"/>
      <c r="AI445" s="6"/>
      <c r="AJ445" s="6"/>
      <c r="AK445" s="6"/>
      <c r="AL445" s="194">
        <f t="shared" si="6"/>
        <v>701807.89</v>
      </c>
      <c r="AM445" s="10"/>
      <c r="AN445" s="11">
        <f>89183.44+239778.24+35298.38</f>
        <v>364260.06</v>
      </c>
      <c r="AO445" s="138">
        <f t="shared" si="5"/>
        <v>364260.06</v>
      </c>
      <c r="AP445" s="13"/>
      <c r="AQ445" s="13"/>
      <c r="AR445" s="13"/>
      <c r="AS445" s="13"/>
      <c r="AT445" s="12"/>
      <c r="AU445" s="16"/>
      <c r="AV445" s="14"/>
      <c r="AW445" s="14"/>
      <c r="AX445" s="14"/>
      <c r="AY445" s="14"/>
      <c r="AZ445" s="16"/>
      <c r="BA445" s="16"/>
      <c r="BB445" s="14" t="s">
        <v>396</v>
      </c>
      <c r="BC445" s="6" t="s">
        <v>1795</v>
      </c>
      <c r="BD445" s="14"/>
      <c r="BE445" s="88" t="s">
        <v>1709</v>
      </c>
      <c r="BF445" s="17"/>
      <c r="BG445" s="17"/>
      <c r="BH445" s="14"/>
      <c r="BI445" s="14"/>
      <c r="BJ445" s="14"/>
      <c r="BK445" s="15"/>
      <c r="BL445" s="15"/>
      <c r="BM445" s="16"/>
    </row>
    <row r="446" spans="1:65" ht="51" x14ac:dyDescent="0.2">
      <c r="A446" s="332">
        <v>230</v>
      </c>
      <c r="B446" s="77" t="s">
        <v>1710</v>
      </c>
      <c r="C446" s="70" t="s">
        <v>1107</v>
      </c>
      <c r="D446" s="81" t="s">
        <v>272</v>
      </c>
      <c r="E446" s="12"/>
      <c r="F446" s="21" t="s">
        <v>1711</v>
      </c>
      <c r="G446" s="23"/>
      <c r="H446" s="7"/>
      <c r="I446" s="7"/>
      <c r="J446" s="7"/>
      <c r="K446" s="8" t="s">
        <v>1712</v>
      </c>
      <c r="L446" s="21" t="s">
        <v>1713</v>
      </c>
      <c r="M446" s="21" t="s">
        <v>1714</v>
      </c>
      <c r="N446" s="73">
        <v>42917</v>
      </c>
      <c r="O446" s="10">
        <v>144000</v>
      </c>
      <c r="P446" s="74">
        <v>12087</v>
      </c>
      <c r="Q446" s="73">
        <v>42917</v>
      </c>
      <c r="R446" s="73">
        <v>43282</v>
      </c>
      <c r="S446" s="6" t="s">
        <v>919</v>
      </c>
      <c r="T446" s="6"/>
      <c r="U446" s="6"/>
      <c r="V446" s="6"/>
      <c r="W446" s="6" t="s">
        <v>403</v>
      </c>
      <c r="X446" s="6"/>
      <c r="Y446" s="6"/>
      <c r="Z446" s="6"/>
      <c r="AA446" s="6"/>
      <c r="AB446" s="6"/>
      <c r="AC446" s="6"/>
      <c r="AD446" s="6"/>
      <c r="AE446" s="6"/>
      <c r="AF446" s="6"/>
      <c r="AG446" s="6"/>
      <c r="AH446" s="6"/>
      <c r="AI446" s="6"/>
      <c r="AJ446" s="6"/>
      <c r="AK446" s="6"/>
      <c r="AL446" s="194">
        <f t="shared" si="6"/>
        <v>144000</v>
      </c>
      <c r="AM446" s="10"/>
      <c r="AN446" s="11">
        <f>12000+12000+12000+12000+12000</f>
        <v>60000</v>
      </c>
      <c r="AO446" s="138">
        <f t="shared" si="5"/>
        <v>60000</v>
      </c>
      <c r="AP446" s="13"/>
      <c r="AQ446" s="13"/>
      <c r="AR446" s="13"/>
      <c r="AS446" s="13"/>
      <c r="AT446" s="12"/>
      <c r="AU446" s="16"/>
      <c r="AV446" s="14" t="s">
        <v>122</v>
      </c>
      <c r="AW446" s="6" t="s">
        <v>1715</v>
      </c>
      <c r="AX446" s="83">
        <v>12037</v>
      </c>
      <c r="AY446" s="84">
        <v>42849</v>
      </c>
      <c r="AZ446" s="79">
        <v>12086</v>
      </c>
      <c r="BA446" s="80">
        <v>42919</v>
      </c>
      <c r="BB446" s="14"/>
      <c r="BC446" s="14"/>
      <c r="BD446" s="14"/>
      <c r="BE446" s="17"/>
      <c r="BF446" s="17"/>
      <c r="BG446" s="17"/>
      <c r="BH446" s="14"/>
      <c r="BI446" s="14"/>
      <c r="BJ446" s="14"/>
      <c r="BK446" s="15"/>
      <c r="BL446" s="15"/>
      <c r="BM446" s="16"/>
    </row>
    <row r="447" spans="1:65" ht="51" x14ac:dyDescent="0.2">
      <c r="A447" s="329">
        <v>231</v>
      </c>
      <c r="B447" s="77" t="s">
        <v>1719</v>
      </c>
      <c r="C447" s="70" t="s">
        <v>1225</v>
      </c>
      <c r="D447" s="81" t="s">
        <v>130</v>
      </c>
      <c r="E447" s="62" t="s">
        <v>372</v>
      </c>
      <c r="F447" s="21" t="s">
        <v>1720</v>
      </c>
      <c r="G447" s="71" t="s">
        <v>1749</v>
      </c>
      <c r="H447" s="7" t="s">
        <v>1117</v>
      </c>
      <c r="I447" s="67">
        <v>42921</v>
      </c>
      <c r="J447" s="67">
        <v>43286</v>
      </c>
      <c r="K447" s="8" t="s">
        <v>1718</v>
      </c>
      <c r="L447" s="21" t="s">
        <v>1721</v>
      </c>
      <c r="M447" s="21" t="s">
        <v>1722</v>
      </c>
      <c r="N447" s="73">
        <v>42922</v>
      </c>
      <c r="O447" s="10">
        <v>46630</v>
      </c>
      <c r="P447" s="74">
        <v>12099</v>
      </c>
      <c r="Q447" s="73">
        <v>42922</v>
      </c>
      <c r="R447" s="73">
        <v>43100</v>
      </c>
      <c r="S447" s="6" t="s">
        <v>206</v>
      </c>
      <c r="T447" s="6"/>
      <c r="U447" s="6"/>
      <c r="V447" s="6"/>
      <c r="W447" s="6" t="s">
        <v>1278</v>
      </c>
      <c r="X447" s="6"/>
      <c r="Y447" s="6"/>
      <c r="Z447" s="6"/>
      <c r="AA447" s="6"/>
      <c r="AB447" s="6"/>
      <c r="AC447" s="6"/>
      <c r="AD447" s="6"/>
      <c r="AE447" s="6"/>
      <c r="AF447" s="6"/>
      <c r="AG447" s="6"/>
      <c r="AH447" s="6"/>
      <c r="AI447" s="6"/>
      <c r="AJ447" s="6"/>
      <c r="AK447" s="6"/>
      <c r="AL447" s="194">
        <f t="shared" si="6"/>
        <v>46630</v>
      </c>
      <c r="AM447" s="10"/>
      <c r="AN447" s="11"/>
      <c r="AO447" s="138">
        <f t="shared" si="5"/>
        <v>0</v>
      </c>
      <c r="AP447" s="13"/>
      <c r="AQ447" s="13"/>
      <c r="AR447" s="13"/>
      <c r="AS447" s="13"/>
      <c r="AT447" s="12"/>
      <c r="AU447" s="16"/>
      <c r="AV447" s="14"/>
      <c r="AW447" s="14"/>
      <c r="AX447" s="14"/>
      <c r="AY447" s="14"/>
      <c r="AZ447" s="16"/>
      <c r="BA447" s="16"/>
      <c r="BB447" s="14"/>
      <c r="BC447" s="14"/>
      <c r="BD447" s="14"/>
      <c r="BE447" s="17"/>
      <c r="BF447" s="17"/>
      <c r="BG447" s="17"/>
      <c r="BH447" s="14"/>
      <c r="BI447" s="14"/>
      <c r="BJ447" s="14"/>
      <c r="BK447" s="15"/>
      <c r="BL447" s="15"/>
      <c r="BM447" s="16"/>
    </row>
    <row r="448" spans="1:65" ht="51" x14ac:dyDescent="0.2">
      <c r="A448" s="329">
        <v>231</v>
      </c>
      <c r="B448" s="77" t="s">
        <v>1719</v>
      </c>
      <c r="C448" s="70" t="s">
        <v>1225</v>
      </c>
      <c r="D448" s="81" t="s">
        <v>130</v>
      </c>
      <c r="E448" s="62" t="s">
        <v>372</v>
      </c>
      <c r="F448" s="21" t="s">
        <v>1720</v>
      </c>
      <c r="G448" s="71" t="s">
        <v>1749</v>
      </c>
      <c r="H448" s="7" t="s">
        <v>1117</v>
      </c>
      <c r="I448" s="67">
        <v>42921</v>
      </c>
      <c r="J448" s="67">
        <v>43286</v>
      </c>
      <c r="K448" s="8" t="s">
        <v>1723</v>
      </c>
      <c r="L448" s="21" t="s">
        <v>1724</v>
      </c>
      <c r="M448" s="21" t="s">
        <v>1725</v>
      </c>
      <c r="N448" s="73">
        <v>42922</v>
      </c>
      <c r="O448" s="10">
        <v>10002.299999999999</v>
      </c>
      <c r="P448" s="74">
        <v>12099</v>
      </c>
      <c r="Q448" s="73">
        <v>42922</v>
      </c>
      <c r="R448" s="73">
        <v>43100</v>
      </c>
      <c r="S448" s="6" t="s">
        <v>206</v>
      </c>
      <c r="T448" s="6"/>
      <c r="U448" s="6"/>
      <c r="V448" s="6"/>
      <c r="W448" s="6" t="s">
        <v>1278</v>
      </c>
      <c r="X448" s="6"/>
      <c r="Y448" s="6"/>
      <c r="Z448" s="6"/>
      <c r="AA448" s="6"/>
      <c r="AB448" s="6"/>
      <c r="AC448" s="6"/>
      <c r="AD448" s="6"/>
      <c r="AE448" s="6"/>
      <c r="AF448" s="6"/>
      <c r="AG448" s="6"/>
      <c r="AH448" s="6"/>
      <c r="AI448" s="6"/>
      <c r="AJ448" s="6"/>
      <c r="AK448" s="6"/>
      <c r="AL448" s="194">
        <f t="shared" si="6"/>
        <v>10002.299999999999</v>
      </c>
      <c r="AM448" s="10"/>
      <c r="AN448" s="11"/>
      <c r="AO448" s="138">
        <f t="shared" si="5"/>
        <v>0</v>
      </c>
      <c r="AP448" s="13"/>
      <c r="AQ448" s="13"/>
      <c r="AR448" s="13"/>
      <c r="AS448" s="13"/>
      <c r="AT448" s="12"/>
      <c r="AU448" s="16"/>
      <c r="AV448" s="14"/>
      <c r="AW448" s="14"/>
      <c r="AX448" s="14"/>
      <c r="AY448" s="14"/>
      <c r="AZ448" s="16"/>
      <c r="BA448" s="16"/>
      <c r="BB448" s="14"/>
      <c r="BC448" s="14"/>
      <c r="BD448" s="14"/>
      <c r="BE448" s="17"/>
      <c r="BF448" s="17"/>
      <c r="BG448" s="17"/>
      <c r="BH448" s="14"/>
      <c r="BI448" s="14"/>
      <c r="BJ448" s="14"/>
      <c r="BK448" s="15"/>
      <c r="BL448" s="15"/>
      <c r="BM448" s="16"/>
    </row>
    <row r="449" spans="1:65" ht="51" x14ac:dyDescent="0.2">
      <c r="A449" s="329">
        <v>233</v>
      </c>
      <c r="B449" s="77" t="s">
        <v>1719</v>
      </c>
      <c r="C449" s="70" t="s">
        <v>1225</v>
      </c>
      <c r="D449" s="81" t="s">
        <v>130</v>
      </c>
      <c r="E449" s="62" t="s">
        <v>372</v>
      </c>
      <c r="F449" s="21" t="s">
        <v>1720</v>
      </c>
      <c r="G449" s="71" t="s">
        <v>1749</v>
      </c>
      <c r="H449" s="7" t="s">
        <v>1117</v>
      </c>
      <c r="I449" s="67">
        <v>42921</v>
      </c>
      <c r="J449" s="67">
        <v>43286</v>
      </c>
      <c r="K449" s="8" t="s">
        <v>1726</v>
      </c>
      <c r="L449" s="21" t="s">
        <v>1575</v>
      </c>
      <c r="M449" s="21" t="s">
        <v>1576</v>
      </c>
      <c r="N449" s="73">
        <v>42922</v>
      </c>
      <c r="O449" s="10">
        <v>4220</v>
      </c>
      <c r="P449" s="74">
        <v>12099</v>
      </c>
      <c r="Q449" s="73">
        <v>42922</v>
      </c>
      <c r="R449" s="73">
        <v>43100</v>
      </c>
      <c r="S449" s="6" t="s">
        <v>206</v>
      </c>
      <c r="T449" s="6"/>
      <c r="U449" s="6"/>
      <c r="V449" s="6"/>
      <c r="W449" s="6" t="s">
        <v>1278</v>
      </c>
      <c r="X449" s="6"/>
      <c r="Y449" s="6"/>
      <c r="Z449" s="6"/>
      <c r="AA449" s="6"/>
      <c r="AB449" s="6"/>
      <c r="AC449" s="6"/>
      <c r="AD449" s="6"/>
      <c r="AE449" s="6"/>
      <c r="AF449" s="6"/>
      <c r="AG449" s="6"/>
      <c r="AH449" s="6"/>
      <c r="AI449" s="6"/>
      <c r="AJ449" s="6"/>
      <c r="AK449" s="6"/>
      <c r="AL449" s="194">
        <f t="shared" si="6"/>
        <v>4220</v>
      </c>
      <c r="AM449" s="10"/>
      <c r="AN449" s="11"/>
      <c r="AO449" s="138">
        <f t="shared" si="5"/>
        <v>0</v>
      </c>
      <c r="AP449" s="13"/>
      <c r="AQ449" s="13"/>
      <c r="AR449" s="13"/>
      <c r="AS449" s="13"/>
      <c r="AT449" s="12"/>
      <c r="AU449" s="16"/>
      <c r="AV449" s="14"/>
      <c r="AW449" s="14"/>
      <c r="AX449" s="14"/>
      <c r="AY449" s="14"/>
      <c r="AZ449" s="16"/>
      <c r="BA449" s="16"/>
      <c r="BB449" s="14"/>
      <c r="BC449" s="14"/>
      <c r="BD449" s="14"/>
      <c r="BE449" s="17"/>
      <c r="BF449" s="17"/>
      <c r="BG449" s="17"/>
      <c r="BH449" s="14"/>
      <c r="BI449" s="14"/>
      <c r="BJ449" s="14"/>
      <c r="BK449" s="15"/>
      <c r="BL449" s="15"/>
      <c r="BM449" s="16"/>
    </row>
    <row r="450" spans="1:65" ht="51" x14ac:dyDescent="0.2">
      <c r="A450" s="329">
        <v>234</v>
      </c>
      <c r="B450" s="77" t="s">
        <v>1719</v>
      </c>
      <c r="C450" s="70" t="s">
        <v>1225</v>
      </c>
      <c r="D450" s="81" t="s">
        <v>130</v>
      </c>
      <c r="E450" s="62" t="s">
        <v>372</v>
      </c>
      <c r="F450" s="21" t="s">
        <v>1720</v>
      </c>
      <c r="G450" s="71" t="s">
        <v>1749</v>
      </c>
      <c r="H450" s="7" t="s">
        <v>1117</v>
      </c>
      <c r="I450" s="67">
        <v>42921</v>
      </c>
      <c r="J450" s="67">
        <v>43286</v>
      </c>
      <c r="K450" s="8" t="s">
        <v>1727</v>
      </c>
      <c r="L450" s="21" t="s">
        <v>1728</v>
      </c>
      <c r="M450" s="21" t="s">
        <v>1729</v>
      </c>
      <c r="N450" s="73">
        <v>42922</v>
      </c>
      <c r="O450" s="10">
        <v>34760.25</v>
      </c>
      <c r="P450" s="74">
        <v>12099</v>
      </c>
      <c r="Q450" s="73">
        <v>42922</v>
      </c>
      <c r="R450" s="73">
        <v>43100</v>
      </c>
      <c r="S450" s="6" t="s">
        <v>206</v>
      </c>
      <c r="T450" s="6"/>
      <c r="U450" s="6"/>
      <c r="V450" s="6"/>
      <c r="W450" s="6" t="s">
        <v>1278</v>
      </c>
      <c r="X450" s="6"/>
      <c r="Y450" s="6"/>
      <c r="Z450" s="6"/>
      <c r="AA450" s="6"/>
      <c r="AB450" s="6"/>
      <c r="AC450" s="6"/>
      <c r="AD450" s="6"/>
      <c r="AE450" s="6"/>
      <c r="AF450" s="6"/>
      <c r="AG450" s="6"/>
      <c r="AH450" s="6"/>
      <c r="AI450" s="6"/>
      <c r="AJ450" s="6"/>
      <c r="AK450" s="6"/>
      <c r="AL450" s="194">
        <f t="shared" si="6"/>
        <v>34760.25</v>
      </c>
      <c r="AM450" s="10"/>
      <c r="AN450" s="11"/>
      <c r="AO450" s="138">
        <f t="shared" si="5"/>
        <v>0</v>
      </c>
      <c r="AP450" s="13"/>
      <c r="AQ450" s="13"/>
      <c r="AR450" s="13"/>
      <c r="AS450" s="13"/>
      <c r="AT450" s="12"/>
      <c r="AU450" s="16"/>
      <c r="AV450" s="14"/>
      <c r="AW450" s="14"/>
      <c r="AX450" s="14"/>
      <c r="AY450" s="14"/>
      <c r="AZ450" s="16"/>
      <c r="BA450" s="16"/>
      <c r="BB450" s="14"/>
      <c r="BC450" s="14"/>
      <c r="BD450" s="14"/>
      <c r="BE450" s="17"/>
      <c r="BF450" s="17"/>
      <c r="BG450" s="17"/>
      <c r="BH450" s="14"/>
      <c r="BI450" s="14"/>
      <c r="BJ450" s="14"/>
      <c r="BK450" s="15"/>
      <c r="BL450" s="15"/>
      <c r="BM450" s="16"/>
    </row>
    <row r="451" spans="1:65" ht="51" x14ac:dyDescent="0.2">
      <c r="A451" s="329">
        <v>235</v>
      </c>
      <c r="B451" s="77" t="s">
        <v>1719</v>
      </c>
      <c r="C451" s="70" t="s">
        <v>1225</v>
      </c>
      <c r="D451" s="81" t="s">
        <v>130</v>
      </c>
      <c r="E451" s="62" t="s">
        <v>372</v>
      </c>
      <c r="F451" s="21" t="s">
        <v>1720</v>
      </c>
      <c r="G451" s="71" t="s">
        <v>1749</v>
      </c>
      <c r="H451" s="7" t="s">
        <v>1117</v>
      </c>
      <c r="I451" s="67">
        <v>42921</v>
      </c>
      <c r="J451" s="67">
        <v>43286</v>
      </c>
      <c r="K451" s="8" t="s">
        <v>1730</v>
      </c>
      <c r="L451" s="21" t="s">
        <v>1731</v>
      </c>
      <c r="M451" s="21" t="s">
        <v>1732</v>
      </c>
      <c r="N451" s="73">
        <v>42922</v>
      </c>
      <c r="O451" s="10">
        <v>5880</v>
      </c>
      <c r="P451" s="74">
        <v>12099</v>
      </c>
      <c r="Q451" s="73">
        <v>42922</v>
      </c>
      <c r="R451" s="73">
        <v>43100</v>
      </c>
      <c r="S451" s="6" t="s">
        <v>206</v>
      </c>
      <c r="T451" s="6"/>
      <c r="U451" s="6"/>
      <c r="V451" s="6"/>
      <c r="W451" s="6" t="s">
        <v>1278</v>
      </c>
      <c r="X451" s="6"/>
      <c r="Y451" s="6"/>
      <c r="Z451" s="6"/>
      <c r="AA451" s="6"/>
      <c r="AB451" s="6"/>
      <c r="AC451" s="6"/>
      <c r="AD451" s="6"/>
      <c r="AE451" s="6"/>
      <c r="AF451" s="6"/>
      <c r="AG451" s="6"/>
      <c r="AH451" s="6"/>
      <c r="AI451" s="6"/>
      <c r="AJ451" s="6"/>
      <c r="AK451" s="6"/>
      <c r="AL451" s="194">
        <f t="shared" si="6"/>
        <v>5880</v>
      </c>
      <c r="AM451" s="10"/>
      <c r="AN451" s="11"/>
      <c r="AO451" s="138">
        <f t="shared" si="5"/>
        <v>0</v>
      </c>
      <c r="AP451" s="13"/>
      <c r="AQ451" s="13"/>
      <c r="AR451" s="13"/>
      <c r="AS451" s="13"/>
      <c r="AT451" s="12"/>
      <c r="AU451" s="16"/>
      <c r="AV451" s="14"/>
      <c r="AW451" s="14"/>
      <c r="AX451" s="14"/>
      <c r="AY451" s="14"/>
      <c r="AZ451" s="16"/>
      <c r="BA451" s="16"/>
      <c r="BB451" s="14"/>
      <c r="BC451" s="14"/>
      <c r="BD451" s="14"/>
      <c r="BE451" s="17"/>
      <c r="BF451" s="17"/>
      <c r="BG451" s="17"/>
      <c r="BH451" s="14"/>
      <c r="BI451" s="14"/>
      <c r="BJ451" s="14"/>
      <c r="BK451" s="15"/>
      <c r="BL451" s="15"/>
      <c r="BM451" s="16"/>
    </row>
    <row r="452" spans="1:65" ht="51" x14ac:dyDescent="0.2">
      <c r="A452" s="329">
        <v>236</v>
      </c>
      <c r="B452" s="77" t="s">
        <v>1719</v>
      </c>
      <c r="C452" s="70" t="s">
        <v>1225</v>
      </c>
      <c r="D452" s="81" t="s">
        <v>130</v>
      </c>
      <c r="E452" s="62" t="s">
        <v>372</v>
      </c>
      <c r="F452" s="21" t="s">
        <v>1720</v>
      </c>
      <c r="G452" s="71" t="s">
        <v>1749</v>
      </c>
      <c r="H452" s="7" t="s">
        <v>1117</v>
      </c>
      <c r="I452" s="67">
        <v>42921</v>
      </c>
      <c r="J452" s="67">
        <v>43286</v>
      </c>
      <c r="K452" s="8" t="s">
        <v>1733</v>
      </c>
      <c r="L452" s="21" t="s">
        <v>1734</v>
      </c>
      <c r="M452" s="21" t="s">
        <v>1735</v>
      </c>
      <c r="N452" s="73">
        <v>42922</v>
      </c>
      <c r="O452" s="10">
        <v>1120</v>
      </c>
      <c r="P452" s="74">
        <v>12099</v>
      </c>
      <c r="Q452" s="73">
        <v>42922</v>
      </c>
      <c r="R452" s="73">
        <v>43100</v>
      </c>
      <c r="S452" s="6" t="s">
        <v>206</v>
      </c>
      <c r="T452" s="6"/>
      <c r="U452" s="6"/>
      <c r="V452" s="6"/>
      <c r="W452" s="6" t="s">
        <v>1278</v>
      </c>
      <c r="X452" s="6"/>
      <c r="Y452" s="6"/>
      <c r="Z452" s="6"/>
      <c r="AA452" s="6"/>
      <c r="AB452" s="6"/>
      <c r="AC452" s="6"/>
      <c r="AD452" s="6"/>
      <c r="AE452" s="6"/>
      <c r="AF452" s="6"/>
      <c r="AG452" s="6"/>
      <c r="AH452" s="6"/>
      <c r="AI452" s="6"/>
      <c r="AJ452" s="6"/>
      <c r="AK452" s="6"/>
      <c r="AL452" s="194">
        <f t="shared" si="6"/>
        <v>1120</v>
      </c>
      <c r="AM452" s="10"/>
      <c r="AN452" s="11"/>
      <c r="AO452" s="138">
        <f t="shared" si="5"/>
        <v>0</v>
      </c>
      <c r="AP452" s="13"/>
      <c r="AQ452" s="13"/>
      <c r="AR452" s="13"/>
      <c r="AS452" s="13"/>
      <c r="AT452" s="12"/>
      <c r="AU452" s="16"/>
      <c r="AV452" s="14"/>
      <c r="AW452" s="14"/>
      <c r="AX452" s="14"/>
      <c r="AY452" s="14"/>
      <c r="AZ452" s="16"/>
      <c r="BA452" s="16"/>
      <c r="BB452" s="14"/>
      <c r="BC452" s="14"/>
      <c r="BD452" s="14"/>
      <c r="BE452" s="17"/>
      <c r="BF452" s="17"/>
      <c r="BG452" s="17"/>
      <c r="BH452" s="14"/>
      <c r="BI452" s="14"/>
      <c r="BJ452" s="14"/>
      <c r="BK452" s="15"/>
      <c r="BL452" s="15"/>
      <c r="BM452" s="16"/>
    </row>
    <row r="453" spans="1:65" ht="51" x14ac:dyDescent="0.2">
      <c r="A453" s="329">
        <v>237</v>
      </c>
      <c r="B453" s="77" t="s">
        <v>1719</v>
      </c>
      <c r="C453" s="70" t="s">
        <v>1225</v>
      </c>
      <c r="D453" s="81" t="s">
        <v>130</v>
      </c>
      <c r="E453" s="62" t="s">
        <v>372</v>
      </c>
      <c r="F453" s="21" t="s">
        <v>1720</v>
      </c>
      <c r="G453" s="71" t="s">
        <v>1749</v>
      </c>
      <c r="H453" s="7" t="s">
        <v>1117</v>
      </c>
      <c r="I453" s="67">
        <v>42921</v>
      </c>
      <c r="J453" s="67">
        <v>43286</v>
      </c>
      <c r="K453" s="8" t="s">
        <v>1736</v>
      </c>
      <c r="L453" s="21" t="s">
        <v>1737</v>
      </c>
      <c r="M453" s="21" t="s">
        <v>1738</v>
      </c>
      <c r="N453" s="73">
        <v>42922</v>
      </c>
      <c r="O453" s="10">
        <v>5012.5</v>
      </c>
      <c r="P453" s="74">
        <v>12099</v>
      </c>
      <c r="Q453" s="73">
        <v>42922</v>
      </c>
      <c r="R453" s="73">
        <v>43100</v>
      </c>
      <c r="S453" s="6" t="s">
        <v>206</v>
      </c>
      <c r="T453" s="6"/>
      <c r="U453" s="6"/>
      <c r="V453" s="6"/>
      <c r="W453" s="6" t="s">
        <v>1278</v>
      </c>
      <c r="X453" s="6"/>
      <c r="Y453" s="6"/>
      <c r="Z453" s="6"/>
      <c r="AA453" s="6"/>
      <c r="AB453" s="6"/>
      <c r="AC453" s="6"/>
      <c r="AD453" s="6"/>
      <c r="AE453" s="6"/>
      <c r="AF453" s="6"/>
      <c r="AG453" s="6"/>
      <c r="AH453" s="6"/>
      <c r="AI453" s="6"/>
      <c r="AJ453" s="6"/>
      <c r="AK453" s="6"/>
      <c r="AL453" s="194">
        <f t="shared" si="6"/>
        <v>5012.5</v>
      </c>
      <c r="AM453" s="10"/>
      <c r="AN453" s="11"/>
      <c r="AO453" s="138">
        <f t="shared" si="5"/>
        <v>0</v>
      </c>
      <c r="AP453" s="13"/>
      <c r="AQ453" s="13"/>
      <c r="AR453" s="13"/>
      <c r="AS453" s="13"/>
      <c r="AT453" s="12"/>
      <c r="AU453" s="16"/>
      <c r="AV453" s="14"/>
      <c r="AW453" s="14"/>
      <c r="AX453" s="14"/>
      <c r="AY453" s="14"/>
      <c r="AZ453" s="16"/>
      <c r="BA453" s="16"/>
      <c r="BB453" s="14"/>
      <c r="BC453" s="14"/>
      <c r="BD453" s="14"/>
      <c r="BE453" s="17"/>
      <c r="BF453" s="17"/>
      <c r="BG453" s="17"/>
      <c r="BH453" s="14"/>
      <c r="BI453" s="14"/>
      <c r="BJ453" s="14"/>
      <c r="BK453" s="15"/>
      <c r="BL453" s="15"/>
      <c r="BM453" s="16"/>
    </row>
    <row r="454" spans="1:65" ht="51" x14ac:dyDescent="0.2">
      <c r="A454" s="329">
        <v>238</v>
      </c>
      <c r="B454" s="77" t="s">
        <v>1719</v>
      </c>
      <c r="C454" s="70" t="s">
        <v>1225</v>
      </c>
      <c r="D454" s="81" t="s">
        <v>130</v>
      </c>
      <c r="E454" s="62" t="s">
        <v>372</v>
      </c>
      <c r="F454" s="21" t="s">
        <v>1720</v>
      </c>
      <c r="G454" s="71" t="s">
        <v>1749</v>
      </c>
      <c r="H454" s="7" t="s">
        <v>1117</v>
      </c>
      <c r="I454" s="67">
        <v>42921</v>
      </c>
      <c r="J454" s="67">
        <v>43286</v>
      </c>
      <c r="K454" s="8" t="s">
        <v>1739</v>
      </c>
      <c r="L454" s="21" t="s">
        <v>1740</v>
      </c>
      <c r="M454" s="21" t="s">
        <v>1741</v>
      </c>
      <c r="N454" s="73">
        <v>42922</v>
      </c>
      <c r="O454" s="10">
        <v>65635.8</v>
      </c>
      <c r="P454" s="74">
        <v>12099</v>
      </c>
      <c r="Q454" s="73">
        <v>42922</v>
      </c>
      <c r="R454" s="73">
        <v>43100</v>
      </c>
      <c r="S454" s="6" t="s">
        <v>206</v>
      </c>
      <c r="T454" s="6"/>
      <c r="U454" s="6"/>
      <c r="V454" s="6"/>
      <c r="W454" s="6" t="s">
        <v>1278</v>
      </c>
      <c r="X454" s="6"/>
      <c r="Y454" s="6"/>
      <c r="Z454" s="6"/>
      <c r="AA454" s="6"/>
      <c r="AB454" s="6"/>
      <c r="AC454" s="6"/>
      <c r="AD454" s="6"/>
      <c r="AE454" s="6"/>
      <c r="AF454" s="6"/>
      <c r="AG454" s="6"/>
      <c r="AH454" s="6"/>
      <c r="AI454" s="6"/>
      <c r="AJ454" s="6"/>
      <c r="AK454" s="6"/>
      <c r="AL454" s="194">
        <f t="shared" si="6"/>
        <v>65635.8</v>
      </c>
      <c r="AM454" s="10"/>
      <c r="AN454" s="11">
        <f>1516+1049.55+2160</f>
        <v>4725.55</v>
      </c>
      <c r="AO454" s="138">
        <f t="shared" si="5"/>
        <v>4725.55</v>
      </c>
      <c r="AP454" s="13"/>
      <c r="AQ454" s="13"/>
      <c r="AR454" s="13"/>
      <c r="AS454" s="13"/>
      <c r="AT454" s="12"/>
      <c r="AU454" s="16"/>
      <c r="AV454" s="14"/>
      <c r="AW454" s="14"/>
      <c r="AX454" s="14"/>
      <c r="AY454" s="14"/>
      <c r="AZ454" s="16"/>
      <c r="BA454" s="16"/>
      <c r="BB454" s="14"/>
      <c r="BC454" s="14"/>
      <c r="BD454" s="14"/>
      <c r="BE454" s="17"/>
      <c r="BF454" s="17"/>
      <c r="BG454" s="17"/>
      <c r="BH454" s="14"/>
      <c r="BI454" s="14"/>
      <c r="BJ454" s="14"/>
      <c r="BK454" s="15"/>
      <c r="BL454" s="15"/>
      <c r="BM454" s="16"/>
    </row>
    <row r="455" spans="1:65" ht="25.5" x14ac:dyDescent="0.2">
      <c r="A455" s="329">
        <v>239</v>
      </c>
      <c r="B455" s="77" t="s">
        <v>1743</v>
      </c>
      <c r="C455" s="70" t="s">
        <v>1744</v>
      </c>
      <c r="D455" s="81" t="s">
        <v>130</v>
      </c>
      <c r="E455" s="62" t="s">
        <v>372</v>
      </c>
      <c r="F455" s="21" t="s">
        <v>1747</v>
      </c>
      <c r="G455" s="23" t="s">
        <v>1750</v>
      </c>
      <c r="H455" s="7" t="s">
        <v>668</v>
      </c>
      <c r="I455" s="67">
        <v>42583</v>
      </c>
      <c r="J455" s="67">
        <v>42948</v>
      </c>
      <c r="K455" s="8" t="s">
        <v>1742</v>
      </c>
      <c r="L455" s="21" t="s">
        <v>1745</v>
      </c>
      <c r="M455" s="21" t="s">
        <v>1746</v>
      </c>
      <c r="N455" s="73">
        <v>42923</v>
      </c>
      <c r="O455" s="10">
        <v>42300</v>
      </c>
      <c r="P455" s="74">
        <v>12095</v>
      </c>
      <c r="Q455" s="73">
        <v>42923</v>
      </c>
      <c r="R455" s="73">
        <v>43100</v>
      </c>
      <c r="S455" s="6" t="s">
        <v>146</v>
      </c>
      <c r="T455" s="6"/>
      <c r="U455" s="6"/>
      <c r="V455" s="6"/>
      <c r="W455" s="6" t="s">
        <v>229</v>
      </c>
      <c r="X455" s="6"/>
      <c r="Y455" s="6"/>
      <c r="Z455" s="6"/>
      <c r="AA455" s="6"/>
      <c r="AB455" s="6"/>
      <c r="AC455" s="6"/>
      <c r="AD455" s="6"/>
      <c r="AE455" s="6"/>
      <c r="AF455" s="6"/>
      <c r="AG455" s="6"/>
      <c r="AH455" s="6"/>
      <c r="AI455" s="6"/>
      <c r="AJ455" s="6"/>
      <c r="AK455" s="6"/>
      <c r="AL455" s="194">
        <f t="shared" si="6"/>
        <v>42300</v>
      </c>
      <c r="AM455" s="10"/>
      <c r="AN455" s="11"/>
      <c r="AO455" s="138">
        <f t="shared" si="5"/>
        <v>0</v>
      </c>
      <c r="AP455" s="13"/>
      <c r="AQ455" s="13"/>
      <c r="AR455" s="13"/>
      <c r="AS455" s="13"/>
      <c r="AT455" s="12"/>
      <c r="AU455" s="16"/>
      <c r="AV455" s="14"/>
      <c r="AW455" s="14"/>
      <c r="AX455" s="14"/>
      <c r="AY455" s="14"/>
      <c r="AZ455" s="16"/>
      <c r="BA455" s="16"/>
      <c r="BB455" s="14"/>
      <c r="BC455" s="14"/>
      <c r="BD455" s="14"/>
      <c r="BE455" s="17"/>
      <c r="BF455" s="17"/>
      <c r="BG455" s="17"/>
      <c r="BH455" s="14"/>
      <c r="BI455" s="14"/>
      <c r="BJ455" s="14"/>
      <c r="BK455" s="15"/>
      <c r="BL455" s="15"/>
      <c r="BM455" s="16"/>
    </row>
    <row r="456" spans="1:65" ht="76.5" x14ac:dyDescent="0.2">
      <c r="A456" s="329">
        <v>240</v>
      </c>
      <c r="B456" s="77" t="s">
        <v>1303</v>
      </c>
      <c r="C456" s="70" t="s">
        <v>685</v>
      </c>
      <c r="D456" s="81" t="s">
        <v>130</v>
      </c>
      <c r="E456" s="62" t="s">
        <v>372</v>
      </c>
      <c r="F456" s="21" t="s">
        <v>1305</v>
      </c>
      <c r="G456" s="71" t="s">
        <v>1350</v>
      </c>
      <c r="H456" s="7" t="s">
        <v>1083</v>
      </c>
      <c r="I456" s="67">
        <v>42746</v>
      </c>
      <c r="J456" s="67">
        <v>43111</v>
      </c>
      <c r="K456" s="8" t="s">
        <v>1755</v>
      </c>
      <c r="L456" s="21" t="s">
        <v>1304</v>
      </c>
      <c r="M456" s="21" t="s">
        <v>276</v>
      </c>
      <c r="N456" s="73">
        <v>42926</v>
      </c>
      <c r="O456" s="10">
        <v>3090</v>
      </c>
      <c r="P456" s="74">
        <v>12099</v>
      </c>
      <c r="Q456" s="73">
        <v>42926</v>
      </c>
      <c r="R456" s="73">
        <v>43100</v>
      </c>
      <c r="S456" s="6" t="s">
        <v>146</v>
      </c>
      <c r="T456" s="6"/>
      <c r="U456" s="6"/>
      <c r="V456" s="6"/>
      <c r="W456" s="6" t="s">
        <v>1278</v>
      </c>
      <c r="X456" s="6"/>
      <c r="Y456" s="6"/>
      <c r="Z456" s="6"/>
      <c r="AA456" s="6"/>
      <c r="AB456" s="6"/>
      <c r="AC456" s="6"/>
      <c r="AD456" s="6"/>
      <c r="AE456" s="6"/>
      <c r="AF456" s="6"/>
      <c r="AG456" s="6"/>
      <c r="AH456" s="6"/>
      <c r="AI456" s="6"/>
      <c r="AJ456" s="6"/>
      <c r="AK456" s="6"/>
      <c r="AL456" s="194">
        <f t="shared" si="6"/>
        <v>3090</v>
      </c>
      <c r="AM456" s="10"/>
      <c r="AN456" s="11">
        <f>3090</f>
        <v>3090</v>
      </c>
      <c r="AO456" s="138">
        <f t="shared" si="5"/>
        <v>3090</v>
      </c>
      <c r="AP456" s="13"/>
      <c r="AQ456" s="13"/>
      <c r="AR456" s="13"/>
      <c r="AS456" s="13"/>
      <c r="AT456" s="12"/>
      <c r="AU456" s="16"/>
      <c r="AV456" s="14"/>
      <c r="AW456" s="14"/>
      <c r="AX456" s="14"/>
      <c r="AY456" s="14"/>
      <c r="AZ456" s="16"/>
      <c r="BA456" s="16"/>
      <c r="BB456" s="14"/>
      <c r="BC456" s="14"/>
      <c r="BD456" s="14"/>
      <c r="BE456" s="17"/>
      <c r="BF456" s="17"/>
      <c r="BG456" s="17"/>
      <c r="BH456" s="14"/>
      <c r="BI456" s="14"/>
      <c r="BJ456" s="14"/>
      <c r="BK456" s="15"/>
      <c r="BL456" s="15"/>
      <c r="BM456" s="16"/>
    </row>
    <row r="457" spans="1:65" ht="38.25" x14ac:dyDescent="0.2">
      <c r="A457" s="329">
        <v>241</v>
      </c>
      <c r="B457" s="77" t="s">
        <v>1259</v>
      </c>
      <c r="C457" s="70" t="s">
        <v>668</v>
      </c>
      <c r="D457" s="81" t="s">
        <v>130</v>
      </c>
      <c r="E457" s="62" t="s">
        <v>372</v>
      </c>
      <c r="F457" s="21" t="s">
        <v>531</v>
      </c>
      <c r="G457" s="71" t="s">
        <v>1340</v>
      </c>
      <c r="H457" s="12" t="s">
        <v>1086</v>
      </c>
      <c r="I457" s="224">
        <v>42765</v>
      </c>
      <c r="J457" s="224">
        <v>43130</v>
      </c>
      <c r="K457" s="8" t="s">
        <v>1756</v>
      </c>
      <c r="L457" s="21" t="s">
        <v>693</v>
      </c>
      <c r="M457" s="21" t="s">
        <v>694</v>
      </c>
      <c r="N457" s="73">
        <v>42930</v>
      </c>
      <c r="O457" s="10">
        <v>4072.5</v>
      </c>
      <c r="P457" s="74">
        <v>12099</v>
      </c>
      <c r="Q457" s="73">
        <v>42930</v>
      </c>
      <c r="R457" s="73">
        <v>43100</v>
      </c>
      <c r="S457" s="6" t="s">
        <v>206</v>
      </c>
      <c r="T457" s="6"/>
      <c r="U457" s="6"/>
      <c r="V457" s="6"/>
      <c r="W457" s="6" t="s">
        <v>192</v>
      </c>
      <c r="X457" s="6"/>
      <c r="Y457" s="6"/>
      <c r="Z457" s="6"/>
      <c r="AA457" s="6"/>
      <c r="AB457" s="6"/>
      <c r="AC457" s="6"/>
      <c r="AD457" s="6"/>
      <c r="AE457" s="6"/>
      <c r="AF457" s="6"/>
      <c r="AG457" s="6"/>
      <c r="AH457" s="6"/>
      <c r="AI457" s="6"/>
      <c r="AJ457" s="6"/>
      <c r="AK457" s="6"/>
      <c r="AL457" s="194">
        <f t="shared" si="6"/>
        <v>4072.5</v>
      </c>
      <c r="AM457" s="10"/>
      <c r="AN457" s="11">
        <f>177.5</f>
        <v>177.5</v>
      </c>
      <c r="AO457" s="138">
        <f t="shared" si="5"/>
        <v>177.5</v>
      </c>
      <c r="AP457" s="13"/>
      <c r="AQ457" s="13"/>
      <c r="AR457" s="13"/>
      <c r="AS457" s="13"/>
      <c r="AT457" s="12"/>
      <c r="AU457" s="16"/>
      <c r="AV457" s="14"/>
      <c r="AW457" s="14"/>
      <c r="AX457" s="14"/>
      <c r="AY457" s="14"/>
      <c r="AZ457" s="16"/>
      <c r="BA457" s="16"/>
      <c r="BB457" s="14"/>
      <c r="BC457" s="14"/>
      <c r="BD457" s="14"/>
      <c r="BE457" s="17"/>
      <c r="BF457" s="17"/>
      <c r="BG457" s="17"/>
      <c r="BH457" s="14"/>
      <c r="BI457" s="14"/>
      <c r="BJ457" s="14"/>
      <c r="BK457" s="15"/>
      <c r="BL457" s="15"/>
      <c r="BM457" s="16"/>
    </row>
    <row r="458" spans="1:65" ht="38.25" x14ac:dyDescent="0.2">
      <c r="A458" s="329">
        <v>242</v>
      </c>
      <c r="B458" s="77" t="s">
        <v>1259</v>
      </c>
      <c r="C458" s="70" t="s">
        <v>668</v>
      </c>
      <c r="D458" s="81" t="s">
        <v>130</v>
      </c>
      <c r="E458" s="89" t="s">
        <v>372</v>
      </c>
      <c r="F458" s="21" t="s">
        <v>531</v>
      </c>
      <c r="G458" s="71" t="s">
        <v>1340</v>
      </c>
      <c r="H458" s="12" t="s">
        <v>1086</v>
      </c>
      <c r="I458" s="224">
        <v>42765</v>
      </c>
      <c r="J458" s="224">
        <v>43130</v>
      </c>
      <c r="K458" s="8" t="s">
        <v>1757</v>
      </c>
      <c r="L458" s="21" t="s">
        <v>244</v>
      </c>
      <c r="M458" s="21" t="s">
        <v>245</v>
      </c>
      <c r="N458" s="73">
        <v>42947</v>
      </c>
      <c r="O458" s="10">
        <v>35170</v>
      </c>
      <c r="P458" s="74">
        <v>12109</v>
      </c>
      <c r="Q458" s="73">
        <v>42947</v>
      </c>
      <c r="R458" s="73">
        <v>43100</v>
      </c>
      <c r="S458" s="6" t="s">
        <v>206</v>
      </c>
      <c r="T458" s="6"/>
      <c r="U458" s="6"/>
      <c r="V458" s="6"/>
      <c r="W458" s="6" t="s">
        <v>192</v>
      </c>
      <c r="X458" s="6"/>
      <c r="Y458" s="6"/>
      <c r="Z458" s="6"/>
      <c r="AA458" s="6"/>
      <c r="AB458" s="6"/>
      <c r="AC458" s="6"/>
      <c r="AD458" s="6"/>
      <c r="AE458" s="6"/>
      <c r="AF458" s="6"/>
      <c r="AG458" s="6"/>
      <c r="AH458" s="6"/>
      <c r="AI458" s="6"/>
      <c r="AJ458" s="6"/>
      <c r="AK458" s="6"/>
      <c r="AL458" s="194">
        <f t="shared" si="6"/>
        <v>35170</v>
      </c>
      <c r="AM458" s="10"/>
      <c r="AN458" s="11">
        <f>35170</f>
        <v>35170</v>
      </c>
      <c r="AO458" s="138">
        <f t="shared" si="5"/>
        <v>35170</v>
      </c>
      <c r="AP458" s="13"/>
      <c r="AQ458" s="13"/>
      <c r="AR458" s="13"/>
      <c r="AS458" s="13"/>
      <c r="AT458" s="12"/>
      <c r="AU458" s="16"/>
      <c r="AV458" s="14"/>
      <c r="AW458" s="14"/>
      <c r="AX458" s="14"/>
      <c r="AY458" s="14"/>
      <c r="AZ458" s="16"/>
      <c r="BA458" s="16"/>
      <c r="BB458" s="14"/>
      <c r="BC458" s="14"/>
      <c r="BD458" s="14"/>
      <c r="BE458" s="17"/>
      <c r="BF458" s="17"/>
      <c r="BG458" s="17"/>
      <c r="BH458" s="14"/>
      <c r="BI458" s="14"/>
      <c r="BJ458" s="14"/>
      <c r="BK458" s="15"/>
      <c r="BL458" s="15"/>
      <c r="BM458" s="16"/>
    </row>
    <row r="459" spans="1:65" ht="102" x14ac:dyDescent="0.2">
      <c r="A459" s="329">
        <v>243</v>
      </c>
      <c r="B459" s="77" t="s">
        <v>1758</v>
      </c>
      <c r="C459" s="70" t="s">
        <v>1091</v>
      </c>
      <c r="D459" s="81" t="s">
        <v>1759</v>
      </c>
      <c r="E459" s="89" t="s">
        <v>372</v>
      </c>
      <c r="F459" s="21" t="s">
        <v>1762</v>
      </c>
      <c r="G459" s="71" t="s">
        <v>1775</v>
      </c>
      <c r="H459" s="7" t="s">
        <v>1119</v>
      </c>
      <c r="I459" s="67">
        <v>42941</v>
      </c>
      <c r="J459" s="67">
        <v>43306</v>
      </c>
      <c r="K459" s="8" t="s">
        <v>1760</v>
      </c>
      <c r="L459" s="21" t="s">
        <v>1761</v>
      </c>
      <c r="M459" s="21" t="s">
        <v>615</v>
      </c>
      <c r="N459" s="73">
        <v>42947</v>
      </c>
      <c r="O459" s="10">
        <v>99189.97</v>
      </c>
      <c r="P459" s="74">
        <v>12111</v>
      </c>
      <c r="Q459" s="73">
        <v>42947</v>
      </c>
      <c r="R459" s="73">
        <v>43100</v>
      </c>
      <c r="S459" s="6" t="s">
        <v>1763</v>
      </c>
      <c r="T459" s="6"/>
      <c r="U459" s="6"/>
      <c r="V459" s="6"/>
      <c r="W459" s="6" t="s">
        <v>1253</v>
      </c>
      <c r="X459" s="6"/>
      <c r="Y459" s="6"/>
      <c r="Z459" s="6"/>
      <c r="AA459" s="6"/>
      <c r="AB459" s="6"/>
      <c r="AC459" s="6"/>
      <c r="AD459" s="6"/>
      <c r="AE459" s="6"/>
      <c r="AF459" s="6"/>
      <c r="AG459" s="6"/>
      <c r="AH459" s="6"/>
      <c r="AI459" s="6"/>
      <c r="AJ459" s="6"/>
      <c r="AK459" s="6"/>
      <c r="AL459" s="194">
        <f t="shared" si="6"/>
        <v>99189.97</v>
      </c>
      <c r="AM459" s="10"/>
      <c r="AN459" s="11">
        <f>99189.97</f>
        <v>99189.97</v>
      </c>
      <c r="AO459" s="138">
        <f t="shared" si="5"/>
        <v>99189.97</v>
      </c>
      <c r="AP459" s="13"/>
      <c r="AQ459" s="13"/>
      <c r="AR459" s="13"/>
      <c r="AS459" s="13"/>
      <c r="AT459" s="12"/>
      <c r="AU459" s="16"/>
      <c r="AV459" s="14"/>
      <c r="AW459" s="14"/>
      <c r="AX459" s="14"/>
      <c r="AY459" s="14"/>
      <c r="AZ459" s="16"/>
      <c r="BA459" s="16"/>
      <c r="BB459" s="14"/>
      <c r="BC459" s="14"/>
      <c r="BD459" s="14"/>
      <c r="BE459" s="17"/>
      <c r="BF459" s="17"/>
      <c r="BG459" s="17"/>
      <c r="BH459" s="14"/>
      <c r="BI459" s="14"/>
      <c r="BJ459" s="14"/>
      <c r="BK459" s="15"/>
      <c r="BL459" s="15"/>
      <c r="BM459" s="16"/>
    </row>
    <row r="460" spans="1:65" ht="102" x14ac:dyDescent="0.2">
      <c r="A460" s="329">
        <v>244</v>
      </c>
      <c r="B460" s="77" t="s">
        <v>1758</v>
      </c>
      <c r="C460" s="70" t="s">
        <v>1091</v>
      </c>
      <c r="D460" s="81" t="s">
        <v>1759</v>
      </c>
      <c r="E460" s="89" t="s">
        <v>372</v>
      </c>
      <c r="F460" s="21" t="s">
        <v>1762</v>
      </c>
      <c r="G460" s="71" t="s">
        <v>1775</v>
      </c>
      <c r="H460" s="7" t="s">
        <v>1120</v>
      </c>
      <c r="I460" s="67">
        <v>42941</v>
      </c>
      <c r="J460" s="67">
        <v>43306</v>
      </c>
      <c r="K460" s="8" t="s">
        <v>1764</v>
      </c>
      <c r="L460" s="21" t="s">
        <v>1765</v>
      </c>
      <c r="M460" s="21" t="s">
        <v>1766</v>
      </c>
      <c r="N460" s="73">
        <v>42947</v>
      </c>
      <c r="O460" s="10">
        <v>79980</v>
      </c>
      <c r="P460" s="74">
        <v>12111</v>
      </c>
      <c r="Q460" s="73">
        <v>42947</v>
      </c>
      <c r="R460" s="73">
        <v>43100</v>
      </c>
      <c r="S460" s="6" t="s">
        <v>1763</v>
      </c>
      <c r="T460" s="6"/>
      <c r="U460" s="6"/>
      <c r="V460" s="6"/>
      <c r="W460" s="6" t="s">
        <v>1253</v>
      </c>
      <c r="X460" s="6"/>
      <c r="Y460" s="6"/>
      <c r="Z460" s="6"/>
      <c r="AA460" s="6"/>
      <c r="AB460" s="6"/>
      <c r="AC460" s="6"/>
      <c r="AD460" s="6"/>
      <c r="AE460" s="6"/>
      <c r="AF460" s="6"/>
      <c r="AG460" s="6"/>
      <c r="AH460" s="6"/>
      <c r="AI460" s="6"/>
      <c r="AJ460" s="6"/>
      <c r="AK460" s="6"/>
      <c r="AL460" s="194">
        <f t="shared" si="6"/>
        <v>79980</v>
      </c>
      <c r="AM460" s="10"/>
      <c r="AN460" s="11"/>
      <c r="AO460" s="138">
        <f t="shared" si="5"/>
        <v>0</v>
      </c>
      <c r="AP460" s="13"/>
      <c r="AQ460" s="13"/>
      <c r="AR460" s="13"/>
      <c r="AS460" s="13"/>
      <c r="AT460" s="12"/>
      <c r="AU460" s="16"/>
      <c r="AV460" s="14"/>
      <c r="AW460" s="14"/>
      <c r="AX460" s="14"/>
      <c r="AY460" s="14"/>
      <c r="AZ460" s="16"/>
      <c r="BA460" s="16"/>
      <c r="BB460" s="14"/>
      <c r="BC460" s="14"/>
      <c r="BD460" s="14"/>
      <c r="BE460" s="17"/>
      <c r="BF460" s="17"/>
      <c r="BG460" s="17"/>
      <c r="BH460" s="14"/>
      <c r="BI460" s="14"/>
      <c r="BJ460" s="14"/>
      <c r="BK460" s="15"/>
      <c r="BL460" s="15"/>
      <c r="BM460" s="16"/>
    </row>
    <row r="461" spans="1:65" ht="38.25" x14ac:dyDescent="0.2">
      <c r="A461" s="329">
        <v>245</v>
      </c>
      <c r="B461" s="77" t="s">
        <v>1332</v>
      </c>
      <c r="C461" s="70" t="s">
        <v>1089</v>
      </c>
      <c r="D461" s="81" t="s">
        <v>130</v>
      </c>
      <c r="E461" s="89" t="s">
        <v>372</v>
      </c>
      <c r="F461" s="21" t="s">
        <v>1335</v>
      </c>
      <c r="G461" s="71" t="s">
        <v>1354</v>
      </c>
      <c r="H461" s="7" t="s">
        <v>1092</v>
      </c>
      <c r="I461" s="67">
        <v>42775</v>
      </c>
      <c r="J461" s="67">
        <v>43140</v>
      </c>
      <c r="K461" s="8" t="s">
        <v>1767</v>
      </c>
      <c r="L461" s="21" t="s">
        <v>493</v>
      </c>
      <c r="M461" s="21" t="s">
        <v>494</v>
      </c>
      <c r="N461" s="73">
        <v>42948</v>
      </c>
      <c r="O461" s="10">
        <v>3062.5</v>
      </c>
      <c r="P461" s="74">
        <v>12111</v>
      </c>
      <c r="Q461" s="73">
        <v>42948</v>
      </c>
      <c r="R461" s="73">
        <v>43100</v>
      </c>
      <c r="S461" s="6" t="s">
        <v>135</v>
      </c>
      <c r="T461" s="6"/>
      <c r="U461" s="6"/>
      <c r="V461" s="6"/>
      <c r="W461" s="6" t="s">
        <v>192</v>
      </c>
      <c r="X461" s="6"/>
      <c r="Y461" s="6"/>
      <c r="Z461" s="6"/>
      <c r="AA461" s="6"/>
      <c r="AB461" s="6"/>
      <c r="AC461" s="6"/>
      <c r="AD461" s="6"/>
      <c r="AE461" s="6"/>
      <c r="AF461" s="6"/>
      <c r="AG461" s="6"/>
      <c r="AH461" s="6"/>
      <c r="AI461" s="6"/>
      <c r="AJ461" s="6"/>
      <c r="AK461" s="6"/>
      <c r="AL461" s="194">
        <f t="shared" si="6"/>
        <v>3062.5</v>
      </c>
      <c r="AM461" s="10"/>
      <c r="AN461" s="11">
        <f>600+87.5</f>
        <v>687.5</v>
      </c>
      <c r="AO461" s="138">
        <f t="shared" ref="AO461:AO524" si="7">AM461+AN461</f>
        <v>687.5</v>
      </c>
      <c r="AP461" s="13"/>
      <c r="AQ461" s="13"/>
      <c r="AR461" s="13"/>
      <c r="AS461" s="13"/>
      <c r="AT461" s="12"/>
      <c r="AU461" s="16"/>
      <c r="AV461" s="14"/>
      <c r="AW461" s="14"/>
      <c r="AX461" s="14"/>
      <c r="AY461" s="14"/>
      <c r="AZ461" s="16"/>
      <c r="BA461" s="16"/>
      <c r="BB461" s="14"/>
      <c r="BC461" s="14"/>
      <c r="BD461" s="14"/>
      <c r="BE461" s="17"/>
      <c r="BF461" s="17"/>
      <c r="BG461" s="17"/>
      <c r="BH461" s="14"/>
      <c r="BI461" s="14"/>
      <c r="BJ461" s="14"/>
      <c r="BK461" s="15"/>
      <c r="BL461" s="15"/>
      <c r="BM461" s="16"/>
    </row>
    <row r="462" spans="1:65" ht="38.25" x14ac:dyDescent="0.2">
      <c r="A462" s="329">
        <v>246</v>
      </c>
      <c r="B462" s="77" t="s">
        <v>1332</v>
      </c>
      <c r="C462" s="70" t="s">
        <v>1089</v>
      </c>
      <c r="D462" s="81" t="s">
        <v>130</v>
      </c>
      <c r="E462" s="89" t="s">
        <v>372</v>
      </c>
      <c r="F462" s="21" t="s">
        <v>1335</v>
      </c>
      <c r="G462" s="71" t="s">
        <v>1354</v>
      </c>
      <c r="H462" s="7" t="s">
        <v>1092</v>
      </c>
      <c r="I462" s="67">
        <v>42775</v>
      </c>
      <c r="J462" s="67">
        <v>43140</v>
      </c>
      <c r="K462" s="8" t="s">
        <v>1768</v>
      </c>
      <c r="L462" s="21" t="s">
        <v>1333</v>
      </c>
      <c r="M462" s="21" t="s">
        <v>1326</v>
      </c>
      <c r="N462" s="73">
        <v>42948</v>
      </c>
      <c r="O462" s="10">
        <v>104950</v>
      </c>
      <c r="P462" s="74">
        <v>12111</v>
      </c>
      <c r="Q462" s="73">
        <v>42948</v>
      </c>
      <c r="R462" s="73">
        <v>43100</v>
      </c>
      <c r="S462" s="6" t="s">
        <v>135</v>
      </c>
      <c r="T462" s="6"/>
      <c r="U462" s="6"/>
      <c r="V462" s="6"/>
      <c r="W462" s="6" t="s">
        <v>192</v>
      </c>
      <c r="X462" s="6"/>
      <c r="Y462" s="6"/>
      <c r="Z462" s="6"/>
      <c r="AA462" s="6"/>
      <c r="AB462" s="6"/>
      <c r="AC462" s="6"/>
      <c r="AD462" s="6"/>
      <c r="AE462" s="6"/>
      <c r="AF462" s="6"/>
      <c r="AG462" s="6"/>
      <c r="AH462" s="6"/>
      <c r="AI462" s="6"/>
      <c r="AJ462" s="6"/>
      <c r="AK462" s="6"/>
      <c r="AL462" s="194">
        <f t="shared" si="6"/>
        <v>104950</v>
      </c>
      <c r="AM462" s="10"/>
      <c r="AN462" s="11">
        <f>4386.91+104.95+41980</f>
        <v>46471.86</v>
      </c>
      <c r="AO462" s="138">
        <f t="shared" si="7"/>
        <v>46471.86</v>
      </c>
      <c r="AP462" s="13"/>
      <c r="AQ462" s="13"/>
      <c r="AR462" s="13"/>
      <c r="AS462" s="13"/>
      <c r="AT462" s="12"/>
      <c r="AU462" s="16"/>
      <c r="AV462" s="14"/>
      <c r="AW462" s="14"/>
      <c r="AX462" s="14"/>
      <c r="AY462" s="14"/>
      <c r="AZ462" s="16"/>
      <c r="BA462" s="16"/>
      <c r="BB462" s="14"/>
      <c r="BC462" s="14"/>
      <c r="BD462" s="14"/>
      <c r="BE462" s="17"/>
      <c r="BF462" s="17"/>
      <c r="BG462" s="17"/>
      <c r="BH462" s="14"/>
      <c r="BI462" s="14"/>
      <c r="BJ462" s="14"/>
      <c r="BK462" s="15"/>
      <c r="BL462" s="15"/>
      <c r="BM462" s="16"/>
    </row>
    <row r="463" spans="1:65" x14ac:dyDescent="0.2">
      <c r="A463" s="329">
        <v>247</v>
      </c>
      <c r="B463" s="77"/>
      <c r="C463" s="70"/>
      <c r="D463" s="81"/>
      <c r="E463" s="89"/>
      <c r="F463" s="21"/>
      <c r="G463" s="71"/>
      <c r="H463" s="7"/>
      <c r="I463" s="67"/>
      <c r="J463" s="67"/>
      <c r="K463" s="8" t="s">
        <v>1776</v>
      </c>
      <c r="L463" s="21" t="s">
        <v>1842</v>
      </c>
      <c r="M463" s="21"/>
      <c r="N463" s="73"/>
      <c r="O463" s="10"/>
      <c r="P463" s="6"/>
      <c r="Q463" s="73"/>
      <c r="R463" s="73"/>
      <c r="S463" s="6"/>
      <c r="T463" s="6"/>
      <c r="U463" s="6"/>
      <c r="V463" s="6"/>
      <c r="W463" s="6"/>
      <c r="X463" s="6"/>
      <c r="Y463" s="6"/>
      <c r="Z463" s="6"/>
      <c r="AA463" s="6"/>
      <c r="AB463" s="6"/>
      <c r="AC463" s="6"/>
      <c r="AD463" s="6"/>
      <c r="AE463" s="6"/>
      <c r="AF463" s="6"/>
      <c r="AG463" s="6"/>
      <c r="AH463" s="6"/>
      <c r="AI463" s="6"/>
      <c r="AJ463" s="6"/>
      <c r="AK463" s="6"/>
      <c r="AL463" s="194">
        <f t="shared" si="6"/>
        <v>0</v>
      </c>
      <c r="AM463" s="10"/>
      <c r="AN463" s="11"/>
      <c r="AO463" s="138">
        <f t="shared" si="7"/>
        <v>0</v>
      </c>
      <c r="AP463" s="13"/>
      <c r="AQ463" s="13"/>
      <c r="AR463" s="13"/>
      <c r="AS463" s="13"/>
      <c r="AT463" s="12"/>
      <c r="AU463" s="16"/>
      <c r="AV463" s="14"/>
      <c r="AW463" s="14"/>
      <c r="AX463" s="14"/>
      <c r="AY463" s="14"/>
      <c r="AZ463" s="16"/>
      <c r="BA463" s="16"/>
      <c r="BB463" s="14"/>
      <c r="BC463" s="14"/>
      <c r="BD463" s="14"/>
      <c r="BE463" s="17"/>
      <c r="BF463" s="17"/>
      <c r="BG463" s="17"/>
      <c r="BH463" s="14"/>
      <c r="BI463" s="14"/>
      <c r="BJ463" s="14"/>
      <c r="BK463" s="15"/>
      <c r="BL463" s="15"/>
      <c r="BM463" s="16"/>
    </row>
    <row r="464" spans="1:65" ht="127.5" x14ac:dyDescent="0.2">
      <c r="A464" s="329">
        <v>248</v>
      </c>
      <c r="B464" s="77" t="s">
        <v>1780</v>
      </c>
      <c r="C464" s="70" t="s">
        <v>1120</v>
      </c>
      <c r="D464" s="81" t="s">
        <v>272</v>
      </c>
      <c r="E464" s="12"/>
      <c r="F464" s="21" t="s">
        <v>1781</v>
      </c>
      <c r="G464" s="23"/>
      <c r="H464" s="7"/>
      <c r="I464" s="7"/>
      <c r="J464" s="7"/>
      <c r="K464" s="8" t="s">
        <v>1779</v>
      </c>
      <c r="L464" s="21" t="s">
        <v>1782</v>
      </c>
      <c r="M464" s="21" t="s">
        <v>1783</v>
      </c>
      <c r="N464" s="73">
        <v>42957</v>
      </c>
      <c r="O464" s="90">
        <v>7999.98</v>
      </c>
      <c r="P464" s="74">
        <v>12116</v>
      </c>
      <c r="Q464" s="73">
        <v>42957</v>
      </c>
      <c r="R464" s="73">
        <v>43100</v>
      </c>
      <c r="S464" s="6" t="s">
        <v>146</v>
      </c>
      <c r="T464" s="6"/>
      <c r="U464" s="6"/>
      <c r="V464" s="6"/>
      <c r="W464" s="6" t="s">
        <v>117</v>
      </c>
      <c r="X464" s="6"/>
      <c r="Y464" s="6"/>
      <c r="Z464" s="6"/>
      <c r="AA464" s="6"/>
      <c r="AB464" s="6"/>
      <c r="AC464" s="6"/>
      <c r="AD464" s="6"/>
      <c r="AE464" s="6"/>
      <c r="AF464" s="6"/>
      <c r="AG464" s="6"/>
      <c r="AH464" s="6"/>
      <c r="AI464" s="6"/>
      <c r="AJ464" s="6"/>
      <c r="AK464" s="6"/>
      <c r="AL464" s="194">
        <f t="shared" si="6"/>
        <v>7999.98</v>
      </c>
      <c r="AM464" s="10"/>
      <c r="AN464" s="11"/>
      <c r="AO464" s="138">
        <f t="shared" si="7"/>
        <v>0</v>
      </c>
      <c r="AP464" s="13"/>
      <c r="AQ464" s="13"/>
      <c r="AR464" s="13"/>
      <c r="AS464" s="13"/>
      <c r="AT464" s="12"/>
      <c r="AU464" s="16"/>
      <c r="AV464" s="14" t="s">
        <v>122</v>
      </c>
      <c r="AW464" s="6" t="s">
        <v>1784</v>
      </c>
      <c r="AX464" s="14"/>
      <c r="AY464" s="14"/>
      <c r="AZ464" s="16"/>
      <c r="BA464" s="16"/>
      <c r="BB464" s="14"/>
      <c r="BC464" s="14"/>
      <c r="BD464" s="14"/>
      <c r="BE464" s="17"/>
      <c r="BF464" s="17"/>
      <c r="BG464" s="17"/>
      <c r="BH464" s="14"/>
      <c r="BI464" s="14"/>
      <c r="BJ464" s="14"/>
      <c r="BK464" s="15"/>
      <c r="BL464" s="15"/>
      <c r="BM464" s="16"/>
    </row>
    <row r="465" spans="1:65" ht="51" x14ac:dyDescent="0.2">
      <c r="A465" s="329">
        <v>249</v>
      </c>
      <c r="B465" s="77" t="s">
        <v>1786</v>
      </c>
      <c r="C465" s="70" t="s">
        <v>1236</v>
      </c>
      <c r="D465" s="81" t="s">
        <v>130</v>
      </c>
      <c r="E465" s="89" t="s">
        <v>372</v>
      </c>
      <c r="F465" s="21" t="s">
        <v>1787</v>
      </c>
      <c r="G465" s="71" t="s">
        <v>1839</v>
      </c>
      <c r="H465" s="7" t="s">
        <v>1118</v>
      </c>
      <c r="I465" s="67">
        <v>42935</v>
      </c>
      <c r="J465" s="67">
        <v>43300</v>
      </c>
      <c r="K465" s="8" t="s">
        <v>1785</v>
      </c>
      <c r="L465" s="21" t="s">
        <v>492</v>
      </c>
      <c r="M465" s="21" t="s">
        <v>253</v>
      </c>
      <c r="N465" s="73">
        <v>42961</v>
      </c>
      <c r="O465" s="10">
        <v>52000</v>
      </c>
      <c r="P465" s="74">
        <v>12124</v>
      </c>
      <c r="Q465" s="73">
        <v>42961</v>
      </c>
      <c r="R465" s="73">
        <v>43100</v>
      </c>
      <c r="S465" s="6" t="s">
        <v>206</v>
      </c>
      <c r="T465" s="6"/>
      <c r="U465" s="6"/>
      <c r="V465" s="6"/>
      <c r="W465" s="6" t="s">
        <v>1669</v>
      </c>
      <c r="X465" s="6"/>
      <c r="Y465" s="6"/>
      <c r="Z465" s="6"/>
      <c r="AA465" s="6"/>
      <c r="AB465" s="6"/>
      <c r="AC465" s="6"/>
      <c r="AD465" s="6"/>
      <c r="AE465" s="6"/>
      <c r="AF465" s="6"/>
      <c r="AG465" s="6"/>
      <c r="AH465" s="6"/>
      <c r="AI465" s="6"/>
      <c r="AJ465" s="6"/>
      <c r="AK465" s="6"/>
      <c r="AL465" s="194">
        <f t="shared" si="6"/>
        <v>52000</v>
      </c>
      <c r="AM465" s="10"/>
      <c r="AN465" s="11">
        <v>52000</v>
      </c>
      <c r="AO465" s="138">
        <f t="shared" si="7"/>
        <v>52000</v>
      </c>
      <c r="AP465" s="13"/>
      <c r="AQ465" s="13"/>
      <c r="AR465" s="13"/>
      <c r="AS465" s="13"/>
      <c r="AT465" s="12"/>
      <c r="AU465" s="16"/>
      <c r="AV465" s="14"/>
      <c r="AW465" s="14"/>
      <c r="AX465" s="14"/>
      <c r="AY465" s="14"/>
      <c r="AZ465" s="16"/>
      <c r="BA465" s="16"/>
      <c r="BB465" s="14"/>
      <c r="BC465" s="14"/>
      <c r="BD465" s="14"/>
      <c r="BE465" s="17"/>
      <c r="BF465" s="17"/>
      <c r="BG465" s="17"/>
      <c r="BH465" s="14"/>
      <c r="BI465" s="14"/>
      <c r="BJ465" s="14"/>
      <c r="BK465" s="15"/>
      <c r="BL465" s="15"/>
      <c r="BM465" s="16"/>
    </row>
    <row r="466" spans="1:65" ht="76.5" x14ac:dyDescent="0.2">
      <c r="A466" s="329">
        <v>250</v>
      </c>
      <c r="B466" s="77" t="s">
        <v>1259</v>
      </c>
      <c r="C466" s="70" t="s">
        <v>668</v>
      </c>
      <c r="D466" s="81" t="s">
        <v>130</v>
      </c>
      <c r="E466" s="89" t="s">
        <v>372</v>
      </c>
      <c r="F466" s="21" t="s">
        <v>531</v>
      </c>
      <c r="G466" s="71" t="s">
        <v>1340</v>
      </c>
      <c r="H466" s="12" t="s">
        <v>1086</v>
      </c>
      <c r="I466" s="224">
        <v>42765</v>
      </c>
      <c r="J466" s="224">
        <v>43130</v>
      </c>
      <c r="K466" s="8" t="s">
        <v>1788</v>
      </c>
      <c r="L466" s="21" t="s">
        <v>244</v>
      </c>
      <c r="M466" s="21" t="s">
        <v>245</v>
      </c>
      <c r="N466" s="73">
        <v>42961</v>
      </c>
      <c r="O466" s="10">
        <v>27500</v>
      </c>
      <c r="P466" s="74">
        <v>12118</v>
      </c>
      <c r="Q466" s="73">
        <v>42961</v>
      </c>
      <c r="R466" s="73">
        <v>43100</v>
      </c>
      <c r="S466" s="6" t="s">
        <v>206</v>
      </c>
      <c r="T466" s="6"/>
      <c r="U466" s="6"/>
      <c r="V466" s="6"/>
      <c r="W466" s="6" t="s">
        <v>192</v>
      </c>
      <c r="X466" s="6" t="s">
        <v>498</v>
      </c>
      <c r="Y466" s="6" t="s">
        <v>138</v>
      </c>
      <c r="Z466" s="73">
        <v>43066</v>
      </c>
      <c r="AA466" s="74">
        <v>12187</v>
      </c>
      <c r="AB466" s="72" t="s">
        <v>2048</v>
      </c>
      <c r="AC466" s="6"/>
      <c r="AD466" s="6"/>
      <c r="AE466" s="6">
        <v>25</v>
      </c>
      <c r="AF466" s="6"/>
      <c r="AG466" s="10">
        <v>6875</v>
      </c>
      <c r="AH466" s="6"/>
      <c r="AI466" s="6"/>
      <c r="AJ466" s="6"/>
      <c r="AK466" s="6"/>
      <c r="AL466" s="194">
        <f>O466-AH466+AG466</f>
        <v>34375</v>
      </c>
      <c r="AM466" s="10"/>
      <c r="AN466" s="11">
        <f>1100+26400+4125</f>
        <v>31625</v>
      </c>
      <c r="AO466" s="138">
        <f t="shared" si="7"/>
        <v>31625</v>
      </c>
      <c r="AP466" s="13"/>
      <c r="AQ466" s="13"/>
      <c r="AR466" s="13"/>
      <c r="AS466" s="13"/>
      <c r="AT466" s="12"/>
      <c r="AU466" s="16"/>
      <c r="AV466" s="14"/>
      <c r="AW466" s="14"/>
      <c r="AX466" s="14"/>
      <c r="AY466" s="14"/>
      <c r="AZ466" s="16"/>
      <c r="BA466" s="16"/>
      <c r="BB466" s="14"/>
      <c r="BC466" s="14"/>
      <c r="BD466" s="14"/>
      <c r="BE466" s="17"/>
      <c r="BF466" s="17"/>
      <c r="BG466" s="17"/>
      <c r="BH466" s="14"/>
      <c r="BI466" s="14"/>
      <c r="BJ466" s="14"/>
      <c r="BK466" s="15"/>
      <c r="BL466" s="15"/>
      <c r="BM466" s="16"/>
    </row>
    <row r="467" spans="1:65" ht="140.25" x14ac:dyDescent="0.2">
      <c r="A467" s="329">
        <v>251</v>
      </c>
      <c r="B467" s="77" t="s">
        <v>1790</v>
      </c>
      <c r="C467" s="70" t="s">
        <v>1083</v>
      </c>
      <c r="D467" s="81" t="s">
        <v>278</v>
      </c>
      <c r="E467" s="12"/>
      <c r="F467" s="21" t="s">
        <v>1792</v>
      </c>
      <c r="G467" s="23"/>
      <c r="H467" s="7"/>
      <c r="I467" s="7"/>
      <c r="J467" s="7"/>
      <c r="K467" s="8" t="s">
        <v>1789</v>
      </c>
      <c r="L467" s="21" t="s">
        <v>1791</v>
      </c>
      <c r="M467" s="21" t="s">
        <v>1793</v>
      </c>
      <c r="N467" s="73">
        <v>42962</v>
      </c>
      <c r="O467" s="10">
        <v>1059352.92</v>
      </c>
      <c r="P467" s="74">
        <v>12119</v>
      </c>
      <c r="Q467" s="73">
        <v>42962</v>
      </c>
      <c r="R467" s="73">
        <v>43292</v>
      </c>
      <c r="S467" s="6" t="s">
        <v>1794</v>
      </c>
      <c r="T467" s="6"/>
      <c r="U467" s="6"/>
      <c r="V467" s="6"/>
      <c r="W467" s="6" t="s">
        <v>251</v>
      </c>
      <c r="X467" s="6"/>
      <c r="Y467" s="6"/>
      <c r="Z467" s="6"/>
      <c r="AA467" s="6"/>
      <c r="AB467" s="6"/>
      <c r="AC467" s="6"/>
      <c r="AD467" s="6"/>
      <c r="AE467" s="6"/>
      <c r="AF467" s="6"/>
      <c r="AG467" s="6"/>
      <c r="AH467" s="6"/>
      <c r="AI467" s="6"/>
      <c r="AJ467" s="6"/>
      <c r="AK467" s="6"/>
      <c r="AL467" s="194">
        <f t="shared" si="6"/>
        <v>1059352.92</v>
      </c>
      <c r="AM467" s="10"/>
      <c r="AN467" s="11"/>
      <c r="AO467" s="138">
        <f t="shared" si="7"/>
        <v>0</v>
      </c>
      <c r="AP467" s="13"/>
      <c r="AQ467" s="13"/>
      <c r="AR467" s="13"/>
      <c r="AS467" s="13"/>
      <c r="AT467" s="12"/>
      <c r="AU467" s="16"/>
      <c r="AV467" s="14"/>
      <c r="AW467" s="14"/>
      <c r="AX467" s="14"/>
      <c r="AY467" s="14"/>
      <c r="AZ467" s="16"/>
      <c r="BA467" s="16"/>
      <c r="BB467" s="14" t="s">
        <v>396</v>
      </c>
      <c r="BC467" s="6" t="s">
        <v>1795</v>
      </c>
      <c r="BD467" s="14"/>
      <c r="BE467" s="88" t="s">
        <v>1796</v>
      </c>
      <c r="BF467" s="17"/>
      <c r="BG467" s="17"/>
      <c r="BH467" s="14"/>
      <c r="BI467" s="14"/>
      <c r="BJ467" s="14"/>
      <c r="BK467" s="15"/>
      <c r="BL467" s="15"/>
      <c r="BM467" s="16"/>
    </row>
    <row r="468" spans="1:65" ht="140.25" x14ac:dyDescent="0.2">
      <c r="A468" s="329">
        <v>252</v>
      </c>
      <c r="B468" s="77" t="s">
        <v>1798</v>
      </c>
      <c r="C468" s="70" t="s">
        <v>1116</v>
      </c>
      <c r="D468" s="81" t="s">
        <v>272</v>
      </c>
      <c r="E468" s="89" t="s">
        <v>372</v>
      </c>
      <c r="F468" s="21" t="s">
        <v>1799</v>
      </c>
      <c r="G468" s="23"/>
      <c r="H468" s="7"/>
      <c r="I468" s="7"/>
      <c r="J468" s="7"/>
      <c r="K468" s="8" t="s">
        <v>1797</v>
      </c>
      <c r="L468" s="21" t="s">
        <v>1800</v>
      </c>
      <c r="M468" s="21" t="s">
        <v>1801</v>
      </c>
      <c r="N468" s="73">
        <v>42963</v>
      </c>
      <c r="O468" s="10">
        <v>34003.199999999997</v>
      </c>
      <c r="P468" s="74">
        <v>12123</v>
      </c>
      <c r="Q468" s="73">
        <v>42963</v>
      </c>
      <c r="R468" s="73">
        <v>43100</v>
      </c>
      <c r="S468" s="6" t="s">
        <v>1802</v>
      </c>
      <c r="T468" s="6"/>
      <c r="U468" s="6"/>
      <c r="V468" s="6"/>
      <c r="W468" s="6" t="s">
        <v>403</v>
      </c>
      <c r="X468" s="6"/>
      <c r="Y468" s="6" t="s">
        <v>138</v>
      </c>
      <c r="Z468" s="73">
        <v>42991</v>
      </c>
      <c r="AA468" s="74">
        <v>12139</v>
      </c>
      <c r="AB468" s="72" t="s">
        <v>1920</v>
      </c>
      <c r="AC468" s="6"/>
      <c r="AD468" s="6"/>
      <c r="AE468" s="6">
        <v>12.89</v>
      </c>
      <c r="AF468" s="6"/>
      <c r="AG468" s="10">
        <v>4384</v>
      </c>
      <c r="AH468" s="6"/>
      <c r="AI468" s="6"/>
      <c r="AJ468" s="6"/>
      <c r="AK468" s="6"/>
      <c r="AL468" s="194">
        <f>O468-AH468+AG468</f>
        <v>38387.199999999997</v>
      </c>
      <c r="AM468" s="10"/>
      <c r="AN468" s="11">
        <v>38387.199999999997</v>
      </c>
      <c r="AO468" s="138">
        <f t="shared" si="7"/>
        <v>38387.199999999997</v>
      </c>
      <c r="AP468" s="13"/>
      <c r="AQ468" s="13"/>
      <c r="AR468" s="13"/>
      <c r="AS468" s="13"/>
      <c r="AT468" s="12"/>
      <c r="AU468" s="16"/>
      <c r="AV468" s="14" t="s">
        <v>122</v>
      </c>
      <c r="AW468" s="6" t="s">
        <v>1803</v>
      </c>
      <c r="AX468" s="83">
        <v>12115</v>
      </c>
      <c r="AY468" s="84">
        <v>42958</v>
      </c>
      <c r="AZ468" s="79">
        <v>12118</v>
      </c>
      <c r="BA468" s="80">
        <v>42963</v>
      </c>
      <c r="BB468" s="14"/>
      <c r="BC468" s="14"/>
      <c r="BD468" s="14"/>
      <c r="BE468" s="17"/>
      <c r="BF468" s="17"/>
      <c r="BG468" s="17"/>
      <c r="BH468" s="14"/>
      <c r="BI468" s="14"/>
      <c r="BJ468" s="14"/>
      <c r="BK468" s="15"/>
      <c r="BL468" s="15"/>
      <c r="BM468" s="16"/>
    </row>
    <row r="469" spans="1:65" ht="38.25" x14ac:dyDescent="0.2">
      <c r="A469" s="329">
        <v>253</v>
      </c>
      <c r="B469" s="77" t="s">
        <v>1259</v>
      </c>
      <c r="C469" s="70" t="s">
        <v>668</v>
      </c>
      <c r="D469" s="81" t="s">
        <v>130</v>
      </c>
      <c r="E469" s="89" t="s">
        <v>372</v>
      </c>
      <c r="F469" s="21" t="s">
        <v>531</v>
      </c>
      <c r="G469" s="71" t="s">
        <v>1340</v>
      </c>
      <c r="H469" s="12" t="s">
        <v>1086</v>
      </c>
      <c r="I469" s="224">
        <v>42765</v>
      </c>
      <c r="J469" s="224">
        <v>43130</v>
      </c>
      <c r="K469" s="8" t="s">
        <v>1804</v>
      </c>
      <c r="L469" s="21" t="s">
        <v>1264</v>
      </c>
      <c r="M469" s="21" t="s">
        <v>1265</v>
      </c>
      <c r="N469" s="73">
        <v>42965</v>
      </c>
      <c r="O469" s="10">
        <v>34875</v>
      </c>
      <c r="P469" s="74">
        <v>12129</v>
      </c>
      <c r="Q469" s="73">
        <v>42965</v>
      </c>
      <c r="R469" s="73">
        <v>43100</v>
      </c>
      <c r="S469" s="6" t="s">
        <v>206</v>
      </c>
      <c r="T469" s="6"/>
      <c r="U469" s="6"/>
      <c r="V469" s="6"/>
      <c r="W469" s="6" t="s">
        <v>192</v>
      </c>
      <c r="X469" s="6"/>
      <c r="Y469" s="6"/>
      <c r="Z469" s="6"/>
      <c r="AA469" s="6"/>
      <c r="AB469" s="6"/>
      <c r="AC469" s="6"/>
      <c r="AD469" s="6"/>
      <c r="AE469" s="6"/>
      <c r="AF469" s="6"/>
      <c r="AG469" s="6"/>
      <c r="AH469" s="6"/>
      <c r="AI469" s="6"/>
      <c r="AJ469" s="6"/>
      <c r="AK469" s="6"/>
      <c r="AL469" s="194">
        <f t="shared" si="6"/>
        <v>34875</v>
      </c>
      <c r="AM469" s="10"/>
      <c r="AN469" s="11">
        <f>185</f>
        <v>185</v>
      </c>
      <c r="AO469" s="138">
        <f t="shared" si="7"/>
        <v>185</v>
      </c>
      <c r="AP469" s="13"/>
      <c r="AQ469" s="13"/>
      <c r="AR469" s="13"/>
      <c r="AS469" s="13"/>
      <c r="AT469" s="12"/>
      <c r="AU469" s="16"/>
      <c r="AV469" s="14"/>
      <c r="AW469" s="14"/>
      <c r="AX469" s="14"/>
      <c r="AY469" s="14"/>
      <c r="AZ469" s="16"/>
      <c r="BA469" s="16"/>
      <c r="BB469" s="14"/>
      <c r="BC469" s="14"/>
      <c r="BD469" s="14"/>
      <c r="BE469" s="17"/>
      <c r="BF469" s="17"/>
      <c r="BG469" s="17"/>
      <c r="BH469" s="14"/>
      <c r="BI469" s="14"/>
      <c r="BJ469" s="14"/>
      <c r="BK469" s="15"/>
      <c r="BL469" s="15"/>
      <c r="BM469" s="16"/>
    </row>
    <row r="470" spans="1:65" ht="38.25" x14ac:dyDescent="0.2">
      <c r="A470" s="329">
        <v>254</v>
      </c>
      <c r="B470" s="77" t="s">
        <v>1259</v>
      </c>
      <c r="C470" s="70" t="s">
        <v>668</v>
      </c>
      <c r="D470" s="81" t="s">
        <v>130</v>
      </c>
      <c r="E470" s="89" t="s">
        <v>372</v>
      </c>
      <c r="F470" s="21" t="s">
        <v>531</v>
      </c>
      <c r="G470" s="71" t="s">
        <v>1340</v>
      </c>
      <c r="H470" s="12" t="s">
        <v>1086</v>
      </c>
      <c r="I470" s="224">
        <v>42765</v>
      </c>
      <c r="J470" s="224">
        <v>43130</v>
      </c>
      <c r="K470" s="8" t="s">
        <v>1808</v>
      </c>
      <c r="L470" s="21" t="s">
        <v>522</v>
      </c>
      <c r="M470" s="21" t="s">
        <v>243</v>
      </c>
      <c r="N470" s="73">
        <v>42965</v>
      </c>
      <c r="O470" s="10">
        <v>49887.5</v>
      </c>
      <c r="P470" s="74">
        <v>12129</v>
      </c>
      <c r="Q470" s="73">
        <v>42965</v>
      </c>
      <c r="R470" s="73">
        <v>43100</v>
      </c>
      <c r="S470" s="6" t="s">
        <v>206</v>
      </c>
      <c r="T470" s="6"/>
      <c r="U470" s="6"/>
      <c r="V470" s="6"/>
      <c r="W470" s="6" t="s">
        <v>192</v>
      </c>
      <c r="X470" s="6"/>
      <c r="Y470" s="6"/>
      <c r="Z470" s="6"/>
      <c r="AA470" s="6"/>
      <c r="AB470" s="6"/>
      <c r="AC470" s="6"/>
      <c r="AD470" s="6"/>
      <c r="AE470" s="6"/>
      <c r="AF470" s="6"/>
      <c r="AG470" s="6"/>
      <c r="AH470" s="6"/>
      <c r="AI470" s="6"/>
      <c r="AJ470" s="6"/>
      <c r="AK470" s="6"/>
      <c r="AL470" s="194">
        <f t="shared" si="6"/>
        <v>49887.5</v>
      </c>
      <c r="AM470" s="10"/>
      <c r="AN470" s="11">
        <f>571+21.5</f>
        <v>592.5</v>
      </c>
      <c r="AO470" s="138">
        <f t="shared" si="7"/>
        <v>592.5</v>
      </c>
      <c r="AP470" s="13"/>
      <c r="AQ470" s="13"/>
      <c r="AR470" s="13"/>
      <c r="AS470" s="13"/>
      <c r="AT470" s="12"/>
      <c r="AU470" s="16"/>
      <c r="AV470" s="14"/>
      <c r="AW470" s="14"/>
      <c r="AX470" s="14"/>
      <c r="AY470" s="14"/>
      <c r="AZ470" s="16"/>
      <c r="BA470" s="16"/>
      <c r="BB470" s="14"/>
      <c r="BC470" s="14"/>
      <c r="BD470" s="14"/>
      <c r="BE470" s="17"/>
      <c r="BF470" s="17"/>
      <c r="BG470" s="17"/>
      <c r="BH470" s="14"/>
      <c r="BI470" s="14"/>
      <c r="BJ470" s="14"/>
      <c r="BK470" s="15"/>
      <c r="BL470" s="15"/>
      <c r="BM470" s="16"/>
    </row>
    <row r="471" spans="1:65" ht="38.25" x14ac:dyDescent="0.2">
      <c r="A471" s="329">
        <v>255</v>
      </c>
      <c r="B471" s="77" t="s">
        <v>1259</v>
      </c>
      <c r="C471" s="70" t="s">
        <v>668</v>
      </c>
      <c r="D471" s="81" t="s">
        <v>130</v>
      </c>
      <c r="E471" s="89" t="s">
        <v>372</v>
      </c>
      <c r="F471" s="21" t="s">
        <v>531</v>
      </c>
      <c r="G471" s="71" t="s">
        <v>1340</v>
      </c>
      <c r="H471" s="12" t="s">
        <v>1086</v>
      </c>
      <c r="I471" s="224">
        <v>42765</v>
      </c>
      <c r="J471" s="224">
        <v>43130</v>
      </c>
      <c r="K471" s="8" t="s">
        <v>1809</v>
      </c>
      <c r="L471" s="21" t="s">
        <v>693</v>
      </c>
      <c r="M471" s="21" t="s">
        <v>694</v>
      </c>
      <c r="N471" s="73">
        <v>42965</v>
      </c>
      <c r="O471" s="10">
        <v>1713.75</v>
      </c>
      <c r="P471" s="74">
        <v>12129</v>
      </c>
      <c r="Q471" s="73">
        <v>42965</v>
      </c>
      <c r="R471" s="73">
        <v>43100</v>
      </c>
      <c r="S471" s="6" t="s">
        <v>206</v>
      </c>
      <c r="T471" s="6"/>
      <c r="U471" s="6"/>
      <c r="V471" s="6"/>
      <c r="W471" s="6" t="s">
        <v>192</v>
      </c>
      <c r="X471" s="6"/>
      <c r="Y471" s="6"/>
      <c r="Z471" s="6"/>
      <c r="AA471" s="6"/>
      <c r="AB471" s="6"/>
      <c r="AC471" s="6"/>
      <c r="AD471" s="6"/>
      <c r="AE471" s="6"/>
      <c r="AF471" s="6"/>
      <c r="AG471" s="6"/>
      <c r="AH471" s="6"/>
      <c r="AI471" s="6"/>
      <c r="AJ471" s="6"/>
      <c r="AK471" s="6"/>
      <c r="AL471" s="194">
        <f t="shared" si="6"/>
        <v>1713.75</v>
      </c>
      <c r="AM471" s="10"/>
      <c r="AN471" s="11">
        <f>165.5+650</f>
        <v>815.5</v>
      </c>
      <c r="AO471" s="138">
        <f t="shared" si="7"/>
        <v>815.5</v>
      </c>
      <c r="AP471" s="13"/>
      <c r="AQ471" s="13"/>
      <c r="AR471" s="13"/>
      <c r="AS471" s="13"/>
      <c r="AT471" s="12"/>
      <c r="AU471" s="16"/>
      <c r="AV471" s="14"/>
      <c r="AW471" s="14"/>
      <c r="AX471" s="14"/>
      <c r="AY471" s="14"/>
      <c r="AZ471" s="16"/>
      <c r="BA471" s="16"/>
      <c r="BB471" s="14"/>
      <c r="BC471" s="14"/>
      <c r="BD471" s="14"/>
      <c r="BE471" s="17"/>
      <c r="BF471" s="17"/>
      <c r="BG471" s="17"/>
      <c r="BH471" s="14"/>
      <c r="BI471" s="14"/>
      <c r="BJ471" s="14"/>
      <c r="BK471" s="15"/>
      <c r="BL471" s="15"/>
      <c r="BM471" s="16"/>
    </row>
    <row r="472" spans="1:65" ht="38.25" x14ac:dyDescent="0.2">
      <c r="A472" s="329">
        <v>256</v>
      </c>
      <c r="B472" s="77" t="s">
        <v>1259</v>
      </c>
      <c r="C472" s="70" t="s">
        <v>668</v>
      </c>
      <c r="D472" s="81" t="s">
        <v>130</v>
      </c>
      <c r="E472" s="89" t="s">
        <v>372</v>
      </c>
      <c r="F472" s="21" t="s">
        <v>531</v>
      </c>
      <c r="G472" s="71" t="s">
        <v>1340</v>
      </c>
      <c r="H472" s="12" t="s">
        <v>1086</v>
      </c>
      <c r="I472" s="224">
        <v>42765</v>
      </c>
      <c r="J472" s="224">
        <v>43130</v>
      </c>
      <c r="K472" s="8" t="s">
        <v>1810</v>
      </c>
      <c r="L472" s="21" t="s">
        <v>244</v>
      </c>
      <c r="M472" s="21" t="s">
        <v>1260</v>
      </c>
      <c r="N472" s="73">
        <v>42965</v>
      </c>
      <c r="O472" s="10">
        <v>107087.5</v>
      </c>
      <c r="P472" s="74">
        <v>12129</v>
      </c>
      <c r="Q472" s="73">
        <v>42965</v>
      </c>
      <c r="R472" s="73">
        <v>43100</v>
      </c>
      <c r="S472" s="6" t="s">
        <v>206</v>
      </c>
      <c r="T472" s="6"/>
      <c r="U472" s="6"/>
      <c r="V472" s="6"/>
      <c r="W472" s="6" t="s">
        <v>192</v>
      </c>
      <c r="X472" s="6"/>
      <c r="Y472" s="6"/>
      <c r="Z472" s="6"/>
      <c r="AA472" s="6"/>
      <c r="AB472" s="6"/>
      <c r="AC472" s="6"/>
      <c r="AD472" s="6"/>
      <c r="AE472" s="6"/>
      <c r="AF472" s="6"/>
      <c r="AG472" s="6"/>
      <c r="AH472" s="6"/>
      <c r="AI472" s="6"/>
      <c r="AJ472" s="6"/>
      <c r="AK472" s="6"/>
      <c r="AL472" s="194">
        <f t="shared" ref="AL472:AL535" si="8">O472-AH472+AG472</f>
        <v>107087.5</v>
      </c>
      <c r="AM472" s="10"/>
      <c r="AN472" s="11">
        <f>6672.1+19942</f>
        <v>26614.1</v>
      </c>
      <c r="AO472" s="138">
        <f t="shared" si="7"/>
        <v>26614.1</v>
      </c>
      <c r="AP472" s="13"/>
      <c r="AQ472" s="13"/>
      <c r="AR472" s="13"/>
      <c r="AS472" s="13"/>
      <c r="AT472" s="12"/>
      <c r="AU472" s="16"/>
      <c r="AV472" s="14"/>
      <c r="AW472" s="14"/>
      <c r="AX472" s="14"/>
      <c r="AY472" s="14"/>
      <c r="AZ472" s="16"/>
      <c r="BA472" s="16"/>
      <c r="BB472" s="14"/>
      <c r="BC472" s="14"/>
      <c r="BD472" s="14"/>
      <c r="BE472" s="17"/>
      <c r="BF472" s="17"/>
      <c r="BG472" s="17"/>
      <c r="BH472" s="14"/>
      <c r="BI472" s="14"/>
      <c r="BJ472" s="14"/>
      <c r="BK472" s="15"/>
      <c r="BL472" s="15"/>
      <c r="BM472" s="16"/>
    </row>
    <row r="473" spans="1:65" ht="38.25" x14ac:dyDescent="0.2">
      <c r="A473" s="329">
        <v>257</v>
      </c>
      <c r="B473" s="77" t="s">
        <v>1812</v>
      </c>
      <c r="C473" s="70" t="s">
        <v>1223</v>
      </c>
      <c r="D473" s="81" t="s">
        <v>130</v>
      </c>
      <c r="E473" s="89" t="s">
        <v>372</v>
      </c>
      <c r="F473" s="21" t="s">
        <v>1813</v>
      </c>
      <c r="G473" s="71" t="s">
        <v>1841</v>
      </c>
      <c r="H473" s="7" t="s">
        <v>1121</v>
      </c>
      <c r="I473" s="67">
        <v>42968</v>
      </c>
      <c r="J473" s="67">
        <v>43333</v>
      </c>
      <c r="K473" s="8" t="s">
        <v>1811</v>
      </c>
      <c r="L473" s="21" t="s">
        <v>693</v>
      </c>
      <c r="M473" s="21" t="s">
        <v>694</v>
      </c>
      <c r="N473" s="73">
        <v>42968</v>
      </c>
      <c r="O473" s="10">
        <v>30400.080000000002</v>
      </c>
      <c r="P473" s="74">
        <v>12128</v>
      </c>
      <c r="Q473" s="73">
        <v>42968</v>
      </c>
      <c r="R473" s="73">
        <v>43100</v>
      </c>
      <c r="S473" s="6" t="s">
        <v>206</v>
      </c>
      <c r="T473" s="6"/>
      <c r="U473" s="6"/>
      <c r="V473" s="6"/>
      <c r="W473" s="6" t="s">
        <v>192</v>
      </c>
      <c r="X473" s="6"/>
      <c r="Y473" s="6"/>
      <c r="Z473" s="6"/>
      <c r="AA473" s="6"/>
      <c r="AB473" s="6"/>
      <c r="AC473" s="6"/>
      <c r="AD473" s="6"/>
      <c r="AE473" s="6"/>
      <c r="AF473" s="6"/>
      <c r="AG473" s="6"/>
      <c r="AH473" s="6"/>
      <c r="AI473" s="6"/>
      <c r="AJ473" s="6"/>
      <c r="AK473" s="6"/>
      <c r="AL473" s="194">
        <f t="shared" si="8"/>
        <v>30400.080000000002</v>
      </c>
      <c r="AM473" s="10"/>
      <c r="AN473" s="11">
        <f>8032.5+2744.54</f>
        <v>10777.04</v>
      </c>
      <c r="AO473" s="138">
        <f t="shared" si="7"/>
        <v>10777.04</v>
      </c>
      <c r="AP473" s="13"/>
      <c r="AQ473" s="13"/>
      <c r="AR473" s="13"/>
      <c r="AS473" s="13"/>
      <c r="AT473" s="12"/>
      <c r="AU473" s="16"/>
      <c r="AV473" s="14"/>
      <c r="AW473" s="14"/>
      <c r="AX473" s="14"/>
      <c r="AY473" s="14"/>
      <c r="AZ473" s="16"/>
      <c r="BA473" s="16"/>
      <c r="BB473" s="14"/>
      <c r="BC473" s="14"/>
      <c r="BD473" s="14"/>
      <c r="BE473" s="17"/>
      <c r="BF473" s="17"/>
      <c r="BG473" s="17"/>
      <c r="BH473" s="14"/>
      <c r="BI473" s="14"/>
      <c r="BJ473" s="14"/>
      <c r="BK473" s="15"/>
      <c r="BL473" s="15"/>
      <c r="BM473" s="16"/>
    </row>
    <row r="474" spans="1:65" ht="38.25" x14ac:dyDescent="0.2">
      <c r="A474" s="329">
        <v>258</v>
      </c>
      <c r="B474" s="77" t="s">
        <v>1812</v>
      </c>
      <c r="C474" s="70" t="s">
        <v>1223</v>
      </c>
      <c r="D474" s="81" t="s">
        <v>130</v>
      </c>
      <c r="E474" s="89" t="s">
        <v>372</v>
      </c>
      <c r="F474" s="21" t="s">
        <v>1813</v>
      </c>
      <c r="G474" s="71" t="s">
        <v>1841</v>
      </c>
      <c r="H474" s="7" t="s">
        <v>1121</v>
      </c>
      <c r="I474" s="67">
        <v>42968</v>
      </c>
      <c r="J474" s="67">
        <v>43333</v>
      </c>
      <c r="K474" s="8" t="s">
        <v>1814</v>
      </c>
      <c r="L474" s="21" t="s">
        <v>994</v>
      </c>
      <c r="M474" s="21" t="s">
        <v>1815</v>
      </c>
      <c r="N474" s="73">
        <v>42968</v>
      </c>
      <c r="O474" s="10">
        <v>650</v>
      </c>
      <c r="P474" s="74">
        <v>12128</v>
      </c>
      <c r="Q474" s="73">
        <v>42968</v>
      </c>
      <c r="R474" s="73">
        <v>43100</v>
      </c>
      <c r="S474" s="6" t="s">
        <v>206</v>
      </c>
      <c r="T474" s="6"/>
      <c r="U474" s="6"/>
      <c r="V474" s="6"/>
      <c r="W474" s="6" t="s">
        <v>192</v>
      </c>
      <c r="X474" s="6"/>
      <c r="Y474" s="6"/>
      <c r="Z474" s="6"/>
      <c r="AA474" s="6"/>
      <c r="AB474" s="6"/>
      <c r="AC474" s="6"/>
      <c r="AD474" s="6"/>
      <c r="AE474" s="6"/>
      <c r="AF474" s="6"/>
      <c r="AG474" s="6"/>
      <c r="AH474" s="6"/>
      <c r="AI474" s="6"/>
      <c r="AJ474" s="6"/>
      <c r="AK474" s="6"/>
      <c r="AL474" s="194">
        <f t="shared" si="8"/>
        <v>650</v>
      </c>
      <c r="AM474" s="10"/>
      <c r="AN474" s="11">
        <f>650</f>
        <v>650</v>
      </c>
      <c r="AO474" s="138">
        <f t="shared" si="7"/>
        <v>650</v>
      </c>
      <c r="AP474" s="13"/>
      <c r="AQ474" s="13"/>
      <c r="AR474" s="13"/>
      <c r="AS474" s="13"/>
      <c r="AT474" s="12"/>
      <c r="AU474" s="16"/>
      <c r="AV474" s="14"/>
      <c r="AW474" s="14"/>
      <c r="AX474" s="14"/>
      <c r="AY474" s="14"/>
      <c r="AZ474" s="16"/>
      <c r="BA474" s="16"/>
      <c r="BB474" s="14"/>
      <c r="BC474" s="14"/>
      <c r="BD474" s="14"/>
      <c r="BE474" s="17"/>
      <c r="BF474" s="17"/>
      <c r="BG474" s="17"/>
      <c r="BH474" s="14"/>
      <c r="BI474" s="14"/>
      <c r="BJ474" s="14"/>
      <c r="BK474" s="15"/>
      <c r="BL474" s="15"/>
      <c r="BM474" s="16"/>
    </row>
    <row r="475" spans="1:65" ht="38.25" x14ac:dyDescent="0.2">
      <c r="A475" s="329">
        <v>259</v>
      </c>
      <c r="B475" s="77" t="s">
        <v>1812</v>
      </c>
      <c r="C475" s="70" t="s">
        <v>1223</v>
      </c>
      <c r="D475" s="81" t="s">
        <v>130</v>
      </c>
      <c r="E475" s="89" t="s">
        <v>372</v>
      </c>
      <c r="F475" s="21" t="s">
        <v>1813</v>
      </c>
      <c r="G475" s="71" t="s">
        <v>1841</v>
      </c>
      <c r="H475" s="88" t="s">
        <v>1122</v>
      </c>
      <c r="I475" s="67">
        <v>42968</v>
      </c>
      <c r="J475" s="67">
        <v>43333</v>
      </c>
      <c r="K475" s="8" t="s">
        <v>1816</v>
      </c>
      <c r="L475" s="21" t="s">
        <v>1817</v>
      </c>
      <c r="M475" s="21" t="s">
        <v>1818</v>
      </c>
      <c r="N475" s="73">
        <v>42968</v>
      </c>
      <c r="O475" s="10">
        <v>113676.6</v>
      </c>
      <c r="P475" s="74">
        <v>12128</v>
      </c>
      <c r="Q475" s="73">
        <v>42968</v>
      </c>
      <c r="R475" s="73">
        <v>43100</v>
      </c>
      <c r="S475" s="6" t="s">
        <v>206</v>
      </c>
      <c r="T475" s="6"/>
      <c r="U475" s="6"/>
      <c r="V475" s="6"/>
      <c r="W475" s="6" t="s">
        <v>192</v>
      </c>
      <c r="X475" s="6"/>
      <c r="Y475" s="6"/>
      <c r="Z475" s="6"/>
      <c r="AA475" s="6"/>
      <c r="AB475" s="6"/>
      <c r="AC475" s="6"/>
      <c r="AD475" s="6"/>
      <c r="AE475" s="6"/>
      <c r="AF475" s="6"/>
      <c r="AG475" s="6"/>
      <c r="AH475" s="6"/>
      <c r="AI475" s="6"/>
      <c r="AJ475" s="6"/>
      <c r="AK475" s="6"/>
      <c r="AL475" s="194">
        <f t="shared" si="8"/>
        <v>113676.6</v>
      </c>
      <c r="AM475" s="10"/>
      <c r="AN475" s="11">
        <f>25979.1</f>
        <v>25979.1</v>
      </c>
      <c r="AO475" s="138">
        <f t="shared" si="7"/>
        <v>25979.1</v>
      </c>
      <c r="AP475" s="13"/>
      <c r="AQ475" s="13"/>
      <c r="AR475" s="13"/>
      <c r="AS475" s="13"/>
      <c r="AT475" s="12"/>
      <c r="AU475" s="16"/>
      <c r="AV475" s="14"/>
      <c r="AW475" s="14"/>
      <c r="AX475" s="14"/>
      <c r="AY475" s="14"/>
      <c r="AZ475" s="16"/>
      <c r="BA475" s="16"/>
      <c r="BB475" s="14"/>
      <c r="BC475" s="14"/>
      <c r="BD475" s="14"/>
      <c r="BE475" s="17"/>
      <c r="BF475" s="17"/>
      <c r="BG475" s="17"/>
      <c r="BH475" s="14"/>
      <c r="BI475" s="14"/>
      <c r="BJ475" s="14"/>
      <c r="BK475" s="15"/>
      <c r="BL475" s="15"/>
      <c r="BM475" s="16"/>
    </row>
    <row r="476" spans="1:65" ht="140.25" x14ac:dyDescent="0.2">
      <c r="A476" s="329">
        <v>260</v>
      </c>
      <c r="B476" s="77" t="s">
        <v>1820</v>
      </c>
      <c r="C476" s="70" t="s">
        <v>1085</v>
      </c>
      <c r="D476" s="81" t="s">
        <v>278</v>
      </c>
      <c r="E476" s="12"/>
      <c r="F476" s="21" t="s">
        <v>1823</v>
      </c>
      <c r="G476" s="23"/>
      <c r="H476" s="7"/>
      <c r="I476" s="7"/>
      <c r="J476" s="7"/>
      <c r="K476" s="8" t="s">
        <v>1819</v>
      </c>
      <c r="L476" s="21" t="s">
        <v>1821</v>
      </c>
      <c r="M476" s="21" t="s">
        <v>1822</v>
      </c>
      <c r="N476" s="73">
        <v>42969</v>
      </c>
      <c r="O476" s="10">
        <v>1078669.8999999999</v>
      </c>
      <c r="P476" s="74">
        <v>12140</v>
      </c>
      <c r="Q476" s="73">
        <v>42969</v>
      </c>
      <c r="R476" s="73">
        <v>43209</v>
      </c>
      <c r="S476" s="6" t="s">
        <v>1824</v>
      </c>
      <c r="T476" s="6"/>
      <c r="U476" s="6"/>
      <c r="V476" s="6"/>
      <c r="W476" s="6" t="s">
        <v>251</v>
      </c>
      <c r="X476" s="6"/>
      <c r="Y476" s="6"/>
      <c r="Z476" s="6"/>
      <c r="AA476" s="6"/>
      <c r="AB476" s="6"/>
      <c r="AC476" s="6"/>
      <c r="AD476" s="6"/>
      <c r="AE476" s="6"/>
      <c r="AF476" s="6"/>
      <c r="AG476" s="6"/>
      <c r="AH476" s="6"/>
      <c r="AI476" s="6"/>
      <c r="AJ476" s="6"/>
      <c r="AK476" s="6"/>
      <c r="AL476" s="194">
        <f t="shared" si="8"/>
        <v>1078669.8999999999</v>
      </c>
      <c r="AM476" s="10"/>
      <c r="AN476" s="11">
        <f>399915.35</f>
        <v>399915.35</v>
      </c>
      <c r="AO476" s="138">
        <f t="shared" si="7"/>
        <v>399915.35</v>
      </c>
      <c r="AP476" s="13"/>
      <c r="AQ476" s="13"/>
      <c r="AR476" s="13"/>
      <c r="AS476" s="13"/>
      <c r="AT476" s="12"/>
      <c r="AU476" s="16"/>
      <c r="AV476" s="14"/>
      <c r="AW476" s="14"/>
      <c r="AX476" s="14"/>
      <c r="AY476" s="14"/>
      <c r="AZ476" s="16"/>
      <c r="BA476" s="16"/>
      <c r="BB476" s="14" t="s">
        <v>396</v>
      </c>
      <c r="BC476" s="6" t="s">
        <v>1795</v>
      </c>
      <c r="BD476" s="14"/>
      <c r="BE476" s="88" t="s">
        <v>1825</v>
      </c>
      <c r="BF476" s="17"/>
      <c r="BG476" s="17"/>
      <c r="BH476" s="14"/>
      <c r="BI476" s="14"/>
      <c r="BJ476" s="14"/>
      <c r="BK476" s="15"/>
      <c r="BL476" s="15"/>
      <c r="BM476" s="16"/>
    </row>
    <row r="477" spans="1:65" ht="38.25" x14ac:dyDescent="0.2">
      <c r="A477" s="329">
        <v>261</v>
      </c>
      <c r="B477" s="77" t="s">
        <v>1719</v>
      </c>
      <c r="C477" s="70" t="s">
        <v>1225</v>
      </c>
      <c r="D477" s="81" t="s">
        <v>130</v>
      </c>
      <c r="E477" s="89" t="s">
        <v>372</v>
      </c>
      <c r="F477" s="21" t="s">
        <v>1720</v>
      </c>
      <c r="G477" s="71" t="s">
        <v>1840</v>
      </c>
      <c r="H477" s="7" t="s">
        <v>1117</v>
      </c>
      <c r="I477" s="67">
        <v>42921</v>
      </c>
      <c r="J477" s="67">
        <v>43286</v>
      </c>
      <c r="K477" s="8" t="s">
        <v>1827</v>
      </c>
      <c r="L477" s="21" t="s">
        <v>1740</v>
      </c>
      <c r="M477" s="21" t="s">
        <v>1741</v>
      </c>
      <c r="N477" s="73">
        <v>42975</v>
      </c>
      <c r="O477" s="10">
        <v>4750</v>
      </c>
      <c r="P477" s="74">
        <v>12128</v>
      </c>
      <c r="Q477" s="73">
        <v>42975</v>
      </c>
      <c r="R477" s="73">
        <v>43100</v>
      </c>
      <c r="S477" s="6" t="s">
        <v>206</v>
      </c>
      <c r="T477" s="6"/>
      <c r="U477" s="6"/>
      <c r="V477" s="6"/>
      <c r="W477" s="6" t="s">
        <v>1669</v>
      </c>
      <c r="X477" s="6"/>
      <c r="Y477" s="6"/>
      <c r="Z477" s="6"/>
      <c r="AA477" s="6"/>
      <c r="AB477" s="6"/>
      <c r="AC477" s="6"/>
      <c r="AD477" s="6"/>
      <c r="AE477" s="6"/>
      <c r="AF477" s="6"/>
      <c r="AG477" s="6"/>
      <c r="AH477" s="6"/>
      <c r="AI477" s="6"/>
      <c r="AJ477" s="6"/>
      <c r="AK477" s="6"/>
      <c r="AL477" s="194">
        <f t="shared" si="8"/>
        <v>4750</v>
      </c>
      <c r="AM477" s="10"/>
      <c r="AN477" s="11">
        <f>4750</f>
        <v>4750</v>
      </c>
      <c r="AO477" s="138">
        <f t="shared" si="7"/>
        <v>4750</v>
      </c>
      <c r="AP477" s="13"/>
      <c r="AQ477" s="13"/>
      <c r="AR477" s="13"/>
      <c r="AS477" s="13"/>
      <c r="AT477" s="12"/>
      <c r="AU477" s="16"/>
      <c r="AV477" s="14"/>
      <c r="AW477" s="14"/>
      <c r="AX477" s="14"/>
      <c r="AY477" s="14"/>
      <c r="AZ477" s="16"/>
      <c r="BA477" s="16"/>
      <c r="BB477" s="14"/>
      <c r="BC477" s="14"/>
      <c r="BD477" s="14"/>
      <c r="BE477" s="17"/>
      <c r="BF477" s="17"/>
      <c r="BG477" s="17"/>
      <c r="BH477" s="14"/>
      <c r="BI477" s="14"/>
      <c r="BJ477" s="14"/>
      <c r="BK477" s="15"/>
      <c r="BL477" s="15"/>
      <c r="BM477" s="16"/>
    </row>
    <row r="478" spans="1:65" ht="38.25" x14ac:dyDescent="0.2">
      <c r="A478" s="329">
        <v>262</v>
      </c>
      <c r="B478" s="77" t="s">
        <v>1387</v>
      </c>
      <c r="C478" s="70" t="s">
        <v>1096</v>
      </c>
      <c r="D478" s="81" t="s">
        <v>130</v>
      </c>
      <c r="E478" s="89" t="s">
        <v>372</v>
      </c>
      <c r="F478" s="21" t="s">
        <v>1389</v>
      </c>
      <c r="G478" s="71" t="s">
        <v>1425</v>
      </c>
      <c r="H478" s="7" t="s">
        <v>1096</v>
      </c>
      <c r="I478" s="67">
        <v>42802</v>
      </c>
      <c r="J478" s="67">
        <v>43167</v>
      </c>
      <c r="K478" s="8" t="s">
        <v>1828</v>
      </c>
      <c r="L478" s="21" t="s">
        <v>1391</v>
      </c>
      <c r="M478" s="21" t="s">
        <v>1393</v>
      </c>
      <c r="N478" s="73">
        <v>42976</v>
      </c>
      <c r="O478" s="10">
        <v>1157</v>
      </c>
      <c r="P478" s="74">
        <v>12135</v>
      </c>
      <c r="Q478" s="73">
        <v>42976</v>
      </c>
      <c r="R478" s="73">
        <v>43100</v>
      </c>
      <c r="S478" s="6" t="s">
        <v>206</v>
      </c>
      <c r="T478" s="6"/>
      <c r="U478" s="6"/>
      <c r="V478" s="6"/>
      <c r="W478" s="6" t="s">
        <v>192</v>
      </c>
      <c r="X478" s="6"/>
      <c r="Y478" s="6"/>
      <c r="Z478" s="6"/>
      <c r="AA478" s="6"/>
      <c r="AB478" s="6"/>
      <c r="AC478" s="6"/>
      <c r="AD478" s="6"/>
      <c r="AE478" s="6"/>
      <c r="AF478" s="6"/>
      <c r="AG478" s="6"/>
      <c r="AH478" s="6"/>
      <c r="AI478" s="6"/>
      <c r="AJ478" s="6"/>
      <c r="AK478" s="6"/>
      <c r="AL478" s="194">
        <f t="shared" si="8"/>
        <v>1157</v>
      </c>
      <c r="AM478" s="10"/>
      <c r="AN478" s="11">
        <f>1157</f>
        <v>1157</v>
      </c>
      <c r="AO478" s="138">
        <f t="shared" si="7"/>
        <v>1157</v>
      </c>
      <c r="AP478" s="13"/>
      <c r="AQ478" s="13"/>
      <c r="AR478" s="13"/>
      <c r="AS478" s="13"/>
      <c r="AT478" s="12"/>
      <c r="AU478" s="16"/>
      <c r="AV478" s="14"/>
      <c r="AW478" s="14"/>
      <c r="AX478" s="14"/>
      <c r="AY478" s="14"/>
      <c r="AZ478" s="16"/>
      <c r="BA478" s="16"/>
      <c r="BB478" s="14"/>
      <c r="BC478" s="14"/>
      <c r="BD478" s="14"/>
      <c r="BE478" s="17"/>
      <c r="BF478" s="17"/>
      <c r="BG478" s="17"/>
      <c r="BH478" s="14"/>
      <c r="BI478" s="14"/>
      <c r="BJ478" s="14"/>
      <c r="BK478" s="15"/>
      <c r="BL478" s="15"/>
      <c r="BM478" s="16"/>
    </row>
    <row r="479" spans="1:65" ht="38.25" x14ac:dyDescent="0.2">
      <c r="A479" s="329">
        <v>263</v>
      </c>
      <c r="B479" s="77" t="s">
        <v>1387</v>
      </c>
      <c r="C479" s="70" t="s">
        <v>1096</v>
      </c>
      <c r="D479" s="81" t="s">
        <v>130</v>
      </c>
      <c r="E479" s="89" t="s">
        <v>372</v>
      </c>
      <c r="F479" s="21" t="s">
        <v>1389</v>
      </c>
      <c r="G479" s="71" t="s">
        <v>1425</v>
      </c>
      <c r="H479" s="7" t="s">
        <v>1096</v>
      </c>
      <c r="I479" s="67">
        <v>42802</v>
      </c>
      <c r="J479" s="67">
        <v>43167</v>
      </c>
      <c r="K479" s="8" t="s">
        <v>1829</v>
      </c>
      <c r="L479" s="21" t="s">
        <v>883</v>
      </c>
      <c r="M479" s="21" t="s">
        <v>718</v>
      </c>
      <c r="N479" s="73">
        <v>42976</v>
      </c>
      <c r="O479" s="10">
        <v>542</v>
      </c>
      <c r="P479" s="74">
        <v>12135</v>
      </c>
      <c r="Q479" s="73">
        <v>42976</v>
      </c>
      <c r="R479" s="73">
        <v>43100</v>
      </c>
      <c r="S479" s="6" t="s">
        <v>206</v>
      </c>
      <c r="T479" s="6"/>
      <c r="U479" s="6"/>
      <c r="V479" s="6"/>
      <c r="W479" s="6" t="s">
        <v>192</v>
      </c>
      <c r="X479" s="6"/>
      <c r="Y479" s="6"/>
      <c r="Z479" s="6"/>
      <c r="AA479" s="6"/>
      <c r="AB479" s="6"/>
      <c r="AC479" s="6"/>
      <c r="AD479" s="6"/>
      <c r="AE479" s="6"/>
      <c r="AF479" s="6"/>
      <c r="AG479" s="6"/>
      <c r="AH479" s="6"/>
      <c r="AI479" s="6"/>
      <c r="AJ479" s="6"/>
      <c r="AK479" s="6"/>
      <c r="AL479" s="194">
        <f t="shared" si="8"/>
        <v>542</v>
      </c>
      <c r="AM479" s="10"/>
      <c r="AN479" s="11">
        <f>542</f>
        <v>542</v>
      </c>
      <c r="AO479" s="138">
        <f t="shared" si="7"/>
        <v>542</v>
      </c>
      <c r="AP479" s="13"/>
      <c r="AQ479" s="13"/>
      <c r="AR479" s="13"/>
      <c r="AS479" s="13"/>
      <c r="AT479" s="12"/>
      <c r="AU479" s="16"/>
      <c r="AV479" s="14"/>
      <c r="AW479" s="14"/>
      <c r="AX479" s="14"/>
      <c r="AY479" s="14"/>
      <c r="AZ479" s="16"/>
      <c r="BA479" s="16"/>
      <c r="BB479" s="14"/>
      <c r="BC479" s="14"/>
      <c r="BD479" s="14"/>
      <c r="BE479" s="17"/>
      <c r="BF479" s="17"/>
      <c r="BG479" s="17"/>
      <c r="BH479" s="14"/>
      <c r="BI479" s="14"/>
      <c r="BJ479" s="14"/>
      <c r="BK479" s="15"/>
      <c r="BL479" s="15"/>
      <c r="BM479" s="16"/>
    </row>
    <row r="480" spans="1:65" ht="38.25" x14ac:dyDescent="0.2">
      <c r="A480" s="329">
        <v>264</v>
      </c>
      <c r="B480" s="77" t="s">
        <v>1387</v>
      </c>
      <c r="C480" s="70" t="s">
        <v>1096</v>
      </c>
      <c r="D480" s="81" t="s">
        <v>130</v>
      </c>
      <c r="E480" s="89" t="s">
        <v>372</v>
      </c>
      <c r="F480" s="21" t="s">
        <v>1389</v>
      </c>
      <c r="G480" s="71" t="s">
        <v>1425</v>
      </c>
      <c r="H480" s="7" t="s">
        <v>1096</v>
      </c>
      <c r="I480" s="67">
        <v>42802</v>
      </c>
      <c r="J480" s="67">
        <v>43167</v>
      </c>
      <c r="K480" s="8" t="s">
        <v>1830</v>
      </c>
      <c r="L480" s="21" t="s">
        <v>697</v>
      </c>
      <c r="M480" s="21" t="s">
        <v>698</v>
      </c>
      <c r="N480" s="73">
        <v>42976</v>
      </c>
      <c r="O480" s="10">
        <v>600</v>
      </c>
      <c r="P480" s="74">
        <v>12135</v>
      </c>
      <c r="Q480" s="73">
        <v>42976</v>
      </c>
      <c r="R480" s="73">
        <v>43100</v>
      </c>
      <c r="S480" s="6" t="s">
        <v>206</v>
      </c>
      <c r="T480" s="6"/>
      <c r="U480" s="6"/>
      <c r="V480" s="6"/>
      <c r="W480" s="6" t="s">
        <v>192</v>
      </c>
      <c r="X480" s="6"/>
      <c r="Y480" s="6"/>
      <c r="Z480" s="6"/>
      <c r="AA480" s="6"/>
      <c r="AB480" s="6"/>
      <c r="AC480" s="6"/>
      <c r="AD480" s="6"/>
      <c r="AE480" s="6"/>
      <c r="AF480" s="6"/>
      <c r="AG480" s="6"/>
      <c r="AH480" s="6"/>
      <c r="AI480" s="6"/>
      <c r="AJ480" s="6"/>
      <c r="AK480" s="6"/>
      <c r="AL480" s="194">
        <f t="shared" si="8"/>
        <v>600</v>
      </c>
      <c r="AM480" s="10"/>
      <c r="AN480" s="11">
        <f>600</f>
        <v>600</v>
      </c>
      <c r="AO480" s="138">
        <f t="shared" si="7"/>
        <v>600</v>
      </c>
      <c r="AP480" s="13"/>
      <c r="AQ480" s="13"/>
      <c r="AR480" s="13"/>
      <c r="AS480" s="13"/>
      <c r="AT480" s="12"/>
      <c r="AU480" s="16"/>
      <c r="AV480" s="14"/>
      <c r="AW480" s="14"/>
      <c r="AX480" s="14"/>
      <c r="AY480" s="14"/>
      <c r="AZ480" s="16"/>
      <c r="BA480" s="16"/>
      <c r="BB480" s="14"/>
      <c r="BC480" s="14"/>
      <c r="BD480" s="14"/>
      <c r="BE480" s="17"/>
      <c r="BF480" s="17"/>
      <c r="BG480" s="17"/>
      <c r="BH480" s="14"/>
      <c r="BI480" s="14"/>
      <c r="BJ480" s="14"/>
      <c r="BK480" s="15"/>
      <c r="BL480" s="15"/>
      <c r="BM480" s="16"/>
    </row>
    <row r="481" spans="1:65" ht="38.25" x14ac:dyDescent="0.2">
      <c r="A481" s="329">
        <v>265</v>
      </c>
      <c r="B481" s="77" t="s">
        <v>1387</v>
      </c>
      <c r="C481" s="70" t="s">
        <v>1096</v>
      </c>
      <c r="D481" s="81" t="s">
        <v>130</v>
      </c>
      <c r="E481" s="89" t="s">
        <v>372</v>
      </c>
      <c r="F481" s="21" t="s">
        <v>1389</v>
      </c>
      <c r="G481" s="71" t="s">
        <v>1425</v>
      </c>
      <c r="H481" s="7" t="s">
        <v>1096</v>
      </c>
      <c r="I481" s="67">
        <v>42802</v>
      </c>
      <c r="J481" s="67">
        <v>43167</v>
      </c>
      <c r="K481" s="8" t="s">
        <v>1831</v>
      </c>
      <c r="L481" s="21" t="s">
        <v>1415</v>
      </c>
      <c r="M481" s="21" t="s">
        <v>1416</v>
      </c>
      <c r="N481" s="73">
        <v>42976</v>
      </c>
      <c r="O481" s="10">
        <v>649</v>
      </c>
      <c r="P481" s="74">
        <v>12138</v>
      </c>
      <c r="Q481" s="73">
        <v>42976</v>
      </c>
      <c r="R481" s="73">
        <v>43100</v>
      </c>
      <c r="S481" s="6" t="s">
        <v>206</v>
      </c>
      <c r="T481" s="6"/>
      <c r="U481" s="6"/>
      <c r="V481" s="6"/>
      <c r="W481" s="6" t="s">
        <v>192</v>
      </c>
      <c r="X481" s="6"/>
      <c r="Y481" s="6"/>
      <c r="Z481" s="6"/>
      <c r="AA481" s="6"/>
      <c r="AB481" s="6"/>
      <c r="AC481" s="6"/>
      <c r="AD481" s="6"/>
      <c r="AE481" s="6"/>
      <c r="AF481" s="6"/>
      <c r="AG481" s="6"/>
      <c r="AH481" s="6"/>
      <c r="AI481" s="6"/>
      <c r="AJ481" s="6"/>
      <c r="AK481" s="6"/>
      <c r="AL481" s="194">
        <f t="shared" si="8"/>
        <v>649</v>
      </c>
      <c r="AM481" s="10"/>
      <c r="AN481" s="11"/>
      <c r="AO481" s="138">
        <f t="shared" si="7"/>
        <v>0</v>
      </c>
      <c r="AP481" s="13"/>
      <c r="AQ481" s="13"/>
      <c r="AR481" s="13"/>
      <c r="AS481" s="13"/>
      <c r="AT481" s="12"/>
      <c r="AU481" s="16"/>
      <c r="AV481" s="14"/>
      <c r="AW481" s="14"/>
      <c r="AX481" s="14"/>
      <c r="AY481" s="14"/>
      <c r="AZ481" s="16"/>
      <c r="BA481" s="16"/>
      <c r="BB481" s="14"/>
      <c r="BC481" s="14"/>
      <c r="BD481" s="14"/>
      <c r="BE481" s="17"/>
      <c r="BF481" s="17"/>
      <c r="BG481" s="17"/>
      <c r="BH481" s="14"/>
      <c r="BI481" s="14"/>
      <c r="BJ481" s="14"/>
      <c r="BK481" s="15"/>
      <c r="BL481" s="15"/>
      <c r="BM481" s="16"/>
    </row>
    <row r="482" spans="1:65" ht="38.25" x14ac:dyDescent="0.2">
      <c r="A482" s="329">
        <v>266</v>
      </c>
      <c r="B482" s="77" t="s">
        <v>1387</v>
      </c>
      <c r="C482" s="70" t="s">
        <v>1096</v>
      </c>
      <c r="D482" s="81" t="s">
        <v>130</v>
      </c>
      <c r="E482" s="89" t="s">
        <v>372</v>
      </c>
      <c r="F482" s="21" t="s">
        <v>1389</v>
      </c>
      <c r="G482" s="71" t="s">
        <v>1425</v>
      </c>
      <c r="H482" s="7" t="s">
        <v>1096</v>
      </c>
      <c r="I482" s="67">
        <v>42802</v>
      </c>
      <c r="J482" s="67">
        <v>43167</v>
      </c>
      <c r="K482" s="8" t="s">
        <v>1832</v>
      </c>
      <c r="L482" s="21" t="s">
        <v>1418</v>
      </c>
      <c r="M482" s="21" t="s">
        <v>1419</v>
      </c>
      <c r="N482" s="73">
        <v>42976</v>
      </c>
      <c r="O482" s="10">
        <v>1000</v>
      </c>
      <c r="P482" s="74">
        <v>12135</v>
      </c>
      <c r="Q482" s="73">
        <v>42976</v>
      </c>
      <c r="R482" s="73">
        <v>43100</v>
      </c>
      <c r="S482" s="6" t="s">
        <v>206</v>
      </c>
      <c r="T482" s="6"/>
      <c r="U482" s="6"/>
      <c r="V482" s="6"/>
      <c r="W482" s="6" t="s">
        <v>192</v>
      </c>
      <c r="X482" s="6"/>
      <c r="Y482" s="6"/>
      <c r="Z482" s="6"/>
      <c r="AA482" s="6"/>
      <c r="AB482" s="6"/>
      <c r="AC482" s="6"/>
      <c r="AD482" s="6"/>
      <c r="AE482" s="6"/>
      <c r="AF482" s="6"/>
      <c r="AG482" s="6"/>
      <c r="AH482" s="6"/>
      <c r="AI482" s="6"/>
      <c r="AJ482" s="6"/>
      <c r="AK482" s="6"/>
      <c r="AL482" s="194">
        <f t="shared" si="8"/>
        <v>1000</v>
      </c>
      <c r="AM482" s="10"/>
      <c r="AN482" s="11">
        <f>1000</f>
        <v>1000</v>
      </c>
      <c r="AO482" s="138">
        <f t="shared" si="7"/>
        <v>1000</v>
      </c>
      <c r="AP482" s="13"/>
      <c r="AQ482" s="13"/>
      <c r="AR482" s="13"/>
      <c r="AS482" s="13"/>
      <c r="AT482" s="12"/>
      <c r="AU482" s="16"/>
      <c r="AV482" s="14"/>
      <c r="AW482" s="14"/>
      <c r="AX482" s="14"/>
      <c r="AY482" s="14"/>
      <c r="AZ482" s="16"/>
      <c r="BA482" s="16"/>
      <c r="BB482" s="14"/>
      <c r="BC482" s="14"/>
      <c r="BD482" s="14"/>
      <c r="BE482" s="17"/>
      <c r="BF482" s="17"/>
      <c r="BG482" s="17"/>
      <c r="BH482" s="14"/>
      <c r="BI482" s="14"/>
      <c r="BJ482" s="14"/>
      <c r="BK482" s="15"/>
      <c r="BL482" s="15"/>
      <c r="BM482" s="16"/>
    </row>
    <row r="483" spans="1:65" ht="89.25" x14ac:dyDescent="0.2">
      <c r="A483" s="329">
        <v>267</v>
      </c>
      <c r="B483" s="77" t="s">
        <v>1845</v>
      </c>
      <c r="C483" s="70" t="s">
        <v>1154</v>
      </c>
      <c r="D483" s="81" t="s">
        <v>272</v>
      </c>
      <c r="E483" s="12"/>
      <c r="F483" s="21" t="s">
        <v>1848</v>
      </c>
      <c r="G483" s="23"/>
      <c r="H483" s="7"/>
      <c r="I483" s="7"/>
      <c r="J483" s="7"/>
      <c r="K483" s="8" t="s">
        <v>1844</v>
      </c>
      <c r="L483" s="21" t="s">
        <v>1846</v>
      </c>
      <c r="M483" s="21" t="s">
        <v>1847</v>
      </c>
      <c r="N483" s="73">
        <v>42978</v>
      </c>
      <c r="O483" s="10">
        <v>5160</v>
      </c>
      <c r="P483" s="74">
        <v>12139</v>
      </c>
      <c r="Q483" s="73">
        <v>42978</v>
      </c>
      <c r="R483" s="73">
        <v>43100</v>
      </c>
      <c r="S483" s="6" t="s">
        <v>1849</v>
      </c>
      <c r="T483" s="6"/>
      <c r="U483" s="6"/>
      <c r="V483" s="6"/>
      <c r="W483" s="6" t="s">
        <v>117</v>
      </c>
      <c r="X483" s="6"/>
      <c r="Y483" s="6"/>
      <c r="Z483" s="6"/>
      <c r="AA483" s="6"/>
      <c r="AB483" s="6"/>
      <c r="AC483" s="6"/>
      <c r="AD483" s="6"/>
      <c r="AE483" s="6"/>
      <c r="AF483" s="6"/>
      <c r="AG483" s="6"/>
      <c r="AH483" s="6"/>
      <c r="AI483" s="6"/>
      <c r="AJ483" s="6"/>
      <c r="AK483" s="6"/>
      <c r="AL483" s="194">
        <f t="shared" si="8"/>
        <v>5160</v>
      </c>
      <c r="AM483" s="10"/>
      <c r="AN483" s="11">
        <f>1290</f>
        <v>1290</v>
      </c>
      <c r="AO483" s="138">
        <f t="shared" si="7"/>
        <v>1290</v>
      </c>
      <c r="AP483" s="13"/>
      <c r="AQ483" s="13"/>
      <c r="AR483" s="13"/>
      <c r="AS483" s="13"/>
      <c r="AT483" s="12"/>
      <c r="AU483" s="16"/>
      <c r="AV483" s="14" t="s">
        <v>122</v>
      </c>
      <c r="AW483" s="6" t="s">
        <v>1928</v>
      </c>
      <c r="AX483" s="14"/>
      <c r="AY483" s="14"/>
      <c r="AZ483" s="16"/>
      <c r="BA483" s="16"/>
      <c r="BB483" s="14"/>
      <c r="BC483" s="14"/>
      <c r="BD483" s="14"/>
      <c r="BE483" s="17"/>
      <c r="BF483" s="17"/>
      <c r="BG483" s="17"/>
      <c r="BH483" s="14"/>
      <c r="BI483" s="14"/>
      <c r="BJ483" s="14"/>
      <c r="BK483" s="15"/>
      <c r="BL483" s="15"/>
      <c r="BM483" s="16"/>
    </row>
    <row r="484" spans="1:65" ht="51" x14ac:dyDescent="0.2">
      <c r="A484" s="329">
        <v>268</v>
      </c>
      <c r="B484" s="77" t="s">
        <v>1850</v>
      </c>
      <c r="C484" s="70" t="s">
        <v>1224</v>
      </c>
      <c r="D484" s="81" t="s">
        <v>130</v>
      </c>
      <c r="E484" s="89" t="s">
        <v>372</v>
      </c>
      <c r="F484" s="21" t="s">
        <v>1851</v>
      </c>
      <c r="G484" s="71" t="s">
        <v>1916</v>
      </c>
      <c r="H484" s="7" t="s">
        <v>1154</v>
      </c>
      <c r="I484" s="67">
        <v>42979</v>
      </c>
      <c r="J484" s="67">
        <v>43344</v>
      </c>
      <c r="K484" s="8" t="s">
        <v>1852</v>
      </c>
      <c r="L484" s="21" t="s">
        <v>1853</v>
      </c>
      <c r="M484" s="21" t="s">
        <v>1854</v>
      </c>
      <c r="N484" s="73">
        <v>42979</v>
      </c>
      <c r="O484" s="10">
        <v>98604.06</v>
      </c>
      <c r="P484" s="74">
        <v>12148</v>
      </c>
      <c r="Q484" s="73">
        <v>42979</v>
      </c>
      <c r="R484" s="73">
        <v>43100</v>
      </c>
      <c r="S484" s="6" t="s">
        <v>206</v>
      </c>
      <c r="T484" s="6"/>
      <c r="U484" s="6"/>
      <c r="V484" s="6"/>
      <c r="W484" s="6" t="s">
        <v>1855</v>
      </c>
      <c r="X484" s="6"/>
      <c r="Y484" s="6"/>
      <c r="Z484" s="6"/>
      <c r="AA484" s="6"/>
      <c r="AB484" s="6"/>
      <c r="AC484" s="6"/>
      <c r="AD484" s="6"/>
      <c r="AE484" s="6"/>
      <c r="AF484" s="6"/>
      <c r="AG484" s="6"/>
      <c r="AH484" s="6"/>
      <c r="AI484" s="6"/>
      <c r="AJ484" s="6"/>
      <c r="AK484" s="6"/>
      <c r="AL484" s="194">
        <f t="shared" si="8"/>
        <v>98604.06</v>
      </c>
      <c r="AM484" s="10"/>
      <c r="AN484" s="11">
        <f>33897</f>
        <v>33897</v>
      </c>
      <c r="AO484" s="138">
        <f t="shared" si="7"/>
        <v>33897</v>
      </c>
      <c r="AP484" s="13"/>
      <c r="AQ484" s="13"/>
      <c r="AR484" s="13"/>
      <c r="AS484" s="13"/>
      <c r="AT484" s="12"/>
      <c r="AU484" s="16"/>
      <c r="AV484" s="14"/>
      <c r="AW484" s="14"/>
      <c r="AX484" s="14"/>
      <c r="AY484" s="14"/>
      <c r="AZ484" s="16"/>
      <c r="BA484" s="16"/>
      <c r="BB484" s="14"/>
      <c r="BC484" s="14"/>
      <c r="BD484" s="14"/>
      <c r="BE484" s="17"/>
      <c r="BF484" s="17"/>
      <c r="BG484" s="17"/>
      <c r="BH484" s="14"/>
      <c r="BI484" s="14"/>
      <c r="BJ484" s="14"/>
      <c r="BK484" s="15"/>
      <c r="BL484" s="15"/>
      <c r="BM484" s="16"/>
    </row>
    <row r="485" spans="1:65" ht="76.5" x14ac:dyDescent="0.2">
      <c r="A485" s="329">
        <v>269</v>
      </c>
      <c r="B485" s="77" t="s">
        <v>1856</v>
      </c>
      <c r="C485" s="70" t="s">
        <v>1084</v>
      </c>
      <c r="D485" s="81" t="s">
        <v>1542</v>
      </c>
      <c r="E485" s="12"/>
      <c r="F485" s="21" t="s">
        <v>1551</v>
      </c>
      <c r="G485" s="23"/>
      <c r="H485" s="7"/>
      <c r="I485" s="7"/>
      <c r="J485" s="7"/>
      <c r="K485" s="8" t="s">
        <v>1857</v>
      </c>
      <c r="L485" s="21" t="s">
        <v>1560</v>
      </c>
      <c r="M485" s="21" t="s">
        <v>1561</v>
      </c>
      <c r="N485" s="73">
        <v>42989</v>
      </c>
      <c r="O485" s="10">
        <v>2371.7800000000002</v>
      </c>
      <c r="P485" s="74">
        <v>12148</v>
      </c>
      <c r="Q485" s="73">
        <v>42989</v>
      </c>
      <c r="R485" s="73">
        <v>43100</v>
      </c>
      <c r="S485" s="6" t="s">
        <v>1858</v>
      </c>
      <c r="T485" s="6"/>
      <c r="U485" s="6"/>
      <c r="V485" s="6"/>
      <c r="W485" s="6" t="s">
        <v>229</v>
      </c>
      <c r="X485" s="6"/>
      <c r="Y485" s="6"/>
      <c r="Z485" s="6"/>
      <c r="AA485" s="6"/>
      <c r="AB485" s="6"/>
      <c r="AC485" s="6"/>
      <c r="AD485" s="6"/>
      <c r="AE485" s="6"/>
      <c r="AF485" s="6"/>
      <c r="AG485" s="6"/>
      <c r="AH485" s="6"/>
      <c r="AI485" s="6"/>
      <c r="AJ485" s="6"/>
      <c r="AK485" s="6"/>
      <c r="AL485" s="194">
        <f t="shared" si="8"/>
        <v>2371.7800000000002</v>
      </c>
      <c r="AM485" s="10"/>
      <c r="AN485" s="11">
        <f>2371.78</f>
        <v>2371.7800000000002</v>
      </c>
      <c r="AO485" s="138">
        <f t="shared" si="7"/>
        <v>2371.7800000000002</v>
      </c>
      <c r="AP485" s="13"/>
      <c r="AQ485" s="13"/>
      <c r="AR485" s="13"/>
      <c r="AS485" s="13"/>
      <c r="AT485" s="12"/>
      <c r="AU485" s="16"/>
      <c r="AV485" s="14" t="s">
        <v>138</v>
      </c>
      <c r="AW485" s="6" t="s">
        <v>1588</v>
      </c>
      <c r="AX485" s="83">
        <v>12121</v>
      </c>
      <c r="AY485" s="84">
        <v>42968</v>
      </c>
      <c r="AZ485" s="79">
        <v>12135</v>
      </c>
      <c r="BA485" s="80">
        <v>42989</v>
      </c>
      <c r="BB485" s="14"/>
      <c r="BC485" s="14"/>
      <c r="BD485" s="14"/>
      <c r="BE485" s="17"/>
      <c r="BF485" s="17"/>
      <c r="BG485" s="17"/>
      <c r="BH485" s="14"/>
      <c r="BI485" s="14"/>
      <c r="BJ485" s="14"/>
      <c r="BK485" s="15"/>
      <c r="BL485" s="15"/>
      <c r="BM485" s="16"/>
    </row>
    <row r="486" spans="1:65" ht="76.5" x14ac:dyDescent="0.2">
      <c r="A486" s="329">
        <v>270</v>
      </c>
      <c r="B486" s="77" t="s">
        <v>1856</v>
      </c>
      <c r="C486" s="70" t="s">
        <v>1084</v>
      </c>
      <c r="D486" s="81" t="s">
        <v>1542</v>
      </c>
      <c r="E486" s="12"/>
      <c r="F486" s="21" t="s">
        <v>1551</v>
      </c>
      <c r="G486" s="23"/>
      <c r="H486" s="7"/>
      <c r="I486" s="7"/>
      <c r="J486" s="7"/>
      <c r="K486" s="8" t="s">
        <v>1859</v>
      </c>
      <c r="L486" s="21" t="s">
        <v>1549</v>
      </c>
      <c r="M486" s="21" t="s">
        <v>1550</v>
      </c>
      <c r="N486" s="73">
        <v>42989</v>
      </c>
      <c r="O486" s="10">
        <v>2371.7800000000002</v>
      </c>
      <c r="P486" s="74">
        <v>12148</v>
      </c>
      <c r="Q486" s="73">
        <v>42989</v>
      </c>
      <c r="R486" s="73">
        <v>43100</v>
      </c>
      <c r="S486" s="6" t="s">
        <v>1858</v>
      </c>
      <c r="T486" s="6"/>
      <c r="U486" s="6"/>
      <c r="V486" s="6"/>
      <c r="W486" s="6" t="s">
        <v>229</v>
      </c>
      <c r="X486" s="6"/>
      <c r="Y486" s="6"/>
      <c r="Z486" s="6"/>
      <c r="AA486" s="6"/>
      <c r="AB486" s="6"/>
      <c r="AC486" s="6"/>
      <c r="AD486" s="6"/>
      <c r="AE486" s="6"/>
      <c r="AF486" s="6"/>
      <c r="AG486" s="6"/>
      <c r="AH486" s="6"/>
      <c r="AI486" s="6"/>
      <c r="AJ486" s="6"/>
      <c r="AK486" s="6"/>
      <c r="AL486" s="194">
        <f t="shared" si="8"/>
        <v>2371.7800000000002</v>
      </c>
      <c r="AM486" s="10"/>
      <c r="AN486" s="11"/>
      <c r="AO486" s="138">
        <f t="shared" si="7"/>
        <v>0</v>
      </c>
      <c r="AP486" s="13"/>
      <c r="AQ486" s="13"/>
      <c r="AR486" s="13"/>
      <c r="AS486" s="13"/>
      <c r="AT486" s="12"/>
      <c r="AU486" s="16"/>
      <c r="AV486" s="14" t="s">
        <v>138</v>
      </c>
      <c r="AW486" s="6" t="s">
        <v>1588</v>
      </c>
      <c r="AX486" s="83">
        <v>12121</v>
      </c>
      <c r="AY486" s="84">
        <v>42968</v>
      </c>
      <c r="AZ486" s="79">
        <v>12135</v>
      </c>
      <c r="BA486" s="80">
        <v>42989</v>
      </c>
      <c r="BB486" s="14"/>
      <c r="BC486" s="14"/>
      <c r="BD486" s="14"/>
      <c r="BE486" s="17"/>
      <c r="BF486" s="17"/>
      <c r="BG486" s="17"/>
      <c r="BH486" s="14"/>
      <c r="BI486" s="14"/>
      <c r="BJ486" s="14"/>
      <c r="BK486" s="15"/>
      <c r="BL486" s="15"/>
      <c r="BM486" s="16"/>
    </row>
    <row r="487" spans="1:65" ht="76.5" x14ac:dyDescent="0.2">
      <c r="A487" s="329">
        <v>271</v>
      </c>
      <c r="B487" s="77" t="s">
        <v>1856</v>
      </c>
      <c r="C487" s="70" t="s">
        <v>1084</v>
      </c>
      <c r="D487" s="81" t="s">
        <v>1542</v>
      </c>
      <c r="E487" s="12"/>
      <c r="F487" s="21" t="s">
        <v>1551</v>
      </c>
      <c r="G487" s="23"/>
      <c r="H487" s="7"/>
      <c r="I487" s="7"/>
      <c r="J487" s="7"/>
      <c r="K487" s="8" t="s">
        <v>1860</v>
      </c>
      <c r="L487" s="21" t="s">
        <v>1861</v>
      </c>
      <c r="M487" s="21" t="s">
        <v>1862</v>
      </c>
      <c r="N487" s="73">
        <v>42989</v>
      </c>
      <c r="O487" s="10">
        <v>2371.7800000000002</v>
      </c>
      <c r="P487" s="74">
        <v>12148</v>
      </c>
      <c r="Q487" s="73">
        <v>42989</v>
      </c>
      <c r="R487" s="73">
        <v>43100</v>
      </c>
      <c r="S487" s="6" t="s">
        <v>1858</v>
      </c>
      <c r="T487" s="6"/>
      <c r="U487" s="6"/>
      <c r="V487" s="6"/>
      <c r="W487" s="6" t="s">
        <v>229</v>
      </c>
      <c r="X487" s="6"/>
      <c r="Y487" s="6"/>
      <c r="Z487" s="6"/>
      <c r="AA487" s="6"/>
      <c r="AB487" s="6"/>
      <c r="AC487" s="6"/>
      <c r="AD487" s="6"/>
      <c r="AE487" s="6"/>
      <c r="AF487" s="6"/>
      <c r="AG487" s="6"/>
      <c r="AH487" s="6"/>
      <c r="AI487" s="6"/>
      <c r="AJ487" s="6"/>
      <c r="AK487" s="6"/>
      <c r="AL487" s="194">
        <f t="shared" si="8"/>
        <v>2371.7800000000002</v>
      </c>
      <c r="AM487" s="10"/>
      <c r="AN487" s="11">
        <f>2371.78</f>
        <v>2371.7800000000002</v>
      </c>
      <c r="AO487" s="138">
        <f t="shared" si="7"/>
        <v>2371.7800000000002</v>
      </c>
      <c r="AP487" s="13"/>
      <c r="AQ487" s="13"/>
      <c r="AR487" s="13"/>
      <c r="AS487" s="13"/>
      <c r="AT487" s="12"/>
      <c r="AU487" s="16"/>
      <c r="AV487" s="14" t="s">
        <v>138</v>
      </c>
      <c r="AW487" s="6" t="s">
        <v>1588</v>
      </c>
      <c r="AX487" s="83">
        <v>12121</v>
      </c>
      <c r="AY487" s="84">
        <v>42968</v>
      </c>
      <c r="AZ487" s="79">
        <v>12135</v>
      </c>
      <c r="BA487" s="80">
        <v>42989</v>
      </c>
      <c r="BB487" s="14"/>
      <c r="BC487" s="14"/>
      <c r="BD487" s="14"/>
      <c r="BE487" s="17"/>
      <c r="BF487" s="17"/>
      <c r="BG487" s="17"/>
      <c r="BH487" s="14"/>
      <c r="BI487" s="14"/>
      <c r="BJ487" s="14"/>
      <c r="BK487" s="15"/>
      <c r="BL487" s="15"/>
      <c r="BM487" s="16"/>
    </row>
    <row r="488" spans="1:65" ht="76.5" x14ac:dyDescent="0.2">
      <c r="A488" s="329">
        <v>272</v>
      </c>
      <c r="B488" s="77" t="s">
        <v>1856</v>
      </c>
      <c r="C488" s="70" t="s">
        <v>1084</v>
      </c>
      <c r="D488" s="81" t="s">
        <v>1542</v>
      </c>
      <c r="E488" s="12"/>
      <c r="F488" s="21" t="s">
        <v>1551</v>
      </c>
      <c r="G488" s="23"/>
      <c r="H488" s="7"/>
      <c r="I488" s="7"/>
      <c r="J488" s="7"/>
      <c r="K488" s="8" t="s">
        <v>1863</v>
      </c>
      <c r="L488" s="21" t="s">
        <v>1870</v>
      </c>
      <c r="M488" s="21" t="s">
        <v>1564</v>
      </c>
      <c r="N488" s="73">
        <v>42989</v>
      </c>
      <c r="O488" s="10">
        <v>2371.7800000000002</v>
      </c>
      <c r="P488" s="74">
        <v>12148</v>
      </c>
      <c r="Q488" s="73">
        <v>42989</v>
      </c>
      <c r="R488" s="73">
        <v>43100</v>
      </c>
      <c r="S488" s="6" t="s">
        <v>1858</v>
      </c>
      <c r="T488" s="6"/>
      <c r="U488" s="6"/>
      <c r="V488" s="6"/>
      <c r="W488" s="6" t="s">
        <v>229</v>
      </c>
      <c r="X488" s="6"/>
      <c r="Y488" s="6"/>
      <c r="Z488" s="6"/>
      <c r="AA488" s="6"/>
      <c r="AB488" s="6"/>
      <c r="AC488" s="6"/>
      <c r="AD488" s="6"/>
      <c r="AE488" s="6"/>
      <c r="AF488" s="6"/>
      <c r="AG488" s="6"/>
      <c r="AH488" s="6"/>
      <c r="AI488" s="6"/>
      <c r="AJ488" s="6"/>
      <c r="AK488" s="6"/>
      <c r="AL488" s="194">
        <f t="shared" si="8"/>
        <v>2371.7800000000002</v>
      </c>
      <c r="AM488" s="10"/>
      <c r="AN488" s="11">
        <f>2371.78</f>
        <v>2371.7800000000002</v>
      </c>
      <c r="AO488" s="138">
        <f t="shared" si="7"/>
        <v>2371.7800000000002</v>
      </c>
      <c r="AP488" s="13"/>
      <c r="AQ488" s="13"/>
      <c r="AR488" s="13"/>
      <c r="AS488" s="13"/>
      <c r="AT488" s="12"/>
      <c r="AU488" s="16"/>
      <c r="AV488" s="14" t="s">
        <v>138</v>
      </c>
      <c r="AW488" s="6" t="s">
        <v>1588</v>
      </c>
      <c r="AX488" s="83">
        <v>12121</v>
      </c>
      <c r="AY488" s="84">
        <v>42968</v>
      </c>
      <c r="AZ488" s="79">
        <v>12135</v>
      </c>
      <c r="BA488" s="80">
        <v>42989</v>
      </c>
      <c r="BB488" s="14"/>
      <c r="BC488" s="14"/>
      <c r="BD488" s="14"/>
      <c r="BE488" s="17"/>
      <c r="BF488" s="17"/>
      <c r="BG488" s="17"/>
      <c r="BH488" s="14"/>
      <c r="BI488" s="14"/>
      <c r="BJ488" s="14"/>
      <c r="BK488" s="15"/>
      <c r="BL488" s="15"/>
      <c r="BM488" s="16"/>
    </row>
    <row r="489" spans="1:65" ht="76.5" x14ac:dyDescent="0.2">
      <c r="A489" s="329">
        <v>273</v>
      </c>
      <c r="B489" s="77" t="s">
        <v>1856</v>
      </c>
      <c r="C489" s="70" t="s">
        <v>1084</v>
      </c>
      <c r="D489" s="81" t="s">
        <v>1542</v>
      </c>
      <c r="E489" s="12"/>
      <c r="F489" s="21" t="s">
        <v>1551</v>
      </c>
      <c r="G489" s="23"/>
      <c r="H489" s="7"/>
      <c r="I489" s="7"/>
      <c r="J489" s="7"/>
      <c r="K489" s="8" t="s">
        <v>1864</v>
      </c>
      <c r="L489" s="21" t="s">
        <v>1566</v>
      </c>
      <c r="M489" s="21" t="s">
        <v>1567</v>
      </c>
      <c r="N489" s="73">
        <v>42989</v>
      </c>
      <c r="O489" s="10">
        <v>2371.7800000000002</v>
      </c>
      <c r="P489" s="74">
        <v>12148</v>
      </c>
      <c r="Q489" s="73">
        <v>42989</v>
      </c>
      <c r="R489" s="73">
        <v>43100</v>
      </c>
      <c r="S489" s="6" t="s">
        <v>1858</v>
      </c>
      <c r="T489" s="6"/>
      <c r="U489" s="6"/>
      <c r="V489" s="6"/>
      <c r="W489" s="6" t="s">
        <v>229</v>
      </c>
      <c r="X489" s="6"/>
      <c r="Y489" s="6"/>
      <c r="Z489" s="6"/>
      <c r="AA489" s="6"/>
      <c r="AB489" s="6"/>
      <c r="AC489" s="6"/>
      <c r="AD489" s="6"/>
      <c r="AE489" s="6"/>
      <c r="AF489" s="6"/>
      <c r="AG489" s="6"/>
      <c r="AH489" s="6"/>
      <c r="AI489" s="6"/>
      <c r="AJ489" s="6"/>
      <c r="AK489" s="6"/>
      <c r="AL489" s="194">
        <f t="shared" si="8"/>
        <v>2371.7800000000002</v>
      </c>
      <c r="AM489" s="10"/>
      <c r="AN489" s="11">
        <f>2371.78</f>
        <v>2371.7800000000002</v>
      </c>
      <c r="AO489" s="138">
        <f t="shared" si="7"/>
        <v>2371.7800000000002</v>
      </c>
      <c r="AP489" s="13"/>
      <c r="AQ489" s="13"/>
      <c r="AR489" s="13"/>
      <c r="AS489" s="13"/>
      <c r="AT489" s="12"/>
      <c r="AU489" s="16"/>
      <c r="AV489" s="14" t="s">
        <v>138</v>
      </c>
      <c r="AW489" s="6" t="s">
        <v>1588</v>
      </c>
      <c r="AX489" s="83">
        <v>12121</v>
      </c>
      <c r="AY489" s="84">
        <v>42968</v>
      </c>
      <c r="AZ489" s="79">
        <v>12135</v>
      </c>
      <c r="BA489" s="80">
        <v>42989</v>
      </c>
      <c r="BB489" s="14"/>
      <c r="BC489" s="14"/>
      <c r="BD489" s="14"/>
      <c r="BE489" s="17"/>
      <c r="BF489" s="17"/>
      <c r="BG489" s="17"/>
      <c r="BH489" s="14"/>
      <c r="BI489" s="14"/>
      <c r="BJ489" s="14"/>
      <c r="BK489" s="15"/>
      <c r="BL489" s="15"/>
      <c r="BM489" s="16"/>
    </row>
    <row r="490" spans="1:65" ht="76.5" x14ac:dyDescent="0.2">
      <c r="A490" s="329">
        <v>274</v>
      </c>
      <c r="B490" s="77" t="s">
        <v>1856</v>
      </c>
      <c r="C490" s="70" t="s">
        <v>1084</v>
      </c>
      <c r="D490" s="81" t="s">
        <v>1542</v>
      </c>
      <c r="E490" s="12"/>
      <c r="F490" s="21" t="s">
        <v>1551</v>
      </c>
      <c r="G490" s="23"/>
      <c r="H490" s="7"/>
      <c r="I490" s="7"/>
      <c r="J490" s="7"/>
      <c r="K490" s="8" t="s">
        <v>1865</v>
      </c>
      <c r="L490" s="21" t="s">
        <v>1544</v>
      </c>
      <c r="M490" s="21" t="s">
        <v>1546</v>
      </c>
      <c r="N490" s="73">
        <v>42989</v>
      </c>
      <c r="O490" s="10">
        <v>2371.7800000000002</v>
      </c>
      <c r="P490" s="74">
        <v>12148</v>
      </c>
      <c r="Q490" s="73">
        <v>42989</v>
      </c>
      <c r="R490" s="73">
        <v>43100</v>
      </c>
      <c r="S490" s="6" t="s">
        <v>1858</v>
      </c>
      <c r="T490" s="6"/>
      <c r="U490" s="6"/>
      <c r="V490" s="6"/>
      <c r="W490" s="6" t="s">
        <v>229</v>
      </c>
      <c r="X490" s="6"/>
      <c r="Y490" s="6"/>
      <c r="Z490" s="6"/>
      <c r="AA490" s="6"/>
      <c r="AB490" s="6"/>
      <c r="AC490" s="6"/>
      <c r="AD490" s="6"/>
      <c r="AE490" s="6"/>
      <c r="AF490" s="6"/>
      <c r="AG490" s="6"/>
      <c r="AH490" s="6"/>
      <c r="AI490" s="6"/>
      <c r="AJ490" s="6"/>
      <c r="AK490" s="6"/>
      <c r="AL490" s="194">
        <f t="shared" si="8"/>
        <v>2371.7800000000002</v>
      </c>
      <c r="AM490" s="10"/>
      <c r="AN490" s="11">
        <f>2371.78</f>
        <v>2371.7800000000002</v>
      </c>
      <c r="AO490" s="138">
        <f t="shared" si="7"/>
        <v>2371.7800000000002</v>
      </c>
      <c r="AP490" s="13"/>
      <c r="AQ490" s="13"/>
      <c r="AR490" s="13"/>
      <c r="AS490" s="13"/>
      <c r="AT490" s="12"/>
      <c r="AU490" s="16"/>
      <c r="AV490" s="14" t="s">
        <v>138</v>
      </c>
      <c r="AW490" s="6" t="s">
        <v>1588</v>
      </c>
      <c r="AX490" s="83">
        <v>12121</v>
      </c>
      <c r="AY490" s="84">
        <v>42968</v>
      </c>
      <c r="AZ490" s="79">
        <v>12135</v>
      </c>
      <c r="BA490" s="80">
        <v>42989</v>
      </c>
      <c r="BB490" s="14"/>
      <c r="BC490" s="14"/>
      <c r="BD490" s="14"/>
      <c r="BE490" s="17"/>
      <c r="BF490" s="17"/>
      <c r="BG490" s="17"/>
      <c r="BH490" s="14"/>
      <c r="BI490" s="14"/>
      <c r="BJ490" s="14"/>
      <c r="BK490" s="15"/>
      <c r="BL490" s="15"/>
      <c r="BM490" s="16"/>
    </row>
    <row r="491" spans="1:65" ht="76.5" x14ac:dyDescent="0.2">
      <c r="A491" s="329">
        <v>275</v>
      </c>
      <c r="B491" s="77" t="s">
        <v>1856</v>
      </c>
      <c r="C491" s="70" t="s">
        <v>1084</v>
      </c>
      <c r="D491" s="81" t="s">
        <v>1542</v>
      </c>
      <c r="E491" s="12"/>
      <c r="F491" s="21" t="s">
        <v>1551</v>
      </c>
      <c r="G491" s="23"/>
      <c r="H491" s="7"/>
      <c r="I491" s="7"/>
      <c r="J491" s="7"/>
      <c r="K491" s="8" t="s">
        <v>1866</v>
      </c>
      <c r="L491" s="21" t="s">
        <v>1554</v>
      </c>
      <c r="M491" s="21" t="s">
        <v>1555</v>
      </c>
      <c r="N491" s="73">
        <v>42989</v>
      </c>
      <c r="O491" s="10">
        <v>2371.7800000000002</v>
      </c>
      <c r="P491" s="74">
        <v>12148</v>
      </c>
      <c r="Q491" s="73">
        <v>42989</v>
      </c>
      <c r="R491" s="73">
        <v>43100</v>
      </c>
      <c r="S491" s="6" t="s">
        <v>1858</v>
      </c>
      <c r="T491" s="6"/>
      <c r="U491" s="6"/>
      <c r="V491" s="6"/>
      <c r="W491" s="6" t="s">
        <v>229</v>
      </c>
      <c r="X491" s="6"/>
      <c r="Y491" s="6"/>
      <c r="Z491" s="6"/>
      <c r="AA491" s="6"/>
      <c r="AB491" s="6"/>
      <c r="AC491" s="6"/>
      <c r="AD491" s="6"/>
      <c r="AE491" s="6"/>
      <c r="AF491" s="6"/>
      <c r="AG491" s="6"/>
      <c r="AH491" s="6"/>
      <c r="AI491" s="6"/>
      <c r="AJ491" s="6"/>
      <c r="AK491" s="6"/>
      <c r="AL491" s="194">
        <f t="shared" si="8"/>
        <v>2371.7800000000002</v>
      </c>
      <c r="AM491" s="10"/>
      <c r="AN491" s="11"/>
      <c r="AO491" s="138">
        <f t="shared" si="7"/>
        <v>0</v>
      </c>
      <c r="AP491" s="13"/>
      <c r="AQ491" s="13"/>
      <c r="AR491" s="13"/>
      <c r="AS491" s="13"/>
      <c r="AT491" s="12"/>
      <c r="AU491" s="16"/>
      <c r="AV491" s="14" t="s">
        <v>138</v>
      </c>
      <c r="AW491" s="6" t="s">
        <v>1588</v>
      </c>
      <c r="AX491" s="83">
        <v>12121</v>
      </c>
      <c r="AY491" s="84">
        <v>42968</v>
      </c>
      <c r="AZ491" s="79">
        <v>12135</v>
      </c>
      <c r="BA491" s="80">
        <v>42989</v>
      </c>
      <c r="BB491" s="14"/>
      <c r="BC491" s="14"/>
      <c r="BD491" s="14"/>
      <c r="BE491" s="17"/>
      <c r="BF491" s="17"/>
      <c r="BG491" s="17"/>
      <c r="BH491" s="14"/>
      <c r="BI491" s="14"/>
      <c r="BJ491" s="14"/>
      <c r="BK491" s="15"/>
      <c r="BL491" s="15"/>
      <c r="BM491" s="16"/>
    </row>
    <row r="492" spans="1:65" ht="76.5" x14ac:dyDescent="0.2">
      <c r="A492" s="329">
        <v>276</v>
      </c>
      <c r="B492" s="77" t="s">
        <v>1856</v>
      </c>
      <c r="C492" s="70" t="s">
        <v>1084</v>
      </c>
      <c r="D492" s="81" t="s">
        <v>1542</v>
      </c>
      <c r="E492" s="12"/>
      <c r="F492" s="21" t="s">
        <v>1551</v>
      </c>
      <c r="G492" s="23"/>
      <c r="H492" s="7"/>
      <c r="I492" s="7"/>
      <c r="J492" s="7"/>
      <c r="K492" s="8" t="s">
        <v>1867</v>
      </c>
      <c r="L492" s="21" t="s">
        <v>1871</v>
      </c>
      <c r="M492" s="21" t="s">
        <v>1872</v>
      </c>
      <c r="N492" s="73">
        <v>42989</v>
      </c>
      <c r="O492" s="10">
        <v>2371.7800000000002</v>
      </c>
      <c r="P492" s="74">
        <v>12148</v>
      </c>
      <c r="Q492" s="73">
        <v>42989</v>
      </c>
      <c r="R492" s="73">
        <v>43100</v>
      </c>
      <c r="S492" s="6" t="s">
        <v>1858</v>
      </c>
      <c r="T492" s="6"/>
      <c r="U492" s="6"/>
      <c r="V492" s="6"/>
      <c r="W492" s="6" t="s">
        <v>229</v>
      </c>
      <c r="X492" s="6"/>
      <c r="Y492" s="6"/>
      <c r="Z492" s="6"/>
      <c r="AA492" s="6"/>
      <c r="AB492" s="6"/>
      <c r="AC492" s="6"/>
      <c r="AD492" s="6"/>
      <c r="AE492" s="6"/>
      <c r="AF492" s="6"/>
      <c r="AG492" s="6"/>
      <c r="AH492" s="6"/>
      <c r="AI492" s="6"/>
      <c r="AJ492" s="6"/>
      <c r="AK492" s="6"/>
      <c r="AL492" s="194">
        <f t="shared" si="8"/>
        <v>2371.7800000000002</v>
      </c>
      <c r="AM492" s="10"/>
      <c r="AN492" s="11">
        <f t="shared" ref="AN492:AN493" si="9">2371.78</f>
        <v>2371.7800000000002</v>
      </c>
      <c r="AO492" s="138">
        <f t="shared" si="7"/>
        <v>2371.7800000000002</v>
      </c>
      <c r="AP492" s="13"/>
      <c r="AQ492" s="13"/>
      <c r="AR492" s="13"/>
      <c r="AS492" s="13"/>
      <c r="AT492" s="12"/>
      <c r="AU492" s="16"/>
      <c r="AV492" s="14" t="s">
        <v>138</v>
      </c>
      <c r="AW492" s="6" t="s">
        <v>1588</v>
      </c>
      <c r="AX492" s="83">
        <v>12121</v>
      </c>
      <c r="AY492" s="84">
        <v>42968</v>
      </c>
      <c r="AZ492" s="79">
        <v>12135</v>
      </c>
      <c r="BA492" s="80">
        <v>42989</v>
      </c>
      <c r="BB492" s="14"/>
      <c r="BC492" s="14"/>
      <c r="BD492" s="14"/>
      <c r="BE492" s="17"/>
      <c r="BF492" s="17"/>
      <c r="BG492" s="17"/>
      <c r="BH492" s="14"/>
      <c r="BI492" s="14"/>
      <c r="BJ492" s="14"/>
      <c r="BK492" s="15"/>
      <c r="BL492" s="15"/>
      <c r="BM492" s="16"/>
    </row>
    <row r="493" spans="1:65" ht="76.5" x14ac:dyDescent="0.2">
      <c r="A493" s="329">
        <v>277</v>
      </c>
      <c r="B493" s="77" t="s">
        <v>1856</v>
      </c>
      <c r="C493" s="70" t="s">
        <v>1084</v>
      </c>
      <c r="D493" s="81" t="s">
        <v>1542</v>
      </c>
      <c r="E493" s="12"/>
      <c r="F493" s="21" t="s">
        <v>1551</v>
      </c>
      <c r="G493" s="23"/>
      <c r="H493" s="7"/>
      <c r="I493" s="7"/>
      <c r="J493" s="7"/>
      <c r="K493" s="8" t="s">
        <v>1868</v>
      </c>
      <c r="L493" s="21" t="s">
        <v>1557</v>
      </c>
      <c r="M493" s="21" t="s">
        <v>1558</v>
      </c>
      <c r="N493" s="73">
        <v>42989</v>
      </c>
      <c r="O493" s="10">
        <v>2371.7800000000002</v>
      </c>
      <c r="P493" s="74">
        <v>12148</v>
      </c>
      <c r="Q493" s="73">
        <v>42989</v>
      </c>
      <c r="R493" s="73">
        <v>43100</v>
      </c>
      <c r="S493" s="6" t="s">
        <v>1858</v>
      </c>
      <c r="T493" s="6"/>
      <c r="U493" s="6"/>
      <c r="V493" s="6"/>
      <c r="W493" s="6" t="s">
        <v>229</v>
      </c>
      <c r="X493" s="6"/>
      <c r="Y493" s="6"/>
      <c r="Z493" s="6"/>
      <c r="AA493" s="6"/>
      <c r="AB493" s="6"/>
      <c r="AC493" s="6"/>
      <c r="AD493" s="6"/>
      <c r="AE493" s="6"/>
      <c r="AF493" s="6"/>
      <c r="AG493" s="6"/>
      <c r="AH493" s="6"/>
      <c r="AI493" s="6"/>
      <c r="AJ493" s="6"/>
      <c r="AK493" s="6"/>
      <c r="AL493" s="194">
        <f t="shared" si="8"/>
        <v>2371.7800000000002</v>
      </c>
      <c r="AM493" s="10"/>
      <c r="AN493" s="11">
        <f t="shared" si="9"/>
        <v>2371.7800000000002</v>
      </c>
      <c r="AO493" s="138">
        <f t="shared" si="7"/>
        <v>2371.7800000000002</v>
      </c>
      <c r="AP493" s="13"/>
      <c r="AQ493" s="13"/>
      <c r="AR493" s="13"/>
      <c r="AS493" s="13"/>
      <c r="AT493" s="12"/>
      <c r="AU493" s="16"/>
      <c r="AV493" s="14" t="s">
        <v>138</v>
      </c>
      <c r="AW493" s="6" t="s">
        <v>1588</v>
      </c>
      <c r="AX493" s="83">
        <v>12121</v>
      </c>
      <c r="AY493" s="84">
        <v>42968</v>
      </c>
      <c r="AZ493" s="79">
        <v>12135</v>
      </c>
      <c r="BA493" s="80">
        <v>42989</v>
      </c>
      <c r="BB493" s="14"/>
      <c r="BC493" s="14"/>
      <c r="BD493" s="14"/>
      <c r="BE493" s="17"/>
      <c r="BF493" s="17"/>
      <c r="BG493" s="17"/>
      <c r="BH493" s="14"/>
      <c r="BI493" s="14"/>
      <c r="BJ493" s="14"/>
      <c r="BK493" s="15"/>
      <c r="BL493" s="15"/>
      <c r="BM493" s="16"/>
    </row>
    <row r="494" spans="1:65" ht="76.5" x14ac:dyDescent="0.2">
      <c r="A494" s="329">
        <v>278</v>
      </c>
      <c r="B494" s="77" t="s">
        <v>1856</v>
      </c>
      <c r="C494" s="70" t="s">
        <v>1084</v>
      </c>
      <c r="D494" s="81" t="s">
        <v>1542</v>
      </c>
      <c r="E494" s="12"/>
      <c r="F494" s="21" t="s">
        <v>1551</v>
      </c>
      <c r="G494" s="23"/>
      <c r="H494" s="7"/>
      <c r="I494" s="7"/>
      <c r="J494" s="7"/>
      <c r="K494" s="8" t="s">
        <v>1869</v>
      </c>
      <c r="L494" s="21" t="s">
        <v>1873</v>
      </c>
      <c r="M494" s="21" t="s">
        <v>1874</v>
      </c>
      <c r="N494" s="73">
        <v>42989</v>
      </c>
      <c r="O494" s="10">
        <v>2371.7800000000002</v>
      </c>
      <c r="P494" s="74">
        <v>12151</v>
      </c>
      <c r="Q494" s="73">
        <v>42989</v>
      </c>
      <c r="R494" s="73">
        <v>43100</v>
      </c>
      <c r="S494" s="6" t="s">
        <v>1858</v>
      </c>
      <c r="T494" s="6"/>
      <c r="U494" s="6"/>
      <c r="V494" s="6"/>
      <c r="W494" s="6" t="s">
        <v>229</v>
      </c>
      <c r="X494" s="6"/>
      <c r="Y494" s="6"/>
      <c r="Z494" s="6"/>
      <c r="AA494" s="6"/>
      <c r="AB494" s="6"/>
      <c r="AC494" s="6"/>
      <c r="AD494" s="6"/>
      <c r="AE494" s="6"/>
      <c r="AF494" s="6"/>
      <c r="AG494" s="6"/>
      <c r="AH494" s="6"/>
      <c r="AI494" s="6"/>
      <c r="AJ494" s="6"/>
      <c r="AK494" s="6"/>
      <c r="AL494" s="194">
        <f t="shared" si="8"/>
        <v>2371.7800000000002</v>
      </c>
      <c r="AM494" s="10"/>
      <c r="AN494" s="11">
        <f>2371.78</f>
        <v>2371.7800000000002</v>
      </c>
      <c r="AO494" s="138">
        <f t="shared" si="7"/>
        <v>2371.7800000000002</v>
      </c>
      <c r="AP494" s="13"/>
      <c r="AQ494" s="13"/>
      <c r="AR494" s="13"/>
      <c r="AS494" s="13"/>
      <c r="AT494" s="12"/>
      <c r="AU494" s="16"/>
      <c r="AV494" s="14" t="s">
        <v>138</v>
      </c>
      <c r="AW494" s="6" t="s">
        <v>1588</v>
      </c>
      <c r="AX494" s="83">
        <v>12121</v>
      </c>
      <c r="AY494" s="84">
        <v>42968</v>
      </c>
      <c r="AZ494" s="79">
        <v>12135</v>
      </c>
      <c r="BA494" s="80">
        <v>42989</v>
      </c>
      <c r="BB494" s="14"/>
      <c r="BC494" s="14"/>
      <c r="BD494" s="14"/>
      <c r="BE494" s="17"/>
      <c r="BF494" s="17"/>
      <c r="BG494" s="17"/>
      <c r="BH494" s="14"/>
      <c r="BI494" s="14"/>
      <c r="BJ494" s="14"/>
      <c r="BK494" s="15"/>
      <c r="BL494" s="15"/>
      <c r="BM494" s="16"/>
    </row>
    <row r="495" spans="1:65" ht="38.25" x14ac:dyDescent="0.2">
      <c r="A495" s="329">
        <v>279</v>
      </c>
      <c r="B495" s="77" t="s">
        <v>1387</v>
      </c>
      <c r="C495" s="70" t="s">
        <v>1096</v>
      </c>
      <c r="D495" s="81" t="s">
        <v>130</v>
      </c>
      <c r="E495" s="89" t="s">
        <v>372</v>
      </c>
      <c r="F495" s="21" t="s">
        <v>1389</v>
      </c>
      <c r="G495" s="71" t="s">
        <v>1425</v>
      </c>
      <c r="H495" s="7" t="s">
        <v>1096</v>
      </c>
      <c r="I495" s="67">
        <v>42802</v>
      </c>
      <c r="J495" s="67">
        <v>43167</v>
      </c>
      <c r="K495" s="8" t="s">
        <v>1875</v>
      </c>
      <c r="L495" s="21" t="s">
        <v>1401</v>
      </c>
      <c r="M495" s="21" t="s">
        <v>1402</v>
      </c>
      <c r="N495" s="73">
        <v>42996</v>
      </c>
      <c r="O495" s="10">
        <v>4814.1499999999996</v>
      </c>
      <c r="P495" s="74">
        <v>12144</v>
      </c>
      <c r="Q495" s="73">
        <v>42996</v>
      </c>
      <c r="R495" s="73">
        <v>43100</v>
      </c>
      <c r="S495" s="6" t="s">
        <v>206</v>
      </c>
      <c r="T495" s="6"/>
      <c r="U495" s="6"/>
      <c r="V495" s="6"/>
      <c r="W495" s="6" t="s">
        <v>192</v>
      </c>
      <c r="X495" s="6"/>
      <c r="Y495" s="6"/>
      <c r="Z495" s="6"/>
      <c r="AA495" s="6"/>
      <c r="AB495" s="6"/>
      <c r="AC495" s="6"/>
      <c r="AD495" s="6"/>
      <c r="AE495" s="6"/>
      <c r="AF495" s="6"/>
      <c r="AG495" s="6"/>
      <c r="AH495" s="6"/>
      <c r="AI495" s="6"/>
      <c r="AJ495" s="6"/>
      <c r="AK495" s="6"/>
      <c r="AL495" s="194">
        <f t="shared" si="8"/>
        <v>4814.1499999999996</v>
      </c>
      <c r="AM495" s="10"/>
      <c r="AN495" s="11"/>
      <c r="AO495" s="138">
        <f t="shared" si="7"/>
        <v>0</v>
      </c>
      <c r="AP495" s="13"/>
      <c r="AQ495" s="13"/>
      <c r="AR495" s="13"/>
      <c r="AS495" s="13"/>
      <c r="AT495" s="12"/>
      <c r="AU495" s="16"/>
      <c r="AV495" s="14"/>
      <c r="AW495" s="14"/>
      <c r="AX495" s="14"/>
      <c r="AY495" s="14"/>
      <c r="AZ495" s="16"/>
      <c r="BA495" s="16"/>
      <c r="BB495" s="14"/>
      <c r="BC495" s="14"/>
      <c r="BD495" s="14"/>
      <c r="BE495" s="17"/>
      <c r="BF495" s="17"/>
      <c r="BG495" s="17"/>
      <c r="BH495" s="14"/>
      <c r="BI495" s="14"/>
      <c r="BJ495" s="14"/>
      <c r="BK495" s="15"/>
      <c r="BL495" s="15"/>
      <c r="BM495" s="16"/>
    </row>
    <row r="496" spans="1:65" ht="38.25" x14ac:dyDescent="0.2">
      <c r="A496" s="329">
        <v>280</v>
      </c>
      <c r="B496" s="77" t="s">
        <v>1387</v>
      </c>
      <c r="C496" s="70" t="s">
        <v>1096</v>
      </c>
      <c r="D496" s="81" t="s">
        <v>130</v>
      </c>
      <c r="E496" s="89" t="s">
        <v>372</v>
      </c>
      <c r="F496" s="21" t="s">
        <v>1389</v>
      </c>
      <c r="G496" s="71" t="s">
        <v>1425</v>
      </c>
      <c r="H496" s="7" t="s">
        <v>1096</v>
      </c>
      <c r="I496" s="67">
        <v>42802</v>
      </c>
      <c r="J496" s="67">
        <v>43167</v>
      </c>
      <c r="K496" s="8" t="s">
        <v>1876</v>
      </c>
      <c r="L496" s="21" t="s">
        <v>1452</v>
      </c>
      <c r="M496" s="21" t="s">
        <v>1413</v>
      </c>
      <c r="N496" s="73">
        <v>42996</v>
      </c>
      <c r="O496" s="10">
        <v>2329.5</v>
      </c>
      <c r="P496" s="74">
        <v>12143</v>
      </c>
      <c r="Q496" s="73">
        <v>42996</v>
      </c>
      <c r="R496" s="73">
        <v>43100</v>
      </c>
      <c r="S496" s="6" t="s">
        <v>206</v>
      </c>
      <c r="T496" s="6"/>
      <c r="U496" s="6"/>
      <c r="V496" s="6"/>
      <c r="W496" s="6" t="s">
        <v>192</v>
      </c>
      <c r="X496" s="6"/>
      <c r="Y496" s="6"/>
      <c r="Z496" s="6"/>
      <c r="AA496" s="6"/>
      <c r="AB496" s="6"/>
      <c r="AC496" s="6"/>
      <c r="AD496" s="6"/>
      <c r="AE496" s="6"/>
      <c r="AF496" s="6"/>
      <c r="AG496" s="6"/>
      <c r="AH496" s="6"/>
      <c r="AI496" s="6"/>
      <c r="AJ496" s="6"/>
      <c r="AK496" s="6"/>
      <c r="AL496" s="194">
        <f t="shared" si="8"/>
        <v>2329.5</v>
      </c>
      <c r="AM496" s="10"/>
      <c r="AN496" s="11">
        <f>2329.5</f>
        <v>2329.5</v>
      </c>
      <c r="AO496" s="138">
        <f t="shared" si="7"/>
        <v>2329.5</v>
      </c>
      <c r="AP496" s="13"/>
      <c r="AQ496" s="13"/>
      <c r="AR496" s="13"/>
      <c r="AS496" s="13"/>
      <c r="AT496" s="12"/>
      <c r="AU496" s="16"/>
      <c r="AV496" s="14"/>
      <c r="AW496" s="14"/>
      <c r="AX496" s="14"/>
      <c r="AY496" s="14"/>
      <c r="AZ496" s="16"/>
      <c r="BA496" s="16"/>
      <c r="BB496" s="14"/>
      <c r="BC496" s="14"/>
      <c r="BD496" s="14"/>
      <c r="BE496" s="17"/>
      <c r="BF496" s="17"/>
      <c r="BG496" s="17"/>
      <c r="BH496" s="14"/>
      <c r="BI496" s="14"/>
      <c r="BJ496" s="14"/>
      <c r="BK496" s="15"/>
      <c r="BL496" s="15"/>
      <c r="BM496" s="16"/>
    </row>
    <row r="497" spans="1:65" ht="38.25" x14ac:dyDescent="0.2">
      <c r="A497" s="329">
        <v>281</v>
      </c>
      <c r="B497" s="77" t="s">
        <v>1387</v>
      </c>
      <c r="C497" s="70" t="s">
        <v>1096</v>
      </c>
      <c r="D497" s="81" t="s">
        <v>130</v>
      </c>
      <c r="E497" s="89" t="s">
        <v>372</v>
      </c>
      <c r="F497" s="21" t="s">
        <v>1389</v>
      </c>
      <c r="G497" s="71" t="s">
        <v>1425</v>
      </c>
      <c r="H497" s="7" t="s">
        <v>1096</v>
      </c>
      <c r="I497" s="67">
        <v>42802</v>
      </c>
      <c r="J497" s="67">
        <v>43167</v>
      </c>
      <c r="K497" s="8" t="s">
        <v>1877</v>
      </c>
      <c r="L497" s="21" t="s">
        <v>886</v>
      </c>
      <c r="M497" s="21" t="s">
        <v>908</v>
      </c>
      <c r="N497" s="73">
        <v>42996</v>
      </c>
      <c r="O497" s="10">
        <v>3766</v>
      </c>
      <c r="P497" s="74">
        <v>12144</v>
      </c>
      <c r="Q497" s="73">
        <v>42996</v>
      </c>
      <c r="R497" s="73">
        <v>43100</v>
      </c>
      <c r="S497" s="6" t="s">
        <v>206</v>
      </c>
      <c r="T497" s="6"/>
      <c r="U497" s="6"/>
      <c r="V497" s="6"/>
      <c r="W497" s="6" t="s">
        <v>192</v>
      </c>
      <c r="X497" s="6"/>
      <c r="Y497" s="6"/>
      <c r="Z497" s="6"/>
      <c r="AA497" s="6"/>
      <c r="AB497" s="6"/>
      <c r="AC497" s="6"/>
      <c r="AD497" s="6"/>
      <c r="AE497" s="6"/>
      <c r="AF497" s="6"/>
      <c r="AG497" s="6"/>
      <c r="AH497" s="6"/>
      <c r="AI497" s="6"/>
      <c r="AJ497" s="6"/>
      <c r="AK497" s="6"/>
      <c r="AL497" s="194">
        <f t="shared" si="8"/>
        <v>3766</v>
      </c>
      <c r="AM497" s="10"/>
      <c r="AN497" s="11">
        <f>3766</f>
        <v>3766</v>
      </c>
      <c r="AO497" s="138">
        <f t="shared" si="7"/>
        <v>3766</v>
      </c>
      <c r="AP497" s="13"/>
      <c r="AQ497" s="13"/>
      <c r="AR497" s="13"/>
      <c r="AS497" s="13"/>
      <c r="AT497" s="12"/>
      <c r="AU497" s="16"/>
      <c r="AV497" s="14"/>
      <c r="AW497" s="14"/>
      <c r="AX497" s="14"/>
      <c r="AY497" s="14"/>
      <c r="AZ497" s="16"/>
      <c r="BA497" s="16"/>
      <c r="BB497" s="14"/>
      <c r="BC497" s="14"/>
      <c r="BD497" s="14"/>
      <c r="BE497" s="17"/>
      <c r="BF497" s="17"/>
      <c r="BG497" s="17"/>
      <c r="BH497" s="14"/>
      <c r="BI497" s="14"/>
      <c r="BJ497" s="14"/>
      <c r="BK497" s="15"/>
      <c r="BL497" s="15"/>
      <c r="BM497" s="16"/>
    </row>
    <row r="498" spans="1:65" ht="38.25" x14ac:dyDescent="0.2">
      <c r="A498" s="329">
        <v>282</v>
      </c>
      <c r="B498" s="77" t="s">
        <v>1387</v>
      </c>
      <c r="C498" s="70" t="s">
        <v>1096</v>
      </c>
      <c r="D498" s="81" t="s">
        <v>130</v>
      </c>
      <c r="E498" s="89" t="s">
        <v>372</v>
      </c>
      <c r="F498" s="21" t="s">
        <v>1389</v>
      </c>
      <c r="G498" s="71" t="s">
        <v>1425</v>
      </c>
      <c r="H498" s="7" t="s">
        <v>1096</v>
      </c>
      <c r="I498" s="67">
        <v>42802</v>
      </c>
      <c r="J498" s="67">
        <v>43167</v>
      </c>
      <c r="K498" s="8" t="s">
        <v>1878</v>
      </c>
      <c r="L498" s="21" t="s">
        <v>1315</v>
      </c>
      <c r="M498" s="21" t="s">
        <v>885</v>
      </c>
      <c r="N498" s="73">
        <v>42996</v>
      </c>
      <c r="O498" s="10">
        <v>4020.3</v>
      </c>
      <c r="P498" s="74">
        <v>12143</v>
      </c>
      <c r="Q498" s="73">
        <v>42996</v>
      </c>
      <c r="R498" s="73">
        <v>43100</v>
      </c>
      <c r="S498" s="6" t="s">
        <v>206</v>
      </c>
      <c r="T498" s="6"/>
      <c r="U498" s="6"/>
      <c r="V498" s="6"/>
      <c r="W498" s="6" t="s">
        <v>192</v>
      </c>
      <c r="X498" s="6"/>
      <c r="Y498" s="6"/>
      <c r="Z498" s="6"/>
      <c r="AA498" s="6"/>
      <c r="AB498" s="6"/>
      <c r="AC498" s="6"/>
      <c r="AD498" s="6"/>
      <c r="AE498" s="6"/>
      <c r="AF498" s="6"/>
      <c r="AG498" s="6"/>
      <c r="AH498" s="6"/>
      <c r="AI498" s="6"/>
      <c r="AJ498" s="6"/>
      <c r="AK498" s="6"/>
      <c r="AL498" s="194">
        <f t="shared" si="8"/>
        <v>4020.3</v>
      </c>
      <c r="AM498" s="10"/>
      <c r="AN498" s="11"/>
      <c r="AO498" s="138">
        <f t="shared" si="7"/>
        <v>0</v>
      </c>
      <c r="AP498" s="13"/>
      <c r="AQ498" s="13"/>
      <c r="AR498" s="13"/>
      <c r="AS498" s="13"/>
      <c r="AT498" s="12"/>
      <c r="AU498" s="16"/>
      <c r="AV498" s="14"/>
      <c r="AW498" s="14"/>
      <c r="AX498" s="14"/>
      <c r="AY498" s="14"/>
      <c r="AZ498" s="16"/>
      <c r="BA498" s="16"/>
      <c r="BB498" s="14"/>
      <c r="BC498" s="14"/>
      <c r="BD498" s="14"/>
      <c r="BE498" s="17"/>
      <c r="BF498" s="17"/>
      <c r="BG498" s="17"/>
      <c r="BH498" s="14"/>
      <c r="BI498" s="14"/>
      <c r="BJ498" s="14"/>
      <c r="BK498" s="15"/>
      <c r="BL498" s="15"/>
      <c r="BM498" s="16"/>
    </row>
    <row r="499" spans="1:65" ht="38.25" x14ac:dyDescent="0.2">
      <c r="A499" s="329">
        <v>283</v>
      </c>
      <c r="B499" s="77" t="s">
        <v>1387</v>
      </c>
      <c r="C499" s="70" t="s">
        <v>1096</v>
      </c>
      <c r="D499" s="81" t="s">
        <v>130</v>
      </c>
      <c r="E499" s="89" t="s">
        <v>372</v>
      </c>
      <c r="F499" s="21" t="s">
        <v>1389</v>
      </c>
      <c r="G499" s="71" t="s">
        <v>1425</v>
      </c>
      <c r="H499" s="7" t="s">
        <v>1096</v>
      </c>
      <c r="I499" s="67">
        <v>42802</v>
      </c>
      <c r="J499" s="67">
        <v>43167</v>
      </c>
      <c r="K499" s="8" t="s">
        <v>1879</v>
      </c>
      <c r="L499" s="21" t="s">
        <v>1395</v>
      </c>
      <c r="M499" s="21" t="s">
        <v>1396</v>
      </c>
      <c r="N499" s="73">
        <v>42996</v>
      </c>
      <c r="O499" s="10">
        <v>8520</v>
      </c>
      <c r="P499" s="74">
        <v>12143</v>
      </c>
      <c r="Q499" s="73">
        <v>42996</v>
      </c>
      <c r="R499" s="73">
        <v>43100</v>
      </c>
      <c r="S499" s="6" t="s">
        <v>206</v>
      </c>
      <c r="T499" s="6"/>
      <c r="U499" s="6"/>
      <c r="V499" s="6"/>
      <c r="W499" s="6" t="s">
        <v>192</v>
      </c>
      <c r="X499" s="6"/>
      <c r="Y499" s="6"/>
      <c r="Z499" s="6"/>
      <c r="AA499" s="6"/>
      <c r="AB499" s="6"/>
      <c r="AC499" s="6"/>
      <c r="AD499" s="6"/>
      <c r="AE499" s="6"/>
      <c r="AF499" s="6"/>
      <c r="AG499" s="6"/>
      <c r="AH499" s="6"/>
      <c r="AI499" s="6"/>
      <c r="AJ499" s="6"/>
      <c r="AK499" s="6"/>
      <c r="AL499" s="194">
        <f t="shared" si="8"/>
        <v>8520</v>
      </c>
      <c r="AM499" s="10"/>
      <c r="AN499" s="11"/>
      <c r="AO499" s="138">
        <f t="shared" si="7"/>
        <v>0</v>
      </c>
      <c r="AP499" s="13"/>
      <c r="AQ499" s="13"/>
      <c r="AR499" s="13"/>
      <c r="AS499" s="13"/>
      <c r="AT499" s="12"/>
      <c r="AU499" s="16"/>
      <c r="AV499" s="14"/>
      <c r="AW499" s="14"/>
      <c r="AX499" s="14"/>
      <c r="AY499" s="14"/>
      <c r="AZ499" s="16"/>
      <c r="BA499" s="16"/>
      <c r="BB499" s="14"/>
      <c r="BC499" s="14"/>
      <c r="BD499" s="14"/>
      <c r="BE499" s="17"/>
      <c r="BF499" s="17"/>
      <c r="BG499" s="17"/>
      <c r="BH499" s="14"/>
      <c r="BI499" s="14"/>
      <c r="BJ499" s="14"/>
      <c r="BK499" s="15"/>
      <c r="BL499" s="15"/>
      <c r="BM499" s="16"/>
    </row>
    <row r="500" spans="1:65" ht="51" x14ac:dyDescent="0.2">
      <c r="A500" s="329">
        <v>284</v>
      </c>
      <c r="B500" s="77" t="s">
        <v>1896</v>
      </c>
      <c r="C500" s="70" t="s">
        <v>1092</v>
      </c>
      <c r="D500" s="81" t="s">
        <v>130</v>
      </c>
      <c r="E500" s="89" t="s">
        <v>372</v>
      </c>
      <c r="F500" s="21" t="s">
        <v>1897</v>
      </c>
      <c r="G500" s="71" t="s">
        <v>1917</v>
      </c>
      <c r="H500" s="7" t="s">
        <v>1098</v>
      </c>
      <c r="I500" s="67">
        <v>42807</v>
      </c>
      <c r="J500" s="67">
        <v>43172</v>
      </c>
      <c r="K500" s="8" t="s">
        <v>1880</v>
      </c>
      <c r="L500" s="21" t="s">
        <v>889</v>
      </c>
      <c r="M500" s="21" t="s">
        <v>1898</v>
      </c>
      <c r="N500" s="73">
        <v>42996</v>
      </c>
      <c r="O500" s="10">
        <v>316680</v>
      </c>
      <c r="P500" s="74">
        <v>12143</v>
      </c>
      <c r="Q500" s="73">
        <v>42996</v>
      </c>
      <c r="R500" s="73">
        <v>43361</v>
      </c>
      <c r="S500" s="6" t="s">
        <v>206</v>
      </c>
      <c r="T500" s="6"/>
      <c r="U500" s="6"/>
      <c r="V500" s="6"/>
      <c r="W500" s="6" t="s">
        <v>137</v>
      </c>
      <c r="X500" s="6"/>
      <c r="Y500" s="6"/>
      <c r="Z500" s="6"/>
      <c r="AA500" s="6"/>
      <c r="AB500" s="6"/>
      <c r="AC500" s="6"/>
      <c r="AD500" s="6"/>
      <c r="AE500" s="6"/>
      <c r="AF500" s="6"/>
      <c r="AG500" s="6"/>
      <c r="AH500" s="6"/>
      <c r="AI500" s="6"/>
      <c r="AJ500" s="6"/>
      <c r="AK500" s="6"/>
      <c r="AL500" s="194">
        <f t="shared" si="8"/>
        <v>316680</v>
      </c>
      <c r="AM500" s="10"/>
      <c r="AN500" s="11"/>
      <c r="AO500" s="138">
        <f t="shared" si="7"/>
        <v>0</v>
      </c>
      <c r="AP500" s="13"/>
      <c r="AQ500" s="13"/>
      <c r="AR500" s="13"/>
      <c r="AS500" s="13"/>
      <c r="AT500" s="12"/>
      <c r="AU500" s="16"/>
      <c r="AV500" s="14"/>
      <c r="AW500" s="14"/>
      <c r="AX500" s="14"/>
      <c r="AY500" s="14"/>
      <c r="AZ500" s="16"/>
      <c r="BA500" s="16"/>
      <c r="BB500" s="14"/>
      <c r="BC500" s="14"/>
      <c r="BD500" s="14"/>
      <c r="BE500" s="17"/>
      <c r="BF500" s="17"/>
      <c r="BG500" s="17"/>
      <c r="BH500" s="14"/>
      <c r="BI500" s="14"/>
      <c r="BJ500" s="14"/>
      <c r="BK500" s="15"/>
      <c r="BL500" s="15"/>
      <c r="BM500" s="16"/>
    </row>
    <row r="501" spans="1:65" ht="38.25" x14ac:dyDescent="0.2">
      <c r="A501" s="329">
        <v>285</v>
      </c>
      <c r="B501" s="77" t="s">
        <v>1899</v>
      </c>
      <c r="C501" s="70" t="s">
        <v>1239</v>
      </c>
      <c r="D501" s="81" t="s">
        <v>130</v>
      </c>
      <c r="E501" s="89" t="s">
        <v>372</v>
      </c>
      <c r="F501" s="21" t="s">
        <v>1900</v>
      </c>
      <c r="G501" s="71" t="s">
        <v>1918</v>
      </c>
      <c r="H501" s="7" t="s">
        <v>1155</v>
      </c>
      <c r="I501" s="67">
        <v>42984</v>
      </c>
      <c r="J501" s="67">
        <v>43349</v>
      </c>
      <c r="K501" s="8" t="s">
        <v>1881</v>
      </c>
      <c r="L501" s="21" t="s">
        <v>269</v>
      </c>
      <c r="M501" s="21" t="s">
        <v>270</v>
      </c>
      <c r="N501" s="73">
        <v>42996</v>
      </c>
      <c r="O501" s="10">
        <v>200000</v>
      </c>
      <c r="P501" s="74">
        <v>12143</v>
      </c>
      <c r="Q501" s="73">
        <v>42996</v>
      </c>
      <c r="R501" s="73">
        <v>43100</v>
      </c>
      <c r="S501" s="6" t="s">
        <v>206</v>
      </c>
      <c r="T501" s="6"/>
      <c r="U501" s="6"/>
      <c r="V501" s="6"/>
      <c r="W501" s="6" t="s">
        <v>1669</v>
      </c>
      <c r="X501" s="6"/>
      <c r="Y501" s="6"/>
      <c r="Z501" s="6"/>
      <c r="AA501" s="6"/>
      <c r="AB501" s="6"/>
      <c r="AC501" s="6"/>
      <c r="AD501" s="6"/>
      <c r="AE501" s="6"/>
      <c r="AF501" s="6"/>
      <c r="AG501" s="6"/>
      <c r="AH501" s="6"/>
      <c r="AI501" s="6"/>
      <c r="AJ501" s="6"/>
      <c r="AK501" s="6"/>
      <c r="AL501" s="194">
        <f t="shared" si="8"/>
        <v>200000</v>
      </c>
      <c r="AM501" s="10"/>
      <c r="AN501" s="11"/>
      <c r="AO501" s="138">
        <f t="shared" si="7"/>
        <v>0</v>
      </c>
      <c r="AP501" s="13"/>
      <c r="AQ501" s="13"/>
      <c r="AR501" s="13"/>
      <c r="AS501" s="13"/>
      <c r="AT501" s="12"/>
      <c r="AU501" s="16"/>
      <c r="AV501" s="14"/>
      <c r="AW501" s="14"/>
      <c r="AX501" s="14"/>
      <c r="AY501" s="14"/>
      <c r="AZ501" s="16"/>
      <c r="BA501" s="16"/>
      <c r="BB501" s="14"/>
      <c r="BC501" s="14"/>
      <c r="BD501" s="14"/>
      <c r="BE501" s="17"/>
      <c r="BF501" s="17"/>
      <c r="BG501" s="17"/>
      <c r="BH501" s="14"/>
      <c r="BI501" s="14"/>
      <c r="BJ501" s="14"/>
      <c r="BK501" s="15"/>
      <c r="BL501" s="15"/>
      <c r="BM501" s="16"/>
    </row>
    <row r="502" spans="1:65" ht="76.5" x14ac:dyDescent="0.2">
      <c r="A502" s="329">
        <v>286</v>
      </c>
      <c r="B502" s="77" t="s">
        <v>1901</v>
      </c>
      <c r="C502" s="70" t="s">
        <v>1101</v>
      </c>
      <c r="D502" s="81" t="s">
        <v>248</v>
      </c>
      <c r="E502" s="12"/>
      <c r="F502" s="21" t="s">
        <v>1904</v>
      </c>
      <c r="G502" s="23"/>
      <c r="H502" s="7"/>
      <c r="I502" s="7"/>
      <c r="J502" s="7"/>
      <c r="K502" s="8" t="s">
        <v>1882</v>
      </c>
      <c r="L502" s="21" t="s">
        <v>1902</v>
      </c>
      <c r="M502" s="21" t="s">
        <v>1903</v>
      </c>
      <c r="N502" s="73">
        <v>42997</v>
      </c>
      <c r="O502" s="10">
        <v>707000</v>
      </c>
      <c r="P502" s="74">
        <v>12142</v>
      </c>
      <c r="Q502" s="73">
        <v>42997</v>
      </c>
      <c r="R502" s="73">
        <v>43327</v>
      </c>
      <c r="S502" s="6" t="s">
        <v>1905</v>
      </c>
      <c r="T502" s="6"/>
      <c r="U502" s="6"/>
      <c r="V502" s="6"/>
      <c r="W502" s="6" t="s">
        <v>251</v>
      </c>
      <c r="X502" s="6"/>
      <c r="Y502" s="6"/>
      <c r="Z502" s="6"/>
      <c r="AA502" s="6"/>
      <c r="AB502" s="6"/>
      <c r="AC502" s="6"/>
      <c r="AD502" s="6"/>
      <c r="AE502" s="6"/>
      <c r="AF502" s="6"/>
      <c r="AG502" s="6"/>
      <c r="AH502" s="6"/>
      <c r="AI502" s="6"/>
      <c r="AJ502" s="6"/>
      <c r="AK502" s="6"/>
      <c r="AL502" s="194">
        <f t="shared" si="8"/>
        <v>707000</v>
      </c>
      <c r="AM502" s="10"/>
      <c r="AN502" s="11">
        <f>89749.35</f>
        <v>89749.35</v>
      </c>
      <c r="AO502" s="138">
        <f t="shared" si="7"/>
        <v>89749.35</v>
      </c>
      <c r="AP502" s="13"/>
      <c r="AQ502" s="13"/>
      <c r="AR502" s="13"/>
      <c r="AS502" s="13"/>
      <c r="AT502" s="12"/>
      <c r="AU502" s="16"/>
      <c r="AV502" s="14"/>
      <c r="AW502" s="14"/>
      <c r="AX502" s="14"/>
      <c r="AY502" s="14"/>
      <c r="AZ502" s="16"/>
      <c r="BA502" s="16"/>
      <c r="BB502" s="14" t="s">
        <v>396</v>
      </c>
      <c r="BC502" s="6" t="s">
        <v>1795</v>
      </c>
      <c r="BD502" s="84">
        <v>43003</v>
      </c>
      <c r="BE502" s="91">
        <f>BD502+300</f>
        <v>43303</v>
      </c>
      <c r="BF502" s="85"/>
      <c r="BG502" s="17"/>
      <c r="BH502" s="14"/>
      <c r="BI502" s="14"/>
      <c r="BJ502" s="14"/>
      <c r="BK502" s="15"/>
      <c r="BL502" s="15"/>
      <c r="BM502" s="16"/>
    </row>
    <row r="503" spans="1:65" ht="140.25" x14ac:dyDescent="0.2">
      <c r="A503" s="329">
        <v>287</v>
      </c>
      <c r="B503" s="77" t="s">
        <v>1906</v>
      </c>
      <c r="C503" s="70" t="s">
        <v>1085</v>
      </c>
      <c r="D503" s="81" t="s">
        <v>1542</v>
      </c>
      <c r="E503" s="12"/>
      <c r="F503" s="21" t="s">
        <v>1551</v>
      </c>
      <c r="G503" s="23"/>
      <c r="H503" s="7"/>
      <c r="I503" s="7"/>
      <c r="J503" s="7"/>
      <c r="K503" s="8" t="s">
        <v>1883</v>
      </c>
      <c r="L503" s="21" t="s">
        <v>1560</v>
      </c>
      <c r="M503" s="21" t="s">
        <v>1561</v>
      </c>
      <c r="N503" s="73">
        <v>42997</v>
      </c>
      <c r="O503" s="10">
        <v>5381.9</v>
      </c>
      <c r="P503" s="74">
        <v>12150</v>
      </c>
      <c r="Q503" s="73">
        <v>42997</v>
      </c>
      <c r="R503" s="73">
        <v>43100</v>
      </c>
      <c r="S503" s="6" t="s">
        <v>1907</v>
      </c>
      <c r="T503" s="6"/>
      <c r="U503" s="6"/>
      <c r="V503" s="6"/>
      <c r="W503" s="6" t="s">
        <v>229</v>
      </c>
      <c r="X503" s="6"/>
      <c r="Y503" s="6"/>
      <c r="Z503" s="6"/>
      <c r="AA503" s="6"/>
      <c r="AB503" s="6"/>
      <c r="AC503" s="6"/>
      <c r="AD503" s="6"/>
      <c r="AE503" s="6"/>
      <c r="AF503" s="6"/>
      <c r="AG503" s="6"/>
      <c r="AH503" s="6"/>
      <c r="AI503" s="6"/>
      <c r="AJ503" s="6"/>
      <c r="AK503" s="6"/>
      <c r="AL503" s="194">
        <f t="shared" si="8"/>
        <v>5381.9</v>
      </c>
      <c r="AM503" s="10"/>
      <c r="AN503" s="11">
        <f>1382.86+3999.04</f>
        <v>5381.9</v>
      </c>
      <c r="AO503" s="138">
        <f t="shared" si="7"/>
        <v>5381.9</v>
      </c>
      <c r="AP503" s="13"/>
      <c r="AQ503" s="13"/>
      <c r="AR503" s="13"/>
      <c r="AS503" s="13"/>
      <c r="AT503" s="12"/>
      <c r="AU503" s="16"/>
      <c r="AV503" s="14" t="s">
        <v>138</v>
      </c>
      <c r="AW503" s="6" t="s">
        <v>1588</v>
      </c>
      <c r="AX503" s="83">
        <v>12134</v>
      </c>
      <c r="AY503" s="84">
        <v>42984</v>
      </c>
      <c r="AZ503" s="79">
        <v>12139</v>
      </c>
      <c r="BA503" s="80">
        <v>42993</v>
      </c>
      <c r="BB503" s="14"/>
      <c r="BC503" s="14"/>
      <c r="BD503" s="14"/>
      <c r="BE503" s="85"/>
      <c r="BF503" s="85"/>
      <c r="BG503" s="17"/>
      <c r="BH503" s="14"/>
      <c r="BI503" s="14"/>
      <c r="BJ503" s="14"/>
      <c r="BK503" s="15"/>
      <c r="BL503" s="15"/>
      <c r="BM503" s="16"/>
    </row>
    <row r="504" spans="1:65" ht="140.25" x14ac:dyDescent="0.2">
      <c r="A504" s="329">
        <v>288</v>
      </c>
      <c r="B504" s="77" t="s">
        <v>1906</v>
      </c>
      <c r="C504" s="70" t="s">
        <v>1085</v>
      </c>
      <c r="D504" s="81" t="s">
        <v>1542</v>
      </c>
      <c r="E504" s="12"/>
      <c r="F504" s="21" t="s">
        <v>1551</v>
      </c>
      <c r="G504" s="23"/>
      <c r="H504" s="7"/>
      <c r="I504" s="7"/>
      <c r="J504" s="7"/>
      <c r="K504" s="8" t="s">
        <v>1884</v>
      </c>
      <c r="L504" s="21" t="s">
        <v>1549</v>
      </c>
      <c r="M504" s="21" t="s">
        <v>1550</v>
      </c>
      <c r="N504" s="73">
        <v>42997</v>
      </c>
      <c r="O504" s="10">
        <v>7081.4</v>
      </c>
      <c r="P504" s="74">
        <v>12150</v>
      </c>
      <c r="Q504" s="73">
        <v>42997</v>
      </c>
      <c r="R504" s="73">
        <v>43100</v>
      </c>
      <c r="S504" s="6" t="s">
        <v>1907</v>
      </c>
      <c r="T504" s="6"/>
      <c r="U504" s="6"/>
      <c r="V504" s="6"/>
      <c r="W504" s="6" t="s">
        <v>229</v>
      </c>
      <c r="X504" s="6"/>
      <c r="Y504" s="6"/>
      <c r="Z504" s="6"/>
      <c r="AA504" s="6"/>
      <c r="AB504" s="6"/>
      <c r="AC504" s="6"/>
      <c r="AD504" s="6"/>
      <c r="AE504" s="6"/>
      <c r="AF504" s="6"/>
      <c r="AG504" s="6"/>
      <c r="AH504" s="6"/>
      <c r="AI504" s="6"/>
      <c r="AJ504" s="6"/>
      <c r="AK504" s="6"/>
      <c r="AL504" s="194">
        <f t="shared" si="8"/>
        <v>7081.4</v>
      </c>
      <c r="AM504" s="10"/>
      <c r="AN504" s="11"/>
      <c r="AO504" s="138">
        <f t="shared" si="7"/>
        <v>0</v>
      </c>
      <c r="AP504" s="13"/>
      <c r="AQ504" s="13"/>
      <c r="AR504" s="13"/>
      <c r="AS504" s="13"/>
      <c r="AT504" s="12"/>
      <c r="AU504" s="16"/>
      <c r="AV504" s="14" t="s">
        <v>138</v>
      </c>
      <c r="AW504" s="6" t="s">
        <v>1588</v>
      </c>
      <c r="AX504" s="83">
        <v>12134</v>
      </c>
      <c r="AY504" s="84">
        <v>42984</v>
      </c>
      <c r="AZ504" s="79">
        <v>12139</v>
      </c>
      <c r="BA504" s="80">
        <v>42993</v>
      </c>
      <c r="BB504" s="14"/>
      <c r="BC504" s="14"/>
      <c r="BD504" s="14"/>
      <c r="BE504" s="17"/>
      <c r="BF504" s="17"/>
      <c r="BG504" s="17"/>
      <c r="BH504" s="14"/>
      <c r="BI504" s="14"/>
      <c r="BJ504" s="14"/>
      <c r="BK504" s="15"/>
      <c r="BL504" s="15"/>
      <c r="BM504" s="16"/>
    </row>
    <row r="505" spans="1:65" ht="76.5" x14ac:dyDescent="0.2">
      <c r="A505" s="329">
        <v>289</v>
      </c>
      <c r="B505" s="77" t="s">
        <v>1906</v>
      </c>
      <c r="C505" s="70" t="s">
        <v>1085</v>
      </c>
      <c r="D505" s="81" t="s">
        <v>1542</v>
      </c>
      <c r="E505" s="12"/>
      <c r="F505" s="21" t="s">
        <v>1551</v>
      </c>
      <c r="G505" s="23"/>
      <c r="H505" s="7"/>
      <c r="I505" s="7"/>
      <c r="J505" s="7"/>
      <c r="K505" s="8" t="s">
        <v>1885</v>
      </c>
      <c r="L505" s="21" t="s">
        <v>1870</v>
      </c>
      <c r="M505" s="21" t="s">
        <v>1564</v>
      </c>
      <c r="N505" s="73">
        <v>42997</v>
      </c>
      <c r="O505" s="10">
        <v>6370.82</v>
      </c>
      <c r="P505" s="74">
        <v>12150</v>
      </c>
      <c r="Q505" s="73">
        <v>42997</v>
      </c>
      <c r="R505" s="73">
        <v>43100</v>
      </c>
      <c r="S505" s="6" t="s">
        <v>1908</v>
      </c>
      <c r="T505" s="6"/>
      <c r="U505" s="6"/>
      <c r="V505" s="6"/>
      <c r="W505" s="6" t="s">
        <v>229</v>
      </c>
      <c r="X505" s="6"/>
      <c r="Y505" s="6"/>
      <c r="Z505" s="6"/>
      <c r="AA505" s="6"/>
      <c r="AB505" s="6"/>
      <c r="AC505" s="6"/>
      <c r="AD505" s="6"/>
      <c r="AE505" s="6"/>
      <c r="AF505" s="6"/>
      <c r="AG505" s="6"/>
      <c r="AH505" s="6"/>
      <c r="AI505" s="6"/>
      <c r="AJ505" s="6"/>
      <c r="AK505" s="6"/>
      <c r="AL505" s="194">
        <f t="shared" si="8"/>
        <v>6370.82</v>
      </c>
      <c r="AM505" s="10"/>
      <c r="AN505" s="11">
        <f>6370.82</f>
        <v>6370.82</v>
      </c>
      <c r="AO505" s="138">
        <f t="shared" si="7"/>
        <v>6370.82</v>
      </c>
      <c r="AP505" s="13"/>
      <c r="AQ505" s="13"/>
      <c r="AR505" s="13"/>
      <c r="AS505" s="13"/>
      <c r="AT505" s="12"/>
      <c r="AU505" s="16"/>
      <c r="AV505" s="14" t="s">
        <v>138</v>
      </c>
      <c r="AW505" s="6" t="s">
        <v>1588</v>
      </c>
      <c r="AX505" s="83">
        <v>12134</v>
      </c>
      <c r="AY505" s="84">
        <v>42984</v>
      </c>
      <c r="AZ505" s="79">
        <v>12139</v>
      </c>
      <c r="BA505" s="80">
        <v>42993</v>
      </c>
      <c r="BB505" s="14"/>
      <c r="BC505" s="14"/>
      <c r="BD505" s="14"/>
      <c r="BE505" s="17"/>
      <c r="BF505" s="17"/>
      <c r="BG505" s="17"/>
      <c r="BH505" s="14"/>
      <c r="BI505" s="14"/>
      <c r="BJ505" s="14"/>
      <c r="BK505" s="15"/>
      <c r="BL505" s="15"/>
      <c r="BM505" s="16"/>
    </row>
    <row r="506" spans="1:65" ht="140.25" x14ac:dyDescent="0.2">
      <c r="A506" s="329">
        <v>290</v>
      </c>
      <c r="B506" s="77" t="s">
        <v>1906</v>
      </c>
      <c r="C506" s="70" t="s">
        <v>1085</v>
      </c>
      <c r="D506" s="81" t="s">
        <v>1542</v>
      </c>
      <c r="E506" s="12"/>
      <c r="F506" s="21" t="s">
        <v>1551</v>
      </c>
      <c r="G506" s="23"/>
      <c r="H506" s="7"/>
      <c r="I506" s="7"/>
      <c r="J506" s="7"/>
      <c r="K506" s="8" t="s">
        <v>1886</v>
      </c>
      <c r="L506" s="21" t="s">
        <v>1566</v>
      </c>
      <c r="M506" s="21" t="s">
        <v>1567</v>
      </c>
      <c r="N506" s="73">
        <v>42997</v>
      </c>
      <c r="O506" s="10">
        <v>7142.89</v>
      </c>
      <c r="P506" s="74">
        <v>12150</v>
      </c>
      <c r="Q506" s="73">
        <v>42997</v>
      </c>
      <c r="R506" s="73">
        <v>43100</v>
      </c>
      <c r="S506" s="6" t="s">
        <v>1907</v>
      </c>
      <c r="T506" s="6"/>
      <c r="U506" s="6"/>
      <c r="V506" s="6"/>
      <c r="W506" s="6" t="s">
        <v>229</v>
      </c>
      <c r="X506" s="6"/>
      <c r="Y506" s="6"/>
      <c r="Z506" s="6"/>
      <c r="AA506" s="6"/>
      <c r="AB506" s="6"/>
      <c r="AC506" s="6"/>
      <c r="AD506" s="6"/>
      <c r="AE506" s="6"/>
      <c r="AF506" s="6"/>
      <c r="AG506" s="6"/>
      <c r="AH506" s="6"/>
      <c r="AI506" s="6"/>
      <c r="AJ506" s="6"/>
      <c r="AK506" s="6"/>
      <c r="AL506" s="194">
        <f t="shared" si="8"/>
        <v>7142.89</v>
      </c>
      <c r="AM506" s="10"/>
      <c r="AN506" s="11">
        <f>6370.82</f>
        <v>6370.82</v>
      </c>
      <c r="AO506" s="138">
        <f t="shared" si="7"/>
        <v>6370.82</v>
      </c>
      <c r="AP506" s="13"/>
      <c r="AQ506" s="13"/>
      <c r="AR506" s="13"/>
      <c r="AS506" s="13"/>
      <c r="AT506" s="12"/>
      <c r="AU506" s="16"/>
      <c r="AV506" s="14" t="s">
        <v>138</v>
      </c>
      <c r="AW506" s="6" t="s">
        <v>1588</v>
      </c>
      <c r="AX506" s="83">
        <v>12134</v>
      </c>
      <c r="AY506" s="84">
        <v>42984</v>
      </c>
      <c r="AZ506" s="79">
        <v>12139</v>
      </c>
      <c r="BA506" s="80">
        <v>42993</v>
      </c>
      <c r="BB506" s="14"/>
      <c r="BC506" s="14"/>
      <c r="BD506" s="14"/>
      <c r="BE506" s="17"/>
      <c r="BF506" s="17"/>
      <c r="BG506" s="17"/>
      <c r="BH506" s="14"/>
      <c r="BI506" s="14"/>
      <c r="BJ506" s="14"/>
      <c r="BK506" s="15"/>
      <c r="BL506" s="15"/>
      <c r="BM506" s="16"/>
    </row>
    <row r="507" spans="1:65" ht="102" x14ac:dyDescent="0.2">
      <c r="A507" s="329">
        <v>291</v>
      </c>
      <c r="B507" s="77" t="s">
        <v>1906</v>
      </c>
      <c r="C507" s="70" t="s">
        <v>1085</v>
      </c>
      <c r="D507" s="81" t="s">
        <v>1542</v>
      </c>
      <c r="E507" s="12"/>
      <c r="F507" s="21" t="s">
        <v>1551</v>
      </c>
      <c r="G507" s="23"/>
      <c r="H507" s="7"/>
      <c r="I507" s="7"/>
      <c r="J507" s="7"/>
      <c r="K507" s="8" t="s">
        <v>1887</v>
      </c>
      <c r="L507" s="21" t="s">
        <v>1557</v>
      </c>
      <c r="M507" s="21" t="s">
        <v>1558</v>
      </c>
      <c r="N507" s="73">
        <v>42997</v>
      </c>
      <c r="O507" s="10">
        <v>4796.3100000000004</v>
      </c>
      <c r="P507" s="74">
        <v>12150</v>
      </c>
      <c r="Q507" s="73">
        <v>42997</v>
      </c>
      <c r="R507" s="73">
        <v>43100</v>
      </c>
      <c r="S507" s="6" t="s">
        <v>1909</v>
      </c>
      <c r="T507" s="6"/>
      <c r="U507" s="6"/>
      <c r="V507" s="6"/>
      <c r="W507" s="6" t="s">
        <v>229</v>
      </c>
      <c r="X507" s="6"/>
      <c r="Y507" s="6"/>
      <c r="Z507" s="6"/>
      <c r="AA507" s="6"/>
      <c r="AB507" s="6"/>
      <c r="AC507" s="6"/>
      <c r="AD507" s="6"/>
      <c r="AE507" s="6"/>
      <c r="AF507" s="6"/>
      <c r="AG507" s="6"/>
      <c r="AH507" s="6"/>
      <c r="AI507" s="6"/>
      <c r="AJ507" s="6"/>
      <c r="AK507" s="6"/>
      <c r="AL507" s="194">
        <f t="shared" si="8"/>
        <v>4796.3100000000004</v>
      </c>
      <c r="AM507" s="10"/>
      <c r="AN507" s="11">
        <f>4796.31</f>
        <v>4796.3100000000004</v>
      </c>
      <c r="AO507" s="138">
        <f t="shared" si="7"/>
        <v>4796.3100000000004</v>
      </c>
      <c r="AP507" s="13"/>
      <c r="AQ507" s="13"/>
      <c r="AR507" s="13"/>
      <c r="AS507" s="13"/>
      <c r="AT507" s="12"/>
      <c r="AU507" s="16"/>
      <c r="AV507" s="14" t="s">
        <v>138</v>
      </c>
      <c r="AW507" s="6" t="s">
        <v>1588</v>
      </c>
      <c r="AX507" s="83">
        <v>12134</v>
      </c>
      <c r="AY507" s="84">
        <v>42984</v>
      </c>
      <c r="AZ507" s="79">
        <v>12139</v>
      </c>
      <c r="BA507" s="80">
        <v>42993</v>
      </c>
      <c r="BB507" s="14"/>
      <c r="BC507" s="14"/>
      <c r="BD507" s="14"/>
      <c r="BE507" s="17"/>
      <c r="BF507" s="17"/>
      <c r="BG507" s="17"/>
      <c r="BH507" s="14"/>
      <c r="BI507" s="14"/>
      <c r="BJ507" s="14"/>
      <c r="BK507" s="15"/>
      <c r="BL507" s="15"/>
      <c r="BM507" s="16"/>
    </row>
    <row r="508" spans="1:65" ht="140.25" x14ac:dyDescent="0.2">
      <c r="A508" s="329">
        <v>292</v>
      </c>
      <c r="B508" s="77" t="s">
        <v>1906</v>
      </c>
      <c r="C508" s="70" t="s">
        <v>1085</v>
      </c>
      <c r="D508" s="81" t="s">
        <v>1542</v>
      </c>
      <c r="E508" s="12"/>
      <c r="F508" s="21" t="s">
        <v>1551</v>
      </c>
      <c r="G508" s="23"/>
      <c r="H508" s="7"/>
      <c r="I508" s="7"/>
      <c r="J508" s="7"/>
      <c r="K508" s="8" t="s">
        <v>1888</v>
      </c>
      <c r="L508" s="21" t="s">
        <v>1554</v>
      </c>
      <c r="M508" s="21" t="s">
        <v>1555</v>
      </c>
      <c r="N508" s="73">
        <v>42997</v>
      </c>
      <c r="O508" s="10">
        <v>6370.82</v>
      </c>
      <c r="P508" s="74">
        <v>12150</v>
      </c>
      <c r="Q508" s="73">
        <v>42997</v>
      </c>
      <c r="R508" s="73">
        <v>43100</v>
      </c>
      <c r="S508" s="6" t="s">
        <v>1910</v>
      </c>
      <c r="T508" s="6"/>
      <c r="U508" s="6"/>
      <c r="V508" s="6"/>
      <c r="W508" s="6" t="s">
        <v>229</v>
      </c>
      <c r="X508" s="6"/>
      <c r="Y508" s="6"/>
      <c r="Z508" s="6"/>
      <c r="AA508" s="6"/>
      <c r="AB508" s="6"/>
      <c r="AC508" s="6"/>
      <c r="AD508" s="6"/>
      <c r="AE508" s="6"/>
      <c r="AF508" s="6"/>
      <c r="AG508" s="6"/>
      <c r="AH508" s="6"/>
      <c r="AI508" s="6"/>
      <c r="AJ508" s="6"/>
      <c r="AK508" s="6"/>
      <c r="AL508" s="194">
        <f t="shared" si="8"/>
        <v>6370.82</v>
      </c>
      <c r="AM508" s="10"/>
      <c r="AN508" s="11"/>
      <c r="AO508" s="138">
        <f t="shared" si="7"/>
        <v>0</v>
      </c>
      <c r="AP508" s="13"/>
      <c r="AQ508" s="13"/>
      <c r="AR508" s="13"/>
      <c r="AS508" s="13"/>
      <c r="AT508" s="12"/>
      <c r="AU508" s="16"/>
      <c r="AV508" s="14" t="s">
        <v>138</v>
      </c>
      <c r="AW508" s="6" t="s">
        <v>1588</v>
      </c>
      <c r="AX508" s="83">
        <v>12134</v>
      </c>
      <c r="AY508" s="84">
        <v>42984</v>
      </c>
      <c r="AZ508" s="79">
        <v>12139</v>
      </c>
      <c r="BA508" s="80">
        <v>42993</v>
      </c>
      <c r="BB508" s="14"/>
      <c r="BC508" s="14"/>
      <c r="BD508" s="14"/>
      <c r="BE508" s="17"/>
      <c r="BF508" s="17"/>
      <c r="BG508" s="17"/>
      <c r="BH508" s="14"/>
      <c r="BI508" s="14"/>
      <c r="BJ508" s="14"/>
      <c r="BK508" s="15"/>
      <c r="BL508" s="15"/>
      <c r="BM508" s="16"/>
    </row>
    <row r="509" spans="1:65" ht="140.25" x14ac:dyDescent="0.2">
      <c r="A509" s="329">
        <v>293</v>
      </c>
      <c r="B509" s="77" t="s">
        <v>1906</v>
      </c>
      <c r="C509" s="70" t="s">
        <v>1085</v>
      </c>
      <c r="D509" s="81" t="s">
        <v>1542</v>
      </c>
      <c r="E509" s="12"/>
      <c r="F509" s="21" t="s">
        <v>1551</v>
      </c>
      <c r="G509" s="23"/>
      <c r="H509" s="7"/>
      <c r="I509" s="7"/>
      <c r="J509" s="7"/>
      <c r="K509" s="8" t="s">
        <v>1889</v>
      </c>
      <c r="L509" s="21" t="s">
        <v>1911</v>
      </c>
      <c r="M509" s="21" t="s">
        <v>1912</v>
      </c>
      <c r="N509" s="73">
        <v>42997</v>
      </c>
      <c r="O509" s="10">
        <v>5826.35</v>
      </c>
      <c r="P509" s="74">
        <v>12150</v>
      </c>
      <c r="Q509" s="73">
        <v>42997</v>
      </c>
      <c r="R509" s="73">
        <v>43100</v>
      </c>
      <c r="S509" s="6" t="s">
        <v>1907</v>
      </c>
      <c r="T509" s="6"/>
      <c r="U509" s="6"/>
      <c r="V509" s="6"/>
      <c r="W509" s="6" t="s">
        <v>229</v>
      </c>
      <c r="X509" s="6"/>
      <c r="Y509" s="6"/>
      <c r="Z509" s="6"/>
      <c r="AA509" s="6"/>
      <c r="AB509" s="6"/>
      <c r="AC509" s="6"/>
      <c r="AD509" s="6"/>
      <c r="AE509" s="6"/>
      <c r="AF509" s="6"/>
      <c r="AG509" s="6"/>
      <c r="AH509" s="6"/>
      <c r="AI509" s="6"/>
      <c r="AJ509" s="6"/>
      <c r="AK509" s="6"/>
      <c r="AL509" s="194">
        <f t="shared" si="8"/>
        <v>5826.35</v>
      </c>
      <c r="AM509" s="10"/>
      <c r="AN509" s="11">
        <v>5826.35</v>
      </c>
      <c r="AO509" s="138">
        <f t="shared" si="7"/>
        <v>5826.35</v>
      </c>
      <c r="AP509" s="13"/>
      <c r="AQ509" s="13"/>
      <c r="AR509" s="13"/>
      <c r="AS509" s="13"/>
      <c r="AT509" s="12"/>
      <c r="AU509" s="16"/>
      <c r="AV509" s="14" t="s">
        <v>138</v>
      </c>
      <c r="AW509" s="6" t="s">
        <v>1588</v>
      </c>
      <c r="AX509" s="83">
        <v>12134</v>
      </c>
      <c r="AY509" s="84">
        <v>42984</v>
      </c>
      <c r="AZ509" s="79">
        <v>12139</v>
      </c>
      <c r="BA509" s="80">
        <v>42993</v>
      </c>
      <c r="BB509" s="14"/>
      <c r="BC509" s="14"/>
      <c r="BD509" s="14"/>
      <c r="BE509" s="17"/>
      <c r="BF509" s="17"/>
      <c r="BG509" s="17"/>
      <c r="BH509" s="14"/>
      <c r="BI509" s="14"/>
      <c r="BJ509" s="14"/>
      <c r="BK509" s="15"/>
      <c r="BL509" s="15"/>
      <c r="BM509" s="16"/>
    </row>
    <row r="510" spans="1:65" ht="140.25" x14ac:dyDescent="0.2">
      <c r="A510" s="329">
        <v>294</v>
      </c>
      <c r="B510" s="77" t="s">
        <v>1906</v>
      </c>
      <c r="C510" s="70" t="s">
        <v>1085</v>
      </c>
      <c r="D510" s="81" t="s">
        <v>1542</v>
      </c>
      <c r="E510" s="12"/>
      <c r="F510" s="21" t="s">
        <v>1551</v>
      </c>
      <c r="G510" s="23"/>
      <c r="H510" s="7"/>
      <c r="I510" s="7"/>
      <c r="J510" s="7"/>
      <c r="K510" s="8" t="s">
        <v>1890</v>
      </c>
      <c r="L510" s="21" t="s">
        <v>1544</v>
      </c>
      <c r="M510" s="21" t="s">
        <v>1546</v>
      </c>
      <c r="N510" s="73">
        <v>42997</v>
      </c>
      <c r="O510" s="10">
        <v>6761.11</v>
      </c>
      <c r="P510" s="74">
        <v>12150</v>
      </c>
      <c r="Q510" s="73">
        <v>42997</v>
      </c>
      <c r="R510" s="73">
        <v>43100</v>
      </c>
      <c r="S510" s="6" t="s">
        <v>1907</v>
      </c>
      <c r="T510" s="6"/>
      <c r="U510" s="6"/>
      <c r="V510" s="6"/>
      <c r="W510" s="6" t="s">
        <v>229</v>
      </c>
      <c r="X510" s="6"/>
      <c r="Y510" s="6"/>
      <c r="Z510" s="6"/>
      <c r="AA510" s="6"/>
      <c r="AB510" s="6"/>
      <c r="AC510" s="6"/>
      <c r="AD510" s="6"/>
      <c r="AE510" s="6"/>
      <c r="AF510" s="6"/>
      <c r="AG510" s="6"/>
      <c r="AH510" s="6"/>
      <c r="AI510" s="6"/>
      <c r="AJ510" s="6"/>
      <c r="AK510" s="6"/>
      <c r="AL510" s="194">
        <f t="shared" si="8"/>
        <v>6761.11</v>
      </c>
      <c r="AM510" s="10"/>
      <c r="AN510" s="11">
        <f>6761.11</f>
        <v>6761.11</v>
      </c>
      <c r="AO510" s="138">
        <f t="shared" si="7"/>
        <v>6761.11</v>
      </c>
      <c r="AP510" s="13"/>
      <c r="AQ510" s="13"/>
      <c r="AR510" s="13"/>
      <c r="AS510" s="13"/>
      <c r="AT510" s="12"/>
      <c r="AU510" s="16"/>
      <c r="AV510" s="14" t="s">
        <v>138</v>
      </c>
      <c r="AW510" s="6" t="s">
        <v>1588</v>
      </c>
      <c r="AX510" s="83">
        <v>12134</v>
      </c>
      <c r="AY510" s="84">
        <v>42984</v>
      </c>
      <c r="AZ510" s="79">
        <v>12139</v>
      </c>
      <c r="BA510" s="80">
        <v>42993</v>
      </c>
      <c r="BB510" s="14"/>
      <c r="BC510" s="14"/>
      <c r="BD510" s="14"/>
      <c r="BE510" s="17"/>
      <c r="BF510" s="17"/>
      <c r="BG510" s="17"/>
      <c r="BH510" s="14"/>
      <c r="BI510" s="14"/>
      <c r="BJ510" s="14"/>
      <c r="BK510" s="15"/>
      <c r="BL510" s="15"/>
      <c r="BM510" s="16"/>
    </row>
    <row r="511" spans="1:65" ht="102" x14ac:dyDescent="0.2">
      <c r="A511" s="329">
        <v>295</v>
      </c>
      <c r="B511" s="77" t="s">
        <v>1906</v>
      </c>
      <c r="C511" s="70" t="s">
        <v>1085</v>
      </c>
      <c r="D511" s="81" t="s">
        <v>1542</v>
      </c>
      <c r="E511" s="12"/>
      <c r="F511" s="21" t="s">
        <v>1551</v>
      </c>
      <c r="G511" s="23"/>
      <c r="H511" s="7"/>
      <c r="I511" s="7"/>
      <c r="J511" s="7"/>
      <c r="K511" s="8" t="s">
        <v>1891</v>
      </c>
      <c r="L511" s="21" t="s">
        <v>1861</v>
      </c>
      <c r="M511" s="21" t="s">
        <v>1862</v>
      </c>
      <c r="N511" s="73">
        <v>42997</v>
      </c>
      <c r="O511" s="10">
        <v>4796.3100000000004</v>
      </c>
      <c r="P511" s="74">
        <v>12150</v>
      </c>
      <c r="Q511" s="73">
        <v>42997</v>
      </c>
      <c r="R511" s="73">
        <v>43100</v>
      </c>
      <c r="S511" s="6" t="s">
        <v>1913</v>
      </c>
      <c r="T511" s="6"/>
      <c r="U511" s="6"/>
      <c r="V511" s="6"/>
      <c r="W511" s="6" t="s">
        <v>229</v>
      </c>
      <c r="X511" s="6"/>
      <c r="Y511" s="6"/>
      <c r="Z511" s="6"/>
      <c r="AA511" s="6"/>
      <c r="AB511" s="6"/>
      <c r="AC511" s="6"/>
      <c r="AD511" s="6"/>
      <c r="AE511" s="6"/>
      <c r="AF511" s="6"/>
      <c r="AG511" s="6"/>
      <c r="AH511" s="6"/>
      <c r="AI511" s="6"/>
      <c r="AJ511" s="6"/>
      <c r="AK511" s="6"/>
      <c r="AL511" s="194">
        <f t="shared" si="8"/>
        <v>4796.3100000000004</v>
      </c>
      <c r="AM511" s="10"/>
      <c r="AN511" s="11"/>
      <c r="AO511" s="138">
        <f t="shared" si="7"/>
        <v>0</v>
      </c>
      <c r="AP511" s="13"/>
      <c r="AQ511" s="13"/>
      <c r="AR511" s="13"/>
      <c r="AS511" s="13"/>
      <c r="AT511" s="12"/>
      <c r="AU511" s="16"/>
      <c r="AV511" s="14" t="s">
        <v>138</v>
      </c>
      <c r="AW511" s="6" t="s">
        <v>1588</v>
      </c>
      <c r="AX511" s="83">
        <v>12134</v>
      </c>
      <c r="AY511" s="84">
        <v>42984</v>
      </c>
      <c r="AZ511" s="79">
        <v>12139</v>
      </c>
      <c r="BA511" s="80">
        <v>42993</v>
      </c>
      <c r="BB511" s="14"/>
      <c r="BC511" s="14"/>
      <c r="BD511" s="14"/>
      <c r="BE511" s="17"/>
      <c r="BF511" s="17"/>
      <c r="BG511" s="17"/>
      <c r="BH511" s="14"/>
      <c r="BI511" s="14"/>
      <c r="BJ511" s="14"/>
      <c r="BK511" s="15"/>
      <c r="BL511" s="15"/>
      <c r="BM511" s="16"/>
    </row>
    <row r="512" spans="1:65" ht="140.25" x14ac:dyDescent="0.2">
      <c r="A512" s="329">
        <v>296</v>
      </c>
      <c r="B512" s="77" t="s">
        <v>1906</v>
      </c>
      <c r="C512" s="70" t="s">
        <v>1085</v>
      </c>
      <c r="D512" s="81" t="s">
        <v>1542</v>
      </c>
      <c r="E512" s="12"/>
      <c r="F512" s="21" t="s">
        <v>1551</v>
      </c>
      <c r="G512" s="23"/>
      <c r="H512" s="7"/>
      <c r="I512" s="7"/>
      <c r="J512" s="7"/>
      <c r="K512" s="8" t="s">
        <v>1892</v>
      </c>
      <c r="L512" s="21" t="s">
        <v>1914</v>
      </c>
      <c r="M512" s="21" t="s">
        <v>1915</v>
      </c>
      <c r="N512" s="73">
        <v>42997</v>
      </c>
      <c r="O512" s="10">
        <v>5221.95</v>
      </c>
      <c r="P512" s="74">
        <v>12150</v>
      </c>
      <c r="Q512" s="73">
        <v>42997</v>
      </c>
      <c r="R512" s="73">
        <v>43100</v>
      </c>
      <c r="S512" s="6" t="s">
        <v>1907</v>
      </c>
      <c r="T512" s="6"/>
      <c r="U512" s="6"/>
      <c r="V512" s="6"/>
      <c r="W512" s="6" t="s">
        <v>229</v>
      </c>
      <c r="X512" s="6"/>
      <c r="Y512" s="6"/>
      <c r="Z512" s="6"/>
      <c r="AA512" s="6"/>
      <c r="AB512" s="6"/>
      <c r="AC512" s="6"/>
      <c r="AD512" s="6"/>
      <c r="AE512" s="6"/>
      <c r="AF512" s="6"/>
      <c r="AG512" s="6"/>
      <c r="AH512" s="6"/>
      <c r="AI512" s="6"/>
      <c r="AJ512" s="6"/>
      <c r="AK512" s="6"/>
      <c r="AL512" s="194">
        <f t="shared" si="8"/>
        <v>5221.95</v>
      </c>
      <c r="AM512" s="10"/>
      <c r="AN512" s="11">
        <f>5221.95</f>
        <v>5221.95</v>
      </c>
      <c r="AO512" s="138">
        <f t="shared" si="7"/>
        <v>5221.95</v>
      </c>
      <c r="AP512" s="13"/>
      <c r="AQ512" s="13"/>
      <c r="AR512" s="13"/>
      <c r="AS512" s="13"/>
      <c r="AT512" s="12"/>
      <c r="AU512" s="16"/>
      <c r="AV512" s="14" t="s">
        <v>138</v>
      </c>
      <c r="AW512" s="6" t="s">
        <v>1588</v>
      </c>
      <c r="AX512" s="83">
        <v>12134</v>
      </c>
      <c r="AY512" s="84">
        <v>42984</v>
      </c>
      <c r="AZ512" s="79">
        <v>12139</v>
      </c>
      <c r="BA512" s="80">
        <v>42993</v>
      </c>
      <c r="BB512" s="14"/>
      <c r="BC512" s="14"/>
      <c r="BD512" s="14"/>
      <c r="BE512" s="17"/>
      <c r="BF512" s="17"/>
      <c r="BG512" s="17"/>
      <c r="BH512" s="14"/>
      <c r="BI512" s="14"/>
      <c r="BJ512" s="14"/>
      <c r="BK512" s="15"/>
      <c r="BL512" s="15"/>
      <c r="BM512" s="16"/>
    </row>
    <row r="513" spans="1:65" ht="102" x14ac:dyDescent="0.2">
      <c r="A513" s="329">
        <v>297</v>
      </c>
      <c r="B513" s="77" t="s">
        <v>1906</v>
      </c>
      <c r="C513" s="70" t="s">
        <v>1085</v>
      </c>
      <c r="D513" s="81" t="s">
        <v>1542</v>
      </c>
      <c r="E513" s="12"/>
      <c r="F513" s="21" t="s">
        <v>1551</v>
      </c>
      <c r="G513" s="23"/>
      <c r="H513" s="7"/>
      <c r="I513" s="7"/>
      <c r="J513" s="7"/>
      <c r="K513" s="8" t="s">
        <v>1893</v>
      </c>
      <c r="L513" s="21" t="s">
        <v>1871</v>
      </c>
      <c r="M513" s="21" t="s">
        <v>1872</v>
      </c>
      <c r="N513" s="73">
        <v>42997</v>
      </c>
      <c r="O513" s="10">
        <v>4731.33</v>
      </c>
      <c r="P513" s="74">
        <v>12150</v>
      </c>
      <c r="Q513" s="73">
        <v>42997</v>
      </c>
      <c r="R513" s="73">
        <v>43100</v>
      </c>
      <c r="S513" s="6" t="s">
        <v>1913</v>
      </c>
      <c r="T513" s="6"/>
      <c r="U513" s="6"/>
      <c r="V513" s="6"/>
      <c r="W513" s="6" t="s">
        <v>229</v>
      </c>
      <c r="X513" s="6"/>
      <c r="Y513" s="6"/>
      <c r="Z513" s="6"/>
      <c r="AA513" s="6"/>
      <c r="AB513" s="6"/>
      <c r="AC513" s="6"/>
      <c r="AD513" s="6"/>
      <c r="AE513" s="6"/>
      <c r="AF513" s="6"/>
      <c r="AG513" s="6"/>
      <c r="AH513" s="6"/>
      <c r="AI513" s="6"/>
      <c r="AJ513" s="6"/>
      <c r="AK513" s="6"/>
      <c r="AL513" s="194">
        <f t="shared" si="8"/>
        <v>4731.33</v>
      </c>
      <c r="AM513" s="10"/>
      <c r="AN513" s="11">
        <f>4731.33</f>
        <v>4731.33</v>
      </c>
      <c r="AO513" s="138">
        <f t="shared" si="7"/>
        <v>4731.33</v>
      </c>
      <c r="AP513" s="13"/>
      <c r="AQ513" s="13"/>
      <c r="AR513" s="13"/>
      <c r="AS513" s="13"/>
      <c r="AT513" s="12"/>
      <c r="AU513" s="16"/>
      <c r="AV513" s="14" t="s">
        <v>138</v>
      </c>
      <c r="AW513" s="6" t="s">
        <v>1588</v>
      </c>
      <c r="AX513" s="83">
        <v>12134</v>
      </c>
      <c r="AY513" s="84">
        <v>42984</v>
      </c>
      <c r="AZ513" s="79">
        <v>12139</v>
      </c>
      <c r="BA513" s="80">
        <v>42993</v>
      </c>
      <c r="BB513" s="14"/>
      <c r="BC513" s="14"/>
      <c r="BD513" s="14"/>
      <c r="BE513" s="17"/>
      <c r="BF513" s="17"/>
      <c r="BG513" s="17"/>
      <c r="BH513" s="14"/>
      <c r="BI513" s="14"/>
      <c r="BJ513" s="14"/>
      <c r="BK513" s="15"/>
      <c r="BL513" s="15"/>
      <c r="BM513" s="16"/>
    </row>
    <row r="514" spans="1:65" ht="102" x14ac:dyDescent="0.2">
      <c r="A514" s="329">
        <v>98</v>
      </c>
      <c r="B514" s="77" t="s">
        <v>1906</v>
      </c>
      <c r="C514" s="70" t="s">
        <v>1085</v>
      </c>
      <c r="D514" s="81" t="s">
        <v>1542</v>
      </c>
      <c r="E514" s="12"/>
      <c r="F514" s="21" t="s">
        <v>1551</v>
      </c>
      <c r="G514" s="23"/>
      <c r="H514" s="7"/>
      <c r="I514" s="7"/>
      <c r="J514" s="7"/>
      <c r="K514" s="8" t="s">
        <v>1894</v>
      </c>
      <c r="L514" s="21" t="s">
        <v>1873</v>
      </c>
      <c r="M514" s="21" t="s">
        <v>1874</v>
      </c>
      <c r="N514" s="73">
        <v>42997</v>
      </c>
      <c r="O514" s="10">
        <v>3436.02</v>
      </c>
      <c r="P514" s="74">
        <v>12151</v>
      </c>
      <c r="Q514" s="73">
        <v>42997</v>
      </c>
      <c r="R514" s="73">
        <v>43100</v>
      </c>
      <c r="S514" s="6" t="s">
        <v>1913</v>
      </c>
      <c r="T514" s="6"/>
      <c r="U514" s="6"/>
      <c r="V514" s="6"/>
      <c r="W514" s="6" t="s">
        <v>229</v>
      </c>
      <c r="X514" s="6"/>
      <c r="Y514" s="6"/>
      <c r="Z514" s="6"/>
      <c r="AA514" s="6"/>
      <c r="AB514" s="6"/>
      <c r="AC514" s="6"/>
      <c r="AD514" s="6"/>
      <c r="AE514" s="6"/>
      <c r="AF514" s="6"/>
      <c r="AG514" s="6"/>
      <c r="AH514" s="6"/>
      <c r="AI514" s="6"/>
      <c r="AJ514" s="6"/>
      <c r="AK514" s="6"/>
      <c r="AL514" s="194">
        <f t="shared" si="8"/>
        <v>3436.02</v>
      </c>
      <c r="AM514" s="10"/>
      <c r="AN514" s="11">
        <f>3436.02</f>
        <v>3436.02</v>
      </c>
      <c r="AO514" s="138">
        <f t="shared" si="7"/>
        <v>3436.02</v>
      </c>
      <c r="AP514" s="13"/>
      <c r="AQ514" s="13"/>
      <c r="AR514" s="13"/>
      <c r="AS514" s="13"/>
      <c r="AT514" s="12"/>
      <c r="AU514" s="16"/>
      <c r="AV514" s="14" t="s">
        <v>138</v>
      </c>
      <c r="AW514" s="6" t="s">
        <v>1588</v>
      </c>
      <c r="AX514" s="83">
        <v>12134</v>
      </c>
      <c r="AY514" s="84">
        <v>42984</v>
      </c>
      <c r="AZ514" s="79">
        <v>12139</v>
      </c>
      <c r="BA514" s="80">
        <v>42993</v>
      </c>
      <c r="BB514" s="14"/>
      <c r="BC514" s="14"/>
      <c r="BD514" s="14"/>
      <c r="BE514" s="17"/>
      <c r="BF514" s="17"/>
      <c r="BG514" s="17"/>
      <c r="BH514" s="14"/>
      <c r="BI514" s="14"/>
      <c r="BJ514" s="14"/>
      <c r="BK514" s="15"/>
      <c r="BL514" s="15"/>
      <c r="BM514" s="16"/>
    </row>
    <row r="515" spans="1:65" ht="51" x14ac:dyDescent="0.2">
      <c r="A515" s="329">
        <v>299</v>
      </c>
      <c r="B515" s="77" t="s">
        <v>1719</v>
      </c>
      <c r="C515" s="70" t="s">
        <v>1225</v>
      </c>
      <c r="D515" s="81" t="s">
        <v>130</v>
      </c>
      <c r="E515" s="89" t="s">
        <v>372</v>
      </c>
      <c r="F515" s="21" t="s">
        <v>1720</v>
      </c>
      <c r="G515" s="71" t="s">
        <v>1749</v>
      </c>
      <c r="H515" s="7" t="s">
        <v>1117</v>
      </c>
      <c r="I515" s="67">
        <v>42921</v>
      </c>
      <c r="J515" s="67">
        <v>43286</v>
      </c>
      <c r="K515" s="8" t="s">
        <v>1895</v>
      </c>
      <c r="L515" s="21" t="s">
        <v>1740</v>
      </c>
      <c r="M515" s="21" t="s">
        <v>1741</v>
      </c>
      <c r="N515" s="73">
        <v>42998</v>
      </c>
      <c r="O515" s="10">
        <v>41661.449999999997</v>
      </c>
      <c r="P515" s="74">
        <v>12148</v>
      </c>
      <c r="Q515" s="73">
        <v>42998</v>
      </c>
      <c r="R515" s="73">
        <v>43100</v>
      </c>
      <c r="S515" s="6" t="s">
        <v>206</v>
      </c>
      <c r="T515" s="6"/>
      <c r="U515" s="6"/>
      <c r="V515" s="6"/>
      <c r="W515" s="6" t="s">
        <v>1669</v>
      </c>
      <c r="X515" s="6"/>
      <c r="Y515" s="6"/>
      <c r="Z515" s="6"/>
      <c r="AA515" s="6"/>
      <c r="AB515" s="6"/>
      <c r="AC515" s="6"/>
      <c r="AD515" s="6"/>
      <c r="AE515" s="6"/>
      <c r="AF515" s="6"/>
      <c r="AG515" s="6"/>
      <c r="AH515" s="6"/>
      <c r="AI515" s="6"/>
      <c r="AJ515" s="6"/>
      <c r="AK515" s="6"/>
      <c r="AL515" s="194">
        <f t="shared" si="8"/>
        <v>41661.449999999997</v>
      </c>
      <c r="AM515" s="10"/>
      <c r="AN515" s="11"/>
      <c r="AO515" s="138">
        <f t="shared" si="7"/>
        <v>0</v>
      </c>
      <c r="AP515" s="13"/>
      <c r="AQ515" s="13"/>
      <c r="AR515" s="13"/>
      <c r="AS515" s="13"/>
      <c r="AT515" s="12"/>
      <c r="AU515" s="16"/>
      <c r="AV515" s="14"/>
      <c r="AW515" s="14"/>
      <c r="AX515" s="14"/>
      <c r="AY515" s="14"/>
      <c r="AZ515" s="16"/>
      <c r="BA515" s="16"/>
      <c r="BB515" s="14"/>
      <c r="BC515" s="14"/>
      <c r="BD515" s="14"/>
      <c r="BE515" s="17"/>
      <c r="BF515" s="17"/>
      <c r="BG515" s="17"/>
      <c r="BH515" s="14"/>
      <c r="BI515" s="14"/>
      <c r="BJ515" s="14"/>
      <c r="BK515" s="15"/>
      <c r="BL515" s="15"/>
      <c r="BM515" s="16"/>
    </row>
    <row r="516" spans="1:65" ht="63.75" x14ac:dyDescent="0.2">
      <c r="A516" s="329">
        <v>300</v>
      </c>
      <c r="B516" s="77" t="s">
        <v>1924</v>
      </c>
      <c r="C516" s="70" t="s">
        <v>1269</v>
      </c>
      <c r="D516" s="81" t="s">
        <v>130</v>
      </c>
      <c r="E516" s="89" t="s">
        <v>372</v>
      </c>
      <c r="F516" s="21" t="s">
        <v>1925</v>
      </c>
      <c r="G516" s="71" t="s">
        <v>1927</v>
      </c>
      <c r="H516" s="7" t="s">
        <v>1222</v>
      </c>
      <c r="I516" s="67">
        <v>42997</v>
      </c>
      <c r="J516" s="67">
        <v>43362</v>
      </c>
      <c r="K516" s="8" t="s">
        <v>1923</v>
      </c>
      <c r="L516" s="21" t="s">
        <v>522</v>
      </c>
      <c r="M516" s="21" t="s">
        <v>243</v>
      </c>
      <c r="N516" s="73">
        <v>43003</v>
      </c>
      <c r="O516" s="9">
        <v>47910</v>
      </c>
      <c r="P516" s="74">
        <v>12148</v>
      </c>
      <c r="Q516" s="73">
        <v>43003</v>
      </c>
      <c r="R516" s="73">
        <v>43100</v>
      </c>
      <c r="S516" s="6" t="s">
        <v>1926</v>
      </c>
      <c r="T516" s="6"/>
      <c r="U516" s="6"/>
      <c r="V516" s="6"/>
      <c r="W516" s="6" t="s">
        <v>1132</v>
      </c>
      <c r="X516" s="6"/>
      <c r="Y516" s="6"/>
      <c r="Z516" s="6"/>
      <c r="AA516" s="6"/>
      <c r="AB516" s="6"/>
      <c r="AC516" s="6"/>
      <c r="AD516" s="6"/>
      <c r="AE516" s="6"/>
      <c r="AF516" s="6"/>
      <c r="AG516" s="6"/>
      <c r="AH516" s="6"/>
      <c r="AI516" s="6"/>
      <c r="AJ516" s="6"/>
      <c r="AK516" s="6"/>
      <c r="AL516" s="194">
        <f t="shared" si="8"/>
        <v>47910</v>
      </c>
      <c r="AM516" s="10"/>
      <c r="AN516" s="11">
        <v>47910</v>
      </c>
      <c r="AO516" s="138">
        <f t="shared" si="7"/>
        <v>47910</v>
      </c>
      <c r="AP516" s="13"/>
      <c r="AQ516" s="13"/>
      <c r="AR516" s="13"/>
      <c r="AS516" s="13"/>
      <c r="AT516" s="12"/>
      <c r="AU516" s="16"/>
      <c r="AV516" s="14"/>
      <c r="AW516" s="14"/>
      <c r="AX516" s="14"/>
      <c r="AY516" s="14"/>
      <c r="AZ516" s="16"/>
      <c r="BA516" s="16"/>
      <c r="BB516" s="14"/>
      <c r="BC516" s="14"/>
      <c r="BD516" s="14"/>
      <c r="BE516" s="17"/>
      <c r="BF516" s="17"/>
      <c r="BG516" s="17"/>
      <c r="BH516" s="14"/>
      <c r="BI516" s="14"/>
      <c r="BJ516" s="14"/>
      <c r="BK516" s="15"/>
      <c r="BL516" s="15"/>
      <c r="BM516" s="16"/>
    </row>
    <row r="517" spans="1:65" ht="102" x14ac:dyDescent="0.2">
      <c r="A517" s="329">
        <v>301</v>
      </c>
      <c r="B517" s="77" t="s">
        <v>1933</v>
      </c>
      <c r="C517" s="12" t="s">
        <v>1090</v>
      </c>
      <c r="D517" s="92" t="s">
        <v>1759</v>
      </c>
      <c r="E517" s="89" t="s">
        <v>372</v>
      </c>
      <c r="F517" s="72" t="s">
        <v>1934</v>
      </c>
      <c r="G517" s="71" t="s">
        <v>1974</v>
      </c>
      <c r="H517" s="7" t="s">
        <v>1223</v>
      </c>
      <c r="I517" s="67">
        <v>43004</v>
      </c>
      <c r="J517" s="67">
        <v>43369</v>
      </c>
      <c r="K517" s="8" t="s">
        <v>1931</v>
      </c>
      <c r="L517" s="72" t="s">
        <v>1935</v>
      </c>
      <c r="M517" s="6" t="s">
        <v>1936</v>
      </c>
      <c r="N517" s="73">
        <v>43011</v>
      </c>
      <c r="O517" s="10">
        <v>12190.43</v>
      </c>
      <c r="P517" s="74">
        <v>12162</v>
      </c>
      <c r="Q517" s="73">
        <v>43011</v>
      </c>
      <c r="R517" s="73">
        <v>43100</v>
      </c>
      <c r="S517" s="6" t="s">
        <v>1763</v>
      </c>
      <c r="T517" s="6"/>
      <c r="U517" s="6"/>
      <c r="V517" s="6"/>
      <c r="W517" s="6" t="s">
        <v>1253</v>
      </c>
      <c r="X517" s="6"/>
      <c r="Y517" s="6"/>
      <c r="Z517" s="6"/>
      <c r="AA517" s="6"/>
      <c r="AB517" s="6"/>
      <c r="AC517" s="6"/>
      <c r="AD517" s="6"/>
      <c r="AE517" s="6"/>
      <c r="AF517" s="6"/>
      <c r="AG517" s="6"/>
      <c r="AH517" s="6"/>
      <c r="AI517" s="6"/>
      <c r="AJ517" s="6"/>
      <c r="AK517" s="6"/>
      <c r="AL517" s="194">
        <f t="shared" si="8"/>
        <v>12190.43</v>
      </c>
      <c r="AM517" s="10"/>
      <c r="AN517" s="11"/>
      <c r="AO517" s="138">
        <f t="shared" si="7"/>
        <v>0</v>
      </c>
      <c r="AP517" s="13"/>
      <c r="AQ517" s="13"/>
      <c r="AR517" s="13"/>
      <c r="AS517" s="13"/>
      <c r="AT517" s="12"/>
      <c r="AU517" s="16"/>
      <c r="AV517" s="14"/>
      <c r="AW517" s="14"/>
      <c r="AX517" s="14"/>
      <c r="AY517" s="14"/>
      <c r="AZ517" s="16"/>
      <c r="BA517" s="16"/>
      <c r="BB517" s="14"/>
      <c r="BC517" s="14"/>
      <c r="BD517" s="14"/>
      <c r="BE517" s="17"/>
      <c r="BF517" s="17"/>
      <c r="BG517" s="17"/>
      <c r="BH517" s="14"/>
      <c r="BI517" s="14"/>
      <c r="BJ517" s="14"/>
      <c r="BK517" s="15"/>
      <c r="BL517" s="15"/>
      <c r="BM517" s="16"/>
    </row>
    <row r="518" spans="1:65" ht="102" x14ac:dyDescent="0.2">
      <c r="A518" s="329">
        <v>302</v>
      </c>
      <c r="B518" s="77" t="s">
        <v>1933</v>
      </c>
      <c r="C518" s="12" t="s">
        <v>1090</v>
      </c>
      <c r="D518" s="92" t="s">
        <v>1759</v>
      </c>
      <c r="E518" s="89" t="s">
        <v>372</v>
      </c>
      <c r="F518" s="72" t="s">
        <v>1934</v>
      </c>
      <c r="G518" s="71" t="s">
        <v>1974</v>
      </c>
      <c r="H518" s="7" t="s">
        <v>1224</v>
      </c>
      <c r="I518" s="67">
        <v>43004</v>
      </c>
      <c r="J518" s="67">
        <v>43369</v>
      </c>
      <c r="K518" s="8" t="s">
        <v>1932</v>
      </c>
      <c r="L518" s="72" t="s">
        <v>1937</v>
      </c>
      <c r="M518" s="6" t="s">
        <v>1938</v>
      </c>
      <c r="N518" s="73">
        <v>43011</v>
      </c>
      <c r="O518" s="10">
        <v>9300</v>
      </c>
      <c r="P518" s="74">
        <v>12162</v>
      </c>
      <c r="Q518" s="73">
        <v>43011</v>
      </c>
      <c r="R518" s="73">
        <v>43100</v>
      </c>
      <c r="S518" s="6" t="s">
        <v>1763</v>
      </c>
      <c r="T518" s="6"/>
      <c r="U518" s="6"/>
      <c r="V518" s="6"/>
      <c r="W518" s="6" t="s">
        <v>1253</v>
      </c>
      <c r="X518" s="6"/>
      <c r="Y518" s="6"/>
      <c r="Z518" s="6"/>
      <c r="AA518" s="6"/>
      <c r="AB518" s="6"/>
      <c r="AC518" s="6"/>
      <c r="AD518" s="6"/>
      <c r="AE518" s="6"/>
      <c r="AF518" s="6"/>
      <c r="AG518" s="6"/>
      <c r="AH518" s="6"/>
      <c r="AI518" s="6"/>
      <c r="AJ518" s="6"/>
      <c r="AK518" s="6"/>
      <c r="AL518" s="194">
        <f t="shared" si="8"/>
        <v>9300</v>
      </c>
      <c r="AM518" s="10"/>
      <c r="AN518" s="11"/>
      <c r="AO518" s="138">
        <f t="shared" si="7"/>
        <v>0</v>
      </c>
      <c r="AP518" s="13"/>
      <c r="AQ518" s="13"/>
      <c r="AR518" s="13"/>
      <c r="AS518" s="13"/>
      <c r="AT518" s="12"/>
      <c r="AU518" s="16"/>
      <c r="AV518" s="14"/>
      <c r="AW518" s="14"/>
      <c r="AX518" s="14"/>
      <c r="AY518" s="14"/>
      <c r="AZ518" s="16"/>
      <c r="BA518" s="16"/>
      <c r="BB518" s="14"/>
      <c r="BC518" s="14"/>
      <c r="BD518" s="14"/>
      <c r="BE518" s="17"/>
      <c r="BF518" s="17"/>
      <c r="BG518" s="17"/>
      <c r="BH518" s="14"/>
      <c r="BI518" s="14"/>
      <c r="BJ518" s="14"/>
      <c r="BK518" s="15"/>
      <c r="BL518" s="15"/>
      <c r="BM518" s="16"/>
    </row>
    <row r="519" spans="1:65" ht="51" x14ac:dyDescent="0.2">
      <c r="A519" s="329">
        <v>303</v>
      </c>
      <c r="B519" s="77" t="s">
        <v>1939</v>
      </c>
      <c r="C519" s="12" t="s">
        <v>1254</v>
      </c>
      <c r="D519" s="92" t="s">
        <v>130</v>
      </c>
      <c r="E519" s="89" t="s">
        <v>372</v>
      </c>
      <c r="F519" s="72" t="s">
        <v>242</v>
      </c>
      <c r="G519" s="71" t="s">
        <v>1989</v>
      </c>
      <c r="H519" s="7" t="s">
        <v>1237</v>
      </c>
      <c r="I519" s="67">
        <v>43014</v>
      </c>
      <c r="J519" s="67">
        <v>43379</v>
      </c>
      <c r="K519" s="8" t="s">
        <v>1940</v>
      </c>
      <c r="L519" s="72" t="s">
        <v>523</v>
      </c>
      <c r="M519" s="6" t="s">
        <v>524</v>
      </c>
      <c r="N519" s="73">
        <v>43017</v>
      </c>
      <c r="O519" s="10">
        <v>66750</v>
      </c>
      <c r="P519" s="74">
        <v>12160</v>
      </c>
      <c r="Q519" s="73">
        <v>43017</v>
      </c>
      <c r="R519" s="73">
        <v>43100</v>
      </c>
      <c r="S519" s="6" t="s">
        <v>1941</v>
      </c>
      <c r="T519" s="6"/>
      <c r="U519" s="6"/>
      <c r="V519" s="6"/>
      <c r="W519" s="6" t="s">
        <v>393</v>
      </c>
      <c r="X519" s="6"/>
      <c r="Y519" s="6"/>
      <c r="Z519" s="6"/>
      <c r="AA519" s="6"/>
      <c r="AB519" s="6"/>
      <c r="AC519" s="6"/>
      <c r="AD519" s="6"/>
      <c r="AE519" s="6"/>
      <c r="AF519" s="6"/>
      <c r="AG519" s="6"/>
      <c r="AH519" s="6"/>
      <c r="AI519" s="6"/>
      <c r="AJ519" s="6"/>
      <c r="AK519" s="6"/>
      <c r="AL519" s="194">
        <f t="shared" si="8"/>
        <v>66750</v>
      </c>
      <c r="AM519" s="10"/>
      <c r="AN519" s="11"/>
      <c r="AO519" s="138">
        <f t="shared" si="7"/>
        <v>0</v>
      </c>
      <c r="AP519" s="13"/>
      <c r="AQ519" s="13"/>
      <c r="AR519" s="13"/>
      <c r="AS519" s="13"/>
      <c r="AT519" s="12"/>
      <c r="AU519" s="16"/>
      <c r="AV519" s="14"/>
      <c r="AW519" s="14"/>
      <c r="AX519" s="14"/>
      <c r="AY519" s="14"/>
      <c r="AZ519" s="16"/>
      <c r="BA519" s="16"/>
      <c r="BB519" s="14"/>
      <c r="BC519" s="14"/>
      <c r="BD519" s="14"/>
      <c r="BE519" s="17"/>
      <c r="BF519" s="17"/>
      <c r="BG519" s="17"/>
      <c r="BH519" s="14"/>
      <c r="BI519" s="14"/>
      <c r="BJ519" s="14"/>
      <c r="BK519" s="15"/>
      <c r="BL519" s="15"/>
      <c r="BM519" s="16"/>
    </row>
    <row r="520" spans="1:65" ht="51" x14ac:dyDescent="0.2">
      <c r="A520" s="329">
        <v>304</v>
      </c>
      <c r="B520" s="77" t="s">
        <v>1939</v>
      </c>
      <c r="C520" s="12" t="s">
        <v>1254</v>
      </c>
      <c r="D520" s="92" t="s">
        <v>130</v>
      </c>
      <c r="E520" s="89" t="s">
        <v>372</v>
      </c>
      <c r="F520" s="72" t="s">
        <v>242</v>
      </c>
      <c r="G520" s="71" t="s">
        <v>1989</v>
      </c>
      <c r="H520" s="7" t="s">
        <v>1237</v>
      </c>
      <c r="I520" s="67">
        <v>43014</v>
      </c>
      <c r="J520" s="67">
        <v>43379</v>
      </c>
      <c r="K520" s="8" t="s">
        <v>1942</v>
      </c>
      <c r="L520" s="72" t="s">
        <v>520</v>
      </c>
      <c r="M520" s="6" t="s">
        <v>521</v>
      </c>
      <c r="N520" s="73">
        <v>43017</v>
      </c>
      <c r="O520" s="10">
        <v>89750</v>
      </c>
      <c r="P520" s="74">
        <v>12160</v>
      </c>
      <c r="Q520" s="73">
        <v>43017</v>
      </c>
      <c r="R520" s="73">
        <v>43100</v>
      </c>
      <c r="S520" s="6" t="s">
        <v>1941</v>
      </c>
      <c r="T520" s="6"/>
      <c r="U520" s="6"/>
      <c r="V520" s="6"/>
      <c r="W520" s="6" t="s">
        <v>393</v>
      </c>
      <c r="X520" s="6"/>
      <c r="Y520" s="6"/>
      <c r="Z520" s="6"/>
      <c r="AA520" s="6"/>
      <c r="AB520" s="6"/>
      <c r="AC520" s="6"/>
      <c r="AD520" s="6"/>
      <c r="AE520" s="6"/>
      <c r="AF520" s="6"/>
      <c r="AG520" s="6"/>
      <c r="AH520" s="6"/>
      <c r="AI520" s="6"/>
      <c r="AJ520" s="6"/>
      <c r="AK520" s="6"/>
      <c r="AL520" s="194">
        <f t="shared" si="8"/>
        <v>89750</v>
      </c>
      <c r="AM520" s="10"/>
      <c r="AN520" s="11"/>
      <c r="AO520" s="138">
        <f t="shared" si="7"/>
        <v>0</v>
      </c>
      <c r="AP520" s="13"/>
      <c r="AQ520" s="13"/>
      <c r="AR520" s="13"/>
      <c r="AS520" s="13"/>
      <c r="AT520" s="12"/>
      <c r="AU520" s="16"/>
      <c r="AV520" s="14"/>
      <c r="AW520" s="14"/>
      <c r="AX520" s="14"/>
      <c r="AY520" s="14"/>
      <c r="AZ520" s="16"/>
      <c r="BA520" s="16"/>
      <c r="BB520" s="14"/>
      <c r="BC520" s="14"/>
      <c r="BD520" s="14"/>
      <c r="BE520" s="17"/>
      <c r="BF520" s="17"/>
      <c r="BG520" s="17"/>
      <c r="BH520" s="14"/>
      <c r="BI520" s="14"/>
      <c r="BJ520" s="14"/>
      <c r="BK520" s="15"/>
      <c r="BL520" s="15"/>
      <c r="BM520" s="16"/>
    </row>
    <row r="521" spans="1:65" ht="51" x14ac:dyDescent="0.2">
      <c r="A521" s="329">
        <v>305</v>
      </c>
      <c r="B521" s="77" t="s">
        <v>1939</v>
      </c>
      <c r="C521" s="12" t="s">
        <v>1254</v>
      </c>
      <c r="D521" s="92" t="s">
        <v>130</v>
      </c>
      <c r="E521" s="89" t="s">
        <v>372</v>
      </c>
      <c r="F521" s="72" t="s">
        <v>242</v>
      </c>
      <c r="G521" s="71" t="s">
        <v>1989</v>
      </c>
      <c r="H521" s="7" t="s">
        <v>1237</v>
      </c>
      <c r="I521" s="67">
        <v>43014</v>
      </c>
      <c r="J521" s="67">
        <v>43379</v>
      </c>
      <c r="K521" s="8" t="s">
        <v>1943</v>
      </c>
      <c r="L521" s="72" t="s">
        <v>516</v>
      </c>
      <c r="M521" s="6" t="s">
        <v>400</v>
      </c>
      <c r="N521" s="73">
        <v>43017</v>
      </c>
      <c r="O521" s="10">
        <v>701885</v>
      </c>
      <c r="P521" s="74">
        <v>12160</v>
      </c>
      <c r="Q521" s="73">
        <v>43017</v>
      </c>
      <c r="R521" s="73">
        <v>43100</v>
      </c>
      <c r="S521" s="6" t="s">
        <v>1941</v>
      </c>
      <c r="T521" s="6"/>
      <c r="U521" s="6"/>
      <c r="V521" s="6"/>
      <c r="W521" s="6" t="s">
        <v>393</v>
      </c>
      <c r="X521" s="6"/>
      <c r="Y521" s="6"/>
      <c r="Z521" s="6"/>
      <c r="AA521" s="6"/>
      <c r="AB521" s="6"/>
      <c r="AC521" s="6"/>
      <c r="AD521" s="6"/>
      <c r="AE521" s="6"/>
      <c r="AF521" s="6"/>
      <c r="AG521" s="6"/>
      <c r="AH521" s="6"/>
      <c r="AI521" s="6"/>
      <c r="AJ521" s="6"/>
      <c r="AK521" s="6"/>
      <c r="AL521" s="194">
        <f t="shared" si="8"/>
        <v>701885</v>
      </c>
      <c r="AM521" s="10"/>
      <c r="AN521" s="11"/>
      <c r="AO521" s="138">
        <f t="shared" si="7"/>
        <v>0</v>
      </c>
      <c r="AP521" s="13"/>
      <c r="AQ521" s="13"/>
      <c r="AR521" s="13"/>
      <c r="AS521" s="13"/>
      <c r="AT521" s="12"/>
      <c r="AU521" s="16"/>
      <c r="AV521" s="14"/>
      <c r="AW521" s="14"/>
      <c r="AX521" s="14"/>
      <c r="AY521" s="14"/>
      <c r="AZ521" s="16"/>
      <c r="BA521" s="16"/>
      <c r="BB521" s="14"/>
      <c r="BC521" s="14"/>
      <c r="BD521" s="14"/>
      <c r="BE521" s="17"/>
      <c r="BF521" s="17"/>
      <c r="BG521" s="17"/>
      <c r="BH521" s="14"/>
      <c r="BI521" s="14"/>
      <c r="BJ521" s="14"/>
      <c r="BK521" s="15"/>
      <c r="BL521" s="15"/>
      <c r="BM521" s="16"/>
    </row>
    <row r="522" spans="1:65" ht="51" x14ac:dyDescent="0.2">
      <c r="A522" s="329">
        <v>306</v>
      </c>
      <c r="B522" s="77" t="s">
        <v>1939</v>
      </c>
      <c r="C522" s="12" t="s">
        <v>1254</v>
      </c>
      <c r="D522" s="92" t="s">
        <v>130</v>
      </c>
      <c r="E522" s="89" t="s">
        <v>372</v>
      </c>
      <c r="F522" s="72" t="s">
        <v>242</v>
      </c>
      <c r="G522" s="71" t="s">
        <v>1989</v>
      </c>
      <c r="H522" s="7" t="s">
        <v>1237</v>
      </c>
      <c r="I522" s="67">
        <v>43014</v>
      </c>
      <c r="J522" s="67">
        <v>43379</v>
      </c>
      <c r="K522" s="8" t="s">
        <v>1944</v>
      </c>
      <c r="L522" s="72" t="s">
        <v>1945</v>
      </c>
      <c r="M522" s="6" t="s">
        <v>1946</v>
      </c>
      <c r="N522" s="73">
        <v>43017</v>
      </c>
      <c r="O522" s="10">
        <v>77000</v>
      </c>
      <c r="P522" s="74">
        <v>12160</v>
      </c>
      <c r="Q522" s="73">
        <v>43017</v>
      </c>
      <c r="R522" s="73">
        <v>43100</v>
      </c>
      <c r="S522" s="6" t="s">
        <v>1941</v>
      </c>
      <c r="T522" s="6"/>
      <c r="U522" s="6"/>
      <c r="V522" s="6"/>
      <c r="W522" s="6" t="s">
        <v>393</v>
      </c>
      <c r="X522" s="6"/>
      <c r="Y522" s="6"/>
      <c r="Z522" s="6"/>
      <c r="AA522" s="6"/>
      <c r="AB522" s="6"/>
      <c r="AC522" s="6"/>
      <c r="AD522" s="6"/>
      <c r="AE522" s="6"/>
      <c r="AF522" s="6"/>
      <c r="AG522" s="6"/>
      <c r="AH522" s="6"/>
      <c r="AI522" s="6"/>
      <c r="AJ522" s="6"/>
      <c r="AK522" s="6"/>
      <c r="AL522" s="194">
        <f t="shared" si="8"/>
        <v>77000</v>
      </c>
      <c r="AM522" s="10"/>
      <c r="AN522" s="11"/>
      <c r="AO522" s="138">
        <f t="shared" si="7"/>
        <v>0</v>
      </c>
      <c r="AP522" s="13"/>
      <c r="AQ522" s="13"/>
      <c r="AR522" s="13"/>
      <c r="AS522" s="13"/>
      <c r="AT522" s="12"/>
      <c r="AU522" s="16"/>
      <c r="AV522" s="14"/>
      <c r="AW522" s="14"/>
      <c r="AX522" s="14"/>
      <c r="AY522" s="14"/>
      <c r="AZ522" s="16"/>
      <c r="BA522" s="16"/>
      <c r="BB522" s="14"/>
      <c r="BC522" s="14"/>
      <c r="BD522" s="14"/>
      <c r="BE522" s="17"/>
      <c r="BF522" s="17"/>
      <c r="BG522" s="17"/>
      <c r="BH522" s="14"/>
      <c r="BI522" s="14"/>
      <c r="BJ522" s="14"/>
      <c r="BK522" s="15"/>
      <c r="BL522" s="15"/>
      <c r="BM522" s="16"/>
    </row>
    <row r="523" spans="1:65" ht="51" x14ac:dyDescent="0.2">
      <c r="A523" s="329">
        <v>307</v>
      </c>
      <c r="B523" s="77" t="s">
        <v>1939</v>
      </c>
      <c r="C523" s="12" t="s">
        <v>1254</v>
      </c>
      <c r="D523" s="92" t="s">
        <v>130</v>
      </c>
      <c r="E523" s="89" t="s">
        <v>372</v>
      </c>
      <c r="F523" s="72" t="s">
        <v>242</v>
      </c>
      <c r="G523" s="71" t="s">
        <v>1989</v>
      </c>
      <c r="H523" s="7" t="s">
        <v>1237</v>
      </c>
      <c r="I523" s="67">
        <v>43014</v>
      </c>
      <c r="J523" s="67">
        <v>43379</v>
      </c>
      <c r="K523" s="8" t="s">
        <v>1947</v>
      </c>
      <c r="L523" s="72" t="s">
        <v>492</v>
      </c>
      <c r="M523" s="6" t="s">
        <v>253</v>
      </c>
      <c r="N523" s="73">
        <v>43017</v>
      </c>
      <c r="O523" s="10">
        <v>800</v>
      </c>
      <c r="P523" s="74">
        <v>12160</v>
      </c>
      <c r="Q523" s="73">
        <v>43017</v>
      </c>
      <c r="R523" s="73">
        <v>43100</v>
      </c>
      <c r="S523" s="6" t="s">
        <v>1941</v>
      </c>
      <c r="T523" s="6"/>
      <c r="U523" s="6"/>
      <c r="V523" s="6"/>
      <c r="W523" s="6" t="s">
        <v>393</v>
      </c>
      <c r="X523" s="6"/>
      <c r="Y523" s="6"/>
      <c r="Z523" s="6"/>
      <c r="AA523" s="6"/>
      <c r="AB523" s="6"/>
      <c r="AC523" s="6"/>
      <c r="AD523" s="6"/>
      <c r="AE523" s="6"/>
      <c r="AF523" s="6"/>
      <c r="AG523" s="6"/>
      <c r="AH523" s="6"/>
      <c r="AI523" s="6"/>
      <c r="AJ523" s="6"/>
      <c r="AK523" s="6"/>
      <c r="AL523" s="194">
        <f t="shared" si="8"/>
        <v>800</v>
      </c>
      <c r="AM523" s="10"/>
      <c r="AN523" s="11"/>
      <c r="AO523" s="138">
        <f t="shared" si="7"/>
        <v>0</v>
      </c>
      <c r="AP523" s="13"/>
      <c r="AQ523" s="13"/>
      <c r="AR523" s="13"/>
      <c r="AS523" s="13"/>
      <c r="AT523" s="12"/>
      <c r="AU523" s="16"/>
      <c r="AV523" s="14"/>
      <c r="AW523" s="14"/>
      <c r="AX523" s="14"/>
      <c r="AY523" s="14"/>
      <c r="AZ523" s="16"/>
      <c r="BA523" s="16"/>
      <c r="BB523" s="14"/>
      <c r="BC523" s="14"/>
      <c r="BD523" s="14"/>
      <c r="BE523" s="17"/>
      <c r="BF523" s="17"/>
      <c r="BG523" s="17"/>
      <c r="BH523" s="14"/>
      <c r="BI523" s="14"/>
      <c r="BJ523" s="14"/>
      <c r="BK523" s="15"/>
      <c r="BL523" s="15"/>
      <c r="BM523" s="16"/>
    </row>
    <row r="524" spans="1:65" ht="51" x14ac:dyDescent="0.2">
      <c r="A524" s="329">
        <v>308</v>
      </c>
      <c r="B524" s="77" t="s">
        <v>1939</v>
      </c>
      <c r="C524" s="12" t="s">
        <v>1254</v>
      </c>
      <c r="D524" s="92" t="s">
        <v>130</v>
      </c>
      <c r="E524" s="89" t="s">
        <v>372</v>
      </c>
      <c r="F524" s="72" t="s">
        <v>242</v>
      </c>
      <c r="G524" s="71" t="s">
        <v>1989</v>
      </c>
      <c r="H524" s="7" t="s">
        <v>1237</v>
      </c>
      <c r="I524" s="67">
        <v>43014</v>
      </c>
      <c r="J524" s="67">
        <v>43379</v>
      </c>
      <c r="K524" s="8" t="s">
        <v>1948</v>
      </c>
      <c r="L524" s="72" t="s">
        <v>522</v>
      </c>
      <c r="M524" s="6" t="s">
        <v>243</v>
      </c>
      <c r="N524" s="73">
        <v>43017</v>
      </c>
      <c r="O524" s="10">
        <v>49590</v>
      </c>
      <c r="P524" s="74">
        <v>12160</v>
      </c>
      <c r="Q524" s="73">
        <v>43017</v>
      </c>
      <c r="R524" s="73">
        <v>43100</v>
      </c>
      <c r="S524" s="6" t="s">
        <v>1941</v>
      </c>
      <c r="T524" s="6"/>
      <c r="U524" s="6"/>
      <c r="V524" s="6"/>
      <c r="W524" s="6" t="s">
        <v>393</v>
      </c>
      <c r="X524" s="6"/>
      <c r="Y524" s="6"/>
      <c r="Z524" s="6"/>
      <c r="AA524" s="6"/>
      <c r="AB524" s="6"/>
      <c r="AC524" s="6"/>
      <c r="AD524" s="6"/>
      <c r="AE524" s="6"/>
      <c r="AF524" s="6"/>
      <c r="AG524" s="6"/>
      <c r="AH524" s="6"/>
      <c r="AI524" s="6"/>
      <c r="AJ524" s="6"/>
      <c r="AK524" s="6"/>
      <c r="AL524" s="194">
        <f t="shared" si="8"/>
        <v>49590</v>
      </c>
      <c r="AM524" s="10"/>
      <c r="AN524" s="11"/>
      <c r="AO524" s="138">
        <f t="shared" si="7"/>
        <v>0</v>
      </c>
      <c r="AP524" s="13"/>
      <c r="AQ524" s="13"/>
      <c r="AR524" s="13"/>
      <c r="AS524" s="13"/>
      <c r="AT524" s="12"/>
      <c r="AU524" s="16"/>
      <c r="AV524" s="14"/>
      <c r="AW524" s="14"/>
      <c r="AX524" s="14"/>
      <c r="AY524" s="14"/>
      <c r="AZ524" s="16"/>
      <c r="BA524" s="16"/>
      <c r="BB524" s="14"/>
      <c r="BC524" s="14"/>
      <c r="BD524" s="14"/>
      <c r="BE524" s="17"/>
      <c r="BF524" s="17"/>
      <c r="BG524" s="17"/>
      <c r="BH524" s="14"/>
      <c r="BI524" s="14"/>
      <c r="BJ524" s="14"/>
      <c r="BK524" s="15"/>
      <c r="BL524" s="15"/>
      <c r="BM524" s="16"/>
    </row>
    <row r="525" spans="1:65" ht="51" x14ac:dyDescent="0.2">
      <c r="A525" s="329">
        <v>309</v>
      </c>
      <c r="B525" s="77" t="s">
        <v>1939</v>
      </c>
      <c r="C525" s="12" t="s">
        <v>1254</v>
      </c>
      <c r="D525" s="92" t="s">
        <v>130</v>
      </c>
      <c r="E525" s="89" t="s">
        <v>372</v>
      </c>
      <c r="F525" s="72" t="s">
        <v>242</v>
      </c>
      <c r="G525" s="71" t="s">
        <v>1989</v>
      </c>
      <c r="H525" s="7" t="s">
        <v>1237</v>
      </c>
      <c r="I525" s="67">
        <v>43014</v>
      </c>
      <c r="J525" s="67">
        <v>43379</v>
      </c>
      <c r="K525" s="8" t="s">
        <v>1949</v>
      </c>
      <c r="L525" s="72" t="s">
        <v>1055</v>
      </c>
      <c r="M525" s="6" t="s">
        <v>918</v>
      </c>
      <c r="N525" s="73">
        <v>43017</v>
      </c>
      <c r="O525" s="10">
        <v>285684</v>
      </c>
      <c r="P525" s="74">
        <v>12160</v>
      </c>
      <c r="Q525" s="73">
        <v>43017</v>
      </c>
      <c r="R525" s="73">
        <v>43100</v>
      </c>
      <c r="S525" s="6" t="s">
        <v>1941</v>
      </c>
      <c r="T525" s="6"/>
      <c r="U525" s="6"/>
      <c r="V525" s="6"/>
      <c r="W525" s="6" t="s">
        <v>393</v>
      </c>
      <c r="X525" s="6"/>
      <c r="Y525" s="6"/>
      <c r="Z525" s="6"/>
      <c r="AA525" s="6"/>
      <c r="AB525" s="6"/>
      <c r="AC525" s="6"/>
      <c r="AD525" s="6"/>
      <c r="AE525" s="6"/>
      <c r="AF525" s="6"/>
      <c r="AG525" s="6"/>
      <c r="AH525" s="6"/>
      <c r="AI525" s="6"/>
      <c r="AJ525" s="6"/>
      <c r="AK525" s="6"/>
      <c r="AL525" s="194">
        <f t="shared" si="8"/>
        <v>285684</v>
      </c>
      <c r="AM525" s="10"/>
      <c r="AN525" s="11"/>
      <c r="AO525" s="138">
        <f t="shared" ref="AO525:AO551" si="10">AM525+AN525</f>
        <v>0</v>
      </c>
      <c r="AP525" s="13"/>
      <c r="AQ525" s="13"/>
      <c r="AR525" s="13"/>
      <c r="AS525" s="13"/>
      <c r="AT525" s="12"/>
      <c r="AU525" s="16"/>
      <c r="AV525" s="14"/>
      <c r="AW525" s="14"/>
      <c r="AX525" s="14"/>
      <c r="AY525" s="14"/>
      <c r="AZ525" s="16"/>
      <c r="BA525" s="16"/>
      <c r="BB525" s="14"/>
      <c r="BC525" s="14"/>
      <c r="BD525" s="14"/>
      <c r="BE525" s="17"/>
      <c r="BF525" s="17"/>
      <c r="BG525" s="17"/>
      <c r="BH525" s="14"/>
      <c r="BI525" s="14"/>
      <c r="BJ525" s="14"/>
      <c r="BK525" s="15"/>
      <c r="BL525" s="15"/>
      <c r="BM525" s="16"/>
    </row>
    <row r="526" spans="1:65" ht="51" x14ac:dyDescent="0.2">
      <c r="A526" s="329">
        <v>310</v>
      </c>
      <c r="B526" s="77" t="s">
        <v>1939</v>
      </c>
      <c r="C526" s="12" t="s">
        <v>1254</v>
      </c>
      <c r="D526" s="92" t="s">
        <v>130</v>
      </c>
      <c r="E526" s="89" t="s">
        <v>372</v>
      </c>
      <c r="F526" s="72" t="s">
        <v>242</v>
      </c>
      <c r="G526" s="71" t="s">
        <v>1989</v>
      </c>
      <c r="H526" s="7" t="s">
        <v>1237</v>
      </c>
      <c r="I526" s="67">
        <v>43014</v>
      </c>
      <c r="J526" s="67">
        <v>43379</v>
      </c>
      <c r="K526" s="8" t="s">
        <v>1950</v>
      </c>
      <c r="L526" s="72" t="s">
        <v>1951</v>
      </c>
      <c r="M526" s="6" t="s">
        <v>1952</v>
      </c>
      <c r="N526" s="73">
        <v>43017</v>
      </c>
      <c r="O526" s="10">
        <v>15000</v>
      </c>
      <c r="P526" s="74">
        <v>12160</v>
      </c>
      <c r="Q526" s="73">
        <v>43017</v>
      </c>
      <c r="R526" s="73">
        <v>43100</v>
      </c>
      <c r="S526" s="6" t="s">
        <v>1941</v>
      </c>
      <c r="T526" s="6"/>
      <c r="U526" s="6"/>
      <c r="V526" s="6"/>
      <c r="W526" s="6" t="s">
        <v>393</v>
      </c>
      <c r="X526" s="6"/>
      <c r="Y526" s="6"/>
      <c r="Z526" s="6"/>
      <c r="AA526" s="6"/>
      <c r="AB526" s="6"/>
      <c r="AC526" s="6"/>
      <c r="AD526" s="6"/>
      <c r="AE526" s="6"/>
      <c r="AF526" s="6"/>
      <c r="AG526" s="6"/>
      <c r="AH526" s="6"/>
      <c r="AI526" s="6"/>
      <c r="AJ526" s="6"/>
      <c r="AK526" s="6"/>
      <c r="AL526" s="194">
        <f t="shared" si="8"/>
        <v>15000</v>
      </c>
      <c r="AM526" s="10"/>
      <c r="AN526" s="11"/>
      <c r="AO526" s="138">
        <f t="shared" si="10"/>
        <v>0</v>
      </c>
      <c r="AP526" s="13"/>
      <c r="AQ526" s="13"/>
      <c r="AR526" s="13"/>
      <c r="AS526" s="13"/>
      <c r="AT526" s="12"/>
      <c r="AU526" s="16"/>
      <c r="AV526" s="14"/>
      <c r="AW526" s="14"/>
      <c r="AX526" s="14"/>
      <c r="AY526" s="14"/>
      <c r="AZ526" s="16"/>
      <c r="BA526" s="16"/>
      <c r="BB526" s="14"/>
      <c r="BC526" s="14"/>
      <c r="BD526" s="14"/>
      <c r="BE526" s="17"/>
      <c r="BF526" s="17"/>
      <c r="BG526" s="17"/>
      <c r="BH526" s="14"/>
      <c r="BI526" s="14"/>
      <c r="BJ526" s="14"/>
      <c r="BK526" s="15"/>
      <c r="BL526" s="15"/>
      <c r="BM526" s="16"/>
    </row>
    <row r="527" spans="1:65" ht="51" x14ac:dyDescent="0.2">
      <c r="A527" s="329">
        <v>311</v>
      </c>
      <c r="B527" s="77" t="s">
        <v>1939</v>
      </c>
      <c r="C527" s="12" t="s">
        <v>1254</v>
      </c>
      <c r="D527" s="92" t="s">
        <v>130</v>
      </c>
      <c r="E527" s="89" t="s">
        <v>372</v>
      </c>
      <c r="F527" s="72" t="s">
        <v>242</v>
      </c>
      <c r="G527" s="71" t="s">
        <v>1989</v>
      </c>
      <c r="H527" s="7" t="s">
        <v>1237</v>
      </c>
      <c r="I527" s="67">
        <v>43014</v>
      </c>
      <c r="J527" s="67">
        <v>43379</v>
      </c>
      <c r="K527" s="8" t="s">
        <v>1953</v>
      </c>
      <c r="L527" s="72" t="s">
        <v>1954</v>
      </c>
      <c r="M527" s="6" t="s">
        <v>1163</v>
      </c>
      <c r="N527" s="73">
        <v>43017</v>
      </c>
      <c r="O527" s="10">
        <v>63000</v>
      </c>
      <c r="P527" s="74">
        <v>12160</v>
      </c>
      <c r="Q527" s="73">
        <v>43017</v>
      </c>
      <c r="R527" s="73">
        <v>43100</v>
      </c>
      <c r="S527" s="6" t="s">
        <v>1941</v>
      </c>
      <c r="T527" s="6"/>
      <c r="U527" s="6"/>
      <c r="V527" s="6"/>
      <c r="W527" s="6" t="s">
        <v>393</v>
      </c>
      <c r="X527" s="6"/>
      <c r="Y527" s="6"/>
      <c r="Z527" s="6"/>
      <c r="AA527" s="6"/>
      <c r="AB527" s="6"/>
      <c r="AC527" s="6"/>
      <c r="AD527" s="6"/>
      <c r="AE527" s="6"/>
      <c r="AF527" s="6"/>
      <c r="AG527" s="6"/>
      <c r="AH527" s="6"/>
      <c r="AI527" s="6"/>
      <c r="AJ527" s="6"/>
      <c r="AK527" s="6"/>
      <c r="AL527" s="194">
        <f t="shared" si="8"/>
        <v>63000</v>
      </c>
      <c r="AM527" s="10"/>
      <c r="AN527" s="11"/>
      <c r="AO527" s="138">
        <f t="shared" si="10"/>
        <v>0</v>
      </c>
      <c r="AP527" s="13"/>
      <c r="AQ527" s="13"/>
      <c r="AR527" s="13"/>
      <c r="AS527" s="13"/>
      <c r="AT527" s="12"/>
      <c r="AU527" s="16"/>
      <c r="AV527" s="14"/>
      <c r="AW527" s="14"/>
      <c r="AX527" s="14"/>
      <c r="AY527" s="14"/>
      <c r="AZ527" s="16"/>
      <c r="BA527" s="16"/>
      <c r="BB527" s="14"/>
      <c r="BC527" s="14"/>
      <c r="BD527" s="14"/>
      <c r="BE527" s="17"/>
      <c r="BF527" s="17"/>
      <c r="BG527" s="17"/>
      <c r="BH527" s="14"/>
      <c r="BI527" s="14"/>
      <c r="BJ527" s="14"/>
      <c r="BK527" s="15"/>
      <c r="BL527" s="15"/>
      <c r="BM527" s="16"/>
    </row>
    <row r="528" spans="1:65" ht="51" x14ac:dyDescent="0.2">
      <c r="A528" s="329">
        <v>312</v>
      </c>
      <c r="B528" s="77" t="s">
        <v>1939</v>
      </c>
      <c r="C528" s="12" t="s">
        <v>1254</v>
      </c>
      <c r="D528" s="92" t="s">
        <v>130</v>
      </c>
      <c r="E528" s="89" t="s">
        <v>372</v>
      </c>
      <c r="F528" s="72" t="s">
        <v>242</v>
      </c>
      <c r="G528" s="71" t="s">
        <v>1989</v>
      </c>
      <c r="H528" s="7" t="s">
        <v>1237</v>
      </c>
      <c r="I528" s="67">
        <v>43014</v>
      </c>
      <c r="J528" s="67">
        <v>43379</v>
      </c>
      <c r="K528" s="8" t="s">
        <v>1955</v>
      </c>
      <c r="L528" s="72" t="s">
        <v>1956</v>
      </c>
      <c r="M528" s="6" t="s">
        <v>1957</v>
      </c>
      <c r="N528" s="73">
        <v>43017</v>
      </c>
      <c r="O528" s="10">
        <v>257497</v>
      </c>
      <c r="P528" s="74">
        <v>12160</v>
      </c>
      <c r="Q528" s="73">
        <v>43017</v>
      </c>
      <c r="R528" s="73">
        <v>43100</v>
      </c>
      <c r="S528" s="6" t="s">
        <v>1941</v>
      </c>
      <c r="T528" s="6"/>
      <c r="U528" s="6"/>
      <c r="V528" s="6"/>
      <c r="W528" s="6" t="s">
        <v>393</v>
      </c>
      <c r="X528" s="6"/>
      <c r="Y528" s="6"/>
      <c r="Z528" s="6"/>
      <c r="AA528" s="6"/>
      <c r="AB528" s="6"/>
      <c r="AC528" s="6"/>
      <c r="AD528" s="6"/>
      <c r="AE528" s="6"/>
      <c r="AF528" s="6"/>
      <c r="AG528" s="6"/>
      <c r="AH528" s="6"/>
      <c r="AI528" s="6"/>
      <c r="AJ528" s="6"/>
      <c r="AK528" s="6"/>
      <c r="AL528" s="194">
        <f t="shared" si="8"/>
        <v>257497</v>
      </c>
      <c r="AM528" s="10"/>
      <c r="AN528" s="11"/>
      <c r="AO528" s="138">
        <f t="shared" si="10"/>
        <v>0</v>
      </c>
      <c r="AP528" s="13"/>
      <c r="AQ528" s="13"/>
      <c r="AR528" s="13"/>
      <c r="AS528" s="13"/>
      <c r="AT528" s="12"/>
      <c r="AU528" s="16"/>
      <c r="AV528" s="14"/>
      <c r="AW528" s="14"/>
      <c r="AX528" s="14"/>
      <c r="AY528" s="14"/>
      <c r="AZ528" s="16"/>
      <c r="BA528" s="16"/>
      <c r="BB528" s="14"/>
      <c r="BC528" s="14"/>
      <c r="BD528" s="14"/>
      <c r="BE528" s="17"/>
      <c r="BF528" s="17"/>
      <c r="BG528" s="17"/>
      <c r="BH528" s="14"/>
      <c r="BI528" s="14"/>
      <c r="BJ528" s="14"/>
      <c r="BK528" s="15"/>
      <c r="BL528" s="15"/>
      <c r="BM528" s="16"/>
    </row>
    <row r="529" spans="1:65" ht="51" x14ac:dyDescent="0.2">
      <c r="A529" s="329">
        <v>313</v>
      </c>
      <c r="B529" s="77" t="s">
        <v>1939</v>
      </c>
      <c r="C529" s="12" t="s">
        <v>1254</v>
      </c>
      <c r="D529" s="92" t="s">
        <v>130</v>
      </c>
      <c r="E529" s="89" t="s">
        <v>372</v>
      </c>
      <c r="F529" s="72" t="s">
        <v>242</v>
      </c>
      <c r="G529" s="71" t="s">
        <v>1989</v>
      </c>
      <c r="H529" s="7" t="s">
        <v>1237</v>
      </c>
      <c r="I529" s="67">
        <v>43014</v>
      </c>
      <c r="J529" s="67">
        <v>43379</v>
      </c>
      <c r="K529" s="8" t="s">
        <v>1958</v>
      </c>
      <c r="L529" s="72" t="s">
        <v>1264</v>
      </c>
      <c r="M529" s="6" t="s">
        <v>1265</v>
      </c>
      <c r="N529" s="73">
        <v>43017</v>
      </c>
      <c r="O529" s="10">
        <v>33198.92</v>
      </c>
      <c r="P529" s="74">
        <v>12160</v>
      </c>
      <c r="Q529" s="73">
        <v>43017</v>
      </c>
      <c r="R529" s="73">
        <v>43100</v>
      </c>
      <c r="S529" s="6" t="s">
        <v>1941</v>
      </c>
      <c r="T529" s="6"/>
      <c r="U529" s="6"/>
      <c r="V529" s="6"/>
      <c r="W529" s="6" t="s">
        <v>393</v>
      </c>
      <c r="X529" s="6"/>
      <c r="Y529" s="6"/>
      <c r="Z529" s="6"/>
      <c r="AA529" s="6"/>
      <c r="AB529" s="6"/>
      <c r="AC529" s="6"/>
      <c r="AD529" s="6"/>
      <c r="AE529" s="6"/>
      <c r="AF529" s="6"/>
      <c r="AG529" s="6"/>
      <c r="AH529" s="6"/>
      <c r="AI529" s="6"/>
      <c r="AJ529" s="6"/>
      <c r="AK529" s="6"/>
      <c r="AL529" s="194">
        <f t="shared" si="8"/>
        <v>33198.92</v>
      </c>
      <c r="AM529" s="10"/>
      <c r="AN529" s="11"/>
      <c r="AO529" s="138">
        <f t="shared" si="10"/>
        <v>0</v>
      </c>
      <c r="AP529" s="13"/>
      <c r="AQ529" s="13"/>
      <c r="AR529" s="13"/>
      <c r="AS529" s="13"/>
      <c r="AT529" s="12"/>
      <c r="AU529" s="16"/>
      <c r="AV529" s="14"/>
      <c r="AW529" s="14"/>
      <c r="AX529" s="14"/>
      <c r="AY529" s="14"/>
      <c r="AZ529" s="16"/>
      <c r="BA529" s="16"/>
      <c r="BB529" s="14"/>
      <c r="BC529" s="14"/>
      <c r="BD529" s="14"/>
      <c r="BE529" s="17"/>
      <c r="BF529" s="17"/>
      <c r="BG529" s="17"/>
      <c r="BH529" s="14"/>
      <c r="BI529" s="14"/>
      <c r="BJ529" s="14"/>
      <c r="BK529" s="15"/>
      <c r="BL529" s="15"/>
      <c r="BM529" s="16"/>
    </row>
    <row r="530" spans="1:65" ht="51" x14ac:dyDescent="0.2">
      <c r="A530" s="329">
        <v>314</v>
      </c>
      <c r="B530" s="77" t="s">
        <v>1939</v>
      </c>
      <c r="C530" s="12" t="s">
        <v>1254</v>
      </c>
      <c r="D530" s="92" t="s">
        <v>130</v>
      </c>
      <c r="E530" s="89" t="s">
        <v>372</v>
      </c>
      <c r="F530" s="72" t="s">
        <v>242</v>
      </c>
      <c r="G530" s="71" t="s">
        <v>1989</v>
      </c>
      <c r="H530" s="7" t="s">
        <v>1237</v>
      </c>
      <c r="I530" s="67">
        <v>43014</v>
      </c>
      <c r="J530" s="67">
        <v>43379</v>
      </c>
      <c r="K530" s="8" t="s">
        <v>1959</v>
      </c>
      <c r="L530" s="72" t="s">
        <v>1960</v>
      </c>
      <c r="M530" s="6" t="s">
        <v>1961</v>
      </c>
      <c r="N530" s="73">
        <v>43017</v>
      </c>
      <c r="O530" s="10">
        <v>109050</v>
      </c>
      <c r="P530" s="74">
        <v>12160</v>
      </c>
      <c r="Q530" s="73">
        <v>43017</v>
      </c>
      <c r="R530" s="73">
        <v>43100</v>
      </c>
      <c r="S530" s="6" t="s">
        <v>1941</v>
      </c>
      <c r="T530" s="6"/>
      <c r="U530" s="6"/>
      <c r="V530" s="6"/>
      <c r="W530" s="6" t="s">
        <v>393</v>
      </c>
      <c r="X530" s="6"/>
      <c r="Y530" s="6"/>
      <c r="Z530" s="6"/>
      <c r="AA530" s="6"/>
      <c r="AB530" s="6"/>
      <c r="AC530" s="6"/>
      <c r="AD530" s="6"/>
      <c r="AE530" s="6"/>
      <c r="AF530" s="6"/>
      <c r="AG530" s="6"/>
      <c r="AH530" s="6"/>
      <c r="AI530" s="6"/>
      <c r="AJ530" s="6"/>
      <c r="AK530" s="6"/>
      <c r="AL530" s="194">
        <f t="shared" si="8"/>
        <v>109050</v>
      </c>
      <c r="AM530" s="10"/>
      <c r="AN530" s="11"/>
      <c r="AO530" s="138">
        <f t="shared" si="10"/>
        <v>0</v>
      </c>
      <c r="AP530" s="13"/>
      <c r="AQ530" s="13"/>
      <c r="AR530" s="13"/>
      <c r="AS530" s="13"/>
      <c r="AT530" s="12"/>
      <c r="AU530" s="16"/>
      <c r="AV530" s="14"/>
      <c r="AW530" s="14"/>
      <c r="AX530" s="14"/>
      <c r="AY530" s="14"/>
      <c r="AZ530" s="16"/>
      <c r="BA530" s="16"/>
      <c r="BB530" s="14"/>
      <c r="BC530" s="14"/>
      <c r="BD530" s="14"/>
      <c r="BE530" s="17"/>
      <c r="BF530" s="17"/>
      <c r="BG530" s="17"/>
      <c r="BH530" s="14"/>
      <c r="BI530" s="14"/>
      <c r="BJ530" s="14"/>
      <c r="BK530" s="15"/>
      <c r="BL530" s="15"/>
      <c r="BM530" s="16"/>
    </row>
    <row r="531" spans="1:65" ht="51" x14ac:dyDescent="0.2">
      <c r="A531" s="329">
        <v>315</v>
      </c>
      <c r="B531" s="77" t="s">
        <v>1939</v>
      </c>
      <c r="C531" s="12" t="s">
        <v>1254</v>
      </c>
      <c r="D531" s="92" t="s">
        <v>130</v>
      </c>
      <c r="E531" s="89" t="s">
        <v>372</v>
      </c>
      <c r="F531" s="72" t="s">
        <v>242</v>
      </c>
      <c r="G531" s="71" t="s">
        <v>1989</v>
      </c>
      <c r="H531" s="7" t="s">
        <v>1237</v>
      </c>
      <c r="I531" s="67">
        <v>43014</v>
      </c>
      <c r="J531" s="67">
        <v>43379</v>
      </c>
      <c r="K531" s="8" t="s">
        <v>1962</v>
      </c>
      <c r="L531" s="72" t="s">
        <v>1963</v>
      </c>
      <c r="M531" s="6" t="s">
        <v>1964</v>
      </c>
      <c r="N531" s="73">
        <v>43017</v>
      </c>
      <c r="O531" s="10">
        <v>53260</v>
      </c>
      <c r="P531" s="74">
        <v>12160</v>
      </c>
      <c r="Q531" s="73">
        <v>43017</v>
      </c>
      <c r="R531" s="73">
        <v>43100</v>
      </c>
      <c r="S531" s="6" t="s">
        <v>1941</v>
      </c>
      <c r="T531" s="6"/>
      <c r="U531" s="6"/>
      <c r="V531" s="6"/>
      <c r="W531" s="6" t="s">
        <v>393</v>
      </c>
      <c r="X531" s="6"/>
      <c r="Y531" s="6"/>
      <c r="Z531" s="6"/>
      <c r="AA531" s="6"/>
      <c r="AB531" s="6"/>
      <c r="AC531" s="6"/>
      <c r="AD531" s="6"/>
      <c r="AE531" s="6"/>
      <c r="AF531" s="6"/>
      <c r="AG531" s="6"/>
      <c r="AH531" s="6"/>
      <c r="AI531" s="6"/>
      <c r="AJ531" s="6"/>
      <c r="AK531" s="6"/>
      <c r="AL531" s="194">
        <f t="shared" si="8"/>
        <v>53260</v>
      </c>
      <c r="AM531" s="10"/>
      <c r="AN531" s="11"/>
      <c r="AO531" s="138">
        <f t="shared" si="10"/>
        <v>0</v>
      </c>
      <c r="AP531" s="13"/>
      <c r="AQ531" s="13"/>
      <c r="AR531" s="13"/>
      <c r="AS531" s="13"/>
      <c r="AT531" s="12"/>
      <c r="AU531" s="16"/>
      <c r="AV531" s="14"/>
      <c r="AW531" s="14"/>
      <c r="AX531" s="14"/>
      <c r="AY531" s="14"/>
      <c r="AZ531" s="16"/>
      <c r="BA531" s="16"/>
      <c r="BB531" s="14"/>
      <c r="BC531" s="14"/>
      <c r="BD531" s="14"/>
      <c r="BE531" s="17"/>
      <c r="BF531" s="17"/>
      <c r="BG531" s="17"/>
      <c r="BH531" s="14"/>
      <c r="BI531" s="14"/>
      <c r="BJ531" s="14"/>
      <c r="BK531" s="15"/>
      <c r="BL531" s="15"/>
      <c r="BM531" s="16"/>
    </row>
    <row r="532" spans="1:65" ht="51" x14ac:dyDescent="0.2">
      <c r="A532" s="329">
        <v>316</v>
      </c>
      <c r="B532" s="77" t="s">
        <v>1939</v>
      </c>
      <c r="C532" s="12" t="s">
        <v>1254</v>
      </c>
      <c r="D532" s="92" t="s">
        <v>130</v>
      </c>
      <c r="E532" s="89" t="s">
        <v>372</v>
      </c>
      <c r="F532" s="72" t="s">
        <v>242</v>
      </c>
      <c r="G532" s="71" t="s">
        <v>1989</v>
      </c>
      <c r="H532" s="7" t="s">
        <v>1238</v>
      </c>
      <c r="I532" s="67">
        <v>43014</v>
      </c>
      <c r="J532" s="67">
        <v>43379</v>
      </c>
      <c r="K532" s="8" t="s">
        <v>1965</v>
      </c>
      <c r="L532" s="72" t="s">
        <v>1966</v>
      </c>
      <c r="M532" s="6" t="s">
        <v>1967</v>
      </c>
      <c r="N532" s="73">
        <v>43017</v>
      </c>
      <c r="O532" s="10">
        <v>2500</v>
      </c>
      <c r="P532" s="74">
        <v>12160</v>
      </c>
      <c r="Q532" s="73">
        <v>43017</v>
      </c>
      <c r="R532" s="73">
        <v>43100</v>
      </c>
      <c r="S532" s="6" t="s">
        <v>1941</v>
      </c>
      <c r="T532" s="6"/>
      <c r="U532" s="6"/>
      <c r="V532" s="6"/>
      <c r="W532" s="6" t="s">
        <v>393</v>
      </c>
      <c r="X532" s="6"/>
      <c r="Y532" s="6"/>
      <c r="Z532" s="6"/>
      <c r="AA532" s="6"/>
      <c r="AB532" s="6"/>
      <c r="AC532" s="6"/>
      <c r="AD532" s="6"/>
      <c r="AE532" s="6"/>
      <c r="AF532" s="6"/>
      <c r="AG532" s="6"/>
      <c r="AH532" s="6"/>
      <c r="AI532" s="6"/>
      <c r="AJ532" s="6"/>
      <c r="AK532" s="6"/>
      <c r="AL532" s="194">
        <f t="shared" si="8"/>
        <v>2500</v>
      </c>
      <c r="AM532" s="10"/>
      <c r="AN532" s="11"/>
      <c r="AO532" s="138">
        <f t="shared" si="10"/>
        <v>0</v>
      </c>
      <c r="AP532" s="13"/>
      <c r="AQ532" s="13"/>
      <c r="AR532" s="13"/>
      <c r="AS532" s="13"/>
      <c r="AT532" s="12"/>
      <c r="AU532" s="16"/>
      <c r="AV532" s="14"/>
      <c r="AW532" s="14"/>
      <c r="AX532" s="14"/>
      <c r="AY532" s="14"/>
      <c r="AZ532" s="16"/>
      <c r="BA532" s="16"/>
      <c r="BB532" s="14"/>
      <c r="BC532" s="14"/>
      <c r="BD532" s="14"/>
      <c r="BE532" s="17"/>
      <c r="BF532" s="17"/>
      <c r="BG532" s="17"/>
      <c r="BH532" s="14"/>
      <c r="BI532" s="14"/>
      <c r="BJ532" s="14"/>
      <c r="BK532" s="15"/>
      <c r="BL532" s="15"/>
      <c r="BM532" s="16"/>
    </row>
    <row r="533" spans="1:65" ht="51" x14ac:dyDescent="0.2">
      <c r="A533" s="329">
        <v>317</v>
      </c>
      <c r="B533" s="77" t="s">
        <v>1939</v>
      </c>
      <c r="C533" s="12" t="s">
        <v>1254</v>
      </c>
      <c r="D533" s="92" t="s">
        <v>130</v>
      </c>
      <c r="E533" s="89" t="s">
        <v>372</v>
      </c>
      <c r="F533" s="72" t="s">
        <v>242</v>
      </c>
      <c r="G533" s="71" t="s">
        <v>1989</v>
      </c>
      <c r="H533" s="7" t="s">
        <v>1239</v>
      </c>
      <c r="I533" s="67">
        <v>43017</v>
      </c>
      <c r="J533" s="67">
        <v>43382</v>
      </c>
      <c r="K533" s="8" t="s">
        <v>1968</v>
      </c>
      <c r="L533" s="72" t="s">
        <v>1969</v>
      </c>
      <c r="M533" s="6" t="s">
        <v>1970</v>
      </c>
      <c r="N533" s="73">
        <v>43018</v>
      </c>
      <c r="O533" s="10">
        <v>534</v>
      </c>
      <c r="P533" s="74">
        <v>12160</v>
      </c>
      <c r="Q533" s="73">
        <v>43018</v>
      </c>
      <c r="R533" s="73">
        <v>43100</v>
      </c>
      <c r="S533" s="6" t="s">
        <v>1941</v>
      </c>
      <c r="T533" s="6"/>
      <c r="U533" s="6"/>
      <c r="V533" s="6"/>
      <c r="W533" s="6" t="s">
        <v>393</v>
      </c>
      <c r="X533" s="6"/>
      <c r="Y533" s="6"/>
      <c r="Z533" s="6"/>
      <c r="AA533" s="6"/>
      <c r="AB533" s="6"/>
      <c r="AC533" s="6"/>
      <c r="AD533" s="6"/>
      <c r="AE533" s="6"/>
      <c r="AF533" s="6"/>
      <c r="AG533" s="6"/>
      <c r="AH533" s="6"/>
      <c r="AI533" s="6"/>
      <c r="AJ533" s="6"/>
      <c r="AK533" s="6"/>
      <c r="AL533" s="194">
        <f t="shared" si="8"/>
        <v>534</v>
      </c>
      <c r="AM533" s="10"/>
      <c r="AN533" s="11"/>
      <c r="AO533" s="138">
        <f t="shared" si="10"/>
        <v>0</v>
      </c>
      <c r="AP533" s="13"/>
      <c r="AQ533" s="13"/>
      <c r="AR533" s="13"/>
      <c r="AS533" s="13"/>
      <c r="AT533" s="12"/>
      <c r="AU533" s="16"/>
      <c r="AV533" s="14"/>
      <c r="AW533" s="14"/>
      <c r="AX533" s="14"/>
      <c r="AY533" s="14"/>
      <c r="AZ533" s="16"/>
      <c r="BA533" s="16"/>
      <c r="BB533" s="14"/>
      <c r="BC533" s="14"/>
      <c r="BD533" s="14"/>
      <c r="BE533" s="17"/>
      <c r="BF533" s="17"/>
      <c r="BG533" s="17"/>
      <c r="BH533" s="14"/>
      <c r="BI533" s="14"/>
      <c r="BJ533" s="14"/>
      <c r="BK533" s="15"/>
      <c r="BL533" s="15"/>
      <c r="BM533" s="16"/>
    </row>
    <row r="534" spans="1:65" ht="51" x14ac:dyDescent="0.2">
      <c r="A534" s="329">
        <v>318</v>
      </c>
      <c r="B534" s="77" t="s">
        <v>1977</v>
      </c>
      <c r="C534" s="12" t="s">
        <v>1271</v>
      </c>
      <c r="D534" s="92" t="s">
        <v>130</v>
      </c>
      <c r="E534" s="89" t="s">
        <v>372</v>
      </c>
      <c r="F534" s="72" t="s">
        <v>1978</v>
      </c>
      <c r="G534" s="71" t="s">
        <v>1985</v>
      </c>
      <c r="H534" s="7" t="s">
        <v>1236</v>
      </c>
      <c r="I534" s="67">
        <v>43007</v>
      </c>
      <c r="J534" s="67">
        <v>43372</v>
      </c>
      <c r="K534" s="8" t="s">
        <v>1976</v>
      </c>
      <c r="L534" s="72" t="s">
        <v>1620</v>
      </c>
      <c r="M534" s="6" t="s">
        <v>1621</v>
      </c>
      <c r="N534" s="73">
        <v>43024</v>
      </c>
      <c r="O534" s="10">
        <v>11620</v>
      </c>
      <c r="P534" s="74">
        <v>12162</v>
      </c>
      <c r="Q534" s="73">
        <v>43024</v>
      </c>
      <c r="R534" s="73">
        <v>43100</v>
      </c>
      <c r="S534" s="6" t="s">
        <v>206</v>
      </c>
      <c r="T534" s="6"/>
      <c r="U534" s="6"/>
      <c r="V534" s="6"/>
      <c r="W534" s="6" t="s">
        <v>192</v>
      </c>
      <c r="X534" s="6"/>
      <c r="Y534" s="6"/>
      <c r="Z534" s="6"/>
      <c r="AA534" s="6"/>
      <c r="AB534" s="6"/>
      <c r="AC534" s="6"/>
      <c r="AD534" s="6"/>
      <c r="AE534" s="6"/>
      <c r="AF534" s="6"/>
      <c r="AG534" s="6"/>
      <c r="AH534" s="6"/>
      <c r="AI534" s="6"/>
      <c r="AJ534" s="6"/>
      <c r="AK534" s="6"/>
      <c r="AL534" s="194">
        <f t="shared" si="8"/>
        <v>11620</v>
      </c>
      <c r="AM534" s="10"/>
      <c r="AN534" s="11"/>
      <c r="AO534" s="138">
        <f t="shared" si="10"/>
        <v>0</v>
      </c>
      <c r="AP534" s="13"/>
      <c r="AQ534" s="13"/>
      <c r="AR534" s="13"/>
      <c r="AS534" s="13"/>
      <c r="AT534" s="12"/>
      <c r="AU534" s="16"/>
      <c r="AV534" s="14"/>
      <c r="AW534" s="14"/>
      <c r="AX534" s="14"/>
      <c r="AY534" s="14"/>
      <c r="AZ534" s="16"/>
      <c r="BA534" s="16"/>
      <c r="BB534" s="14"/>
      <c r="BC534" s="14"/>
      <c r="BD534" s="14"/>
      <c r="BE534" s="17"/>
      <c r="BF534" s="17"/>
      <c r="BG534" s="17"/>
      <c r="BH534" s="14"/>
      <c r="BI534" s="14"/>
      <c r="BJ534" s="14"/>
      <c r="BK534" s="15"/>
      <c r="BL534" s="15"/>
      <c r="BM534" s="16"/>
    </row>
    <row r="535" spans="1:65" ht="63.75" x14ac:dyDescent="0.2">
      <c r="A535" s="329">
        <v>319</v>
      </c>
      <c r="B535" s="77" t="s">
        <v>1981</v>
      </c>
      <c r="C535" s="12" t="s">
        <v>1268</v>
      </c>
      <c r="D535" s="92" t="s">
        <v>130</v>
      </c>
      <c r="E535" s="89" t="s">
        <v>372</v>
      </c>
      <c r="F535" s="72" t="s">
        <v>1982</v>
      </c>
      <c r="G535" s="71" t="s">
        <v>1986</v>
      </c>
      <c r="H535" s="7" t="s">
        <v>1225</v>
      </c>
      <c r="I535" s="67">
        <v>43005</v>
      </c>
      <c r="J535" s="67">
        <v>43370</v>
      </c>
      <c r="K535" s="8" t="s">
        <v>1998</v>
      </c>
      <c r="L535" s="72" t="s">
        <v>1999</v>
      </c>
      <c r="M535" s="6" t="s">
        <v>2000</v>
      </c>
      <c r="N535" s="73">
        <v>43025</v>
      </c>
      <c r="O535" s="10">
        <v>21800</v>
      </c>
      <c r="P535" s="74">
        <v>12167</v>
      </c>
      <c r="Q535" s="73">
        <v>43025</v>
      </c>
      <c r="R535" s="73">
        <v>43100</v>
      </c>
      <c r="S535" s="6" t="s">
        <v>206</v>
      </c>
      <c r="T535" s="6"/>
      <c r="U535" s="6"/>
      <c r="V535" s="6"/>
      <c r="W535" s="6" t="s">
        <v>192</v>
      </c>
      <c r="X535" s="6"/>
      <c r="Y535" s="6"/>
      <c r="Z535" s="6"/>
      <c r="AA535" s="6"/>
      <c r="AB535" s="6"/>
      <c r="AC535" s="6"/>
      <c r="AD535" s="6"/>
      <c r="AE535" s="6"/>
      <c r="AF535" s="6"/>
      <c r="AG535" s="6"/>
      <c r="AH535" s="6"/>
      <c r="AI535" s="6"/>
      <c r="AJ535" s="6"/>
      <c r="AK535" s="6"/>
      <c r="AL535" s="194">
        <f t="shared" si="8"/>
        <v>21800</v>
      </c>
      <c r="AM535" s="10"/>
      <c r="AN535" s="11">
        <f>19400</f>
        <v>19400</v>
      </c>
      <c r="AO535" s="138">
        <f t="shared" si="10"/>
        <v>19400</v>
      </c>
      <c r="AP535" s="13"/>
      <c r="AQ535" s="13"/>
      <c r="AR535" s="13"/>
      <c r="AS535" s="13"/>
      <c r="AT535" s="12"/>
      <c r="AU535" s="16"/>
      <c r="AV535" s="14"/>
      <c r="AW535" s="14"/>
      <c r="AX535" s="14"/>
      <c r="AY535" s="14"/>
      <c r="AZ535" s="16"/>
      <c r="BA535" s="16"/>
      <c r="BB535" s="14"/>
      <c r="BC535" s="14"/>
      <c r="BD535" s="14"/>
      <c r="BE535" s="17"/>
      <c r="BF535" s="17"/>
      <c r="BG535" s="17"/>
      <c r="BH535" s="14"/>
      <c r="BI535" s="14"/>
      <c r="BJ535" s="14"/>
      <c r="BK535" s="15"/>
      <c r="BL535" s="15"/>
      <c r="BM535" s="16"/>
    </row>
    <row r="536" spans="1:65" ht="76.5" x14ac:dyDescent="0.2">
      <c r="A536" s="329">
        <v>320</v>
      </c>
      <c r="B536" s="77" t="s">
        <v>1303</v>
      </c>
      <c r="C536" s="12" t="s">
        <v>685</v>
      </c>
      <c r="D536" s="92" t="s">
        <v>130</v>
      </c>
      <c r="E536" s="89" t="s">
        <v>372</v>
      </c>
      <c r="F536" s="72" t="s">
        <v>1305</v>
      </c>
      <c r="G536" s="71" t="s">
        <v>1350</v>
      </c>
      <c r="H536" s="7" t="s">
        <v>1083</v>
      </c>
      <c r="I536" s="67">
        <v>42746</v>
      </c>
      <c r="J536" s="67">
        <v>43111</v>
      </c>
      <c r="K536" s="8" t="s">
        <v>1979</v>
      </c>
      <c r="L536" s="72" t="s">
        <v>1304</v>
      </c>
      <c r="M536" s="6" t="s">
        <v>276</v>
      </c>
      <c r="N536" s="73">
        <v>43026</v>
      </c>
      <c r="O536" s="10">
        <v>4700</v>
      </c>
      <c r="P536" s="74">
        <v>12165</v>
      </c>
      <c r="Q536" s="73">
        <v>43026</v>
      </c>
      <c r="R536" s="73">
        <v>43100</v>
      </c>
      <c r="S536" s="6" t="s">
        <v>392</v>
      </c>
      <c r="T536" s="6"/>
      <c r="U536" s="6"/>
      <c r="V536" s="6"/>
      <c r="W536" s="6" t="s">
        <v>1278</v>
      </c>
      <c r="X536" s="6"/>
      <c r="Y536" s="6"/>
      <c r="Z536" s="6"/>
      <c r="AA536" s="6"/>
      <c r="AB536" s="6"/>
      <c r="AC536" s="6"/>
      <c r="AD536" s="6"/>
      <c r="AE536" s="6"/>
      <c r="AF536" s="6"/>
      <c r="AG536" s="6"/>
      <c r="AH536" s="6"/>
      <c r="AI536" s="6"/>
      <c r="AJ536" s="6"/>
      <c r="AK536" s="6"/>
      <c r="AL536" s="194">
        <f t="shared" ref="AL536:AL551" si="11">O536-AH536+AG536</f>
        <v>4700</v>
      </c>
      <c r="AM536" s="10"/>
      <c r="AN536" s="11"/>
      <c r="AO536" s="138">
        <f t="shared" si="10"/>
        <v>0</v>
      </c>
      <c r="AP536" s="13"/>
      <c r="AQ536" s="13"/>
      <c r="AR536" s="13"/>
      <c r="AS536" s="13"/>
      <c r="AT536" s="12"/>
      <c r="AU536" s="16"/>
      <c r="AV536" s="14"/>
      <c r="AW536" s="14"/>
      <c r="AX536" s="14"/>
      <c r="AY536" s="14"/>
      <c r="AZ536" s="16"/>
      <c r="BA536" s="16"/>
      <c r="BB536" s="14"/>
      <c r="BC536" s="14"/>
      <c r="BD536" s="14"/>
      <c r="BE536" s="17"/>
      <c r="BF536" s="17"/>
      <c r="BG536" s="17"/>
      <c r="BH536" s="14"/>
      <c r="BI536" s="14"/>
      <c r="BJ536" s="14"/>
      <c r="BK536" s="15"/>
      <c r="BL536" s="15"/>
      <c r="BM536" s="16"/>
    </row>
    <row r="537" spans="1:65" ht="63.75" x14ac:dyDescent="0.2">
      <c r="A537" s="329">
        <v>321</v>
      </c>
      <c r="B537" s="77" t="s">
        <v>1981</v>
      </c>
      <c r="C537" s="12" t="s">
        <v>1268</v>
      </c>
      <c r="D537" s="92" t="s">
        <v>130</v>
      </c>
      <c r="E537" s="89" t="s">
        <v>372</v>
      </c>
      <c r="F537" s="72" t="s">
        <v>1982</v>
      </c>
      <c r="G537" s="71" t="s">
        <v>1986</v>
      </c>
      <c r="H537" s="7" t="s">
        <v>1225</v>
      </c>
      <c r="I537" s="67">
        <v>43005</v>
      </c>
      <c r="J537" s="67">
        <v>43370</v>
      </c>
      <c r="K537" s="8" t="s">
        <v>1980</v>
      </c>
      <c r="L537" s="72" t="s">
        <v>1333</v>
      </c>
      <c r="M537" s="6" t="s">
        <v>1326</v>
      </c>
      <c r="N537" s="73">
        <v>43027</v>
      </c>
      <c r="O537" s="10">
        <v>10490</v>
      </c>
      <c r="P537" s="74">
        <v>12167</v>
      </c>
      <c r="Q537" s="73">
        <v>43027</v>
      </c>
      <c r="R537" s="73">
        <v>43100</v>
      </c>
      <c r="S537" s="6" t="s">
        <v>206</v>
      </c>
      <c r="T537" s="6"/>
      <c r="U537" s="6"/>
      <c r="V537" s="6"/>
      <c r="W537" s="6" t="s">
        <v>192</v>
      </c>
      <c r="X537" s="6"/>
      <c r="Y537" s="6"/>
      <c r="Z537" s="6"/>
      <c r="AA537" s="6"/>
      <c r="AB537" s="6"/>
      <c r="AC537" s="6"/>
      <c r="AD537" s="6"/>
      <c r="AE537" s="6"/>
      <c r="AF537" s="6"/>
      <c r="AG537" s="6"/>
      <c r="AH537" s="6"/>
      <c r="AI537" s="6"/>
      <c r="AJ537" s="6"/>
      <c r="AK537" s="6"/>
      <c r="AL537" s="194">
        <f t="shared" si="11"/>
        <v>10490</v>
      </c>
      <c r="AM537" s="10"/>
      <c r="AN537" s="11">
        <f>10490</f>
        <v>10490</v>
      </c>
      <c r="AO537" s="138">
        <f t="shared" si="10"/>
        <v>10490</v>
      </c>
      <c r="AP537" s="13"/>
      <c r="AQ537" s="13"/>
      <c r="AR537" s="13"/>
      <c r="AS537" s="13"/>
      <c r="AT537" s="12"/>
      <c r="AU537" s="16"/>
      <c r="AV537" s="14"/>
      <c r="AW537" s="14"/>
      <c r="AX537" s="14"/>
      <c r="AY537" s="14"/>
      <c r="AZ537" s="16"/>
      <c r="BA537" s="16"/>
      <c r="BB537" s="14"/>
      <c r="BC537" s="14"/>
      <c r="BD537" s="14"/>
      <c r="BE537" s="17"/>
      <c r="BF537" s="17"/>
      <c r="BG537" s="17"/>
      <c r="BH537" s="14"/>
      <c r="BI537" s="14"/>
      <c r="BJ537" s="14"/>
      <c r="BK537" s="15"/>
      <c r="BL537" s="15"/>
      <c r="BM537" s="16"/>
    </row>
    <row r="538" spans="1:65" ht="63.75" x14ac:dyDescent="0.2">
      <c r="A538" s="329">
        <v>322</v>
      </c>
      <c r="B538" s="77" t="s">
        <v>1981</v>
      </c>
      <c r="C538" s="12" t="s">
        <v>1268</v>
      </c>
      <c r="D538" s="92" t="s">
        <v>130</v>
      </c>
      <c r="E538" s="89" t="s">
        <v>372</v>
      </c>
      <c r="F538" s="72" t="s">
        <v>1982</v>
      </c>
      <c r="G538" s="71" t="s">
        <v>1986</v>
      </c>
      <c r="H538" s="7" t="s">
        <v>1225</v>
      </c>
      <c r="I538" s="67">
        <v>43005</v>
      </c>
      <c r="J538" s="67">
        <v>43370</v>
      </c>
      <c r="K538" s="8" t="s">
        <v>1983</v>
      </c>
      <c r="L538" s="72" t="s">
        <v>1984</v>
      </c>
      <c r="M538" s="6" t="s">
        <v>470</v>
      </c>
      <c r="N538" s="73">
        <v>43027</v>
      </c>
      <c r="O538" s="10">
        <v>8580</v>
      </c>
      <c r="P538" s="74">
        <v>12167</v>
      </c>
      <c r="Q538" s="73">
        <v>43027</v>
      </c>
      <c r="R538" s="73">
        <v>43100</v>
      </c>
      <c r="S538" s="6" t="s">
        <v>206</v>
      </c>
      <c r="T538" s="6"/>
      <c r="U538" s="6"/>
      <c r="V538" s="6"/>
      <c r="W538" s="6" t="s">
        <v>192</v>
      </c>
      <c r="X538" s="6"/>
      <c r="Y538" s="6"/>
      <c r="Z538" s="6"/>
      <c r="AA538" s="6"/>
      <c r="AB538" s="6"/>
      <c r="AC538" s="6"/>
      <c r="AD538" s="6"/>
      <c r="AE538" s="6"/>
      <c r="AF538" s="6"/>
      <c r="AG538" s="6"/>
      <c r="AH538" s="6"/>
      <c r="AI538" s="6"/>
      <c r="AJ538" s="6"/>
      <c r="AK538" s="6"/>
      <c r="AL538" s="194">
        <f t="shared" si="11"/>
        <v>8580</v>
      </c>
      <c r="AM538" s="10"/>
      <c r="AN538" s="11"/>
      <c r="AO538" s="138">
        <f t="shared" si="10"/>
        <v>0</v>
      </c>
      <c r="AP538" s="13"/>
      <c r="AQ538" s="13"/>
      <c r="AR538" s="13"/>
      <c r="AS538" s="13"/>
      <c r="AT538" s="12"/>
      <c r="AU538" s="16"/>
      <c r="AV538" s="14"/>
      <c r="AW538" s="14"/>
      <c r="AX538" s="14"/>
      <c r="AY538" s="14"/>
      <c r="AZ538" s="16"/>
      <c r="BA538" s="16"/>
      <c r="BB538" s="14"/>
      <c r="BC538" s="14"/>
      <c r="BD538" s="14"/>
      <c r="BE538" s="17"/>
      <c r="BF538" s="17"/>
      <c r="BG538" s="17"/>
      <c r="BH538" s="14"/>
      <c r="BI538" s="14"/>
      <c r="BJ538" s="14"/>
      <c r="BK538" s="15"/>
      <c r="BL538" s="15"/>
      <c r="BM538" s="16"/>
    </row>
    <row r="539" spans="1:65" ht="51" x14ac:dyDescent="0.2">
      <c r="A539" s="329">
        <v>323</v>
      </c>
      <c r="B539" s="77" t="s">
        <v>1939</v>
      </c>
      <c r="C539" s="12" t="s">
        <v>1254</v>
      </c>
      <c r="D539" s="92" t="s">
        <v>130</v>
      </c>
      <c r="E539" s="89" t="s">
        <v>372</v>
      </c>
      <c r="F539" s="72" t="s">
        <v>242</v>
      </c>
      <c r="G539" s="71" t="s">
        <v>1989</v>
      </c>
      <c r="H539" s="7" t="s">
        <v>1242</v>
      </c>
      <c r="I539" s="67">
        <v>43027</v>
      </c>
      <c r="J539" s="67">
        <v>43392</v>
      </c>
      <c r="K539" s="8" t="s">
        <v>1992</v>
      </c>
      <c r="L539" s="72" t="s">
        <v>1993</v>
      </c>
      <c r="M539" s="6" t="s">
        <v>1994</v>
      </c>
      <c r="N539" s="73">
        <v>43027</v>
      </c>
      <c r="O539" s="10">
        <v>225163</v>
      </c>
      <c r="P539" s="74">
        <v>12168</v>
      </c>
      <c r="Q539" s="73">
        <v>43027</v>
      </c>
      <c r="R539" s="73">
        <v>43100</v>
      </c>
      <c r="S539" s="6" t="s">
        <v>1941</v>
      </c>
      <c r="T539" s="6"/>
      <c r="U539" s="6"/>
      <c r="V539" s="6"/>
      <c r="W539" s="6" t="s">
        <v>393</v>
      </c>
      <c r="X539" s="6"/>
      <c r="Y539" s="6"/>
      <c r="Z539" s="6"/>
      <c r="AA539" s="6"/>
      <c r="AB539" s="6"/>
      <c r="AC539" s="6"/>
      <c r="AD539" s="6"/>
      <c r="AE539" s="6"/>
      <c r="AF539" s="6"/>
      <c r="AG539" s="6"/>
      <c r="AH539" s="6"/>
      <c r="AI539" s="6"/>
      <c r="AJ539" s="6"/>
      <c r="AK539" s="6"/>
      <c r="AL539" s="194">
        <f t="shared" si="11"/>
        <v>225163</v>
      </c>
      <c r="AM539" s="10"/>
      <c r="AN539" s="11"/>
      <c r="AO539" s="138">
        <f t="shared" si="10"/>
        <v>0</v>
      </c>
      <c r="AP539" s="13"/>
      <c r="AQ539" s="13"/>
      <c r="AR539" s="13"/>
      <c r="AS539" s="13"/>
      <c r="AT539" s="12"/>
      <c r="AU539" s="16"/>
      <c r="AV539" s="14"/>
      <c r="AW539" s="14"/>
      <c r="AX539" s="14"/>
      <c r="AY539" s="14"/>
      <c r="AZ539" s="16"/>
      <c r="BA539" s="16"/>
      <c r="BB539" s="14"/>
      <c r="BC539" s="14"/>
      <c r="BD539" s="14"/>
      <c r="BE539" s="17"/>
      <c r="BF539" s="17"/>
      <c r="BG539" s="17"/>
      <c r="BH539" s="14"/>
      <c r="BI539" s="14"/>
      <c r="BJ539" s="14"/>
      <c r="BK539" s="15"/>
      <c r="BL539" s="15"/>
      <c r="BM539" s="16"/>
    </row>
    <row r="540" spans="1:65" ht="51" x14ac:dyDescent="0.2">
      <c r="A540" s="329">
        <v>324</v>
      </c>
      <c r="B540" s="77" t="s">
        <v>1939</v>
      </c>
      <c r="C540" s="12" t="s">
        <v>1254</v>
      </c>
      <c r="D540" s="92" t="s">
        <v>130</v>
      </c>
      <c r="E540" s="89" t="s">
        <v>372</v>
      </c>
      <c r="F540" s="72" t="s">
        <v>242</v>
      </c>
      <c r="G540" s="71" t="s">
        <v>1989</v>
      </c>
      <c r="H540" s="7" t="s">
        <v>1254</v>
      </c>
      <c r="I540" s="67">
        <v>43027</v>
      </c>
      <c r="J540" s="67">
        <v>43392</v>
      </c>
      <c r="K540" s="8" t="s">
        <v>1995</v>
      </c>
      <c r="L540" s="72" t="s">
        <v>1996</v>
      </c>
      <c r="M540" s="6" t="s">
        <v>1997</v>
      </c>
      <c r="N540" s="73">
        <v>43027</v>
      </c>
      <c r="O540" s="10">
        <v>77902</v>
      </c>
      <c r="P540" s="74">
        <v>12165</v>
      </c>
      <c r="Q540" s="73">
        <v>43027</v>
      </c>
      <c r="R540" s="73">
        <v>43100</v>
      </c>
      <c r="S540" s="6" t="s">
        <v>1941</v>
      </c>
      <c r="T540" s="6"/>
      <c r="U540" s="6"/>
      <c r="V540" s="6"/>
      <c r="W540" s="73" t="s">
        <v>393</v>
      </c>
      <c r="X540" s="6"/>
      <c r="Y540" s="6"/>
      <c r="Z540" s="6"/>
      <c r="AA540" s="6"/>
      <c r="AB540" s="6"/>
      <c r="AC540" s="6"/>
      <c r="AD540" s="6"/>
      <c r="AE540" s="6"/>
      <c r="AF540" s="6"/>
      <c r="AG540" s="6"/>
      <c r="AH540" s="6"/>
      <c r="AI540" s="6"/>
      <c r="AJ540" s="6"/>
      <c r="AK540" s="6"/>
      <c r="AL540" s="194">
        <f t="shared" si="11"/>
        <v>77902</v>
      </c>
      <c r="AM540" s="10"/>
      <c r="AN540" s="11"/>
      <c r="AO540" s="138">
        <f t="shared" si="10"/>
        <v>0</v>
      </c>
      <c r="AP540" s="13"/>
      <c r="AQ540" s="13"/>
      <c r="AR540" s="13"/>
      <c r="AS540" s="13"/>
      <c r="AT540" s="12"/>
      <c r="AU540" s="16"/>
      <c r="AV540" s="14"/>
      <c r="AW540" s="14"/>
      <c r="AX540" s="14"/>
      <c r="AY540" s="14"/>
      <c r="AZ540" s="16"/>
      <c r="BA540" s="16"/>
      <c r="BB540" s="14"/>
      <c r="BC540" s="14"/>
      <c r="BD540" s="14"/>
      <c r="BE540" s="17"/>
      <c r="BF540" s="17"/>
      <c r="BG540" s="17"/>
      <c r="BH540" s="14"/>
      <c r="BI540" s="14"/>
      <c r="BJ540" s="14"/>
      <c r="BK540" s="15"/>
      <c r="BL540" s="15"/>
      <c r="BM540" s="16"/>
    </row>
    <row r="541" spans="1:65" ht="63.75" x14ac:dyDescent="0.2">
      <c r="A541" s="329">
        <v>325</v>
      </c>
      <c r="B541" s="77" t="s">
        <v>1981</v>
      </c>
      <c r="C541" s="12" t="s">
        <v>1268</v>
      </c>
      <c r="D541" s="92" t="s">
        <v>130</v>
      </c>
      <c r="E541" s="89" t="s">
        <v>372</v>
      </c>
      <c r="F541" s="72" t="s">
        <v>1982</v>
      </c>
      <c r="G541" s="71" t="s">
        <v>1986</v>
      </c>
      <c r="H541" s="7" t="s">
        <v>1225</v>
      </c>
      <c r="I541" s="67">
        <v>43005</v>
      </c>
      <c r="J541" s="67">
        <v>43370</v>
      </c>
      <c r="K541" s="8" t="s">
        <v>2001</v>
      </c>
      <c r="L541" s="72" t="s">
        <v>2002</v>
      </c>
      <c r="M541" s="6" t="s">
        <v>2003</v>
      </c>
      <c r="N541" s="73">
        <v>43027</v>
      </c>
      <c r="O541" s="10">
        <v>17900</v>
      </c>
      <c r="P541" s="74">
        <v>12167</v>
      </c>
      <c r="Q541" s="73">
        <v>43027</v>
      </c>
      <c r="R541" s="73">
        <v>43100</v>
      </c>
      <c r="S541" s="6" t="s">
        <v>206</v>
      </c>
      <c r="T541" s="6"/>
      <c r="U541" s="6"/>
      <c r="V541" s="6"/>
      <c r="W541" s="6" t="s">
        <v>192</v>
      </c>
      <c r="X541" s="6"/>
      <c r="Y541" s="6"/>
      <c r="Z541" s="6"/>
      <c r="AA541" s="6"/>
      <c r="AB541" s="6"/>
      <c r="AC541" s="6"/>
      <c r="AD541" s="6"/>
      <c r="AE541" s="6"/>
      <c r="AF541" s="6"/>
      <c r="AG541" s="6"/>
      <c r="AH541" s="6"/>
      <c r="AI541" s="6"/>
      <c r="AJ541" s="6"/>
      <c r="AK541" s="6"/>
      <c r="AL541" s="194">
        <f t="shared" si="11"/>
        <v>17900</v>
      </c>
      <c r="AM541" s="10"/>
      <c r="AN541" s="11">
        <v>17900</v>
      </c>
      <c r="AO541" s="138">
        <f t="shared" si="10"/>
        <v>17900</v>
      </c>
      <c r="AP541" s="13"/>
      <c r="AQ541" s="13"/>
      <c r="AR541" s="13"/>
      <c r="AS541" s="13"/>
      <c r="AT541" s="12"/>
      <c r="AU541" s="16"/>
      <c r="AV541" s="14"/>
      <c r="AW541" s="14"/>
      <c r="AX541" s="14"/>
      <c r="AY541" s="14"/>
      <c r="AZ541" s="16"/>
      <c r="BA541" s="16"/>
      <c r="BB541" s="14"/>
      <c r="BC541" s="14"/>
      <c r="BD541" s="14"/>
      <c r="BE541" s="17"/>
      <c r="BF541" s="17"/>
      <c r="BG541" s="17"/>
      <c r="BH541" s="14"/>
      <c r="BI541" s="14"/>
      <c r="BJ541" s="14"/>
      <c r="BK541" s="15"/>
      <c r="BL541" s="15"/>
      <c r="BM541" s="16"/>
    </row>
    <row r="542" spans="1:65" ht="38.25" x14ac:dyDescent="0.2">
      <c r="A542" s="329">
        <v>326</v>
      </c>
      <c r="B542" s="77" t="s">
        <v>2004</v>
      </c>
      <c r="C542" s="12" t="s">
        <v>1222</v>
      </c>
      <c r="D542" s="93" t="s">
        <v>272</v>
      </c>
      <c r="E542" s="2" t="s">
        <v>126</v>
      </c>
      <c r="F542" s="72" t="s">
        <v>2005</v>
      </c>
      <c r="G542" s="88"/>
      <c r="H542" s="7"/>
      <c r="I542" s="7"/>
      <c r="J542" s="7"/>
      <c r="K542" s="8" t="s">
        <v>2006</v>
      </c>
      <c r="L542" s="72" t="s">
        <v>1245</v>
      </c>
      <c r="M542" s="6" t="s">
        <v>1246</v>
      </c>
      <c r="N542" s="73">
        <v>43031</v>
      </c>
      <c r="O542" s="10">
        <v>16102.5</v>
      </c>
      <c r="P542" s="74">
        <v>12177</v>
      </c>
      <c r="Q542" s="73">
        <v>43031</v>
      </c>
      <c r="R542" s="73">
        <v>43396</v>
      </c>
      <c r="S542" s="6" t="s">
        <v>206</v>
      </c>
      <c r="T542" s="6"/>
      <c r="U542" s="6"/>
      <c r="V542" s="6"/>
      <c r="W542" s="6" t="s">
        <v>192</v>
      </c>
      <c r="X542" s="6"/>
      <c r="Y542" s="6"/>
      <c r="Z542" s="6"/>
      <c r="AA542" s="6"/>
      <c r="AB542" s="6"/>
      <c r="AC542" s="6"/>
      <c r="AD542" s="6"/>
      <c r="AE542" s="6"/>
      <c r="AF542" s="6"/>
      <c r="AG542" s="6"/>
      <c r="AH542" s="6"/>
      <c r="AI542" s="6"/>
      <c r="AJ542" s="6"/>
      <c r="AK542" s="6"/>
      <c r="AL542" s="194">
        <f t="shared" si="11"/>
        <v>16102.5</v>
      </c>
      <c r="AM542" s="10"/>
      <c r="AN542" s="11"/>
      <c r="AO542" s="138">
        <f t="shared" si="10"/>
        <v>0</v>
      </c>
      <c r="AP542" s="13"/>
      <c r="AQ542" s="13"/>
      <c r="AR542" s="13"/>
      <c r="AS542" s="13"/>
      <c r="AT542" s="12"/>
      <c r="AU542" s="16"/>
      <c r="AV542" s="14" t="s">
        <v>122</v>
      </c>
      <c r="AW542" s="6" t="s">
        <v>987</v>
      </c>
      <c r="AX542" s="83">
        <v>12161</v>
      </c>
      <c r="AY542" s="84">
        <v>43026</v>
      </c>
      <c r="AZ542" s="79">
        <v>12164</v>
      </c>
      <c r="BA542" s="80">
        <v>43028</v>
      </c>
      <c r="BB542" s="14"/>
      <c r="BC542" s="14"/>
      <c r="BD542" s="14"/>
      <c r="BE542" s="17"/>
      <c r="BF542" s="17"/>
      <c r="BG542" s="17"/>
      <c r="BH542" s="14"/>
      <c r="BI542" s="14"/>
      <c r="BJ542" s="14"/>
      <c r="BK542" s="15"/>
      <c r="BL542" s="15"/>
      <c r="BM542" s="16"/>
    </row>
    <row r="543" spans="1:65" ht="76.5" x14ac:dyDescent="0.2">
      <c r="A543" s="329">
        <v>327</v>
      </c>
      <c r="B543" s="77" t="s">
        <v>2008</v>
      </c>
      <c r="C543" s="12" t="s">
        <v>1102</v>
      </c>
      <c r="D543" s="93" t="s">
        <v>248</v>
      </c>
      <c r="E543" s="12"/>
      <c r="F543" s="72" t="s">
        <v>2009</v>
      </c>
      <c r="G543" s="71" t="s">
        <v>2011</v>
      </c>
      <c r="H543" s="7"/>
      <c r="I543" s="7"/>
      <c r="J543" s="7"/>
      <c r="K543" s="8" t="s">
        <v>2007</v>
      </c>
      <c r="L543" s="72" t="s">
        <v>1902</v>
      </c>
      <c r="M543" s="6" t="s">
        <v>1903</v>
      </c>
      <c r="N543" s="73">
        <v>43038</v>
      </c>
      <c r="O543" s="10">
        <v>695007.22</v>
      </c>
      <c r="P543" s="74">
        <v>12172</v>
      </c>
      <c r="Q543" s="73">
        <v>43038</v>
      </c>
      <c r="R543" s="73">
        <v>43368</v>
      </c>
      <c r="S543" s="6" t="s">
        <v>2010</v>
      </c>
      <c r="T543" s="6"/>
      <c r="U543" s="6"/>
      <c r="V543" s="6"/>
      <c r="W543" s="6" t="s">
        <v>251</v>
      </c>
      <c r="X543" s="6"/>
      <c r="Y543" s="6"/>
      <c r="Z543" s="6"/>
      <c r="AA543" s="6"/>
      <c r="AB543" s="6"/>
      <c r="AC543" s="6"/>
      <c r="AD543" s="6"/>
      <c r="AE543" s="6"/>
      <c r="AF543" s="6"/>
      <c r="AG543" s="6"/>
      <c r="AH543" s="6"/>
      <c r="AI543" s="6"/>
      <c r="AJ543" s="6"/>
      <c r="AK543" s="6"/>
      <c r="AL543" s="194">
        <f t="shared" si="11"/>
        <v>695007.22</v>
      </c>
      <c r="AM543" s="10"/>
      <c r="AN543" s="11"/>
      <c r="AO543" s="138">
        <f t="shared" si="10"/>
        <v>0</v>
      </c>
      <c r="AP543" s="13"/>
      <c r="AQ543" s="13"/>
      <c r="AR543" s="13"/>
      <c r="AS543" s="13"/>
      <c r="AT543" s="12"/>
      <c r="AU543" s="16"/>
      <c r="AV543" s="14"/>
      <c r="AW543" s="14"/>
      <c r="AX543" s="14"/>
      <c r="AY543" s="14"/>
      <c r="AZ543" s="16"/>
      <c r="BA543" s="16"/>
      <c r="BB543" s="6" t="s">
        <v>396</v>
      </c>
      <c r="BC543" s="6" t="s">
        <v>1795</v>
      </c>
      <c r="BD543" s="84">
        <v>43060</v>
      </c>
      <c r="BE543" s="91">
        <f>BD543+300</f>
        <v>43360</v>
      </c>
      <c r="BF543" s="17"/>
      <c r="BG543" s="17"/>
      <c r="BH543" s="14"/>
      <c r="BI543" s="14" t="s">
        <v>1216</v>
      </c>
      <c r="BJ543" s="14" t="s">
        <v>1217</v>
      </c>
      <c r="BK543" s="15"/>
      <c r="BL543" s="15"/>
      <c r="BM543" s="16"/>
    </row>
    <row r="544" spans="1:65" ht="114.75" x14ac:dyDescent="0.2">
      <c r="A544" s="329">
        <v>328</v>
      </c>
      <c r="B544" s="77" t="s">
        <v>2013</v>
      </c>
      <c r="C544" s="12" t="s">
        <v>1222</v>
      </c>
      <c r="D544" s="93" t="s">
        <v>130</v>
      </c>
      <c r="E544" s="2" t="s">
        <v>126</v>
      </c>
      <c r="F544" s="72" t="s">
        <v>2016</v>
      </c>
      <c r="G544" s="71" t="s">
        <v>2027</v>
      </c>
      <c r="H544" s="7" t="s">
        <v>1157</v>
      </c>
      <c r="I544" s="67">
        <v>43011</v>
      </c>
      <c r="J544" s="67">
        <v>43376</v>
      </c>
      <c r="K544" s="8" t="s">
        <v>2012</v>
      </c>
      <c r="L544" s="72" t="s">
        <v>2014</v>
      </c>
      <c r="M544" s="6" t="s">
        <v>2015</v>
      </c>
      <c r="N544" s="73">
        <v>43040</v>
      </c>
      <c r="O544" s="10">
        <v>32102.54</v>
      </c>
      <c r="P544" s="74">
        <v>12180</v>
      </c>
      <c r="Q544" s="73">
        <v>43040</v>
      </c>
      <c r="R544" s="73">
        <v>43100</v>
      </c>
      <c r="S544" s="6" t="s">
        <v>614</v>
      </c>
      <c r="T544" s="6"/>
      <c r="U544" s="6"/>
      <c r="V544" s="6"/>
      <c r="W544" s="6" t="s">
        <v>2017</v>
      </c>
      <c r="X544" s="6"/>
      <c r="Y544" s="6"/>
      <c r="Z544" s="6"/>
      <c r="AA544" s="6"/>
      <c r="AB544" s="6"/>
      <c r="AC544" s="6"/>
      <c r="AD544" s="6"/>
      <c r="AE544" s="6"/>
      <c r="AF544" s="6"/>
      <c r="AG544" s="6"/>
      <c r="AH544" s="6"/>
      <c r="AI544" s="6"/>
      <c r="AJ544" s="6"/>
      <c r="AK544" s="6"/>
      <c r="AL544" s="194">
        <f t="shared" si="11"/>
        <v>32102.54</v>
      </c>
      <c r="AM544" s="10"/>
      <c r="AN544" s="11"/>
      <c r="AO544" s="138">
        <f t="shared" si="10"/>
        <v>0</v>
      </c>
      <c r="AP544" s="13"/>
      <c r="AQ544" s="13"/>
      <c r="AR544" s="13"/>
      <c r="AS544" s="13"/>
      <c r="AT544" s="12"/>
      <c r="AU544" s="16"/>
      <c r="AV544" s="14"/>
      <c r="AW544" s="14"/>
      <c r="AX544" s="14"/>
      <c r="AY544" s="14"/>
      <c r="AZ544" s="16"/>
      <c r="BA544" s="16"/>
      <c r="BB544" s="14"/>
      <c r="BC544" s="14"/>
      <c r="BD544" s="14"/>
      <c r="BE544" s="17"/>
      <c r="BF544" s="17"/>
      <c r="BG544" s="17"/>
      <c r="BH544" s="14"/>
      <c r="BI544" s="14"/>
      <c r="BJ544" s="14"/>
      <c r="BK544" s="15"/>
      <c r="BL544" s="15"/>
      <c r="BM544" s="16"/>
    </row>
    <row r="545" spans="1:65" ht="114.75" x14ac:dyDescent="0.2">
      <c r="A545" s="329">
        <v>329</v>
      </c>
      <c r="B545" s="77" t="s">
        <v>2013</v>
      </c>
      <c r="C545" s="12" t="s">
        <v>1222</v>
      </c>
      <c r="D545" s="93" t="s">
        <v>130</v>
      </c>
      <c r="E545" s="2" t="s">
        <v>126</v>
      </c>
      <c r="F545" s="72" t="s">
        <v>2016</v>
      </c>
      <c r="G545" s="71" t="s">
        <v>2027</v>
      </c>
      <c r="H545" s="7" t="s">
        <v>1157</v>
      </c>
      <c r="I545" s="67">
        <v>43011</v>
      </c>
      <c r="J545" s="67">
        <v>43376</v>
      </c>
      <c r="K545" s="8" t="s">
        <v>2018</v>
      </c>
      <c r="L545" s="72" t="s">
        <v>2019</v>
      </c>
      <c r="M545" s="6" t="s">
        <v>2020</v>
      </c>
      <c r="N545" s="73">
        <v>43040</v>
      </c>
      <c r="O545" s="10">
        <v>1003.28</v>
      </c>
      <c r="P545" s="74">
        <v>12180</v>
      </c>
      <c r="Q545" s="73">
        <v>43040</v>
      </c>
      <c r="R545" s="73">
        <v>43100</v>
      </c>
      <c r="S545" s="6" t="s">
        <v>614</v>
      </c>
      <c r="T545" s="6"/>
      <c r="U545" s="6"/>
      <c r="V545" s="6"/>
      <c r="W545" s="6" t="s">
        <v>2017</v>
      </c>
      <c r="X545" s="6"/>
      <c r="Y545" s="6"/>
      <c r="Z545" s="6"/>
      <c r="AA545" s="6"/>
      <c r="AB545" s="6"/>
      <c r="AC545" s="6"/>
      <c r="AD545" s="6"/>
      <c r="AE545" s="6"/>
      <c r="AF545" s="6"/>
      <c r="AG545" s="6"/>
      <c r="AH545" s="6"/>
      <c r="AI545" s="6"/>
      <c r="AJ545" s="6"/>
      <c r="AK545" s="6"/>
      <c r="AL545" s="194">
        <f t="shared" si="11"/>
        <v>1003.28</v>
      </c>
      <c r="AM545" s="10"/>
      <c r="AN545" s="11"/>
      <c r="AO545" s="138">
        <f t="shared" si="10"/>
        <v>0</v>
      </c>
      <c r="AP545" s="13"/>
      <c r="AQ545" s="13"/>
      <c r="AR545" s="13"/>
      <c r="AS545" s="13"/>
      <c r="AT545" s="12"/>
      <c r="AU545" s="16"/>
      <c r="AV545" s="14"/>
      <c r="AW545" s="14"/>
      <c r="AX545" s="14"/>
      <c r="AY545" s="14"/>
      <c r="AZ545" s="16"/>
      <c r="BA545" s="16"/>
      <c r="BB545" s="14"/>
      <c r="BC545" s="14"/>
      <c r="BD545" s="14"/>
      <c r="BE545" s="17"/>
      <c r="BF545" s="17"/>
      <c r="BG545" s="17"/>
      <c r="BH545" s="14"/>
      <c r="BI545" s="14"/>
      <c r="BJ545" s="14"/>
      <c r="BK545" s="15"/>
      <c r="BL545" s="15"/>
      <c r="BM545" s="16"/>
    </row>
    <row r="546" spans="1:65" ht="114.75" x14ac:dyDescent="0.2">
      <c r="A546" s="329">
        <v>330</v>
      </c>
      <c r="B546" s="77" t="s">
        <v>2013</v>
      </c>
      <c r="C546" s="12" t="s">
        <v>1222</v>
      </c>
      <c r="D546" s="93" t="s">
        <v>130</v>
      </c>
      <c r="E546" s="2" t="s">
        <v>126</v>
      </c>
      <c r="F546" s="72" t="s">
        <v>2016</v>
      </c>
      <c r="G546" s="71" t="s">
        <v>2027</v>
      </c>
      <c r="H546" s="7" t="s">
        <v>1157</v>
      </c>
      <c r="I546" s="67">
        <v>43011</v>
      </c>
      <c r="J546" s="67">
        <v>43376</v>
      </c>
      <c r="K546" s="8" t="s">
        <v>2021</v>
      </c>
      <c r="L546" s="72" t="s">
        <v>2022</v>
      </c>
      <c r="M546" s="6" t="s">
        <v>2023</v>
      </c>
      <c r="N546" s="73">
        <v>43040</v>
      </c>
      <c r="O546" s="10">
        <v>12240.85</v>
      </c>
      <c r="P546" s="74">
        <v>12180</v>
      </c>
      <c r="Q546" s="73">
        <v>43040</v>
      </c>
      <c r="R546" s="73">
        <v>43100</v>
      </c>
      <c r="S546" s="6" t="s">
        <v>457</v>
      </c>
      <c r="T546" s="6"/>
      <c r="U546" s="6"/>
      <c r="V546" s="6"/>
      <c r="W546" s="6" t="s">
        <v>2017</v>
      </c>
      <c r="X546" s="6"/>
      <c r="Y546" s="6"/>
      <c r="Z546" s="6"/>
      <c r="AA546" s="6"/>
      <c r="AB546" s="6"/>
      <c r="AC546" s="6"/>
      <c r="AD546" s="6"/>
      <c r="AE546" s="6"/>
      <c r="AF546" s="6"/>
      <c r="AG546" s="6"/>
      <c r="AH546" s="6"/>
      <c r="AI546" s="6"/>
      <c r="AJ546" s="6"/>
      <c r="AK546" s="6"/>
      <c r="AL546" s="194">
        <f t="shared" si="11"/>
        <v>12240.85</v>
      </c>
      <c r="AM546" s="10"/>
      <c r="AN546" s="11"/>
      <c r="AO546" s="138">
        <f t="shared" si="10"/>
        <v>0</v>
      </c>
      <c r="AP546" s="13"/>
      <c r="AQ546" s="13"/>
      <c r="AR546" s="13"/>
      <c r="AS546" s="13"/>
      <c r="AT546" s="12"/>
      <c r="AU546" s="16"/>
      <c r="AV546" s="14"/>
      <c r="AW546" s="14"/>
      <c r="AX546" s="14"/>
      <c r="AY546" s="14"/>
      <c r="AZ546" s="16"/>
      <c r="BA546" s="16"/>
      <c r="BB546" s="14"/>
      <c r="BC546" s="14"/>
      <c r="BD546" s="14"/>
      <c r="BE546" s="17"/>
      <c r="BF546" s="17"/>
      <c r="BG546" s="17"/>
      <c r="BH546" s="14"/>
      <c r="BI546" s="14"/>
      <c r="BJ546" s="14"/>
      <c r="BK546" s="15"/>
      <c r="BL546" s="15"/>
      <c r="BM546" s="16"/>
    </row>
    <row r="547" spans="1:65" ht="114.75" x14ac:dyDescent="0.2">
      <c r="A547" s="329">
        <v>331</v>
      </c>
      <c r="B547" s="77" t="s">
        <v>2013</v>
      </c>
      <c r="C547" s="12" t="s">
        <v>1222</v>
      </c>
      <c r="D547" s="93" t="s">
        <v>130</v>
      </c>
      <c r="E547" s="2" t="s">
        <v>126</v>
      </c>
      <c r="F547" s="72" t="s">
        <v>2016</v>
      </c>
      <c r="G547" s="71" t="s">
        <v>2027</v>
      </c>
      <c r="H547" s="7" t="s">
        <v>1157</v>
      </c>
      <c r="I547" s="67">
        <v>43011</v>
      </c>
      <c r="J547" s="67">
        <v>43376</v>
      </c>
      <c r="K547" s="8" t="s">
        <v>2024</v>
      </c>
      <c r="L547" s="72" t="s">
        <v>2025</v>
      </c>
      <c r="M547" s="6" t="s">
        <v>2026</v>
      </c>
      <c r="N547" s="73">
        <v>43040</v>
      </c>
      <c r="O547" s="10">
        <v>2612.63</v>
      </c>
      <c r="P547" s="74">
        <v>12181</v>
      </c>
      <c r="Q547" s="73">
        <v>43040</v>
      </c>
      <c r="R547" s="73">
        <v>43100</v>
      </c>
      <c r="S547" s="6" t="s">
        <v>614</v>
      </c>
      <c r="T547" s="6"/>
      <c r="U547" s="6"/>
      <c r="V547" s="6"/>
      <c r="W547" s="6" t="s">
        <v>2017</v>
      </c>
      <c r="X547" s="6"/>
      <c r="Y547" s="6"/>
      <c r="Z547" s="6"/>
      <c r="AA547" s="6"/>
      <c r="AB547" s="6"/>
      <c r="AC547" s="6"/>
      <c r="AD547" s="6"/>
      <c r="AE547" s="6"/>
      <c r="AF547" s="6"/>
      <c r="AG547" s="6"/>
      <c r="AH547" s="6"/>
      <c r="AI547" s="6"/>
      <c r="AJ547" s="6"/>
      <c r="AK547" s="6"/>
      <c r="AL547" s="194">
        <f t="shared" si="11"/>
        <v>2612.63</v>
      </c>
      <c r="AM547" s="10"/>
      <c r="AN547" s="11"/>
      <c r="AO547" s="138">
        <f t="shared" si="10"/>
        <v>0</v>
      </c>
      <c r="AP547" s="13"/>
      <c r="AQ547" s="13"/>
      <c r="AR547" s="13"/>
      <c r="AS547" s="13"/>
      <c r="AT547" s="12"/>
      <c r="AU547" s="16"/>
      <c r="AV547" s="14"/>
      <c r="AW547" s="14"/>
      <c r="AX547" s="14"/>
      <c r="AY547" s="14"/>
      <c r="AZ547" s="16"/>
      <c r="BA547" s="16"/>
      <c r="BB547" s="14"/>
      <c r="BC547" s="14"/>
      <c r="BD547" s="14"/>
      <c r="BE547" s="17"/>
      <c r="BF547" s="17"/>
      <c r="BG547" s="17"/>
      <c r="BH547" s="14"/>
      <c r="BI547" s="14"/>
      <c r="BJ547" s="14"/>
      <c r="BK547" s="15"/>
      <c r="BL547" s="15"/>
      <c r="BM547" s="16"/>
    </row>
    <row r="548" spans="1:65" ht="76.5" x14ac:dyDescent="0.2">
      <c r="A548" s="329">
        <v>332</v>
      </c>
      <c r="B548" s="77" t="s">
        <v>2028</v>
      </c>
      <c r="C548" s="12" t="s">
        <v>1083</v>
      </c>
      <c r="D548" s="93" t="s">
        <v>2029</v>
      </c>
      <c r="E548" s="12"/>
      <c r="F548" s="72" t="s">
        <v>2030</v>
      </c>
      <c r="G548" s="71" t="s">
        <v>2047</v>
      </c>
      <c r="H548" s="7"/>
      <c r="I548" s="7"/>
      <c r="J548" s="7"/>
      <c r="K548" s="8" t="s">
        <v>2033</v>
      </c>
      <c r="L548" s="72" t="s">
        <v>2032</v>
      </c>
      <c r="M548" s="6" t="s">
        <v>2034</v>
      </c>
      <c r="N548" s="73">
        <v>43047</v>
      </c>
      <c r="O548" s="10">
        <v>81265.149999999994</v>
      </c>
      <c r="P548" s="74">
        <v>12184</v>
      </c>
      <c r="Q548" s="73">
        <v>43047</v>
      </c>
      <c r="R548" s="73">
        <v>43137</v>
      </c>
      <c r="S548" s="6" t="s">
        <v>281</v>
      </c>
      <c r="T548" s="6"/>
      <c r="U548" s="6"/>
      <c r="V548" s="6"/>
      <c r="W548" s="6" t="s">
        <v>251</v>
      </c>
      <c r="X548" s="6"/>
      <c r="Y548" s="6"/>
      <c r="Z548" s="6"/>
      <c r="AA548" s="6"/>
      <c r="AB548" s="6"/>
      <c r="AC548" s="6"/>
      <c r="AD548" s="6"/>
      <c r="AE548" s="6"/>
      <c r="AF548" s="6"/>
      <c r="AG548" s="6"/>
      <c r="AH548" s="6"/>
      <c r="AI548" s="6"/>
      <c r="AJ548" s="6"/>
      <c r="AK548" s="6"/>
      <c r="AL548" s="194">
        <f t="shared" si="11"/>
        <v>81265.149999999994</v>
      </c>
      <c r="AM548" s="10"/>
      <c r="AN548" s="11"/>
      <c r="AO548" s="138">
        <f t="shared" si="10"/>
        <v>0</v>
      </c>
      <c r="AP548" s="13"/>
      <c r="AQ548" s="13"/>
      <c r="AR548" s="13"/>
      <c r="AS548" s="13"/>
      <c r="AT548" s="12"/>
      <c r="AU548" s="16"/>
      <c r="AV548" s="14"/>
      <c r="AW548" s="14"/>
      <c r="AX548" s="14"/>
      <c r="AY548" s="14"/>
      <c r="AZ548" s="16"/>
      <c r="BA548" s="16"/>
      <c r="BB548" s="14" t="s">
        <v>2031</v>
      </c>
      <c r="BC548" s="6" t="s">
        <v>1795</v>
      </c>
      <c r="BD548" s="14"/>
      <c r="BE548" s="88" t="s">
        <v>2035</v>
      </c>
      <c r="BF548" s="17"/>
      <c r="BG548" s="17"/>
      <c r="BH548" s="14"/>
      <c r="BI548" s="14"/>
      <c r="BJ548" s="14"/>
      <c r="BK548" s="15"/>
      <c r="BL548" s="15"/>
      <c r="BM548" s="16"/>
    </row>
    <row r="549" spans="1:65" ht="51" x14ac:dyDescent="0.2">
      <c r="A549" s="329">
        <v>333</v>
      </c>
      <c r="B549" s="77" t="s">
        <v>2037</v>
      </c>
      <c r="C549" s="12" t="s">
        <v>1257</v>
      </c>
      <c r="D549" s="93" t="s">
        <v>130</v>
      </c>
      <c r="E549" s="2" t="s">
        <v>126</v>
      </c>
      <c r="F549" s="72" t="s">
        <v>1851</v>
      </c>
      <c r="G549" s="71" t="s">
        <v>2042</v>
      </c>
      <c r="H549" s="7" t="s">
        <v>1261</v>
      </c>
      <c r="I549" s="67">
        <v>43038</v>
      </c>
      <c r="J549" s="67">
        <v>43403</v>
      </c>
      <c r="K549" s="8" t="s">
        <v>2036</v>
      </c>
      <c r="L549" s="72" t="s">
        <v>244</v>
      </c>
      <c r="M549" s="6" t="s">
        <v>1260</v>
      </c>
      <c r="N549" s="73">
        <v>43047</v>
      </c>
      <c r="O549" s="10">
        <v>117950</v>
      </c>
      <c r="P549" s="74">
        <v>12184</v>
      </c>
      <c r="Q549" s="73">
        <v>43047</v>
      </c>
      <c r="R549" s="73">
        <v>43100</v>
      </c>
      <c r="S549" s="6" t="s">
        <v>614</v>
      </c>
      <c r="T549" s="6"/>
      <c r="U549" s="6"/>
      <c r="V549" s="6"/>
      <c r="W549" s="6" t="s">
        <v>1278</v>
      </c>
      <c r="X549" s="6"/>
      <c r="Y549" s="6"/>
      <c r="Z549" s="6"/>
      <c r="AA549" s="6"/>
      <c r="AB549" s="6"/>
      <c r="AC549" s="6"/>
      <c r="AD549" s="6"/>
      <c r="AE549" s="6"/>
      <c r="AF549" s="6"/>
      <c r="AG549" s="6"/>
      <c r="AH549" s="6"/>
      <c r="AI549" s="6"/>
      <c r="AJ549" s="6"/>
      <c r="AK549" s="6"/>
      <c r="AL549" s="194">
        <f t="shared" si="11"/>
        <v>117950</v>
      </c>
      <c r="AM549" s="10"/>
      <c r="AN549" s="11"/>
      <c r="AO549" s="138">
        <f t="shared" si="10"/>
        <v>0</v>
      </c>
      <c r="AP549" s="13"/>
      <c r="AQ549" s="13"/>
      <c r="AR549" s="13"/>
      <c r="AS549" s="13"/>
      <c r="AT549" s="12"/>
      <c r="AU549" s="16"/>
      <c r="AV549" s="14"/>
      <c r="AW549" s="14"/>
      <c r="AX549" s="14"/>
      <c r="AY549" s="14"/>
      <c r="AZ549" s="16"/>
      <c r="BA549" s="16"/>
      <c r="BB549" s="14"/>
      <c r="BC549" s="14"/>
      <c r="BD549" s="14"/>
      <c r="BE549" s="17"/>
      <c r="BF549" s="17"/>
      <c r="BG549" s="17"/>
      <c r="BH549" s="14"/>
      <c r="BI549" s="14"/>
      <c r="BJ549" s="14"/>
      <c r="BK549" s="15"/>
      <c r="BL549" s="15"/>
      <c r="BM549" s="16"/>
    </row>
    <row r="550" spans="1:65" ht="51" x14ac:dyDescent="0.2">
      <c r="A550" s="329">
        <v>334</v>
      </c>
      <c r="B550" s="77" t="s">
        <v>2037</v>
      </c>
      <c r="C550" s="12" t="s">
        <v>1257</v>
      </c>
      <c r="D550" s="93" t="s">
        <v>130</v>
      </c>
      <c r="E550" s="2" t="s">
        <v>126</v>
      </c>
      <c r="F550" s="72" t="s">
        <v>1851</v>
      </c>
      <c r="G550" s="71" t="s">
        <v>2042</v>
      </c>
      <c r="H550" s="7" t="s">
        <v>1261</v>
      </c>
      <c r="I550" s="67">
        <v>43038</v>
      </c>
      <c r="J550" s="67">
        <v>43403</v>
      </c>
      <c r="K550" s="8" t="s">
        <v>2038</v>
      </c>
      <c r="L550" s="72" t="s">
        <v>2039</v>
      </c>
      <c r="M550" s="6" t="s">
        <v>1232</v>
      </c>
      <c r="N550" s="73">
        <v>43047</v>
      </c>
      <c r="O550" s="10">
        <v>90000</v>
      </c>
      <c r="P550" s="74">
        <v>12184</v>
      </c>
      <c r="Q550" s="73">
        <v>43047</v>
      </c>
      <c r="R550" s="73">
        <v>43100</v>
      </c>
      <c r="S550" s="6" t="s">
        <v>614</v>
      </c>
      <c r="T550" s="6"/>
      <c r="U550" s="6"/>
      <c r="V550" s="6"/>
      <c r="W550" s="6" t="s">
        <v>2040</v>
      </c>
      <c r="X550" s="6"/>
      <c r="Y550" s="6"/>
      <c r="Z550" s="6"/>
      <c r="AA550" s="6"/>
      <c r="AB550" s="6"/>
      <c r="AC550" s="6"/>
      <c r="AD550" s="6"/>
      <c r="AE550" s="6"/>
      <c r="AF550" s="6"/>
      <c r="AG550" s="6"/>
      <c r="AH550" s="6"/>
      <c r="AI550" s="6"/>
      <c r="AJ550" s="6"/>
      <c r="AK550" s="6"/>
      <c r="AL550" s="194">
        <f t="shared" si="11"/>
        <v>90000</v>
      </c>
      <c r="AM550" s="10"/>
      <c r="AN550" s="11"/>
      <c r="AO550" s="138">
        <f t="shared" si="10"/>
        <v>0</v>
      </c>
      <c r="AP550" s="13"/>
      <c r="AQ550" s="13"/>
      <c r="AR550" s="13"/>
      <c r="AS550" s="13"/>
      <c r="AT550" s="12"/>
      <c r="AU550" s="16"/>
      <c r="AV550" s="14"/>
      <c r="AW550" s="14"/>
      <c r="AX550" s="14"/>
      <c r="AY550" s="14"/>
      <c r="AZ550" s="16"/>
      <c r="BA550" s="16"/>
      <c r="BB550" s="14"/>
      <c r="BC550" s="14"/>
      <c r="BD550" s="14"/>
      <c r="BE550" s="17"/>
      <c r="BF550" s="17"/>
      <c r="BG550" s="17"/>
      <c r="BH550" s="14"/>
      <c r="BI550" s="14"/>
      <c r="BJ550" s="14"/>
      <c r="BK550" s="15"/>
      <c r="BL550" s="15"/>
      <c r="BM550" s="16"/>
    </row>
    <row r="551" spans="1:65" ht="51" x14ac:dyDescent="0.2">
      <c r="A551" s="329">
        <v>335</v>
      </c>
      <c r="B551" s="77" t="s">
        <v>2037</v>
      </c>
      <c r="C551" s="12" t="s">
        <v>1257</v>
      </c>
      <c r="D551" s="93" t="s">
        <v>130</v>
      </c>
      <c r="E551" s="2" t="s">
        <v>126</v>
      </c>
      <c r="F551" s="72" t="s">
        <v>1851</v>
      </c>
      <c r="G551" s="71" t="s">
        <v>2042</v>
      </c>
      <c r="H551" s="7" t="s">
        <v>1261</v>
      </c>
      <c r="I551" s="67">
        <v>43038</v>
      </c>
      <c r="J551" s="67">
        <v>43403</v>
      </c>
      <c r="K551" s="8" t="s">
        <v>2041</v>
      </c>
      <c r="L551" s="72" t="s">
        <v>1620</v>
      </c>
      <c r="M551" s="6" t="s">
        <v>1621</v>
      </c>
      <c r="N551" s="73">
        <v>43047</v>
      </c>
      <c r="O551" s="10">
        <v>56380</v>
      </c>
      <c r="P551" s="74">
        <v>12184</v>
      </c>
      <c r="Q551" s="73">
        <v>43047</v>
      </c>
      <c r="R551" s="73">
        <v>43100</v>
      </c>
      <c r="S551" s="6" t="s">
        <v>614</v>
      </c>
      <c r="T551" s="6"/>
      <c r="U551" s="6"/>
      <c r="V551" s="6"/>
      <c r="W551" s="6" t="s">
        <v>1278</v>
      </c>
      <c r="X551" s="6"/>
      <c r="Y551" s="6"/>
      <c r="Z551" s="6"/>
      <c r="AA551" s="6"/>
      <c r="AB551" s="6"/>
      <c r="AC551" s="6"/>
      <c r="AD551" s="6"/>
      <c r="AE551" s="6"/>
      <c r="AF551" s="6"/>
      <c r="AG551" s="6"/>
      <c r="AH551" s="6"/>
      <c r="AI551" s="6"/>
      <c r="AJ551" s="6"/>
      <c r="AK551" s="6"/>
      <c r="AL551" s="194">
        <f t="shared" si="11"/>
        <v>56380</v>
      </c>
      <c r="AM551" s="10"/>
      <c r="AN551" s="11"/>
      <c r="AO551" s="138">
        <f t="shared" si="10"/>
        <v>0</v>
      </c>
      <c r="AP551" s="13"/>
      <c r="AQ551" s="13"/>
      <c r="AR551" s="13"/>
      <c r="AS551" s="13"/>
      <c r="AT551" s="12"/>
      <c r="AU551" s="16"/>
      <c r="AV551" s="14"/>
      <c r="AW551" s="14"/>
      <c r="AX551" s="14"/>
      <c r="AY551" s="14"/>
      <c r="AZ551" s="16"/>
      <c r="BA551" s="16"/>
      <c r="BB551" s="14"/>
      <c r="BC551" s="14"/>
      <c r="BD551" s="14"/>
      <c r="BE551" s="17"/>
      <c r="BF551" s="17"/>
      <c r="BG551" s="17"/>
      <c r="BH551" s="14"/>
      <c r="BI551" s="14"/>
      <c r="BJ551" s="14"/>
      <c r="BK551" s="15"/>
      <c r="BL551" s="15"/>
      <c r="BM551" s="16"/>
    </row>
    <row r="552" spans="1:65" x14ac:dyDescent="0.2">
      <c r="A552" s="471">
        <v>336</v>
      </c>
      <c r="B552" s="474" t="s">
        <v>123</v>
      </c>
      <c r="C552" s="477"/>
      <c r="D552" s="413" t="s">
        <v>142</v>
      </c>
      <c r="E552" s="480"/>
      <c r="F552" s="413" t="s">
        <v>1372</v>
      </c>
      <c r="G552" s="425" t="s">
        <v>367</v>
      </c>
      <c r="H552" s="132"/>
      <c r="I552" s="241"/>
      <c r="J552" s="241"/>
      <c r="K552" s="485" t="s">
        <v>110</v>
      </c>
      <c r="L552" s="413" t="s">
        <v>111</v>
      </c>
      <c r="M552" s="413" t="s">
        <v>112</v>
      </c>
      <c r="N552" s="556" t="s">
        <v>115</v>
      </c>
      <c r="O552" s="510">
        <v>31888.799999999999</v>
      </c>
      <c r="P552" s="508" t="s">
        <v>800</v>
      </c>
      <c r="Q552" s="514" t="s">
        <v>115</v>
      </c>
      <c r="R552" s="514" t="s">
        <v>116</v>
      </c>
      <c r="S552" s="514" t="s">
        <v>136</v>
      </c>
      <c r="T552" s="514"/>
      <c r="U552" s="514"/>
      <c r="V552" s="514"/>
      <c r="W552" s="514" t="s">
        <v>117</v>
      </c>
      <c r="X552" s="12"/>
      <c r="Y552" s="12" t="s">
        <v>138</v>
      </c>
      <c r="Z552" s="224">
        <v>39813</v>
      </c>
      <c r="AA552" s="242">
        <v>9987</v>
      </c>
      <c r="AB552" s="427" t="s">
        <v>378</v>
      </c>
      <c r="AC552" s="224">
        <v>39813</v>
      </c>
      <c r="AD552" s="224">
        <v>40178</v>
      </c>
      <c r="AE552" s="70"/>
      <c r="AF552" s="71"/>
      <c r="AG552" s="243">
        <v>111456</v>
      </c>
      <c r="AH552" s="244"/>
      <c r="AI552" s="245"/>
      <c r="AJ552" s="245"/>
      <c r="AK552" s="245"/>
      <c r="AL552" s="562">
        <f>O552-AH552+AG552-AH553+AG553-AH554+AG554-AH555+AG555-AH556+AG556-AH557+AG557-AH558+AG558-AH559+AG559-AH560+AG560</f>
        <v>1182425.52</v>
      </c>
      <c r="AM552" s="520">
        <f>752104.8+140082.6+11673.55+11673.55+11673.55+11673.55+11673.55+11673.55+11673.55+11673.55+11673.55+11673.55+11673.55+11673.55</f>
        <v>1032270.0000000006</v>
      </c>
      <c r="AN552" s="523">
        <f>12282.13+12512.96+12512.96+12512.96+12512.96+12512.96+12512.96+12512.96+12512.96+12512.96+12512.96</f>
        <v>137411.72999999995</v>
      </c>
      <c r="AO552" s="505">
        <f>AM552+AN552</f>
        <v>1169681.7300000004</v>
      </c>
      <c r="AP552" s="480"/>
      <c r="AQ552" s="6"/>
      <c r="AR552" s="6"/>
      <c r="AS552" s="480"/>
      <c r="AT552" s="480"/>
      <c r="AU552" s="480"/>
      <c r="AV552" s="480" t="s">
        <v>122</v>
      </c>
      <c r="AW552" s="410" t="s">
        <v>375</v>
      </c>
      <c r="AX552" s="548" t="s">
        <v>800</v>
      </c>
      <c r="AY552" s="453">
        <v>39738</v>
      </c>
      <c r="AZ552" s="548" t="s">
        <v>800</v>
      </c>
      <c r="BA552" s="453">
        <v>39738</v>
      </c>
      <c r="BB552" s="480"/>
      <c r="BC552" s="480"/>
      <c r="BD552" s="480"/>
      <c r="BE552" s="480"/>
      <c r="BF552" s="480"/>
      <c r="BG552" s="480"/>
      <c r="BH552" s="480"/>
      <c r="BI552" s="480"/>
      <c r="BJ552" s="480"/>
      <c r="BK552" s="480"/>
      <c r="BL552" s="480"/>
      <c r="BM552" s="480"/>
    </row>
    <row r="553" spans="1:65" x14ac:dyDescent="0.2">
      <c r="A553" s="472"/>
      <c r="B553" s="475"/>
      <c r="C553" s="478"/>
      <c r="D553" s="414"/>
      <c r="E553" s="481"/>
      <c r="F553" s="414"/>
      <c r="G553" s="426"/>
      <c r="H553" s="133"/>
      <c r="I553" s="246"/>
      <c r="J553" s="246"/>
      <c r="K553" s="486"/>
      <c r="L553" s="414"/>
      <c r="M553" s="414"/>
      <c r="N553" s="557"/>
      <c r="O553" s="511"/>
      <c r="P553" s="509"/>
      <c r="Q553" s="515"/>
      <c r="R553" s="515"/>
      <c r="S553" s="515"/>
      <c r="T553" s="515"/>
      <c r="U553" s="515"/>
      <c r="V553" s="515"/>
      <c r="W553" s="515"/>
      <c r="X553" s="12"/>
      <c r="Y553" s="12" t="s">
        <v>144</v>
      </c>
      <c r="Z553" s="224">
        <v>40178</v>
      </c>
      <c r="AA553" s="242">
        <v>10207</v>
      </c>
      <c r="AB553" s="429"/>
      <c r="AC553" s="224">
        <v>40178</v>
      </c>
      <c r="AD553" s="224">
        <v>40543</v>
      </c>
      <c r="AE553" s="70">
        <v>1.31352</v>
      </c>
      <c r="AF553" s="71"/>
      <c r="AG553" s="247">
        <v>112920</v>
      </c>
      <c r="AH553" s="244"/>
      <c r="AI553" s="248"/>
      <c r="AJ553" s="248"/>
      <c r="AK553" s="248"/>
      <c r="AL553" s="563"/>
      <c r="AM553" s="521"/>
      <c r="AN553" s="524"/>
      <c r="AO553" s="506"/>
      <c r="AP553" s="481"/>
      <c r="AQ553" s="165"/>
      <c r="AR553" s="165"/>
      <c r="AS553" s="481"/>
      <c r="AT553" s="481"/>
      <c r="AU553" s="481"/>
      <c r="AV553" s="481"/>
      <c r="AW553" s="411"/>
      <c r="AX553" s="549"/>
      <c r="AY553" s="454"/>
      <c r="AZ553" s="549"/>
      <c r="BA553" s="454"/>
      <c r="BB553" s="481"/>
      <c r="BC553" s="481"/>
      <c r="BD553" s="481"/>
      <c r="BE553" s="481"/>
      <c r="BF553" s="481"/>
      <c r="BG553" s="481"/>
      <c r="BH553" s="481"/>
      <c r="BI553" s="481"/>
      <c r="BJ553" s="481"/>
      <c r="BK553" s="481"/>
      <c r="BL553" s="481"/>
      <c r="BM553" s="481"/>
    </row>
    <row r="554" spans="1:65" x14ac:dyDescent="0.2">
      <c r="A554" s="472"/>
      <c r="B554" s="475"/>
      <c r="C554" s="478"/>
      <c r="D554" s="414"/>
      <c r="E554" s="481"/>
      <c r="F554" s="414"/>
      <c r="G554" s="426"/>
      <c r="H554" s="133"/>
      <c r="I554" s="246"/>
      <c r="J554" s="246"/>
      <c r="K554" s="486"/>
      <c r="L554" s="414"/>
      <c r="M554" s="414"/>
      <c r="N554" s="557"/>
      <c r="O554" s="511"/>
      <c r="P554" s="509"/>
      <c r="Q554" s="515"/>
      <c r="R554" s="515"/>
      <c r="S554" s="515"/>
      <c r="T554" s="515"/>
      <c r="U554" s="515"/>
      <c r="V554" s="515"/>
      <c r="W554" s="515"/>
      <c r="X554" s="12"/>
      <c r="Y554" s="12" t="s">
        <v>193</v>
      </c>
      <c r="Z554" s="224">
        <v>40543</v>
      </c>
      <c r="AA554" s="242">
        <v>10441</v>
      </c>
      <c r="AB554" s="429"/>
      <c r="AC554" s="224">
        <v>40543</v>
      </c>
      <c r="AD554" s="224">
        <v>40908</v>
      </c>
      <c r="AE554" s="70"/>
      <c r="AF554" s="71"/>
      <c r="AG554" s="247">
        <v>112920</v>
      </c>
      <c r="AH554" s="244"/>
      <c r="AI554" s="248"/>
      <c r="AJ554" s="248"/>
      <c r="AK554" s="248"/>
      <c r="AL554" s="563"/>
      <c r="AM554" s="521"/>
      <c r="AN554" s="524"/>
      <c r="AO554" s="506"/>
      <c r="AP554" s="481"/>
      <c r="AQ554" s="165"/>
      <c r="AR554" s="165"/>
      <c r="AS554" s="481"/>
      <c r="AT554" s="481"/>
      <c r="AU554" s="481"/>
      <c r="AV554" s="481"/>
      <c r="AW554" s="411"/>
      <c r="AX554" s="549"/>
      <c r="AY554" s="454"/>
      <c r="AZ554" s="549"/>
      <c r="BA554" s="454"/>
      <c r="BB554" s="481"/>
      <c r="BC554" s="481"/>
      <c r="BD554" s="481"/>
      <c r="BE554" s="481"/>
      <c r="BF554" s="481"/>
      <c r="BG554" s="481"/>
      <c r="BH554" s="481"/>
      <c r="BI554" s="481"/>
      <c r="BJ554" s="481"/>
      <c r="BK554" s="481"/>
      <c r="BL554" s="481"/>
      <c r="BM554" s="481"/>
    </row>
    <row r="555" spans="1:65" x14ac:dyDescent="0.2">
      <c r="A555" s="472"/>
      <c r="B555" s="475"/>
      <c r="C555" s="478"/>
      <c r="D555" s="414"/>
      <c r="E555" s="481"/>
      <c r="F555" s="414"/>
      <c r="G555" s="426"/>
      <c r="H555" s="133"/>
      <c r="I555" s="246"/>
      <c r="J555" s="246"/>
      <c r="K555" s="486"/>
      <c r="L555" s="414"/>
      <c r="M555" s="414"/>
      <c r="N555" s="557"/>
      <c r="O555" s="511"/>
      <c r="P555" s="509"/>
      <c r="Q555" s="515"/>
      <c r="R555" s="515"/>
      <c r="S555" s="515"/>
      <c r="T555" s="515"/>
      <c r="U555" s="515"/>
      <c r="V555" s="515"/>
      <c r="W555" s="515"/>
      <c r="X555" s="12"/>
      <c r="Y555" s="12" t="s">
        <v>194</v>
      </c>
      <c r="Z555" s="224">
        <v>40908</v>
      </c>
      <c r="AA555" s="242">
        <v>10734</v>
      </c>
      <c r="AB555" s="429"/>
      <c r="AC555" s="224">
        <v>40908</v>
      </c>
      <c r="AD555" s="224">
        <v>41274</v>
      </c>
      <c r="AE555" s="70">
        <v>5.7385700000000002</v>
      </c>
      <c r="AF555" s="71"/>
      <c r="AG555" s="247">
        <v>119400</v>
      </c>
      <c r="AH555" s="244"/>
      <c r="AI555" s="248"/>
      <c r="AJ555" s="248"/>
      <c r="AK555" s="248"/>
      <c r="AL555" s="563"/>
      <c r="AM555" s="521"/>
      <c r="AN555" s="524"/>
      <c r="AO555" s="506"/>
      <c r="AP555" s="481"/>
      <c r="AQ555" s="165"/>
      <c r="AR555" s="165"/>
      <c r="AS555" s="481"/>
      <c r="AT555" s="481"/>
      <c r="AU555" s="481"/>
      <c r="AV555" s="481"/>
      <c r="AW555" s="411"/>
      <c r="AX555" s="549"/>
      <c r="AY555" s="454"/>
      <c r="AZ555" s="549"/>
      <c r="BA555" s="454"/>
      <c r="BB555" s="481"/>
      <c r="BC555" s="481"/>
      <c r="BD555" s="481"/>
      <c r="BE555" s="481"/>
      <c r="BF555" s="481"/>
      <c r="BG555" s="481"/>
      <c r="BH555" s="481"/>
      <c r="BI555" s="481"/>
      <c r="BJ555" s="481"/>
      <c r="BK555" s="481"/>
      <c r="BL555" s="481"/>
      <c r="BM555" s="481"/>
    </row>
    <row r="556" spans="1:65" x14ac:dyDescent="0.2">
      <c r="A556" s="472"/>
      <c r="B556" s="475"/>
      <c r="C556" s="478"/>
      <c r="D556" s="414"/>
      <c r="E556" s="481"/>
      <c r="F556" s="414"/>
      <c r="G556" s="426"/>
      <c r="H556" s="133"/>
      <c r="I556" s="246"/>
      <c r="J556" s="246"/>
      <c r="K556" s="486"/>
      <c r="L556" s="414"/>
      <c r="M556" s="414"/>
      <c r="N556" s="557"/>
      <c r="O556" s="511"/>
      <c r="P556" s="509"/>
      <c r="Q556" s="515"/>
      <c r="R556" s="515"/>
      <c r="S556" s="515"/>
      <c r="T556" s="515"/>
      <c r="U556" s="515"/>
      <c r="V556" s="515"/>
      <c r="W556" s="515"/>
      <c r="X556" s="12"/>
      <c r="Y556" s="12" t="s">
        <v>195</v>
      </c>
      <c r="Z556" s="224">
        <v>41274</v>
      </c>
      <c r="AA556" s="242">
        <v>10963</v>
      </c>
      <c r="AB556" s="429"/>
      <c r="AC556" s="224">
        <v>41274</v>
      </c>
      <c r="AD556" s="224">
        <v>41639</v>
      </c>
      <c r="AE556" s="70">
        <v>7.5175799999999997</v>
      </c>
      <c r="AF556" s="71"/>
      <c r="AG556" s="247">
        <v>128376</v>
      </c>
      <c r="AH556" s="244"/>
      <c r="AI556" s="248"/>
      <c r="AJ556" s="248"/>
      <c r="AK556" s="248"/>
      <c r="AL556" s="563"/>
      <c r="AM556" s="521"/>
      <c r="AN556" s="524"/>
      <c r="AO556" s="506"/>
      <c r="AP556" s="481"/>
      <c r="AQ556" s="165"/>
      <c r="AR556" s="165"/>
      <c r="AS556" s="481"/>
      <c r="AT556" s="481"/>
      <c r="AU556" s="481"/>
      <c r="AV556" s="481"/>
      <c r="AW556" s="411"/>
      <c r="AX556" s="549"/>
      <c r="AY556" s="454"/>
      <c r="AZ556" s="549"/>
      <c r="BA556" s="454"/>
      <c r="BB556" s="481"/>
      <c r="BC556" s="481"/>
      <c r="BD556" s="481"/>
      <c r="BE556" s="481"/>
      <c r="BF556" s="481"/>
      <c r="BG556" s="481"/>
      <c r="BH556" s="481"/>
      <c r="BI556" s="481"/>
      <c r="BJ556" s="481"/>
      <c r="BK556" s="481"/>
      <c r="BL556" s="481"/>
      <c r="BM556" s="481"/>
    </row>
    <row r="557" spans="1:65" x14ac:dyDescent="0.2">
      <c r="A557" s="472"/>
      <c r="B557" s="475"/>
      <c r="C557" s="478"/>
      <c r="D557" s="414"/>
      <c r="E557" s="481"/>
      <c r="F557" s="414"/>
      <c r="G557" s="426"/>
      <c r="H557" s="133"/>
      <c r="I557" s="246"/>
      <c r="J557" s="246"/>
      <c r="K557" s="486"/>
      <c r="L557" s="414"/>
      <c r="M557" s="414"/>
      <c r="N557" s="557"/>
      <c r="O557" s="511"/>
      <c r="P557" s="509"/>
      <c r="Q557" s="515"/>
      <c r="R557" s="515"/>
      <c r="S557" s="515"/>
      <c r="T557" s="515"/>
      <c r="U557" s="515"/>
      <c r="V557" s="515"/>
      <c r="W557" s="515"/>
      <c r="X557" s="12"/>
      <c r="Y557" s="12" t="s">
        <v>118</v>
      </c>
      <c r="Z557" s="67">
        <v>41639</v>
      </c>
      <c r="AA557" s="242">
        <v>11215</v>
      </c>
      <c r="AB557" s="428"/>
      <c r="AC557" s="67">
        <v>41639</v>
      </c>
      <c r="AD557" s="67">
        <v>42004</v>
      </c>
      <c r="AE557" s="70">
        <v>5.2720099999999999</v>
      </c>
      <c r="AF557" s="71"/>
      <c r="AG557" s="247">
        <v>135144</v>
      </c>
      <c r="AH557" s="244"/>
      <c r="AI557" s="248"/>
      <c r="AJ557" s="248"/>
      <c r="AK557" s="248"/>
      <c r="AL557" s="563"/>
      <c r="AM557" s="521"/>
      <c r="AN557" s="524"/>
      <c r="AO557" s="506"/>
      <c r="AP557" s="481"/>
      <c r="AQ557" s="165"/>
      <c r="AR557" s="165"/>
      <c r="AS557" s="481"/>
      <c r="AT557" s="481"/>
      <c r="AU557" s="481"/>
      <c r="AV557" s="481"/>
      <c r="AW557" s="411"/>
      <c r="AX557" s="549"/>
      <c r="AY557" s="454"/>
      <c r="AZ557" s="549"/>
      <c r="BA557" s="454"/>
      <c r="BB557" s="481"/>
      <c r="BC557" s="481"/>
      <c r="BD557" s="481"/>
      <c r="BE557" s="481"/>
      <c r="BF557" s="481"/>
      <c r="BG557" s="481"/>
      <c r="BH557" s="481"/>
      <c r="BI557" s="481"/>
      <c r="BJ557" s="481"/>
      <c r="BK557" s="481"/>
      <c r="BL557" s="481"/>
      <c r="BM557" s="481"/>
    </row>
    <row r="558" spans="1:65" ht="76.5" x14ac:dyDescent="0.2">
      <c r="A558" s="472"/>
      <c r="B558" s="475"/>
      <c r="C558" s="478"/>
      <c r="D558" s="414"/>
      <c r="E558" s="481"/>
      <c r="F558" s="414"/>
      <c r="G558" s="426"/>
      <c r="H558" s="133"/>
      <c r="I558" s="246"/>
      <c r="J558" s="246"/>
      <c r="K558" s="486"/>
      <c r="L558" s="414"/>
      <c r="M558" s="414"/>
      <c r="N558" s="557"/>
      <c r="O558" s="511"/>
      <c r="P558" s="509"/>
      <c r="Q558" s="515"/>
      <c r="R558" s="515"/>
      <c r="S558" s="515"/>
      <c r="T558" s="515"/>
      <c r="U558" s="515"/>
      <c r="V558" s="515"/>
      <c r="W558" s="515"/>
      <c r="X558" s="12"/>
      <c r="Y558" s="12" t="s">
        <v>121</v>
      </c>
      <c r="Z558" s="67">
        <v>41988</v>
      </c>
      <c r="AA558" s="242">
        <v>11459</v>
      </c>
      <c r="AB558" s="62" t="s">
        <v>617</v>
      </c>
      <c r="AC558" s="67">
        <v>42004</v>
      </c>
      <c r="AD558" s="67">
        <v>42369</v>
      </c>
      <c r="AE558" s="70">
        <v>3.6543000000000001</v>
      </c>
      <c r="AF558" s="71"/>
      <c r="AG558" s="247">
        <v>140082.6</v>
      </c>
      <c r="AH558" s="244"/>
      <c r="AI558" s="248"/>
      <c r="AJ558" s="248"/>
      <c r="AK558" s="248"/>
      <c r="AL558" s="563"/>
      <c r="AM558" s="521"/>
      <c r="AN558" s="524"/>
      <c r="AO558" s="506"/>
      <c r="AP558" s="481"/>
      <c r="AQ558" s="165"/>
      <c r="AR558" s="165"/>
      <c r="AS558" s="481"/>
      <c r="AT558" s="481"/>
      <c r="AU558" s="481"/>
      <c r="AV558" s="481"/>
      <c r="AW558" s="411"/>
      <c r="AX558" s="549"/>
      <c r="AY558" s="454"/>
      <c r="AZ558" s="549"/>
      <c r="BA558" s="454"/>
      <c r="BB558" s="481"/>
      <c r="BC558" s="481"/>
      <c r="BD558" s="481"/>
      <c r="BE558" s="481"/>
      <c r="BF558" s="481"/>
      <c r="BG558" s="481"/>
      <c r="BH558" s="481"/>
      <c r="BI558" s="481"/>
      <c r="BJ558" s="481"/>
      <c r="BK558" s="481"/>
      <c r="BL558" s="481"/>
      <c r="BM558" s="481"/>
    </row>
    <row r="559" spans="1:65" ht="76.5" x14ac:dyDescent="0.2">
      <c r="A559" s="472"/>
      <c r="B559" s="475"/>
      <c r="C559" s="478"/>
      <c r="D559" s="414"/>
      <c r="E559" s="481"/>
      <c r="F559" s="414"/>
      <c r="G559" s="426"/>
      <c r="H559" s="458"/>
      <c r="I559" s="457"/>
      <c r="J559" s="457"/>
      <c r="K559" s="486"/>
      <c r="L559" s="414"/>
      <c r="M559" s="414"/>
      <c r="N559" s="557"/>
      <c r="O559" s="511"/>
      <c r="P559" s="509"/>
      <c r="Q559" s="515"/>
      <c r="R559" s="515"/>
      <c r="S559" s="515"/>
      <c r="T559" s="515"/>
      <c r="U559" s="515"/>
      <c r="V559" s="515"/>
      <c r="W559" s="515"/>
      <c r="X559" s="71"/>
      <c r="Y559" s="12" t="s">
        <v>119</v>
      </c>
      <c r="Z559" s="67">
        <v>42352</v>
      </c>
      <c r="AA559" s="242">
        <v>11715</v>
      </c>
      <c r="AB559" s="62" t="s">
        <v>632</v>
      </c>
      <c r="AC559" s="67">
        <v>42369</v>
      </c>
      <c r="AD559" s="67">
        <v>42735</v>
      </c>
      <c r="AE559" s="70"/>
      <c r="AF559" s="71"/>
      <c r="AG559" s="247">
        <v>140082.6</v>
      </c>
      <c r="AH559" s="244"/>
      <c r="AI559" s="249"/>
      <c r="AJ559" s="249"/>
      <c r="AK559" s="249"/>
      <c r="AL559" s="563"/>
      <c r="AM559" s="521"/>
      <c r="AN559" s="524"/>
      <c r="AO559" s="506"/>
      <c r="AP559" s="482"/>
      <c r="AQ559" s="184"/>
      <c r="AR559" s="184"/>
      <c r="AS559" s="482"/>
      <c r="AT559" s="482"/>
      <c r="AU559" s="482"/>
      <c r="AV559" s="482"/>
      <c r="AW559" s="412"/>
      <c r="AX559" s="550"/>
      <c r="AY559" s="455"/>
      <c r="AZ559" s="550"/>
      <c r="BA559" s="455"/>
      <c r="BB559" s="482"/>
      <c r="BC559" s="482"/>
      <c r="BD559" s="482"/>
      <c r="BE559" s="482"/>
      <c r="BF559" s="482"/>
      <c r="BG559" s="482"/>
      <c r="BH559" s="482"/>
      <c r="BI559" s="482"/>
      <c r="BJ559" s="482"/>
      <c r="BK559" s="482"/>
      <c r="BL559" s="482"/>
      <c r="BM559" s="482"/>
    </row>
    <row r="560" spans="1:65" ht="102" x14ac:dyDescent="0.2">
      <c r="A560" s="473"/>
      <c r="B560" s="476"/>
      <c r="C560" s="479"/>
      <c r="D560" s="415"/>
      <c r="E560" s="482"/>
      <c r="F560" s="415"/>
      <c r="G560" s="406"/>
      <c r="H560" s="412"/>
      <c r="I560" s="428"/>
      <c r="J560" s="428"/>
      <c r="K560" s="412"/>
      <c r="L560" s="406"/>
      <c r="M560" s="406"/>
      <c r="N560" s="428"/>
      <c r="O560" s="428"/>
      <c r="P560" s="428"/>
      <c r="Q560" s="428"/>
      <c r="R560" s="428"/>
      <c r="S560" s="428"/>
      <c r="T560" s="428"/>
      <c r="U560" s="428"/>
      <c r="V560" s="428"/>
      <c r="W560" s="428"/>
      <c r="X560" s="20"/>
      <c r="Y560" s="12" t="s">
        <v>374</v>
      </c>
      <c r="Z560" s="67">
        <v>42731</v>
      </c>
      <c r="AA560" s="242">
        <v>11975</v>
      </c>
      <c r="AB560" s="60" t="s">
        <v>1149</v>
      </c>
      <c r="AC560" s="67">
        <v>42735</v>
      </c>
      <c r="AD560" s="67">
        <v>43100</v>
      </c>
      <c r="AE560" s="70"/>
      <c r="AF560" s="71"/>
      <c r="AG560" s="247">
        <v>150155.51999999999</v>
      </c>
      <c r="AH560" s="244"/>
      <c r="AI560" s="248"/>
      <c r="AJ560" s="248"/>
      <c r="AK560" s="248"/>
      <c r="AL560" s="564"/>
      <c r="AM560" s="522"/>
      <c r="AN560" s="525"/>
      <c r="AO560" s="507"/>
      <c r="AP560" s="165"/>
      <c r="AQ560" s="165"/>
      <c r="AR560" s="165"/>
      <c r="AS560" s="165"/>
      <c r="AT560" s="165"/>
      <c r="AU560" s="165"/>
      <c r="AV560" s="165"/>
      <c r="AW560" s="25"/>
      <c r="AX560" s="155"/>
      <c r="AY560" s="156"/>
      <c r="AZ560" s="155"/>
      <c r="BA560" s="156"/>
      <c r="BB560" s="165"/>
      <c r="BC560" s="165"/>
      <c r="BD560" s="165"/>
      <c r="BE560" s="165"/>
      <c r="BF560" s="165"/>
      <c r="BG560" s="165"/>
      <c r="BH560" s="165"/>
      <c r="BI560" s="165"/>
      <c r="BJ560" s="165"/>
      <c r="BK560" s="165"/>
      <c r="BL560" s="165"/>
      <c r="BM560" s="165"/>
    </row>
    <row r="561" spans="1:65" x14ac:dyDescent="0.2">
      <c r="A561" s="471">
        <v>337</v>
      </c>
      <c r="B561" s="474">
        <v>123180204</v>
      </c>
      <c r="C561" s="477"/>
      <c r="D561" s="413" t="s">
        <v>142</v>
      </c>
      <c r="E561" s="480"/>
      <c r="F561" s="413" t="s">
        <v>1373</v>
      </c>
      <c r="G561" s="425" t="s">
        <v>367</v>
      </c>
      <c r="H561" s="132"/>
      <c r="I561" s="132"/>
      <c r="J561" s="132"/>
      <c r="K561" s="485" t="s">
        <v>303</v>
      </c>
      <c r="L561" s="405" t="s">
        <v>326</v>
      </c>
      <c r="M561" s="494" t="s">
        <v>327</v>
      </c>
      <c r="N561" s="516">
        <v>40120</v>
      </c>
      <c r="O561" s="510">
        <v>8700</v>
      </c>
      <c r="P561" s="508" t="s">
        <v>801</v>
      </c>
      <c r="Q561" s="516">
        <v>40120</v>
      </c>
      <c r="R561" s="456">
        <v>40178</v>
      </c>
      <c r="S561" s="20" t="s">
        <v>146</v>
      </c>
      <c r="T561" s="514"/>
      <c r="U561" s="514"/>
      <c r="V561" s="514"/>
      <c r="W561" s="512" t="s">
        <v>222</v>
      </c>
      <c r="X561" s="250"/>
      <c r="Y561" s="12" t="s">
        <v>138</v>
      </c>
      <c r="Z561" s="67">
        <v>40171</v>
      </c>
      <c r="AA561" s="242">
        <v>10207</v>
      </c>
      <c r="AB561" s="514" t="s">
        <v>378</v>
      </c>
      <c r="AC561" s="67">
        <v>40178</v>
      </c>
      <c r="AD561" s="67">
        <v>40543</v>
      </c>
      <c r="AE561" s="70"/>
      <c r="AF561" s="71"/>
      <c r="AG561" s="247">
        <v>54000</v>
      </c>
      <c r="AH561" s="244"/>
      <c r="AI561" s="245"/>
      <c r="AJ561" s="245"/>
      <c r="AK561" s="245"/>
      <c r="AL561" s="535">
        <f>O561-AH561+AG561-AH562+AG562-AH563+AG563-AH564+AG564-AH565+AG565-AH566+AG566-AH567+AG567-AH568+AG568</f>
        <v>520579.79999999993</v>
      </c>
      <c r="AM561" s="520">
        <f>310680+69966.6+5830.55+5830.55+5830.55+5830.55+5830.55+5830.55+5830.55+5830.55+5830.55+5830.55+5830.55+5830.55</f>
        <v>450613.19999999984</v>
      </c>
      <c r="AN561" s="523">
        <f>5830.55+5830.55+5830.55+5830.55+5830.55+5830.55+5830.55+5830.55+5830.55+5830.55+5830.55</f>
        <v>64136.050000000017</v>
      </c>
      <c r="AO561" s="505">
        <f>AM561+AN561</f>
        <v>514749.24999999988</v>
      </c>
      <c r="AP561" s="439"/>
      <c r="AQ561" s="132"/>
      <c r="AR561" s="132"/>
      <c r="AS561" s="439"/>
      <c r="AT561" s="480"/>
      <c r="AU561" s="480"/>
      <c r="AV561" s="480" t="s">
        <v>122</v>
      </c>
      <c r="AW561" s="485" t="s">
        <v>375</v>
      </c>
      <c r="AX561" s="548" t="s">
        <v>844</v>
      </c>
      <c r="AY561" s="453">
        <v>40127</v>
      </c>
      <c r="AZ561" s="548" t="s">
        <v>844</v>
      </c>
      <c r="BA561" s="453">
        <v>40127</v>
      </c>
      <c r="BB561" s="480"/>
      <c r="BC561" s="480"/>
      <c r="BD561" s="480"/>
      <c r="BE561" s="480"/>
      <c r="BF561" s="480"/>
      <c r="BG561" s="480"/>
      <c r="BH561" s="480"/>
      <c r="BI561" s="480"/>
      <c r="BJ561" s="480"/>
      <c r="BK561" s="480"/>
      <c r="BL561" s="480"/>
      <c r="BM561" s="480"/>
    </row>
    <row r="562" spans="1:65" x14ac:dyDescent="0.2">
      <c r="A562" s="472"/>
      <c r="B562" s="475"/>
      <c r="C562" s="478"/>
      <c r="D562" s="414"/>
      <c r="E562" s="481"/>
      <c r="F562" s="414"/>
      <c r="G562" s="426"/>
      <c r="H562" s="133"/>
      <c r="I562" s="133"/>
      <c r="J562" s="133"/>
      <c r="K562" s="486"/>
      <c r="L562" s="409"/>
      <c r="M562" s="495"/>
      <c r="N562" s="517"/>
      <c r="O562" s="511"/>
      <c r="P562" s="509"/>
      <c r="Q562" s="517"/>
      <c r="R562" s="518"/>
      <c r="S562" s="20" t="s">
        <v>281</v>
      </c>
      <c r="T562" s="515"/>
      <c r="U562" s="515"/>
      <c r="V562" s="515"/>
      <c r="W562" s="513"/>
      <c r="X562" s="251"/>
      <c r="Y562" s="12" t="s">
        <v>144</v>
      </c>
      <c r="Z562" s="224">
        <v>40532</v>
      </c>
      <c r="AA562" s="242">
        <v>10473</v>
      </c>
      <c r="AB562" s="515"/>
      <c r="AC562" s="224">
        <v>40543</v>
      </c>
      <c r="AD562" s="224">
        <v>40908</v>
      </c>
      <c r="AE562" s="252">
        <v>5</v>
      </c>
      <c r="AF562" s="71"/>
      <c r="AG562" s="247">
        <v>56700</v>
      </c>
      <c r="AH562" s="244"/>
      <c r="AI562" s="248"/>
      <c r="AJ562" s="248"/>
      <c r="AK562" s="248"/>
      <c r="AL562" s="536"/>
      <c r="AM562" s="521"/>
      <c r="AN562" s="524"/>
      <c r="AO562" s="506"/>
      <c r="AP562" s="458"/>
      <c r="AQ562" s="133"/>
      <c r="AR562" s="133"/>
      <c r="AS562" s="458"/>
      <c r="AT562" s="481"/>
      <c r="AU562" s="481"/>
      <c r="AV562" s="481"/>
      <c r="AW562" s="486"/>
      <c r="AX562" s="549"/>
      <c r="AY562" s="454"/>
      <c r="AZ562" s="549"/>
      <c r="BA562" s="454"/>
      <c r="BB562" s="481"/>
      <c r="BC562" s="481"/>
      <c r="BD562" s="481"/>
      <c r="BE562" s="481"/>
      <c r="BF562" s="481"/>
      <c r="BG562" s="481"/>
      <c r="BH562" s="481"/>
      <c r="BI562" s="481"/>
      <c r="BJ562" s="481"/>
      <c r="BK562" s="481"/>
      <c r="BL562" s="481"/>
      <c r="BM562" s="481"/>
    </row>
    <row r="563" spans="1:65" x14ac:dyDescent="0.2">
      <c r="A563" s="472"/>
      <c r="B563" s="475"/>
      <c r="C563" s="478"/>
      <c r="D563" s="414"/>
      <c r="E563" s="481"/>
      <c r="F563" s="414"/>
      <c r="G563" s="426"/>
      <c r="H563" s="133"/>
      <c r="I563" s="133"/>
      <c r="J563" s="133"/>
      <c r="K563" s="486"/>
      <c r="L563" s="409"/>
      <c r="M563" s="495"/>
      <c r="N563" s="517"/>
      <c r="O563" s="511"/>
      <c r="P563" s="509"/>
      <c r="Q563" s="517"/>
      <c r="R563" s="518"/>
      <c r="S563" s="20" t="s">
        <v>281</v>
      </c>
      <c r="T563" s="515"/>
      <c r="U563" s="515"/>
      <c r="V563" s="515"/>
      <c r="W563" s="513"/>
      <c r="X563" s="251"/>
      <c r="Y563" s="12" t="s">
        <v>193</v>
      </c>
      <c r="Z563" s="224">
        <v>40908</v>
      </c>
      <c r="AA563" s="242">
        <v>10750</v>
      </c>
      <c r="AB563" s="515"/>
      <c r="AC563" s="224">
        <v>40908</v>
      </c>
      <c r="AD563" s="224">
        <v>41274</v>
      </c>
      <c r="AE563" s="70">
        <v>5.20634</v>
      </c>
      <c r="AF563" s="71"/>
      <c r="AG563" s="247">
        <v>59652</v>
      </c>
      <c r="AH563" s="244"/>
      <c r="AI563" s="248"/>
      <c r="AJ563" s="248"/>
      <c r="AK563" s="248"/>
      <c r="AL563" s="536"/>
      <c r="AM563" s="521"/>
      <c r="AN563" s="524"/>
      <c r="AO563" s="506"/>
      <c r="AP563" s="458"/>
      <c r="AQ563" s="133"/>
      <c r="AR563" s="133"/>
      <c r="AS563" s="458"/>
      <c r="AT563" s="481"/>
      <c r="AU563" s="481"/>
      <c r="AV563" s="481"/>
      <c r="AW563" s="486"/>
      <c r="AX563" s="549"/>
      <c r="AY563" s="454"/>
      <c r="AZ563" s="549"/>
      <c r="BA563" s="454"/>
      <c r="BB563" s="481"/>
      <c r="BC563" s="481"/>
      <c r="BD563" s="481"/>
      <c r="BE563" s="481"/>
      <c r="BF563" s="481"/>
      <c r="BG563" s="481"/>
      <c r="BH563" s="481"/>
      <c r="BI563" s="481"/>
      <c r="BJ563" s="481"/>
      <c r="BK563" s="481"/>
      <c r="BL563" s="481"/>
      <c r="BM563" s="481"/>
    </row>
    <row r="564" spans="1:65" x14ac:dyDescent="0.2">
      <c r="A564" s="472"/>
      <c r="B564" s="475"/>
      <c r="C564" s="478"/>
      <c r="D564" s="414"/>
      <c r="E564" s="481"/>
      <c r="F564" s="414"/>
      <c r="G564" s="426"/>
      <c r="H564" s="133"/>
      <c r="I564" s="133"/>
      <c r="J564" s="133"/>
      <c r="K564" s="486"/>
      <c r="L564" s="409"/>
      <c r="M564" s="495"/>
      <c r="N564" s="517"/>
      <c r="O564" s="511"/>
      <c r="P564" s="509"/>
      <c r="Q564" s="517"/>
      <c r="R564" s="518"/>
      <c r="S564" s="20" t="s">
        <v>281</v>
      </c>
      <c r="T564" s="515"/>
      <c r="U564" s="515"/>
      <c r="V564" s="515"/>
      <c r="W564" s="513"/>
      <c r="X564" s="251"/>
      <c r="Y564" s="12" t="s">
        <v>194</v>
      </c>
      <c r="Z564" s="224">
        <v>41274</v>
      </c>
      <c r="AA564" s="242">
        <v>10963</v>
      </c>
      <c r="AB564" s="515"/>
      <c r="AC564" s="224">
        <v>41274</v>
      </c>
      <c r="AD564" s="224">
        <v>41639</v>
      </c>
      <c r="AE564" s="70">
        <v>7.50352</v>
      </c>
      <c r="AF564" s="71"/>
      <c r="AG564" s="247">
        <v>64128</v>
      </c>
      <c r="AH564" s="244"/>
      <c r="AI564" s="248"/>
      <c r="AJ564" s="248"/>
      <c r="AK564" s="248"/>
      <c r="AL564" s="536"/>
      <c r="AM564" s="521"/>
      <c r="AN564" s="524"/>
      <c r="AO564" s="506"/>
      <c r="AP564" s="458"/>
      <c r="AQ564" s="133"/>
      <c r="AR564" s="133"/>
      <c r="AS564" s="458"/>
      <c r="AT564" s="481"/>
      <c r="AU564" s="481"/>
      <c r="AV564" s="481"/>
      <c r="AW564" s="486"/>
      <c r="AX564" s="549"/>
      <c r="AY564" s="454"/>
      <c r="AZ564" s="549"/>
      <c r="BA564" s="454"/>
      <c r="BB564" s="481"/>
      <c r="BC564" s="481"/>
      <c r="BD564" s="481"/>
      <c r="BE564" s="481"/>
      <c r="BF564" s="481"/>
      <c r="BG564" s="481"/>
      <c r="BH564" s="481"/>
      <c r="BI564" s="481"/>
      <c r="BJ564" s="481"/>
      <c r="BK564" s="481"/>
      <c r="BL564" s="481"/>
      <c r="BM564" s="481"/>
    </row>
    <row r="565" spans="1:65" x14ac:dyDescent="0.2">
      <c r="A565" s="472"/>
      <c r="B565" s="475"/>
      <c r="C565" s="478"/>
      <c r="D565" s="414"/>
      <c r="E565" s="481"/>
      <c r="F565" s="414"/>
      <c r="G565" s="426"/>
      <c r="H565" s="133"/>
      <c r="I565" s="133"/>
      <c r="J565" s="133"/>
      <c r="K565" s="486"/>
      <c r="L565" s="409"/>
      <c r="M565" s="495"/>
      <c r="N565" s="517"/>
      <c r="O565" s="511"/>
      <c r="P565" s="509"/>
      <c r="Q565" s="517"/>
      <c r="R565" s="518"/>
      <c r="S565" s="20" t="s">
        <v>281</v>
      </c>
      <c r="T565" s="515"/>
      <c r="U565" s="515"/>
      <c r="V565" s="515"/>
      <c r="W565" s="513"/>
      <c r="X565" s="251"/>
      <c r="Y565" s="12" t="s">
        <v>195</v>
      </c>
      <c r="Z565" s="12" t="s">
        <v>114</v>
      </c>
      <c r="AA565" s="242">
        <v>11215</v>
      </c>
      <c r="AB565" s="519"/>
      <c r="AC565" s="12" t="s">
        <v>114</v>
      </c>
      <c r="AD565" s="12" t="s">
        <v>113</v>
      </c>
      <c r="AE565" s="70">
        <v>5.2582300000000002</v>
      </c>
      <c r="AF565" s="71"/>
      <c r="AG565" s="247">
        <v>67500</v>
      </c>
      <c r="AH565" s="244"/>
      <c r="AI565" s="248"/>
      <c r="AJ565" s="248"/>
      <c r="AK565" s="248"/>
      <c r="AL565" s="536"/>
      <c r="AM565" s="521"/>
      <c r="AN565" s="524"/>
      <c r="AO565" s="506"/>
      <c r="AP565" s="458"/>
      <c r="AQ565" s="133"/>
      <c r="AR565" s="133"/>
      <c r="AS565" s="458"/>
      <c r="AT565" s="481"/>
      <c r="AU565" s="481"/>
      <c r="AV565" s="481"/>
      <c r="AW565" s="486"/>
      <c r="AX565" s="549"/>
      <c r="AY565" s="454"/>
      <c r="AZ565" s="549"/>
      <c r="BA565" s="454"/>
      <c r="BB565" s="481"/>
      <c r="BC565" s="481"/>
      <c r="BD565" s="481"/>
      <c r="BE565" s="481"/>
      <c r="BF565" s="481"/>
      <c r="BG565" s="481"/>
      <c r="BH565" s="481"/>
      <c r="BI565" s="481"/>
      <c r="BJ565" s="481"/>
      <c r="BK565" s="481"/>
      <c r="BL565" s="481"/>
      <c r="BM565" s="481"/>
    </row>
    <row r="566" spans="1:65" ht="76.5" x14ac:dyDescent="0.2">
      <c r="A566" s="472"/>
      <c r="B566" s="475"/>
      <c r="C566" s="478"/>
      <c r="D566" s="414"/>
      <c r="E566" s="481"/>
      <c r="F566" s="414"/>
      <c r="G566" s="426"/>
      <c r="H566" s="133"/>
      <c r="I566" s="133"/>
      <c r="J566" s="133"/>
      <c r="K566" s="486"/>
      <c r="L566" s="409"/>
      <c r="M566" s="495"/>
      <c r="N566" s="517"/>
      <c r="O566" s="511"/>
      <c r="P566" s="509"/>
      <c r="Q566" s="517"/>
      <c r="R566" s="518"/>
      <c r="S566" s="20" t="s">
        <v>419</v>
      </c>
      <c r="T566" s="515"/>
      <c r="U566" s="515"/>
      <c r="V566" s="515"/>
      <c r="W566" s="513"/>
      <c r="X566" s="251"/>
      <c r="Y566" s="12" t="s">
        <v>118</v>
      </c>
      <c r="Z566" s="67">
        <v>41988</v>
      </c>
      <c r="AA566" s="242">
        <v>11461</v>
      </c>
      <c r="AB566" s="89" t="s">
        <v>444</v>
      </c>
      <c r="AC566" s="67">
        <v>42004</v>
      </c>
      <c r="AD566" s="67">
        <v>42369</v>
      </c>
      <c r="AE566" s="70">
        <v>3.6543000000000001</v>
      </c>
      <c r="AF566" s="71"/>
      <c r="AG566" s="247">
        <v>69966.600000000006</v>
      </c>
      <c r="AH566" s="244"/>
      <c r="AI566" s="248"/>
      <c r="AJ566" s="248"/>
      <c r="AK566" s="248"/>
      <c r="AL566" s="536"/>
      <c r="AM566" s="521"/>
      <c r="AN566" s="524"/>
      <c r="AO566" s="506"/>
      <c r="AP566" s="458"/>
      <c r="AQ566" s="133"/>
      <c r="AR566" s="133"/>
      <c r="AS566" s="458"/>
      <c r="AT566" s="481"/>
      <c r="AU566" s="481"/>
      <c r="AV566" s="481"/>
      <c r="AW566" s="486"/>
      <c r="AX566" s="549"/>
      <c r="AY566" s="454"/>
      <c r="AZ566" s="549"/>
      <c r="BA566" s="454"/>
      <c r="BB566" s="481"/>
      <c r="BC566" s="481"/>
      <c r="BD566" s="481"/>
      <c r="BE566" s="481"/>
      <c r="BF566" s="481"/>
      <c r="BG566" s="481"/>
      <c r="BH566" s="481"/>
      <c r="BI566" s="481"/>
      <c r="BJ566" s="481"/>
      <c r="BK566" s="481"/>
      <c r="BL566" s="481"/>
      <c r="BM566" s="481"/>
    </row>
    <row r="567" spans="1:65" ht="76.5" x14ac:dyDescent="0.2">
      <c r="A567" s="472"/>
      <c r="B567" s="475"/>
      <c r="C567" s="478"/>
      <c r="D567" s="414"/>
      <c r="E567" s="481"/>
      <c r="F567" s="414"/>
      <c r="G567" s="426"/>
      <c r="H567" s="133"/>
      <c r="I567" s="133"/>
      <c r="J567" s="133"/>
      <c r="K567" s="486"/>
      <c r="L567" s="409"/>
      <c r="M567" s="495"/>
      <c r="N567" s="517"/>
      <c r="O567" s="511"/>
      <c r="P567" s="509"/>
      <c r="Q567" s="517"/>
      <c r="R567" s="518"/>
      <c r="S567" s="427" t="s">
        <v>146</v>
      </c>
      <c r="T567" s="515"/>
      <c r="U567" s="515"/>
      <c r="V567" s="515"/>
      <c r="W567" s="513"/>
      <c r="X567" s="251"/>
      <c r="Y567" s="12" t="s">
        <v>121</v>
      </c>
      <c r="Z567" s="67">
        <v>42352</v>
      </c>
      <c r="AA567" s="242">
        <v>11715</v>
      </c>
      <c r="AB567" s="89" t="s">
        <v>633</v>
      </c>
      <c r="AC567" s="67">
        <v>42369</v>
      </c>
      <c r="AD567" s="67">
        <v>42735</v>
      </c>
      <c r="AE567" s="70"/>
      <c r="AF567" s="71"/>
      <c r="AG567" s="247">
        <v>69966.600000000006</v>
      </c>
      <c r="AH567" s="244"/>
      <c r="AI567" s="248"/>
      <c r="AJ567" s="248"/>
      <c r="AK567" s="248"/>
      <c r="AL567" s="536"/>
      <c r="AM567" s="521"/>
      <c r="AN567" s="524"/>
      <c r="AO567" s="506"/>
      <c r="AP567" s="458"/>
      <c r="AQ567" s="133"/>
      <c r="AR567" s="133"/>
      <c r="AS567" s="458"/>
      <c r="AT567" s="481"/>
      <c r="AU567" s="481"/>
      <c r="AV567" s="481"/>
      <c r="AW567" s="486"/>
      <c r="AX567" s="549"/>
      <c r="AY567" s="454"/>
      <c r="AZ567" s="549"/>
      <c r="BA567" s="454"/>
      <c r="BB567" s="481"/>
      <c r="BC567" s="481"/>
      <c r="BD567" s="481"/>
      <c r="BE567" s="481"/>
      <c r="BF567" s="481"/>
      <c r="BG567" s="481"/>
      <c r="BH567" s="481"/>
      <c r="BI567" s="481"/>
      <c r="BJ567" s="481"/>
      <c r="BK567" s="481"/>
      <c r="BL567" s="481"/>
      <c r="BM567" s="481"/>
    </row>
    <row r="568" spans="1:65" ht="76.5" x14ac:dyDescent="0.2">
      <c r="A568" s="473"/>
      <c r="B568" s="476"/>
      <c r="C568" s="479"/>
      <c r="D568" s="415"/>
      <c r="E568" s="482"/>
      <c r="F568" s="415"/>
      <c r="G568" s="459"/>
      <c r="H568" s="134"/>
      <c r="I568" s="134"/>
      <c r="J568" s="134"/>
      <c r="K568" s="496"/>
      <c r="L568" s="406"/>
      <c r="M568" s="406"/>
      <c r="N568" s="428"/>
      <c r="O568" s="428"/>
      <c r="P568" s="428"/>
      <c r="Q568" s="428"/>
      <c r="R568" s="428"/>
      <c r="S568" s="428"/>
      <c r="T568" s="428"/>
      <c r="U568" s="428"/>
      <c r="V568" s="428"/>
      <c r="W568" s="428"/>
      <c r="X568" s="111"/>
      <c r="Y568" s="12" t="s">
        <v>119</v>
      </c>
      <c r="Z568" s="67">
        <v>42723</v>
      </c>
      <c r="AA568" s="242">
        <v>11965</v>
      </c>
      <c r="AB568" s="89" t="s">
        <v>1074</v>
      </c>
      <c r="AC568" s="67">
        <v>42735</v>
      </c>
      <c r="AD568" s="67">
        <v>43100</v>
      </c>
      <c r="AE568" s="70"/>
      <c r="AF568" s="71"/>
      <c r="AG568" s="247">
        <v>69966.600000000006</v>
      </c>
      <c r="AH568" s="244"/>
      <c r="AI568" s="249"/>
      <c r="AJ568" s="249"/>
      <c r="AK568" s="249"/>
      <c r="AL568" s="537"/>
      <c r="AM568" s="522"/>
      <c r="AN568" s="525"/>
      <c r="AO568" s="507"/>
      <c r="AP568" s="440"/>
      <c r="AQ568" s="134"/>
      <c r="AR568" s="134"/>
      <c r="AS568" s="440"/>
      <c r="AT568" s="482"/>
      <c r="AU568" s="482"/>
      <c r="AV568" s="482"/>
      <c r="AW568" s="496"/>
      <c r="AX568" s="550"/>
      <c r="AY568" s="455"/>
      <c r="AZ568" s="550"/>
      <c r="BA568" s="455"/>
      <c r="BB568" s="482"/>
      <c r="BC568" s="482"/>
      <c r="BD568" s="482"/>
      <c r="BE568" s="482"/>
      <c r="BF568" s="482"/>
      <c r="BG568" s="482"/>
      <c r="BH568" s="482"/>
      <c r="BI568" s="482"/>
      <c r="BJ568" s="482"/>
      <c r="BK568" s="482"/>
      <c r="BL568" s="482"/>
      <c r="BM568" s="482"/>
    </row>
    <row r="569" spans="1:65" x14ac:dyDescent="0.2">
      <c r="A569" s="471">
        <v>338</v>
      </c>
      <c r="B569" s="474">
        <v>123180220</v>
      </c>
      <c r="C569" s="477"/>
      <c r="D569" s="413" t="s">
        <v>142</v>
      </c>
      <c r="E569" s="480"/>
      <c r="F569" s="413" t="s">
        <v>1374</v>
      </c>
      <c r="G569" s="425" t="s">
        <v>367</v>
      </c>
      <c r="H569" s="132"/>
      <c r="I569" s="253"/>
      <c r="J569" s="253"/>
      <c r="K569" s="485" t="s">
        <v>304</v>
      </c>
      <c r="L569" s="405" t="s">
        <v>328</v>
      </c>
      <c r="M569" s="405" t="s">
        <v>205</v>
      </c>
      <c r="N569" s="431">
        <v>39818</v>
      </c>
      <c r="O569" s="510">
        <v>59500</v>
      </c>
      <c r="P569" s="508" t="s">
        <v>802</v>
      </c>
      <c r="Q569" s="431">
        <v>39818</v>
      </c>
      <c r="R569" s="456">
        <v>40178</v>
      </c>
      <c r="S569" s="427" t="s">
        <v>146</v>
      </c>
      <c r="T569" s="514"/>
      <c r="U569" s="514"/>
      <c r="V569" s="514"/>
      <c r="W569" s="512" t="s">
        <v>325</v>
      </c>
      <c r="X569" s="250"/>
      <c r="Y569" s="12" t="s">
        <v>138</v>
      </c>
      <c r="Z569" s="67">
        <v>40178</v>
      </c>
      <c r="AA569" s="242">
        <v>10207</v>
      </c>
      <c r="AB569" s="514" t="s">
        <v>380</v>
      </c>
      <c r="AC569" s="67">
        <v>40178</v>
      </c>
      <c r="AD569" s="67">
        <v>40543</v>
      </c>
      <c r="AE569" s="70"/>
      <c r="AF569" s="71"/>
      <c r="AG569" s="247">
        <v>60960</v>
      </c>
      <c r="AH569" s="244"/>
      <c r="AI569" s="245"/>
      <c r="AJ569" s="245"/>
      <c r="AK569" s="245"/>
      <c r="AL569" s="562">
        <f>O569-AH569+AG569-AH570+AG570-AH571+AG571-AH572+AG572-AH573+AG573-AH574+AG574-AH575+AG575-AH576+AG576-AH577+AG577</f>
        <v>617989.79</v>
      </c>
      <c r="AM569" s="558">
        <f>386676.83+77104.32+6425.36+6425.36+6425.36+6425.36+6425.36+6425.36+6425.36+6425.36+6425.36+6425.36+6425.36+6425.36</f>
        <v>540885.46999999986</v>
      </c>
      <c r="AN569" s="523">
        <f>6425.36+6425.36+6425.36+6425.36+6425.36+6425.36+6425.36+6425.36+6425.36+6425.36+6425.36</f>
        <v>70678.959999999992</v>
      </c>
      <c r="AO569" s="535">
        <f>AM569+AN569</f>
        <v>611564.42999999982</v>
      </c>
      <c r="AP569" s="480"/>
      <c r="AQ569" s="6"/>
      <c r="AR569" s="6"/>
      <c r="AS569" s="480"/>
      <c r="AT569" s="480"/>
      <c r="AU569" s="480"/>
      <c r="AV569" s="480" t="s">
        <v>122</v>
      </c>
      <c r="AW569" s="485" t="s">
        <v>120</v>
      </c>
      <c r="AX569" s="485" t="s">
        <v>851</v>
      </c>
      <c r="AY569" s="453">
        <v>39860</v>
      </c>
      <c r="AZ569" s="485" t="s">
        <v>851</v>
      </c>
      <c r="BA569" s="453">
        <v>39860</v>
      </c>
      <c r="BB569" s="480"/>
      <c r="BC569" s="480"/>
      <c r="BD569" s="480"/>
      <c r="BE569" s="480"/>
      <c r="BF569" s="480"/>
      <c r="BG569" s="480"/>
      <c r="BH569" s="480"/>
      <c r="BI569" s="480"/>
      <c r="BJ569" s="480"/>
      <c r="BK569" s="480"/>
      <c r="BL569" s="480"/>
      <c r="BM569" s="480"/>
    </row>
    <row r="570" spans="1:65" x14ac:dyDescent="0.2">
      <c r="A570" s="472"/>
      <c r="B570" s="475"/>
      <c r="C570" s="478"/>
      <c r="D570" s="414"/>
      <c r="E570" s="481"/>
      <c r="F570" s="414"/>
      <c r="G570" s="426"/>
      <c r="H570" s="133"/>
      <c r="I570" s="140"/>
      <c r="J570" s="140"/>
      <c r="K570" s="486"/>
      <c r="L570" s="409"/>
      <c r="M570" s="409"/>
      <c r="N570" s="437"/>
      <c r="O570" s="511"/>
      <c r="P570" s="509"/>
      <c r="Q570" s="437"/>
      <c r="R570" s="518"/>
      <c r="S570" s="429"/>
      <c r="T570" s="515"/>
      <c r="U570" s="515"/>
      <c r="V570" s="515"/>
      <c r="W570" s="513"/>
      <c r="X570" s="251"/>
      <c r="Y570" s="12" t="s">
        <v>144</v>
      </c>
      <c r="Z570" s="224">
        <v>40543</v>
      </c>
      <c r="AA570" s="242">
        <v>10445</v>
      </c>
      <c r="AB570" s="515"/>
      <c r="AC570" s="224">
        <v>40543</v>
      </c>
      <c r="AD570" s="224">
        <v>40908</v>
      </c>
      <c r="AE570" s="70"/>
      <c r="AF570" s="71"/>
      <c r="AG570" s="247">
        <v>60960</v>
      </c>
      <c r="AH570" s="244"/>
      <c r="AI570" s="248"/>
      <c r="AJ570" s="248"/>
      <c r="AK570" s="248"/>
      <c r="AL570" s="563"/>
      <c r="AM570" s="559"/>
      <c r="AN570" s="524"/>
      <c r="AO570" s="536"/>
      <c r="AP570" s="481"/>
      <c r="AQ570" s="165"/>
      <c r="AR570" s="165"/>
      <c r="AS570" s="481"/>
      <c r="AT570" s="481"/>
      <c r="AU570" s="481"/>
      <c r="AV570" s="481"/>
      <c r="AW570" s="486"/>
      <c r="AX570" s="486"/>
      <c r="AY570" s="454"/>
      <c r="AZ570" s="486"/>
      <c r="BA570" s="454"/>
      <c r="BB570" s="481"/>
      <c r="BC570" s="481"/>
      <c r="BD570" s="481"/>
      <c r="BE570" s="481"/>
      <c r="BF570" s="481"/>
      <c r="BG570" s="481"/>
      <c r="BH570" s="481"/>
      <c r="BI570" s="481"/>
      <c r="BJ570" s="481"/>
      <c r="BK570" s="481"/>
      <c r="BL570" s="481"/>
      <c r="BM570" s="481"/>
    </row>
    <row r="571" spans="1:65" x14ac:dyDescent="0.2">
      <c r="A571" s="472"/>
      <c r="B571" s="475"/>
      <c r="C571" s="478"/>
      <c r="D571" s="414"/>
      <c r="E571" s="481"/>
      <c r="F571" s="414"/>
      <c r="G571" s="426"/>
      <c r="H571" s="133"/>
      <c r="I571" s="140"/>
      <c r="J571" s="140"/>
      <c r="K571" s="486"/>
      <c r="L571" s="409"/>
      <c r="M571" s="409"/>
      <c r="N571" s="437"/>
      <c r="O571" s="511"/>
      <c r="P571" s="509"/>
      <c r="Q571" s="437"/>
      <c r="R571" s="518"/>
      <c r="S571" s="429"/>
      <c r="T571" s="515"/>
      <c r="U571" s="515"/>
      <c r="V571" s="515"/>
      <c r="W571" s="513"/>
      <c r="X571" s="251"/>
      <c r="Y571" s="12" t="s">
        <v>193</v>
      </c>
      <c r="Z571" s="224">
        <v>40908</v>
      </c>
      <c r="AA571" s="242">
        <v>10738</v>
      </c>
      <c r="AB571" s="515"/>
      <c r="AC571" s="224">
        <v>40908</v>
      </c>
      <c r="AD571" s="224">
        <v>41274</v>
      </c>
      <c r="AE571" s="70"/>
      <c r="AF571" s="71"/>
      <c r="AG571" s="247">
        <v>60960</v>
      </c>
      <c r="AH571" s="244"/>
      <c r="AI571" s="248"/>
      <c r="AJ571" s="248"/>
      <c r="AK571" s="248"/>
      <c r="AL571" s="563"/>
      <c r="AM571" s="559"/>
      <c r="AN571" s="524"/>
      <c r="AO571" s="536"/>
      <c r="AP571" s="481"/>
      <c r="AQ571" s="165"/>
      <c r="AR571" s="165"/>
      <c r="AS571" s="481"/>
      <c r="AT571" s="481"/>
      <c r="AU571" s="481"/>
      <c r="AV571" s="481"/>
      <c r="AW571" s="486"/>
      <c r="AX571" s="486"/>
      <c r="AY571" s="454"/>
      <c r="AZ571" s="486"/>
      <c r="BA571" s="454"/>
      <c r="BB571" s="481"/>
      <c r="BC571" s="481"/>
      <c r="BD571" s="481"/>
      <c r="BE571" s="481"/>
      <c r="BF571" s="481"/>
      <c r="BG571" s="481"/>
      <c r="BH571" s="481"/>
      <c r="BI571" s="481"/>
      <c r="BJ571" s="481"/>
      <c r="BK571" s="481"/>
      <c r="BL571" s="481"/>
      <c r="BM571" s="481"/>
    </row>
    <row r="572" spans="1:65" x14ac:dyDescent="0.2">
      <c r="A572" s="472"/>
      <c r="B572" s="475"/>
      <c r="C572" s="478"/>
      <c r="D572" s="414"/>
      <c r="E572" s="481"/>
      <c r="F572" s="414"/>
      <c r="G572" s="426"/>
      <c r="H572" s="133"/>
      <c r="I572" s="140"/>
      <c r="J572" s="140"/>
      <c r="K572" s="486"/>
      <c r="L572" s="409"/>
      <c r="M572" s="409"/>
      <c r="N572" s="437"/>
      <c r="O572" s="511"/>
      <c r="P572" s="509"/>
      <c r="Q572" s="437"/>
      <c r="R572" s="518"/>
      <c r="S572" s="429"/>
      <c r="T572" s="515"/>
      <c r="U572" s="515"/>
      <c r="V572" s="515"/>
      <c r="W572" s="513"/>
      <c r="X572" s="251"/>
      <c r="Y572" s="12" t="s">
        <v>194</v>
      </c>
      <c r="Z572" s="224">
        <v>41274</v>
      </c>
      <c r="AA572" s="242">
        <v>10970</v>
      </c>
      <c r="AB572" s="519"/>
      <c r="AC572" s="224">
        <v>41274</v>
      </c>
      <c r="AD572" s="224">
        <v>41639</v>
      </c>
      <c r="AE572" s="70"/>
      <c r="AF572" s="71"/>
      <c r="AG572" s="247">
        <v>60960</v>
      </c>
      <c r="AH572" s="244"/>
      <c r="AI572" s="248"/>
      <c r="AJ572" s="248"/>
      <c r="AK572" s="248"/>
      <c r="AL572" s="563"/>
      <c r="AM572" s="559"/>
      <c r="AN572" s="524"/>
      <c r="AO572" s="536"/>
      <c r="AP572" s="481"/>
      <c r="AQ572" s="165"/>
      <c r="AR572" s="165"/>
      <c r="AS572" s="481"/>
      <c r="AT572" s="481"/>
      <c r="AU572" s="481"/>
      <c r="AV572" s="481"/>
      <c r="AW572" s="486"/>
      <c r="AX572" s="486"/>
      <c r="AY572" s="454"/>
      <c r="AZ572" s="486"/>
      <c r="BA572" s="454"/>
      <c r="BB572" s="481"/>
      <c r="BC572" s="481"/>
      <c r="BD572" s="481"/>
      <c r="BE572" s="481"/>
      <c r="BF572" s="481"/>
      <c r="BG572" s="481"/>
      <c r="BH572" s="481"/>
      <c r="BI572" s="481"/>
      <c r="BJ572" s="481"/>
      <c r="BK572" s="481"/>
      <c r="BL572" s="481"/>
      <c r="BM572" s="481"/>
    </row>
    <row r="573" spans="1:65" x14ac:dyDescent="0.2">
      <c r="A573" s="472"/>
      <c r="B573" s="475"/>
      <c r="C573" s="478"/>
      <c r="D573" s="414"/>
      <c r="E573" s="481"/>
      <c r="F573" s="414"/>
      <c r="G573" s="426"/>
      <c r="H573" s="133"/>
      <c r="I573" s="140"/>
      <c r="J573" s="140"/>
      <c r="K573" s="486"/>
      <c r="L573" s="409"/>
      <c r="M573" s="409"/>
      <c r="N573" s="437"/>
      <c r="O573" s="511"/>
      <c r="P573" s="509"/>
      <c r="Q573" s="437"/>
      <c r="R573" s="518"/>
      <c r="S573" s="429"/>
      <c r="T573" s="515"/>
      <c r="U573" s="515"/>
      <c r="V573" s="515"/>
      <c r="W573" s="513"/>
      <c r="X573" s="251"/>
      <c r="Y573" s="12" t="s">
        <v>195</v>
      </c>
      <c r="Z573" s="67">
        <v>41394</v>
      </c>
      <c r="AA573" s="242">
        <v>11045</v>
      </c>
      <c r="AB573" s="71" t="s">
        <v>381</v>
      </c>
      <c r="AC573" s="67">
        <v>41395</v>
      </c>
      <c r="AD573" s="12" t="s">
        <v>114</v>
      </c>
      <c r="AE573" s="70">
        <v>22.0244</v>
      </c>
      <c r="AF573" s="71"/>
      <c r="AG573" s="247">
        <v>8950.75</v>
      </c>
      <c r="AH573" s="244"/>
      <c r="AI573" s="248"/>
      <c r="AJ573" s="248"/>
      <c r="AK573" s="248"/>
      <c r="AL573" s="563"/>
      <c r="AM573" s="559"/>
      <c r="AN573" s="524"/>
      <c r="AO573" s="536"/>
      <c r="AP573" s="481"/>
      <c r="AQ573" s="165"/>
      <c r="AR573" s="165"/>
      <c r="AS573" s="481"/>
      <c r="AT573" s="481"/>
      <c r="AU573" s="481"/>
      <c r="AV573" s="481"/>
      <c r="AW573" s="486"/>
      <c r="AX573" s="486"/>
      <c r="AY573" s="454"/>
      <c r="AZ573" s="486"/>
      <c r="BA573" s="454"/>
      <c r="BB573" s="481"/>
      <c r="BC573" s="481"/>
      <c r="BD573" s="481"/>
      <c r="BE573" s="481"/>
      <c r="BF573" s="481"/>
      <c r="BG573" s="481"/>
      <c r="BH573" s="481"/>
      <c r="BI573" s="481"/>
      <c r="BJ573" s="481"/>
      <c r="BK573" s="481"/>
      <c r="BL573" s="481"/>
      <c r="BM573" s="481"/>
    </row>
    <row r="574" spans="1:65" ht="25.5" x14ac:dyDescent="0.2">
      <c r="A574" s="472"/>
      <c r="B574" s="475"/>
      <c r="C574" s="478"/>
      <c r="D574" s="414"/>
      <c r="E574" s="481"/>
      <c r="F574" s="414"/>
      <c r="G574" s="426"/>
      <c r="H574" s="133"/>
      <c r="I574" s="140"/>
      <c r="J574" s="140"/>
      <c r="K574" s="486"/>
      <c r="L574" s="409"/>
      <c r="M574" s="409"/>
      <c r="N574" s="437"/>
      <c r="O574" s="511"/>
      <c r="P574" s="509"/>
      <c r="Q574" s="437"/>
      <c r="R574" s="518"/>
      <c r="S574" s="429"/>
      <c r="T574" s="515"/>
      <c r="U574" s="515"/>
      <c r="V574" s="515"/>
      <c r="W574" s="513"/>
      <c r="X574" s="251"/>
      <c r="Y574" s="12" t="s">
        <v>118</v>
      </c>
      <c r="Z574" s="67">
        <v>41639</v>
      </c>
      <c r="AA574" s="242">
        <v>11214</v>
      </c>
      <c r="AB574" s="71" t="s">
        <v>378</v>
      </c>
      <c r="AC574" s="67">
        <v>41639</v>
      </c>
      <c r="AD574" s="67">
        <v>42004</v>
      </c>
      <c r="AE574" s="70"/>
      <c r="AF574" s="71"/>
      <c r="AG574" s="247">
        <v>74386.080000000002</v>
      </c>
      <c r="AH574" s="244"/>
      <c r="AI574" s="248"/>
      <c r="AJ574" s="248"/>
      <c r="AK574" s="248"/>
      <c r="AL574" s="563"/>
      <c r="AM574" s="559"/>
      <c r="AN574" s="524"/>
      <c r="AO574" s="536"/>
      <c r="AP574" s="481"/>
      <c r="AQ574" s="165"/>
      <c r="AR574" s="165"/>
      <c r="AS574" s="481"/>
      <c r="AT574" s="481"/>
      <c r="AU574" s="481"/>
      <c r="AV574" s="481"/>
      <c r="AW574" s="486"/>
      <c r="AX574" s="486"/>
      <c r="AY574" s="454"/>
      <c r="AZ574" s="486"/>
      <c r="BA574" s="454"/>
      <c r="BB574" s="481"/>
      <c r="BC574" s="481"/>
      <c r="BD574" s="481"/>
      <c r="BE574" s="481"/>
      <c r="BF574" s="481"/>
      <c r="BG574" s="481"/>
      <c r="BH574" s="481"/>
      <c r="BI574" s="481"/>
      <c r="BJ574" s="481"/>
      <c r="BK574" s="481"/>
      <c r="BL574" s="481"/>
      <c r="BM574" s="481"/>
    </row>
    <row r="575" spans="1:65" ht="76.5" x14ac:dyDescent="0.2">
      <c r="A575" s="472"/>
      <c r="B575" s="475"/>
      <c r="C575" s="478"/>
      <c r="D575" s="414"/>
      <c r="E575" s="481"/>
      <c r="F575" s="414"/>
      <c r="G575" s="426"/>
      <c r="H575" s="133"/>
      <c r="I575" s="140"/>
      <c r="J575" s="140"/>
      <c r="K575" s="486"/>
      <c r="L575" s="409"/>
      <c r="M575" s="409"/>
      <c r="N575" s="437"/>
      <c r="O575" s="511"/>
      <c r="P575" s="509"/>
      <c r="Q575" s="437"/>
      <c r="R575" s="518"/>
      <c r="S575" s="429"/>
      <c r="T575" s="515"/>
      <c r="U575" s="515"/>
      <c r="V575" s="515"/>
      <c r="W575" s="513"/>
      <c r="X575" s="251"/>
      <c r="Y575" s="12" t="s">
        <v>121</v>
      </c>
      <c r="Z575" s="67">
        <v>41988</v>
      </c>
      <c r="AA575" s="242">
        <v>11462</v>
      </c>
      <c r="AB575" s="71" t="s">
        <v>445</v>
      </c>
      <c r="AC575" s="67">
        <v>42004</v>
      </c>
      <c r="AD575" s="67">
        <v>42369</v>
      </c>
      <c r="AE575" s="70">
        <v>3.6543000000000001</v>
      </c>
      <c r="AF575" s="71"/>
      <c r="AG575" s="247">
        <v>77104.320000000007</v>
      </c>
      <c r="AH575" s="244"/>
      <c r="AI575" s="248"/>
      <c r="AJ575" s="248"/>
      <c r="AK575" s="248"/>
      <c r="AL575" s="563"/>
      <c r="AM575" s="559"/>
      <c r="AN575" s="524"/>
      <c r="AO575" s="536"/>
      <c r="AP575" s="481"/>
      <c r="AQ575" s="165"/>
      <c r="AR575" s="165"/>
      <c r="AS575" s="481"/>
      <c r="AT575" s="481"/>
      <c r="AU575" s="481"/>
      <c r="AV575" s="481"/>
      <c r="AW575" s="486"/>
      <c r="AX575" s="486"/>
      <c r="AY575" s="454"/>
      <c r="AZ575" s="486"/>
      <c r="BA575" s="454"/>
      <c r="BB575" s="481"/>
      <c r="BC575" s="481"/>
      <c r="BD575" s="481"/>
      <c r="BE575" s="481"/>
      <c r="BF575" s="481"/>
      <c r="BG575" s="481"/>
      <c r="BH575" s="481"/>
      <c r="BI575" s="481"/>
      <c r="BJ575" s="481"/>
      <c r="BK575" s="481"/>
      <c r="BL575" s="481"/>
      <c r="BM575" s="481"/>
    </row>
    <row r="576" spans="1:65" ht="76.5" x14ac:dyDescent="0.2">
      <c r="A576" s="472"/>
      <c r="B576" s="475"/>
      <c r="C576" s="478"/>
      <c r="D576" s="414"/>
      <c r="E576" s="481"/>
      <c r="F576" s="414"/>
      <c r="G576" s="426"/>
      <c r="H576" s="133"/>
      <c r="I576" s="140"/>
      <c r="J576" s="140"/>
      <c r="K576" s="486"/>
      <c r="L576" s="409"/>
      <c r="M576" s="409"/>
      <c r="N576" s="437"/>
      <c r="O576" s="511"/>
      <c r="P576" s="509"/>
      <c r="Q576" s="437"/>
      <c r="R576" s="518"/>
      <c r="S576" s="429"/>
      <c r="T576" s="515"/>
      <c r="U576" s="515"/>
      <c r="V576" s="515"/>
      <c r="W576" s="513"/>
      <c r="X576" s="251"/>
      <c r="Y576" s="12" t="s">
        <v>119</v>
      </c>
      <c r="Z576" s="67">
        <v>42352</v>
      </c>
      <c r="AA576" s="242">
        <v>11715</v>
      </c>
      <c r="AB576" s="71" t="s">
        <v>620</v>
      </c>
      <c r="AC576" s="67">
        <v>42369</v>
      </c>
      <c r="AD576" s="67">
        <v>42735</v>
      </c>
      <c r="AE576" s="70"/>
      <c r="AF576" s="71"/>
      <c r="AG576" s="247">
        <v>77104.320000000007</v>
      </c>
      <c r="AH576" s="244"/>
      <c r="AI576" s="248"/>
      <c r="AJ576" s="248"/>
      <c r="AK576" s="248"/>
      <c r="AL576" s="563"/>
      <c r="AM576" s="559"/>
      <c r="AN576" s="524"/>
      <c r="AO576" s="536"/>
      <c r="AP576" s="481"/>
      <c r="AQ576" s="165"/>
      <c r="AR576" s="165"/>
      <c r="AS576" s="481"/>
      <c r="AT576" s="481"/>
      <c r="AU576" s="481"/>
      <c r="AV576" s="481"/>
      <c r="AW576" s="486"/>
      <c r="AX576" s="486"/>
      <c r="AY576" s="454"/>
      <c r="AZ576" s="486"/>
      <c r="BA576" s="454"/>
      <c r="BB576" s="481"/>
      <c r="BC576" s="481"/>
      <c r="BD576" s="481"/>
      <c r="BE576" s="481"/>
      <c r="BF576" s="481"/>
      <c r="BG576" s="481"/>
      <c r="BH576" s="481"/>
      <c r="BI576" s="481"/>
      <c r="BJ576" s="481"/>
      <c r="BK576" s="481"/>
      <c r="BL576" s="481"/>
      <c r="BM576" s="481"/>
    </row>
    <row r="577" spans="1:65" ht="76.5" x14ac:dyDescent="0.2">
      <c r="A577" s="473"/>
      <c r="B577" s="476"/>
      <c r="C577" s="479"/>
      <c r="D577" s="415"/>
      <c r="E577" s="482"/>
      <c r="F577" s="415"/>
      <c r="G577" s="406"/>
      <c r="H577" s="30"/>
      <c r="I577" s="191"/>
      <c r="J577" s="191"/>
      <c r="K577" s="412"/>
      <c r="L577" s="406"/>
      <c r="M577" s="406"/>
      <c r="N577" s="428"/>
      <c r="O577" s="428"/>
      <c r="P577" s="428"/>
      <c r="Q577" s="428"/>
      <c r="R577" s="428"/>
      <c r="S577" s="428"/>
      <c r="T577" s="428"/>
      <c r="U577" s="428"/>
      <c r="V577" s="428"/>
      <c r="W577" s="428"/>
      <c r="X577" s="111"/>
      <c r="Y577" s="12" t="s">
        <v>374</v>
      </c>
      <c r="Z577" s="67">
        <v>42723</v>
      </c>
      <c r="AA577" s="242">
        <v>11965</v>
      </c>
      <c r="AB577" s="21" t="s">
        <v>1066</v>
      </c>
      <c r="AC577" s="67">
        <v>42735</v>
      </c>
      <c r="AD577" s="67">
        <v>43100</v>
      </c>
      <c r="AE577" s="70"/>
      <c r="AF577" s="71"/>
      <c r="AG577" s="247">
        <v>77104.320000000007</v>
      </c>
      <c r="AH577" s="244"/>
      <c r="AI577" s="249"/>
      <c r="AJ577" s="249"/>
      <c r="AK577" s="249"/>
      <c r="AL577" s="564"/>
      <c r="AM577" s="560"/>
      <c r="AN577" s="525"/>
      <c r="AO577" s="537"/>
      <c r="AP577" s="482"/>
      <c r="AQ577" s="184"/>
      <c r="AR577" s="184"/>
      <c r="AS577" s="482"/>
      <c r="AT577" s="482"/>
      <c r="AU577" s="482"/>
      <c r="AV577" s="482"/>
      <c r="AW577" s="496"/>
      <c r="AX577" s="496"/>
      <c r="AY577" s="455"/>
      <c r="AZ577" s="496"/>
      <c r="BA577" s="455"/>
      <c r="BB577" s="482"/>
      <c r="BC577" s="482"/>
      <c r="BD577" s="482"/>
      <c r="BE577" s="482"/>
      <c r="BF577" s="482"/>
      <c r="BG577" s="482"/>
      <c r="BH577" s="482"/>
      <c r="BI577" s="482"/>
      <c r="BJ577" s="482"/>
      <c r="BK577" s="482"/>
      <c r="BL577" s="482"/>
      <c r="BM577" s="482"/>
    </row>
    <row r="578" spans="1:65" x14ac:dyDescent="0.2">
      <c r="A578" s="471">
        <v>339</v>
      </c>
      <c r="B578" s="474">
        <v>123180219</v>
      </c>
      <c r="C578" s="477"/>
      <c r="D578" s="413" t="s">
        <v>142</v>
      </c>
      <c r="E578" s="480"/>
      <c r="F578" s="413" t="s">
        <v>1375</v>
      </c>
      <c r="G578" s="425" t="s">
        <v>367</v>
      </c>
      <c r="H578" s="132"/>
      <c r="I578" s="253"/>
      <c r="J578" s="253"/>
      <c r="K578" s="485" t="s">
        <v>305</v>
      </c>
      <c r="L578" s="413" t="s">
        <v>326</v>
      </c>
      <c r="M578" s="494" t="s">
        <v>327</v>
      </c>
      <c r="N578" s="646">
        <v>40210</v>
      </c>
      <c r="O578" s="510">
        <v>60500</v>
      </c>
      <c r="P578" s="508" t="s">
        <v>803</v>
      </c>
      <c r="Q578" s="646">
        <v>40210</v>
      </c>
      <c r="R578" s="456">
        <v>40543</v>
      </c>
      <c r="S578" s="427" t="s">
        <v>146</v>
      </c>
      <c r="T578" s="514"/>
      <c r="U578" s="514"/>
      <c r="V578" s="514"/>
      <c r="W578" s="512" t="s">
        <v>137</v>
      </c>
      <c r="X578" s="250"/>
      <c r="Y578" s="12" t="s">
        <v>138</v>
      </c>
      <c r="Z578" s="67">
        <v>40535</v>
      </c>
      <c r="AA578" s="242">
        <v>10449</v>
      </c>
      <c r="AB578" s="568" t="s">
        <v>378</v>
      </c>
      <c r="AC578" s="67">
        <v>40543</v>
      </c>
      <c r="AD578" s="67">
        <v>40908</v>
      </c>
      <c r="AE578" s="70"/>
      <c r="AF578" s="71"/>
      <c r="AG578" s="247">
        <v>66000</v>
      </c>
      <c r="AH578" s="244"/>
      <c r="AI578" s="245"/>
      <c r="AJ578" s="245"/>
      <c r="AK578" s="245"/>
      <c r="AL578" s="535">
        <f>O578-AH578+AG578-AH579+AG579-AH580+AG580-AH581+AG581-AH582+AG582-AH583+AG583-AH584+AG584</f>
        <v>616951.15999999992</v>
      </c>
      <c r="AM578" s="520">
        <f>360332+85539.72+7128.31+7128.31+7128.31+7128.31+7128.31+7128.31+7128.31+7128.31+7128.31+7128.31+7128.31+7128.31</f>
        <v>531411.43999999994</v>
      </c>
      <c r="AN578" s="523">
        <f>7128.31+7128.31+7128.31+7128.31+7128.31+7128.31+7128.31+7128.31+7128.31+7128.31+7128.31</f>
        <v>78411.409999999989</v>
      </c>
      <c r="AO578" s="505">
        <f>AM578+AN578</f>
        <v>609822.85</v>
      </c>
      <c r="AP578" s="439"/>
      <c r="AQ578" s="132"/>
      <c r="AR578" s="132"/>
      <c r="AS578" s="439"/>
      <c r="AT578" s="480"/>
      <c r="AU578" s="480"/>
      <c r="AV578" s="480" t="s">
        <v>122</v>
      </c>
      <c r="AW578" s="485" t="s">
        <v>376</v>
      </c>
      <c r="AX578" s="548" t="s">
        <v>803</v>
      </c>
      <c r="AY578" s="453">
        <v>40253</v>
      </c>
      <c r="AZ578" s="548" t="s">
        <v>803</v>
      </c>
      <c r="BA578" s="453">
        <v>40253</v>
      </c>
      <c r="BB578" s="480"/>
      <c r="BC578" s="480"/>
      <c r="BD578" s="480"/>
      <c r="BE578" s="480"/>
      <c r="BF578" s="480"/>
      <c r="BG578" s="480"/>
      <c r="BH578" s="480"/>
      <c r="BI578" s="480"/>
      <c r="BJ578" s="480"/>
      <c r="BK578" s="480"/>
      <c r="BL578" s="480"/>
      <c r="BM578" s="480"/>
    </row>
    <row r="579" spans="1:65" x14ac:dyDescent="0.2">
      <c r="A579" s="472"/>
      <c r="B579" s="475"/>
      <c r="C579" s="478"/>
      <c r="D579" s="414"/>
      <c r="E579" s="481"/>
      <c r="F579" s="414"/>
      <c r="G579" s="426"/>
      <c r="H579" s="133"/>
      <c r="I579" s="140"/>
      <c r="J579" s="140"/>
      <c r="K579" s="486"/>
      <c r="L579" s="414"/>
      <c r="M579" s="495"/>
      <c r="N579" s="647"/>
      <c r="O579" s="511"/>
      <c r="P579" s="509"/>
      <c r="Q579" s="647"/>
      <c r="R579" s="518"/>
      <c r="S579" s="429"/>
      <c r="T579" s="515"/>
      <c r="U579" s="515"/>
      <c r="V579" s="515"/>
      <c r="W579" s="513"/>
      <c r="X579" s="251"/>
      <c r="Y579" s="12" t="s">
        <v>144</v>
      </c>
      <c r="Z579" s="67">
        <v>40908</v>
      </c>
      <c r="AA579" s="242">
        <v>10750</v>
      </c>
      <c r="AB579" s="569"/>
      <c r="AC579" s="67">
        <v>40908</v>
      </c>
      <c r="AD579" s="67">
        <v>41274</v>
      </c>
      <c r="AE579" s="70">
        <v>10.472720000000001</v>
      </c>
      <c r="AF579" s="71"/>
      <c r="AG579" s="247">
        <v>72912</v>
      </c>
      <c r="AH579" s="244"/>
      <c r="AI579" s="248"/>
      <c r="AJ579" s="248"/>
      <c r="AK579" s="248"/>
      <c r="AL579" s="536"/>
      <c r="AM579" s="521"/>
      <c r="AN579" s="524"/>
      <c r="AO579" s="506"/>
      <c r="AP579" s="458"/>
      <c r="AQ579" s="133"/>
      <c r="AR579" s="133"/>
      <c r="AS579" s="458"/>
      <c r="AT579" s="481"/>
      <c r="AU579" s="481"/>
      <c r="AV579" s="481"/>
      <c r="AW579" s="486"/>
      <c r="AX579" s="549"/>
      <c r="AY579" s="454"/>
      <c r="AZ579" s="549"/>
      <c r="BA579" s="454"/>
      <c r="BB579" s="481"/>
      <c r="BC579" s="481"/>
      <c r="BD579" s="481"/>
      <c r="BE579" s="481"/>
      <c r="BF579" s="481"/>
      <c r="BG579" s="481"/>
      <c r="BH579" s="481"/>
      <c r="BI579" s="481"/>
      <c r="BJ579" s="481"/>
      <c r="BK579" s="481"/>
      <c r="BL579" s="481"/>
      <c r="BM579" s="481"/>
    </row>
    <row r="580" spans="1:65" x14ac:dyDescent="0.2">
      <c r="A580" s="472"/>
      <c r="B580" s="475"/>
      <c r="C580" s="478"/>
      <c r="D580" s="414"/>
      <c r="E580" s="481"/>
      <c r="F580" s="414"/>
      <c r="G580" s="426"/>
      <c r="H580" s="133"/>
      <c r="I580" s="140"/>
      <c r="J580" s="140"/>
      <c r="K580" s="486"/>
      <c r="L580" s="414"/>
      <c r="M580" s="495"/>
      <c r="N580" s="647"/>
      <c r="O580" s="511"/>
      <c r="P580" s="509"/>
      <c r="Q580" s="647"/>
      <c r="R580" s="518"/>
      <c r="S580" s="429"/>
      <c r="T580" s="515"/>
      <c r="U580" s="515"/>
      <c r="V580" s="515"/>
      <c r="W580" s="513"/>
      <c r="X580" s="251"/>
      <c r="Y580" s="12" t="s">
        <v>193</v>
      </c>
      <c r="Z580" s="67">
        <v>41274</v>
      </c>
      <c r="AA580" s="242">
        <v>10963</v>
      </c>
      <c r="AB580" s="569"/>
      <c r="AC580" s="67">
        <v>41274</v>
      </c>
      <c r="AD580" s="67">
        <v>41639</v>
      </c>
      <c r="AE580" s="70">
        <v>7.5213900000000002</v>
      </c>
      <c r="AF580" s="71"/>
      <c r="AG580" s="247">
        <v>78396</v>
      </c>
      <c r="AH580" s="244"/>
      <c r="AI580" s="248"/>
      <c r="AJ580" s="248"/>
      <c r="AK580" s="248"/>
      <c r="AL580" s="536"/>
      <c r="AM580" s="521"/>
      <c r="AN580" s="524"/>
      <c r="AO580" s="506"/>
      <c r="AP580" s="458"/>
      <c r="AQ580" s="133"/>
      <c r="AR580" s="133"/>
      <c r="AS580" s="458"/>
      <c r="AT580" s="481"/>
      <c r="AU580" s="481"/>
      <c r="AV580" s="481"/>
      <c r="AW580" s="486"/>
      <c r="AX580" s="549"/>
      <c r="AY580" s="454"/>
      <c r="AZ580" s="549"/>
      <c r="BA580" s="454"/>
      <c r="BB580" s="481"/>
      <c r="BC580" s="481"/>
      <c r="BD580" s="481"/>
      <c r="BE580" s="481"/>
      <c r="BF580" s="481"/>
      <c r="BG580" s="481"/>
      <c r="BH580" s="481"/>
      <c r="BI580" s="481"/>
      <c r="BJ580" s="481"/>
      <c r="BK580" s="481"/>
      <c r="BL580" s="481"/>
      <c r="BM580" s="481"/>
    </row>
    <row r="581" spans="1:65" x14ac:dyDescent="0.2">
      <c r="A581" s="472"/>
      <c r="B581" s="475"/>
      <c r="C581" s="478"/>
      <c r="D581" s="414"/>
      <c r="E581" s="481"/>
      <c r="F581" s="414"/>
      <c r="G581" s="426"/>
      <c r="H581" s="133"/>
      <c r="I581" s="140"/>
      <c r="J581" s="140"/>
      <c r="K581" s="486"/>
      <c r="L581" s="414"/>
      <c r="M581" s="495"/>
      <c r="N581" s="647"/>
      <c r="O581" s="511"/>
      <c r="P581" s="509"/>
      <c r="Q581" s="647"/>
      <c r="R581" s="518"/>
      <c r="S581" s="429"/>
      <c r="T581" s="515"/>
      <c r="U581" s="515"/>
      <c r="V581" s="515"/>
      <c r="W581" s="513"/>
      <c r="X581" s="251"/>
      <c r="Y581" s="12" t="s">
        <v>194</v>
      </c>
      <c r="Z581" s="67">
        <v>41639</v>
      </c>
      <c r="AA581" s="242">
        <v>11215</v>
      </c>
      <c r="AB581" s="570"/>
      <c r="AC581" s="67">
        <v>41639</v>
      </c>
      <c r="AD581" s="67">
        <v>42004</v>
      </c>
      <c r="AE581" s="70">
        <v>5.2655700000000003</v>
      </c>
      <c r="AF581" s="71"/>
      <c r="AG581" s="247">
        <v>82524</v>
      </c>
      <c r="AH581" s="244"/>
      <c r="AI581" s="248"/>
      <c r="AJ581" s="248"/>
      <c r="AK581" s="248"/>
      <c r="AL581" s="536"/>
      <c r="AM581" s="521"/>
      <c r="AN581" s="524"/>
      <c r="AO581" s="506"/>
      <c r="AP581" s="458"/>
      <c r="AQ581" s="133"/>
      <c r="AR581" s="133"/>
      <c r="AS581" s="458"/>
      <c r="AT581" s="481"/>
      <c r="AU581" s="481"/>
      <c r="AV581" s="481"/>
      <c r="AW581" s="486"/>
      <c r="AX581" s="549"/>
      <c r="AY581" s="454"/>
      <c r="AZ581" s="549"/>
      <c r="BA581" s="454"/>
      <c r="BB581" s="481"/>
      <c r="BC581" s="481"/>
      <c r="BD581" s="481"/>
      <c r="BE581" s="481"/>
      <c r="BF581" s="481"/>
      <c r="BG581" s="481"/>
      <c r="BH581" s="481"/>
      <c r="BI581" s="481"/>
      <c r="BJ581" s="481"/>
      <c r="BK581" s="481"/>
      <c r="BL581" s="481"/>
      <c r="BM581" s="481"/>
    </row>
    <row r="582" spans="1:65" ht="25.5" x14ac:dyDescent="0.2">
      <c r="A582" s="472"/>
      <c r="B582" s="475"/>
      <c r="C582" s="478"/>
      <c r="D582" s="414"/>
      <c r="E582" s="481"/>
      <c r="F582" s="414"/>
      <c r="G582" s="426"/>
      <c r="H582" s="133"/>
      <c r="I582" s="140"/>
      <c r="J582" s="140"/>
      <c r="K582" s="486"/>
      <c r="L582" s="414"/>
      <c r="M582" s="495"/>
      <c r="N582" s="647"/>
      <c r="O582" s="511"/>
      <c r="P582" s="509"/>
      <c r="Q582" s="647"/>
      <c r="R582" s="518"/>
      <c r="S582" s="429"/>
      <c r="T582" s="515"/>
      <c r="U582" s="515"/>
      <c r="V582" s="515"/>
      <c r="W582" s="513"/>
      <c r="X582" s="251"/>
      <c r="Y582" s="12" t="s">
        <v>195</v>
      </c>
      <c r="Z582" s="67">
        <v>41988</v>
      </c>
      <c r="AA582" s="242">
        <v>11461</v>
      </c>
      <c r="AB582" s="254" t="s">
        <v>621</v>
      </c>
      <c r="AC582" s="67">
        <v>42004</v>
      </c>
      <c r="AD582" s="67">
        <v>42369</v>
      </c>
      <c r="AE582" s="70">
        <v>3.6543000000000001</v>
      </c>
      <c r="AF582" s="71"/>
      <c r="AG582" s="247">
        <v>85539.72</v>
      </c>
      <c r="AH582" s="244"/>
      <c r="AI582" s="248"/>
      <c r="AJ582" s="248"/>
      <c r="AK582" s="248"/>
      <c r="AL582" s="536"/>
      <c r="AM582" s="521"/>
      <c r="AN582" s="524"/>
      <c r="AO582" s="506"/>
      <c r="AP582" s="458"/>
      <c r="AQ582" s="133"/>
      <c r="AR582" s="133"/>
      <c r="AS582" s="458"/>
      <c r="AT582" s="481"/>
      <c r="AU582" s="481"/>
      <c r="AV582" s="481"/>
      <c r="AW582" s="486"/>
      <c r="AX582" s="549"/>
      <c r="AY582" s="454"/>
      <c r="AZ582" s="549"/>
      <c r="BA582" s="454"/>
      <c r="BB582" s="481"/>
      <c r="BC582" s="481"/>
      <c r="BD582" s="481"/>
      <c r="BE582" s="481"/>
      <c r="BF582" s="481"/>
      <c r="BG582" s="481"/>
      <c r="BH582" s="481"/>
      <c r="BI582" s="481"/>
      <c r="BJ582" s="481"/>
      <c r="BK582" s="481"/>
      <c r="BL582" s="481"/>
      <c r="BM582" s="481"/>
    </row>
    <row r="583" spans="1:65" ht="76.5" x14ac:dyDescent="0.2">
      <c r="A583" s="472"/>
      <c r="B583" s="475"/>
      <c r="C583" s="478"/>
      <c r="D583" s="414"/>
      <c r="E583" s="481"/>
      <c r="F583" s="414"/>
      <c r="G583" s="426"/>
      <c r="H583" s="133"/>
      <c r="I583" s="140"/>
      <c r="J583" s="140"/>
      <c r="K583" s="486"/>
      <c r="L583" s="414"/>
      <c r="M583" s="495"/>
      <c r="N583" s="647"/>
      <c r="O583" s="511"/>
      <c r="P583" s="509"/>
      <c r="Q583" s="647"/>
      <c r="R583" s="518"/>
      <c r="S583" s="429"/>
      <c r="T583" s="515"/>
      <c r="U583" s="515"/>
      <c r="V583" s="515"/>
      <c r="W583" s="513"/>
      <c r="X583" s="251"/>
      <c r="Y583" s="12" t="s">
        <v>118</v>
      </c>
      <c r="Z583" s="67">
        <v>42352</v>
      </c>
      <c r="AA583" s="242">
        <v>11715</v>
      </c>
      <c r="AB583" s="255" t="s">
        <v>622</v>
      </c>
      <c r="AC583" s="67">
        <v>42369</v>
      </c>
      <c r="AD583" s="67">
        <v>42735</v>
      </c>
      <c r="AE583" s="70"/>
      <c r="AF583" s="71"/>
      <c r="AG583" s="247">
        <v>85539.72</v>
      </c>
      <c r="AH583" s="244"/>
      <c r="AI583" s="248"/>
      <c r="AJ583" s="248"/>
      <c r="AK583" s="248"/>
      <c r="AL583" s="536"/>
      <c r="AM583" s="521"/>
      <c r="AN583" s="524"/>
      <c r="AO583" s="506"/>
      <c r="AP583" s="458"/>
      <c r="AQ583" s="133"/>
      <c r="AR583" s="133"/>
      <c r="AS583" s="458"/>
      <c r="AT583" s="481"/>
      <c r="AU583" s="481"/>
      <c r="AV583" s="481"/>
      <c r="AW583" s="486"/>
      <c r="AX583" s="549"/>
      <c r="AY583" s="454"/>
      <c r="AZ583" s="549"/>
      <c r="BA583" s="454"/>
      <c r="BB583" s="481"/>
      <c r="BC583" s="481"/>
      <c r="BD583" s="481"/>
      <c r="BE583" s="481"/>
      <c r="BF583" s="481"/>
      <c r="BG583" s="481"/>
      <c r="BH583" s="481"/>
      <c r="BI583" s="481"/>
      <c r="BJ583" s="481"/>
      <c r="BK583" s="481"/>
      <c r="BL583" s="481"/>
      <c r="BM583" s="481"/>
    </row>
    <row r="584" spans="1:65" ht="76.5" x14ac:dyDescent="0.2">
      <c r="A584" s="473"/>
      <c r="B584" s="476"/>
      <c r="C584" s="479"/>
      <c r="D584" s="415"/>
      <c r="E584" s="482"/>
      <c r="F584" s="415"/>
      <c r="G584" s="406"/>
      <c r="H584" s="30"/>
      <c r="I584" s="191"/>
      <c r="J584" s="191"/>
      <c r="K584" s="412"/>
      <c r="L584" s="406"/>
      <c r="M584" s="406"/>
      <c r="N584" s="428"/>
      <c r="O584" s="428"/>
      <c r="P584" s="428"/>
      <c r="Q584" s="428"/>
      <c r="R584" s="428"/>
      <c r="S584" s="428"/>
      <c r="T584" s="428"/>
      <c r="U584" s="428"/>
      <c r="V584" s="428"/>
      <c r="W584" s="428"/>
      <c r="X584" s="111"/>
      <c r="Y584" s="12" t="s">
        <v>121</v>
      </c>
      <c r="Z584" s="67">
        <v>42723</v>
      </c>
      <c r="AA584" s="242">
        <v>11965</v>
      </c>
      <c r="AB584" s="255" t="s">
        <v>1067</v>
      </c>
      <c r="AC584" s="67">
        <v>42735</v>
      </c>
      <c r="AD584" s="67">
        <v>43100</v>
      </c>
      <c r="AE584" s="70"/>
      <c r="AF584" s="71"/>
      <c r="AG584" s="247">
        <v>85539.72</v>
      </c>
      <c r="AH584" s="244"/>
      <c r="AI584" s="249"/>
      <c r="AJ584" s="249"/>
      <c r="AK584" s="249"/>
      <c r="AL584" s="537"/>
      <c r="AM584" s="522"/>
      <c r="AN584" s="525"/>
      <c r="AO584" s="507"/>
      <c r="AP584" s="440"/>
      <c r="AQ584" s="134"/>
      <c r="AR584" s="134"/>
      <c r="AS584" s="440"/>
      <c r="AT584" s="482"/>
      <c r="AU584" s="482"/>
      <c r="AV584" s="482"/>
      <c r="AW584" s="496"/>
      <c r="AX584" s="550"/>
      <c r="AY584" s="455"/>
      <c r="AZ584" s="550"/>
      <c r="BA584" s="455"/>
      <c r="BB584" s="482"/>
      <c r="BC584" s="482"/>
      <c r="BD584" s="482"/>
      <c r="BE584" s="482"/>
      <c r="BF584" s="482"/>
      <c r="BG584" s="482"/>
      <c r="BH584" s="482"/>
      <c r="BI584" s="482"/>
      <c r="BJ584" s="482"/>
      <c r="BK584" s="482"/>
      <c r="BL584" s="482"/>
      <c r="BM584" s="482"/>
    </row>
    <row r="585" spans="1:65" x14ac:dyDescent="0.2">
      <c r="A585" s="471">
        <v>340</v>
      </c>
      <c r="B585" s="474">
        <v>123320094</v>
      </c>
      <c r="C585" s="477"/>
      <c r="D585" s="413" t="s">
        <v>142</v>
      </c>
      <c r="E585" s="480"/>
      <c r="F585" s="413" t="s">
        <v>1376</v>
      </c>
      <c r="G585" s="425" t="s">
        <v>367</v>
      </c>
      <c r="H585" s="132"/>
      <c r="I585" s="253"/>
      <c r="J585" s="253"/>
      <c r="K585" s="485" t="s">
        <v>306</v>
      </c>
      <c r="L585" s="413" t="s">
        <v>329</v>
      </c>
      <c r="M585" s="494" t="s">
        <v>330</v>
      </c>
      <c r="N585" s="516">
        <v>40742</v>
      </c>
      <c r="O585" s="510">
        <v>28153.33</v>
      </c>
      <c r="P585" s="508" t="s">
        <v>804</v>
      </c>
      <c r="Q585" s="516">
        <v>40742</v>
      </c>
      <c r="R585" s="456">
        <v>40908</v>
      </c>
      <c r="S585" s="427" t="s">
        <v>146</v>
      </c>
      <c r="T585" s="514"/>
      <c r="U585" s="514"/>
      <c r="V585" s="514"/>
      <c r="W585" s="512" t="s">
        <v>117</v>
      </c>
      <c r="X585" s="250"/>
      <c r="Y585" s="12" t="s">
        <v>138</v>
      </c>
      <c r="Z585" s="67">
        <v>40907</v>
      </c>
      <c r="AA585" s="242">
        <v>10778</v>
      </c>
      <c r="AB585" s="514" t="s">
        <v>380</v>
      </c>
      <c r="AC585" s="67">
        <v>40907</v>
      </c>
      <c r="AD585" s="67">
        <v>41274</v>
      </c>
      <c r="AE585" s="70"/>
      <c r="AF585" s="12"/>
      <c r="AG585" s="247">
        <v>61800</v>
      </c>
      <c r="AH585" s="256"/>
      <c r="AI585" s="257"/>
      <c r="AJ585" s="257"/>
      <c r="AK585" s="257"/>
      <c r="AL585" s="505">
        <f>O585-AH585+AG585-AH586+AG586-AH587+AG587-AH588+AG588-AH589+AG589-AH590+AG590</f>
        <v>405728.53000000009</v>
      </c>
      <c r="AM585" s="520">
        <f>213553.33+64058.4+5338.2+5338.2+5338.2+5338.2+5338.2+5338.2+5338.2+5338.2+5338.2+5338.2+5338.2+5338.2</f>
        <v>341670.13000000012</v>
      </c>
      <c r="AN585" s="523">
        <f>5338.2+5338.2+5338.2+5338.2+5338.2+5338.2+5338.2+5338.2+5338.2+5338.2+5338.2</f>
        <v>58720.19999999999</v>
      </c>
      <c r="AO585" s="505">
        <f>AM585+AN585</f>
        <v>400390.33000000013</v>
      </c>
      <c r="AP585" s="523"/>
      <c r="AQ585" s="258"/>
      <c r="AR585" s="258"/>
      <c r="AS585" s="523"/>
      <c r="AT585" s="523"/>
      <c r="AU585" s="523"/>
      <c r="AV585" s="480" t="s">
        <v>122</v>
      </c>
      <c r="AW585" s="485" t="s">
        <v>377</v>
      </c>
      <c r="AX585" s="548" t="s">
        <v>804</v>
      </c>
      <c r="AY585" s="453">
        <v>40752</v>
      </c>
      <c r="AZ585" s="548" t="s">
        <v>804</v>
      </c>
      <c r="BA585" s="453">
        <v>40752</v>
      </c>
      <c r="BB585" s="480"/>
      <c r="BC585" s="480"/>
      <c r="BD585" s="480"/>
      <c r="BE585" s="480"/>
      <c r="BF585" s="480"/>
      <c r="BG585" s="480"/>
      <c r="BH585" s="480"/>
      <c r="BI585" s="480"/>
      <c r="BJ585" s="480"/>
      <c r="BK585" s="480"/>
      <c r="BL585" s="480"/>
      <c r="BM585" s="480"/>
    </row>
    <row r="586" spans="1:65" x14ac:dyDescent="0.2">
      <c r="A586" s="472"/>
      <c r="B586" s="475"/>
      <c r="C586" s="478"/>
      <c r="D586" s="414"/>
      <c r="E586" s="481"/>
      <c r="F586" s="414"/>
      <c r="G586" s="426"/>
      <c r="H586" s="133"/>
      <c r="I586" s="140"/>
      <c r="J586" s="140"/>
      <c r="K586" s="486"/>
      <c r="L586" s="414"/>
      <c r="M586" s="495"/>
      <c r="N586" s="517"/>
      <c r="O586" s="511"/>
      <c r="P586" s="509"/>
      <c r="Q586" s="517"/>
      <c r="R586" s="518"/>
      <c r="S586" s="429"/>
      <c r="T586" s="515"/>
      <c r="U586" s="515"/>
      <c r="V586" s="515"/>
      <c r="W586" s="513"/>
      <c r="X586" s="251"/>
      <c r="Y586" s="12" t="s">
        <v>144</v>
      </c>
      <c r="Z586" s="67">
        <v>41274</v>
      </c>
      <c r="AA586" s="242">
        <v>10970</v>
      </c>
      <c r="AB586" s="515"/>
      <c r="AC586" s="67">
        <v>41274</v>
      </c>
      <c r="AD586" s="67">
        <v>41639</v>
      </c>
      <c r="AE586" s="70"/>
      <c r="AF586" s="12"/>
      <c r="AG586" s="247">
        <v>61800</v>
      </c>
      <c r="AH586" s="256"/>
      <c r="AI586" s="259"/>
      <c r="AJ586" s="259"/>
      <c r="AK586" s="259"/>
      <c r="AL586" s="506"/>
      <c r="AM586" s="521"/>
      <c r="AN586" s="524"/>
      <c r="AO586" s="506"/>
      <c r="AP586" s="524"/>
      <c r="AQ586" s="260"/>
      <c r="AR586" s="260"/>
      <c r="AS586" s="524"/>
      <c r="AT586" s="524"/>
      <c r="AU586" s="524"/>
      <c r="AV586" s="481"/>
      <c r="AW586" s="486"/>
      <c r="AX586" s="549"/>
      <c r="AY586" s="454"/>
      <c r="AZ586" s="549"/>
      <c r="BA586" s="454"/>
      <c r="BB586" s="481"/>
      <c r="BC586" s="481"/>
      <c r="BD586" s="481"/>
      <c r="BE586" s="481"/>
      <c r="BF586" s="481"/>
      <c r="BG586" s="481"/>
      <c r="BH586" s="481"/>
      <c r="BI586" s="481"/>
      <c r="BJ586" s="481"/>
      <c r="BK586" s="481"/>
      <c r="BL586" s="481"/>
      <c r="BM586" s="481"/>
    </row>
    <row r="587" spans="1:65" x14ac:dyDescent="0.2">
      <c r="A587" s="472"/>
      <c r="B587" s="475"/>
      <c r="C587" s="478"/>
      <c r="D587" s="414"/>
      <c r="E587" s="481"/>
      <c r="F587" s="414"/>
      <c r="G587" s="426"/>
      <c r="H587" s="133"/>
      <c r="I587" s="140"/>
      <c r="J587" s="140"/>
      <c r="K587" s="486"/>
      <c r="L587" s="414"/>
      <c r="M587" s="495"/>
      <c r="N587" s="517"/>
      <c r="O587" s="511"/>
      <c r="P587" s="509"/>
      <c r="Q587" s="517"/>
      <c r="R587" s="518"/>
      <c r="S587" s="429"/>
      <c r="T587" s="515"/>
      <c r="U587" s="515"/>
      <c r="V587" s="515"/>
      <c r="W587" s="513"/>
      <c r="X587" s="251"/>
      <c r="Y587" s="12" t="s">
        <v>193</v>
      </c>
      <c r="Z587" s="67">
        <v>41639</v>
      </c>
      <c r="AA587" s="242">
        <v>11214</v>
      </c>
      <c r="AB587" s="519"/>
      <c r="AC587" s="67">
        <v>41639</v>
      </c>
      <c r="AD587" s="67">
        <v>42004</v>
      </c>
      <c r="AE587" s="70"/>
      <c r="AF587" s="12"/>
      <c r="AG587" s="247">
        <v>61800</v>
      </c>
      <c r="AH587" s="256"/>
      <c r="AI587" s="259"/>
      <c r="AJ587" s="259"/>
      <c r="AK587" s="259"/>
      <c r="AL587" s="506"/>
      <c r="AM587" s="521"/>
      <c r="AN587" s="524"/>
      <c r="AO587" s="506"/>
      <c r="AP587" s="524"/>
      <c r="AQ587" s="260"/>
      <c r="AR587" s="260"/>
      <c r="AS587" s="524"/>
      <c r="AT587" s="524"/>
      <c r="AU587" s="524"/>
      <c r="AV587" s="481"/>
      <c r="AW587" s="486"/>
      <c r="AX587" s="549"/>
      <c r="AY587" s="454"/>
      <c r="AZ587" s="549"/>
      <c r="BA587" s="454"/>
      <c r="BB587" s="481"/>
      <c r="BC587" s="481"/>
      <c r="BD587" s="481"/>
      <c r="BE587" s="481"/>
      <c r="BF587" s="481"/>
      <c r="BG587" s="481"/>
      <c r="BH587" s="481"/>
      <c r="BI587" s="481"/>
      <c r="BJ587" s="481"/>
      <c r="BK587" s="481"/>
      <c r="BL587" s="481"/>
      <c r="BM587" s="481"/>
    </row>
    <row r="588" spans="1:65" ht="76.5" x14ac:dyDescent="0.2">
      <c r="A588" s="472"/>
      <c r="B588" s="475"/>
      <c r="C588" s="478"/>
      <c r="D588" s="414"/>
      <c r="E588" s="481"/>
      <c r="F588" s="414"/>
      <c r="G588" s="426"/>
      <c r="H588" s="133"/>
      <c r="I588" s="140"/>
      <c r="J588" s="140"/>
      <c r="K588" s="486"/>
      <c r="L588" s="414"/>
      <c r="M588" s="495"/>
      <c r="N588" s="517"/>
      <c r="O588" s="511"/>
      <c r="P588" s="509"/>
      <c r="Q588" s="517"/>
      <c r="R588" s="518"/>
      <c r="S588" s="429"/>
      <c r="T588" s="515"/>
      <c r="U588" s="515"/>
      <c r="V588" s="515"/>
      <c r="W588" s="513"/>
      <c r="X588" s="251"/>
      <c r="Y588" s="12" t="s">
        <v>194</v>
      </c>
      <c r="Z588" s="67">
        <v>41988</v>
      </c>
      <c r="AA588" s="242">
        <v>11462</v>
      </c>
      <c r="AB588" s="89" t="s">
        <v>591</v>
      </c>
      <c r="AC588" s="67">
        <v>42004</v>
      </c>
      <c r="AD588" s="67">
        <v>42369</v>
      </c>
      <c r="AE588" s="70">
        <v>3.6543000000000001</v>
      </c>
      <c r="AF588" s="12"/>
      <c r="AG588" s="247">
        <v>64058.400000000001</v>
      </c>
      <c r="AH588" s="256"/>
      <c r="AI588" s="259"/>
      <c r="AJ588" s="259"/>
      <c r="AK588" s="259"/>
      <c r="AL588" s="506"/>
      <c r="AM588" s="521"/>
      <c r="AN588" s="524"/>
      <c r="AO588" s="506"/>
      <c r="AP588" s="524"/>
      <c r="AQ588" s="260"/>
      <c r="AR588" s="260"/>
      <c r="AS588" s="524"/>
      <c r="AT588" s="524"/>
      <c r="AU588" s="524"/>
      <c r="AV588" s="481"/>
      <c r="AW588" s="486"/>
      <c r="AX588" s="549"/>
      <c r="AY588" s="454"/>
      <c r="AZ588" s="549"/>
      <c r="BA588" s="454"/>
      <c r="BB588" s="481"/>
      <c r="BC588" s="481"/>
      <c r="BD588" s="481"/>
      <c r="BE588" s="481"/>
      <c r="BF588" s="481"/>
      <c r="BG588" s="481"/>
      <c r="BH588" s="481"/>
      <c r="BI588" s="481"/>
      <c r="BJ588" s="481"/>
      <c r="BK588" s="481"/>
      <c r="BL588" s="481"/>
      <c r="BM588" s="481"/>
    </row>
    <row r="589" spans="1:65" ht="76.5" x14ac:dyDescent="0.2">
      <c r="A589" s="472"/>
      <c r="B589" s="475"/>
      <c r="C589" s="478"/>
      <c r="D589" s="414"/>
      <c r="E589" s="481"/>
      <c r="F589" s="414"/>
      <c r="G589" s="426"/>
      <c r="H589" s="133"/>
      <c r="I589" s="140"/>
      <c r="J589" s="140"/>
      <c r="K589" s="486"/>
      <c r="L589" s="414"/>
      <c r="M589" s="495"/>
      <c r="N589" s="517"/>
      <c r="O589" s="511"/>
      <c r="P589" s="509"/>
      <c r="Q589" s="517"/>
      <c r="R589" s="518"/>
      <c r="S589" s="429"/>
      <c r="T589" s="515"/>
      <c r="U589" s="515"/>
      <c r="V589" s="515"/>
      <c r="W589" s="513"/>
      <c r="X589" s="251"/>
      <c r="Y589" s="12" t="s">
        <v>195</v>
      </c>
      <c r="Z589" s="67">
        <v>42352</v>
      </c>
      <c r="AA589" s="242">
        <v>11715</v>
      </c>
      <c r="AB589" s="89" t="s">
        <v>629</v>
      </c>
      <c r="AC589" s="67">
        <v>42369</v>
      </c>
      <c r="AD589" s="67">
        <v>42735</v>
      </c>
      <c r="AE589" s="70"/>
      <c r="AF589" s="12"/>
      <c r="AG589" s="247">
        <v>64058.400000000001</v>
      </c>
      <c r="AH589" s="256"/>
      <c r="AI589" s="259"/>
      <c r="AJ589" s="259"/>
      <c r="AK589" s="259"/>
      <c r="AL589" s="506"/>
      <c r="AM589" s="521"/>
      <c r="AN589" s="524"/>
      <c r="AO589" s="506"/>
      <c r="AP589" s="524"/>
      <c r="AQ589" s="260"/>
      <c r="AR589" s="260"/>
      <c r="AS589" s="524"/>
      <c r="AT589" s="524"/>
      <c r="AU589" s="524"/>
      <c r="AV589" s="481"/>
      <c r="AW589" s="486"/>
      <c r="AX589" s="549"/>
      <c r="AY589" s="454"/>
      <c r="AZ589" s="549"/>
      <c r="BA589" s="454"/>
      <c r="BB589" s="481"/>
      <c r="BC589" s="481"/>
      <c r="BD589" s="481"/>
      <c r="BE589" s="481"/>
      <c r="BF589" s="481"/>
      <c r="BG589" s="481"/>
      <c r="BH589" s="481"/>
      <c r="BI589" s="481"/>
      <c r="BJ589" s="481"/>
      <c r="BK589" s="481"/>
      <c r="BL589" s="481"/>
      <c r="BM589" s="481"/>
    </row>
    <row r="590" spans="1:65" ht="76.5" x14ac:dyDescent="0.2">
      <c r="A590" s="473"/>
      <c r="B590" s="476"/>
      <c r="C590" s="479"/>
      <c r="D590" s="415"/>
      <c r="E590" s="482"/>
      <c r="F590" s="415"/>
      <c r="G590" s="406"/>
      <c r="H590" s="30"/>
      <c r="I590" s="191"/>
      <c r="J590" s="191"/>
      <c r="K590" s="412"/>
      <c r="L590" s="406"/>
      <c r="M590" s="406"/>
      <c r="N590" s="428"/>
      <c r="O590" s="428"/>
      <c r="P590" s="428"/>
      <c r="Q590" s="428"/>
      <c r="R590" s="428"/>
      <c r="S590" s="428"/>
      <c r="T590" s="428"/>
      <c r="U590" s="428"/>
      <c r="V590" s="428"/>
      <c r="W590" s="428"/>
      <c r="X590" s="111"/>
      <c r="Y590" s="12" t="s">
        <v>118</v>
      </c>
      <c r="Z590" s="67">
        <v>42723</v>
      </c>
      <c r="AA590" s="242">
        <v>11965</v>
      </c>
      <c r="AB590" s="72" t="s">
        <v>1072</v>
      </c>
      <c r="AC590" s="67">
        <v>42735</v>
      </c>
      <c r="AD590" s="67">
        <v>43100</v>
      </c>
      <c r="AE590" s="70"/>
      <c r="AF590" s="12"/>
      <c r="AG590" s="247">
        <v>64058.400000000001</v>
      </c>
      <c r="AH590" s="256"/>
      <c r="AI590" s="261"/>
      <c r="AJ590" s="261"/>
      <c r="AK590" s="261"/>
      <c r="AL590" s="507"/>
      <c r="AM590" s="522"/>
      <c r="AN590" s="525"/>
      <c r="AO590" s="507"/>
      <c r="AP590" s="525"/>
      <c r="AQ590" s="262"/>
      <c r="AR590" s="262"/>
      <c r="AS590" s="525"/>
      <c r="AT590" s="525"/>
      <c r="AU590" s="525"/>
      <c r="AV590" s="482"/>
      <c r="AW590" s="496"/>
      <c r="AX590" s="550"/>
      <c r="AY590" s="455"/>
      <c r="AZ590" s="550"/>
      <c r="BA590" s="455"/>
      <c r="BB590" s="482"/>
      <c r="BC590" s="482"/>
      <c r="BD590" s="482"/>
      <c r="BE590" s="482"/>
      <c r="BF590" s="482"/>
      <c r="BG590" s="482"/>
      <c r="BH590" s="482"/>
      <c r="BI590" s="482"/>
      <c r="BJ590" s="482"/>
      <c r="BK590" s="482"/>
      <c r="BL590" s="482"/>
      <c r="BM590" s="482"/>
    </row>
    <row r="591" spans="1:65" x14ac:dyDescent="0.2">
      <c r="A591" s="471">
        <v>341</v>
      </c>
      <c r="B591" s="474">
        <v>123320090</v>
      </c>
      <c r="C591" s="477"/>
      <c r="D591" s="413" t="s">
        <v>142</v>
      </c>
      <c r="E591" s="480"/>
      <c r="F591" s="413" t="s">
        <v>1377</v>
      </c>
      <c r="G591" s="425" t="s">
        <v>367</v>
      </c>
      <c r="H591" s="132"/>
      <c r="I591" s="132"/>
      <c r="J591" s="132"/>
      <c r="K591" s="485" t="s">
        <v>307</v>
      </c>
      <c r="L591" s="413" t="s">
        <v>331</v>
      </c>
      <c r="M591" s="413" t="s">
        <v>332</v>
      </c>
      <c r="N591" s="502">
        <v>40742</v>
      </c>
      <c r="O591" s="505">
        <v>26513.33</v>
      </c>
      <c r="P591" s="548" t="s">
        <v>805</v>
      </c>
      <c r="Q591" s="502">
        <v>40742</v>
      </c>
      <c r="R591" s="453">
        <v>40908</v>
      </c>
      <c r="S591" s="410" t="s">
        <v>146</v>
      </c>
      <c r="T591" s="480"/>
      <c r="U591" s="480"/>
      <c r="V591" s="480"/>
      <c r="W591" s="565" t="s">
        <v>117</v>
      </c>
      <c r="X591" s="263"/>
      <c r="Y591" s="12" t="s">
        <v>138</v>
      </c>
      <c r="Z591" s="67">
        <v>40907</v>
      </c>
      <c r="AA591" s="242">
        <v>10778</v>
      </c>
      <c r="AB591" s="514" t="s">
        <v>378</v>
      </c>
      <c r="AC591" s="67">
        <v>40907</v>
      </c>
      <c r="AD591" s="67">
        <v>41274</v>
      </c>
      <c r="AE591" s="70"/>
      <c r="AF591" s="71"/>
      <c r="AG591" s="247">
        <v>58200</v>
      </c>
      <c r="AH591" s="244"/>
      <c r="AI591" s="245"/>
      <c r="AJ591" s="245"/>
      <c r="AK591" s="245"/>
      <c r="AL591" s="535">
        <f>O591+AG591+AG592+AG593+AG594-AH595+AG595-AH596+AG596</f>
        <v>382093.61000000004</v>
      </c>
      <c r="AM591" s="520">
        <f>201113.33+60326.76+5027.23+5027.23+5027.23+5027.23+5027.23+5027.23+5027.23+5027.23+5027.23+5027.23+5027.23+5027.23</f>
        <v>321766.8499999998</v>
      </c>
      <c r="AN591" s="523">
        <f>5027.23+5027.23+5027.23+5027.23+5027.23+5027.23+5027.23+5027.23+5027.23+5027.23+5027.23</f>
        <v>55299.529999999984</v>
      </c>
      <c r="AO591" s="505">
        <f>AM591+AN591</f>
        <v>377066.37999999977</v>
      </c>
      <c r="AP591" s="439"/>
      <c r="AQ591" s="132"/>
      <c r="AR591" s="132"/>
      <c r="AS591" s="439"/>
      <c r="AT591" s="480"/>
      <c r="AU591" s="480"/>
      <c r="AV591" s="480" t="s">
        <v>122</v>
      </c>
      <c r="AW591" s="485" t="s">
        <v>375</v>
      </c>
      <c r="AX591" s="548" t="s">
        <v>805</v>
      </c>
      <c r="AY591" s="453">
        <v>40760</v>
      </c>
      <c r="AZ591" s="548" t="s">
        <v>805</v>
      </c>
      <c r="BA591" s="453">
        <v>40760</v>
      </c>
      <c r="BB591" s="480"/>
      <c r="BC591" s="480"/>
      <c r="BD591" s="480"/>
      <c r="BE591" s="480"/>
      <c r="BF591" s="480"/>
      <c r="BG591" s="480"/>
      <c r="BH591" s="480"/>
      <c r="BI591" s="480"/>
      <c r="BJ591" s="480"/>
      <c r="BK591" s="480"/>
      <c r="BL591" s="480"/>
      <c r="BM591" s="480"/>
    </row>
    <row r="592" spans="1:65" x14ac:dyDescent="0.2">
      <c r="A592" s="472"/>
      <c r="B592" s="475"/>
      <c r="C592" s="478"/>
      <c r="D592" s="414"/>
      <c r="E592" s="481"/>
      <c r="F592" s="414"/>
      <c r="G592" s="426"/>
      <c r="H592" s="133"/>
      <c r="I592" s="133"/>
      <c r="J592" s="133"/>
      <c r="K592" s="486"/>
      <c r="L592" s="414"/>
      <c r="M592" s="414"/>
      <c r="N592" s="503"/>
      <c r="O592" s="506"/>
      <c r="P592" s="549"/>
      <c r="Q592" s="503"/>
      <c r="R592" s="454"/>
      <c r="S592" s="411"/>
      <c r="T592" s="481"/>
      <c r="U592" s="481"/>
      <c r="V592" s="481"/>
      <c r="W592" s="566"/>
      <c r="X592" s="264"/>
      <c r="Y592" s="12" t="s">
        <v>144</v>
      </c>
      <c r="Z592" s="67">
        <v>41274</v>
      </c>
      <c r="AA592" s="242">
        <v>10963</v>
      </c>
      <c r="AB592" s="515"/>
      <c r="AC592" s="67">
        <v>41274</v>
      </c>
      <c r="AD592" s="67">
        <v>41639</v>
      </c>
      <c r="AE592" s="70"/>
      <c r="AF592" s="71"/>
      <c r="AG592" s="247">
        <v>58200</v>
      </c>
      <c r="AH592" s="244"/>
      <c r="AI592" s="248"/>
      <c r="AJ592" s="248"/>
      <c r="AK592" s="248"/>
      <c r="AL592" s="536"/>
      <c r="AM592" s="521"/>
      <c r="AN592" s="524"/>
      <c r="AO592" s="506"/>
      <c r="AP592" s="458"/>
      <c r="AQ592" s="133"/>
      <c r="AR592" s="133"/>
      <c r="AS592" s="458"/>
      <c r="AT592" s="481"/>
      <c r="AU592" s="481"/>
      <c r="AV592" s="481"/>
      <c r="AW592" s="486"/>
      <c r="AX592" s="549"/>
      <c r="AY592" s="454"/>
      <c r="AZ592" s="549"/>
      <c r="BA592" s="454"/>
      <c r="BB592" s="481"/>
      <c r="BC592" s="481"/>
      <c r="BD592" s="481"/>
      <c r="BE592" s="481"/>
      <c r="BF592" s="481"/>
      <c r="BG592" s="481"/>
      <c r="BH592" s="481"/>
      <c r="BI592" s="481"/>
      <c r="BJ592" s="481"/>
      <c r="BK592" s="481"/>
      <c r="BL592" s="481"/>
      <c r="BM592" s="481"/>
    </row>
    <row r="593" spans="1:65" x14ac:dyDescent="0.2">
      <c r="A593" s="472"/>
      <c r="B593" s="475"/>
      <c r="C593" s="478"/>
      <c r="D593" s="414"/>
      <c r="E593" s="481"/>
      <c r="F593" s="414"/>
      <c r="G593" s="426"/>
      <c r="H593" s="133"/>
      <c r="I593" s="133"/>
      <c r="J593" s="133"/>
      <c r="K593" s="486"/>
      <c r="L593" s="414"/>
      <c r="M593" s="414"/>
      <c r="N593" s="503"/>
      <c r="O593" s="506"/>
      <c r="P593" s="549"/>
      <c r="Q593" s="503"/>
      <c r="R593" s="454"/>
      <c r="S593" s="411"/>
      <c r="T593" s="481"/>
      <c r="U593" s="481"/>
      <c r="V593" s="481"/>
      <c r="W593" s="566"/>
      <c r="X593" s="264"/>
      <c r="Y593" s="12" t="s">
        <v>193</v>
      </c>
      <c r="Z593" s="67">
        <v>41639</v>
      </c>
      <c r="AA593" s="242">
        <v>11213</v>
      </c>
      <c r="AB593" s="519"/>
      <c r="AC593" s="67">
        <v>41639</v>
      </c>
      <c r="AD593" s="67">
        <v>42004</v>
      </c>
      <c r="AE593" s="70"/>
      <c r="AF593" s="71"/>
      <c r="AG593" s="247">
        <v>58200</v>
      </c>
      <c r="AH593" s="244"/>
      <c r="AI593" s="248"/>
      <c r="AJ593" s="248"/>
      <c r="AK593" s="248"/>
      <c r="AL593" s="536"/>
      <c r="AM593" s="521"/>
      <c r="AN593" s="524"/>
      <c r="AO593" s="506"/>
      <c r="AP593" s="458"/>
      <c r="AQ593" s="133"/>
      <c r="AR593" s="133"/>
      <c r="AS593" s="458"/>
      <c r="AT593" s="481"/>
      <c r="AU593" s="481"/>
      <c r="AV593" s="481"/>
      <c r="AW593" s="486"/>
      <c r="AX593" s="549"/>
      <c r="AY593" s="454"/>
      <c r="AZ593" s="549"/>
      <c r="BA593" s="454"/>
      <c r="BB593" s="481"/>
      <c r="BC593" s="481"/>
      <c r="BD593" s="481"/>
      <c r="BE593" s="481"/>
      <c r="BF593" s="481"/>
      <c r="BG593" s="481"/>
      <c r="BH593" s="481"/>
      <c r="BI593" s="481"/>
      <c r="BJ593" s="481"/>
      <c r="BK593" s="481"/>
      <c r="BL593" s="481"/>
      <c r="BM593" s="481"/>
    </row>
    <row r="594" spans="1:65" ht="76.5" x14ac:dyDescent="0.2">
      <c r="A594" s="472"/>
      <c r="B594" s="475"/>
      <c r="C594" s="478"/>
      <c r="D594" s="414"/>
      <c r="E594" s="481"/>
      <c r="F594" s="414"/>
      <c r="G594" s="426"/>
      <c r="H594" s="133"/>
      <c r="I594" s="133"/>
      <c r="J594" s="133"/>
      <c r="K594" s="486"/>
      <c r="L594" s="414"/>
      <c r="M594" s="414"/>
      <c r="N594" s="503"/>
      <c r="O594" s="506"/>
      <c r="P594" s="549"/>
      <c r="Q594" s="503"/>
      <c r="R594" s="454"/>
      <c r="S594" s="411"/>
      <c r="T594" s="481"/>
      <c r="U594" s="481"/>
      <c r="V594" s="481"/>
      <c r="W594" s="566"/>
      <c r="X594" s="264"/>
      <c r="Y594" s="12" t="s">
        <v>194</v>
      </c>
      <c r="Z594" s="67">
        <v>41988</v>
      </c>
      <c r="AA594" s="242">
        <v>11462</v>
      </c>
      <c r="AB594" s="89" t="s">
        <v>592</v>
      </c>
      <c r="AC594" s="67">
        <v>42004</v>
      </c>
      <c r="AD594" s="67">
        <v>42369</v>
      </c>
      <c r="AE594" s="70">
        <v>3.6543000000000001</v>
      </c>
      <c r="AF594" s="71"/>
      <c r="AG594" s="247">
        <v>60326.76</v>
      </c>
      <c r="AH594" s="244" t="s">
        <v>447</v>
      </c>
      <c r="AI594" s="248"/>
      <c r="AJ594" s="248"/>
      <c r="AK594" s="248"/>
      <c r="AL594" s="536"/>
      <c r="AM594" s="521"/>
      <c r="AN594" s="524"/>
      <c r="AO594" s="506"/>
      <c r="AP594" s="458"/>
      <c r="AQ594" s="133"/>
      <c r="AR594" s="133"/>
      <c r="AS594" s="458"/>
      <c r="AT594" s="481"/>
      <c r="AU594" s="481"/>
      <c r="AV594" s="481"/>
      <c r="AW594" s="486"/>
      <c r="AX594" s="549"/>
      <c r="AY594" s="454"/>
      <c r="AZ594" s="549"/>
      <c r="BA594" s="454"/>
      <c r="BB594" s="481"/>
      <c r="BC594" s="481"/>
      <c r="BD594" s="481"/>
      <c r="BE594" s="481"/>
      <c r="BF594" s="481"/>
      <c r="BG594" s="481"/>
      <c r="BH594" s="481"/>
      <c r="BI594" s="481"/>
      <c r="BJ594" s="481"/>
      <c r="BK594" s="481"/>
      <c r="BL594" s="481"/>
      <c r="BM594" s="481"/>
    </row>
    <row r="595" spans="1:65" ht="63.75" x14ac:dyDescent="0.2">
      <c r="A595" s="472"/>
      <c r="B595" s="475"/>
      <c r="C595" s="478"/>
      <c r="D595" s="414"/>
      <c r="E595" s="481"/>
      <c r="F595" s="414"/>
      <c r="G595" s="426"/>
      <c r="H595" s="133"/>
      <c r="I595" s="133"/>
      <c r="J595" s="133"/>
      <c r="K595" s="486"/>
      <c r="L595" s="414"/>
      <c r="M595" s="414"/>
      <c r="N595" s="503"/>
      <c r="O595" s="506"/>
      <c r="P595" s="549"/>
      <c r="Q595" s="503"/>
      <c r="R595" s="454"/>
      <c r="S595" s="411"/>
      <c r="T595" s="481"/>
      <c r="U595" s="481"/>
      <c r="V595" s="481"/>
      <c r="W595" s="566"/>
      <c r="X595" s="264"/>
      <c r="Y595" s="12" t="s">
        <v>195</v>
      </c>
      <c r="Z595" s="67">
        <v>42352</v>
      </c>
      <c r="AA595" s="242">
        <v>11715</v>
      </c>
      <c r="AB595" s="89" t="s">
        <v>630</v>
      </c>
      <c r="AC595" s="67">
        <v>42369</v>
      </c>
      <c r="AD595" s="67">
        <v>42735</v>
      </c>
      <c r="AE595" s="70"/>
      <c r="AF595" s="71"/>
      <c r="AG595" s="247">
        <v>60326.76</v>
      </c>
      <c r="AH595" s="244"/>
      <c r="AI595" s="248"/>
      <c r="AJ595" s="248"/>
      <c r="AK595" s="248"/>
      <c r="AL595" s="536"/>
      <c r="AM595" s="521"/>
      <c r="AN595" s="524"/>
      <c r="AO595" s="506"/>
      <c r="AP595" s="458"/>
      <c r="AQ595" s="133"/>
      <c r="AR595" s="133"/>
      <c r="AS595" s="458"/>
      <c r="AT595" s="481"/>
      <c r="AU595" s="481"/>
      <c r="AV595" s="481"/>
      <c r="AW595" s="486"/>
      <c r="AX595" s="549"/>
      <c r="AY595" s="454"/>
      <c r="AZ595" s="549"/>
      <c r="BA595" s="454"/>
      <c r="BB595" s="481"/>
      <c r="BC595" s="481"/>
      <c r="BD595" s="481"/>
      <c r="BE595" s="481"/>
      <c r="BF595" s="481"/>
      <c r="BG595" s="481"/>
      <c r="BH595" s="481"/>
      <c r="BI595" s="481"/>
      <c r="BJ595" s="481"/>
      <c r="BK595" s="481"/>
      <c r="BL595" s="481"/>
      <c r="BM595" s="481"/>
    </row>
    <row r="596" spans="1:65" ht="76.5" x14ac:dyDescent="0.2">
      <c r="A596" s="473"/>
      <c r="B596" s="476"/>
      <c r="C596" s="479"/>
      <c r="D596" s="415"/>
      <c r="E596" s="482"/>
      <c r="F596" s="415"/>
      <c r="G596" s="459"/>
      <c r="H596" s="134"/>
      <c r="I596" s="134"/>
      <c r="J596" s="134"/>
      <c r="K596" s="496"/>
      <c r="L596" s="415"/>
      <c r="M596" s="415"/>
      <c r="N596" s="504"/>
      <c r="O596" s="507"/>
      <c r="P596" s="550"/>
      <c r="Q596" s="504"/>
      <c r="R596" s="455"/>
      <c r="S596" s="412"/>
      <c r="T596" s="482"/>
      <c r="U596" s="482"/>
      <c r="V596" s="482"/>
      <c r="W596" s="567"/>
      <c r="X596" s="265"/>
      <c r="Y596" s="12" t="s">
        <v>118</v>
      </c>
      <c r="Z596" s="67">
        <v>42723</v>
      </c>
      <c r="AA596" s="242">
        <v>11965</v>
      </c>
      <c r="AB596" s="72" t="s">
        <v>1073</v>
      </c>
      <c r="AC596" s="67">
        <v>42735</v>
      </c>
      <c r="AD596" s="67">
        <v>43100</v>
      </c>
      <c r="AE596" s="70"/>
      <c r="AF596" s="71"/>
      <c r="AG596" s="247">
        <v>60326.76</v>
      </c>
      <c r="AH596" s="244"/>
      <c r="AI596" s="249"/>
      <c r="AJ596" s="249"/>
      <c r="AK596" s="249"/>
      <c r="AL596" s="537"/>
      <c r="AM596" s="522"/>
      <c r="AN596" s="525"/>
      <c r="AO596" s="507"/>
      <c r="AP596" s="440"/>
      <c r="AQ596" s="134"/>
      <c r="AR596" s="134"/>
      <c r="AS596" s="440"/>
      <c r="AT596" s="482"/>
      <c r="AU596" s="482"/>
      <c r="AV596" s="482"/>
      <c r="AW596" s="496"/>
      <c r="AX596" s="550"/>
      <c r="AY596" s="455"/>
      <c r="AZ596" s="550"/>
      <c r="BA596" s="455"/>
      <c r="BB596" s="482"/>
      <c r="BC596" s="482"/>
      <c r="BD596" s="482"/>
      <c r="BE596" s="482"/>
      <c r="BF596" s="482"/>
      <c r="BG596" s="482"/>
      <c r="BH596" s="482"/>
      <c r="BI596" s="482"/>
      <c r="BJ596" s="482"/>
      <c r="BK596" s="482"/>
      <c r="BL596" s="482"/>
      <c r="BM596" s="482"/>
    </row>
    <row r="597" spans="1:65" x14ac:dyDescent="0.2">
      <c r="A597" s="471">
        <v>342</v>
      </c>
      <c r="B597" s="474">
        <v>123180222</v>
      </c>
      <c r="C597" s="477"/>
      <c r="D597" s="413" t="s">
        <v>142</v>
      </c>
      <c r="E597" s="480"/>
      <c r="F597" s="413" t="s">
        <v>1378</v>
      </c>
      <c r="G597" s="425" t="s">
        <v>367</v>
      </c>
      <c r="H597" s="132"/>
      <c r="I597" s="253"/>
      <c r="J597" s="253"/>
      <c r="K597" s="485" t="s">
        <v>308</v>
      </c>
      <c r="L597" s="405" t="s">
        <v>323</v>
      </c>
      <c r="M597" s="405" t="s">
        <v>333</v>
      </c>
      <c r="N597" s="431">
        <v>40940</v>
      </c>
      <c r="O597" s="435">
        <v>140349</v>
      </c>
      <c r="P597" s="508" t="s">
        <v>806</v>
      </c>
      <c r="Q597" s="431">
        <v>40940</v>
      </c>
      <c r="R597" s="431">
        <v>41274</v>
      </c>
      <c r="S597" s="427" t="s">
        <v>146</v>
      </c>
      <c r="T597" s="514"/>
      <c r="U597" s="514"/>
      <c r="V597" s="514"/>
      <c r="W597" s="427" t="s">
        <v>117</v>
      </c>
      <c r="X597" s="60"/>
      <c r="Y597" s="12" t="s">
        <v>138</v>
      </c>
      <c r="Z597" s="67">
        <v>41274</v>
      </c>
      <c r="AA597" s="242">
        <v>10963</v>
      </c>
      <c r="AB597" s="514" t="s">
        <v>378</v>
      </c>
      <c r="AC597" s="67">
        <v>41274</v>
      </c>
      <c r="AD597" s="67">
        <v>41639</v>
      </c>
      <c r="AE597" s="70"/>
      <c r="AF597" s="71"/>
      <c r="AG597" s="247">
        <v>153108</v>
      </c>
      <c r="AH597" s="244"/>
      <c r="AI597" s="245"/>
      <c r="AJ597" s="245"/>
      <c r="AK597" s="245"/>
      <c r="AL597" s="535">
        <f>O597-AH597+AG597-AH598+AG598-AH599+AG599-AH600+AG600-AH601+AG601</f>
        <v>957934.68000000017</v>
      </c>
      <c r="AM597" s="520">
        <f>455145+167596.56+13966.38+13966.38+13966.38+13966.38+13966.38+13966.38+13966.38+13966.38+13966.38+13966.38+13966.38+13966.38</f>
        <v>790338.12000000011</v>
      </c>
      <c r="AN597" s="523">
        <f>13966.38+13966.38+13966.38+13966.38+13966.38+13966.38+13966.38+13966.38+13966.38+13966.38+13966.38</f>
        <v>153630.18000000002</v>
      </c>
      <c r="AO597" s="535">
        <f>AM597+AN597</f>
        <v>943968.30000000016</v>
      </c>
      <c r="AP597" s="480"/>
      <c r="AQ597" s="6"/>
      <c r="AR597" s="6"/>
      <c r="AS597" s="480"/>
      <c r="AT597" s="480"/>
      <c r="AU597" s="480"/>
      <c r="AV597" s="480" t="s">
        <v>122</v>
      </c>
      <c r="AW597" s="485" t="s">
        <v>375</v>
      </c>
      <c r="AX597" s="548" t="s">
        <v>807</v>
      </c>
      <c r="AY597" s="453">
        <v>40973</v>
      </c>
      <c r="AZ597" s="548" t="s">
        <v>807</v>
      </c>
      <c r="BA597" s="453">
        <v>40973</v>
      </c>
      <c r="BB597" s="480"/>
      <c r="BC597" s="480"/>
      <c r="BD597" s="480"/>
      <c r="BE597" s="480"/>
      <c r="BF597" s="480"/>
      <c r="BG597" s="480"/>
      <c r="BH597" s="480"/>
      <c r="BI597" s="480"/>
      <c r="BJ597" s="480"/>
      <c r="BK597" s="480"/>
      <c r="BL597" s="480"/>
      <c r="BM597" s="480"/>
    </row>
    <row r="598" spans="1:65" x14ac:dyDescent="0.2">
      <c r="A598" s="472"/>
      <c r="B598" s="475"/>
      <c r="C598" s="478"/>
      <c r="D598" s="414"/>
      <c r="E598" s="481"/>
      <c r="F598" s="414"/>
      <c r="G598" s="426"/>
      <c r="H598" s="133"/>
      <c r="I598" s="140"/>
      <c r="J598" s="140"/>
      <c r="K598" s="486"/>
      <c r="L598" s="409"/>
      <c r="M598" s="409"/>
      <c r="N598" s="437"/>
      <c r="O598" s="436"/>
      <c r="P598" s="509"/>
      <c r="Q598" s="437"/>
      <c r="R598" s="437"/>
      <c r="S598" s="429"/>
      <c r="T598" s="515"/>
      <c r="U598" s="515"/>
      <c r="V598" s="515"/>
      <c r="W598" s="429"/>
      <c r="X598" s="61"/>
      <c r="Y598" s="12" t="s">
        <v>144</v>
      </c>
      <c r="Z598" s="67">
        <v>41639</v>
      </c>
      <c r="AA598" s="242">
        <v>11218</v>
      </c>
      <c r="AB598" s="519"/>
      <c r="AC598" s="67">
        <v>41639</v>
      </c>
      <c r="AD598" s="67">
        <v>42004</v>
      </c>
      <c r="AE598" s="70">
        <v>5.6038800000000002</v>
      </c>
      <c r="AF598" s="71"/>
      <c r="AG598" s="247">
        <v>161688</v>
      </c>
      <c r="AH598" s="244"/>
      <c r="AI598" s="248"/>
      <c r="AJ598" s="248"/>
      <c r="AK598" s="248"/>
      <c r="AL598" s="536"/>
      <c r="AM598" s="521"/>
      <c r="AN598" s="524"/>
      <c r="AO598" s="536"/>
      <c r="AP598" s="481"/>
      <c r="AQ598" s="165"/>
      <c r="AR598" s="165"/>
      <c r="AS598" s="481"/>
      <c r="AT598" s="481"/>
      <c r="AU598" s="481"/>
      <c r="AV598" s="481"/>
      <c r="AW598" s="486"/>
      <c r="AX598" s="549"/>
      <c r="AY598" s="454"/>
      <c r="AZ598" s="549"/>
      <c r="BA598" s="454"/>
      <c r="BB598" s="481"/>
      <c r="BC598" s="481"/>
      <c r="BD598" s="481"/>
      <c r="BE598" s="481"/>
      <c r="BF598" s="481"/>
      <c r="BG598" s="481"/>
      <c r="BH598" s="481"/>
      <c r="BI598" s="481"/>
      <c r="BJ598" s="481"/>
      <c r="BK598" s="481"/>
      <c r="BL598" s="481"/>
      <c r="BM598" s="481"/>
    </row>
    <row r="599" spans="1:65" ht="89.25" x14ac:dyDescent="0.2">
      <c r="A599" s="472"/>
      <c r="B599" s="475"/>
      <c r="C599" s="478"/>
      <c r="D599" s="414"/>
      <c r="E599" s="481"/>
      <c r="F599" s="414"/>
      <c r="G599" s="426"/>
      <c r="H599" s="133"/>
      <c r="I599" s="140"/>
      <c r="J599" s="140"/>
      <c r="K599" s="486"/>
      <c r="L599" s="409"/>
      <c r="M599" s="409"/>
      <c r="N599" s="437"/>
      <c r="O599" s="436"/>
      <c r="P599" s="509"/>
      <c r="Q599" s="437"/>
      <c r="R599" s="437"/>
      <c r="S599" s="429"/>
      <c r="T599" s="515"/>
      <c r="U599" s="515"/>
      <c r="V599" s="515"/>
      <c r="W599" s="429"/>
      <c r="X599" s="61"/>
      <c r="Y599" s="12" t="s">
        <v>193</v>
      </c>
      <c r="Z599" s="67">
        <v>41988</v>
      </c>
      <c r="AA599" s="242">
        <v>11460</v>
      </c>
      <c r="AB599" s="89" t="s">
        <v>625</v>
      </c>
      <c r="AC599" s="67">
        <v>42004</v>
      </c>
      <c r="AD599" s="67">
        <v>42369</v>
      </c>
      <c r="AE599" s="70">
        <v>3.6543000000000001</v>
      </c>
      <c r="AF599" s="71"/>
      <c r="AG599" s="247">
        <v>167596.56</v>
      </c>
      <c r="AH599" s="244"/>
      <c r="AI599" s="248"/>
      <c r="AJ599" s="248"/>
      <c r="AK599" s="248"/>
      <c r="AL599" s="536"/>
      <c r="AM599" s="521"/>
      <c r="AN599" s="524"/>
      <c r="AO599" s="536"/>
      <c r="AP599" s="481"/>
      <c r="AQ599" s="165"/>
      <c r="AR599" s="165"/>
      <c r="AS599" s="481"/>
      <c r="AT599" s="481"/>
      <c r="AU599" s="481"/>
      <c r="AV599" s="481"/>
      <c r="AW599" s="486"/>
      <c r="AX599" s="549"/>
      <c r="AY599" s="454"/>
      <c r="AZ599" s="549"/>
      <c r="BA599" s="454"/>
      <c r="BB599" s="481"/>
      <c r="BC599" s="481"/>
      <c r="BD599" s="481"/>
      <c r="BE599" s="481"/>
      <c r="BF599" s="481"/>
      <c r="BG599" s="481"/>
      <c r="BH599" s="481"/>
      <c r="BI599" s="481"/>
      <c r="BJ599" s="481"/>
      <c r="BK599" s="481"/>
      <c r="BL599" s="481"/>
      <c r="BM599" s="481"/>
    </row>
    <row r="600" spans="1:65" ht="76.5" x14ac:dyDescent="0.2">
      <c r="A600" s="472"/>
      <c r="B600" s="475"/>
      <c r="C600" s="478"/>
      <c r="D600" s="414"/>
      <c r="E600" s="481"/>
      <c r="F600" s="414"/>
      <c r="G600" s="426"/>
      <c r="H600" s="133"/>
      <c r="I600" s="140"/>
      <c r="J600" s="140"/>
      <c r="K600" s="486"/>
      <c r="L600" s="409"/>
      <c r="M600" s="409"/>
      <c r="N600" s="437"/>
      <c r="O600" s="436"/>
      <c r="P600" s="509"/>
      <c r="Q600" s="437"/>
      <c r="R600" s="437"/>
      <c r="S600" s="429"/>
      <c r="T600" s="515"/>
      <c r="U600" s="515"/>
      <c r="V600" s="515"/>
      <c r="W600" s="429"/>
      <c r="X600" s="61"/>
      <c r="Y600" s="12" t="s">
        <v>194</v>
      </c>
      <c r="Z600" s="67">
        <v>42352</v>
      </c>
      <c r="AA600" s="242">
        <v>11715</v>
      </c>
      <c r="AB600" s="89" t="s">
        <v>624</v>
      </c>
      <c r="AC600" s="67">
        <v>42369</v>
      </c>
      <c r="AD600" s="67">
        <v>42735</v>
      </c>
      <c r="AE600" s="70"/>
      <c r="AF600" s="71"/>
      <c r="AG600" s="247">
        <v>167596.56</v>
      </c>
      <c r="AH600" s="244"/>
      <c r="AI600" s="248"/>
      <c r="AJ600" s="248"/>
      <c r="AK600" s="248"/>
      <c r="AL600" s="536"/>
      <c r="AM600" s="521"/>
      <c r="AN600" s="524"/>
      <c r="AO600" s="536"/>
      <c r="AP600" s="481"/>
      <c r="AQ600" s="165"/>
      <c r="AR600" s="165"/>
      <c r="AS600" s="481"/>
      <c r="AT600" s="481"/>
      <c r="AU600" s="481"/>
      <c r="AV600" s="481"/>
      <c r="AW600" s="486"/>
      <c r="AX600" s="549"/>
      <c r="AY600" s="454"/>
      <c r="AZ600" s="549"/>
      <c r="BA600" s="454"/>
      <c r="BB600" s="481"/>
      <c r="BC600" s="481"/>
      <c r="BD600" s="481"/>
      <c r="BE600" s="481"/>
      <c r="BF600" s="481"/>
      <c r="BG600" s="481"/>
      <c r="BH600" s="481"/>
      <c r="BI600" s="481"/>
      <c r="BJ600" s="481"/>
      <c r="BK600" s="481"/>
      <c r="BL600" s="481"/>
      <c r="BM600" s="481"/>
    </row>
    <row r="601" spans="1:65" ht="76.5" x14ac:dyDescent="0.2">
      <c r="A601" s="473"/>
      <c r="B601" s="476"/>
      <c r="C601" s="479"/>
      <c r="D601" s="415"/>
      <c r="E601" s="482"/>
      <c r="F601" s="415"/>
      <c r="G601" s="406"/>
      <c r="H601" s="30"/>
      <c r="I601" s="191"/>
      <c r="J601" s="191"/>
      <c r="K601" s="412"/>
      <c r="L601" s="406"/>
      <c r="M601" s="406"/>
      <c r="N601" s="428"/>
      <c r="O601" s="428"/>
      <c r="P601" s="428"/>
      <c r="Q601" s="428"/>
      <c r="R601" s="428"/>
      <c r="S601" s="428"/>
      <c r="T601" s="428"/>
      <c r="U601" s="428"/>
      <c r="V601" s="428"/>
      <c r="W601" s="428"/>
      <c r="X601" s="111"/>
      <c r="Y601" s="12" t="s">
        <v>195</v>
      </c>
      <c r="Z601" s="67">
        <v>42723</v>
      </c>
      <c r="AA601" s="242">
        <v>11965</v>
      </c>
      <c r="AB601" s="72" t="s">
        <v>1069</v>
      </c>
      <c r="AC601" s="67">
        <v>42735</v>
      </c>
      <c r="AD601" s="67">
        <v>43100</v>
      </c>
      <c r="AE601" s="70"/>
      <c r="AF601" s="71"/>
      <c r="AG601" s="247">
        <v>167596.56</v>
      </c>
      <c r="AH601" s="244"/>
      <c r="AI601" s="249"/>
      <c r="AJ601" s="249"/>
      <c r="AK601" s="249"/>
      <c r="AL601" s="537"/>
      <c r="AM601" s="522"/>
      <c r="AN601" s="525"/>
      <c r="AO601" s="537"/>
      <c r="AP601" s="482"/>
      <c r="AQ601" s="184"/>
      <c r="AR601" s="184"/>
      <c r="AS601" s="482"/>
      <c r="AT601" s="482"/>
      <c r="AU601" s="482"/>
      <c r="AV601" s="482"/>
      <c r="AW601" s="496"/>
      <c r="AX601" s="550"/>
      <c r="AY601" s="455"/>
      <c r="AZ601" s="550"/>
      <c r="BA601" s="455"/>
      <c r="BB601" s="482"/>
      <c r="BC601" s="482"/>
      <c r="BD601" s="482"/>
      <c r="BE601" s="482"/>
      <c r="BF601" s="482"/>
      <c r="BG601" s="482"/>
      <c r="BH601" s="482"/>
      <c r="BI601" s="482"/>
      <c r="BJ601" s="482"/>
      <c r="BK601" s="482"/>
      <c r="BL601" s="482"/>
      <c r="BM601" s="482"/>
    </row>
    <row r="602" spans="1:65" x14ac:dyDescent="0.2">
      <c r="A602" s="471">
        <v>343</v>
      </c>
      <c r="B602" s="474">
        <v>123180215</v>
      </c>
      <c r="C602" s="477"/>
      <c r="D602" s="413" t="s">
        <v>142</v>
      </c>
      <c r="E602" s="480"/>
      <c r="F602" s="413" t="s">
        <v>1379</v>
      </c>
      <c r="G602" s="425" t="s">
        <v>367</v>
      </c>
      <c r="H602" s="132"/>
      <c r="I602" s="253"/>
      <c r="J602" s="253"/>
      <c r="K602" s="485" t="s">
        <v>309</v>
      </c>
      <c r="L602" s="405" t="s">
        <v>323</v>
      </c>
      <c r="M602" s="405" t="s">
        <v>333</v>
      </c>
      <c r="N602" s="431">
        <v>40940</v>
      </c>
      <c r="O602" s="435">
        <v>115500</v>
      </c>
      <c r="P602" s="508" t="s">
        <v>806</v>
      </c>
      <c r="Q602" s="431">
        <v>40940</v>
      </c>
      <c r="R602" s="431">
        <v>41274</v>
      </c>
      <c r="S602" s="427" t="s">
        <v>146</v>
      </c>
      <c r="T602" s="514"/>
      <c r="U602" s="514"/>
      <c r="V602" s="514"/>
      <c r="W602" s="427" t="s">
        <v>117</v>
      </c>
      <c r="X602" s="60"/>
      <c r="Y602" s="12" t="s">
        <v>138</v>
      </c>
      <c r="Z602" s="67">
        <v>41274</v>
      </c>
      <c r="AA602" s="242">
        <v>10963</v>
      </c>
      <c r="AB602" s="514" t="s">
        <v>378</v>
      </c>
      <c r="AC602" s="67">
        <v>41274</v>
      </c>
      <c r="AD602" s="67">
        <v>41639</v>
      </c>
      <c r="AE602" s="70"/>
      <c r="AF602" s="71"/>
      <c r="AG602" s="247">
        <v>126000</v>
      </c>
      <c r="AH602" s="244"/>
      <c r="AI602" s="245"/>
      <c r="AJ602" s="245"/>
      <c r="AK602" s="245"/>
      <c r="AL602" s="535">
        <f>O602-AH602+AG602-AH603+AG603-AH604+AG604-AH605+AG605-AH606+AG606</f>
        <v>788360.28</v>
      </c>
      <c r="AM602" s="520">
        <f>374568+137930.78+11494.23+11494.23+11494.23+11494.23+11494.23+11494.23+11494.23+11494.23+11494.23+11494.23+11494.23+11494.23</f>
        <v>650429.5399999998</v>
      </c>
      <c r="AN602" s="523">
        <f>11494.23+11494.23+11494.23+11494.23+11494.23+11494.23+11494.23+11494.23+11494.23+11494.23+11494.23</f>
        <v>126436.52999999997</v>
      </c>
      <c r="AO602" s="535">
        <f>AM602+AN602</f>
        <v>776866.06999999983</v>
      </c>
      <c r="AP602" s="480"/>
      <c r="AQ602" s="6"/>
      <c r="AR602" s="6"/>
      <c r="AS602" s="480"/>
      <c r="AT602" s="480"/>
      <c r="AU602" s="480"/>
      <c r="AV602" s="480" t="s">
        <v>122</v>
      </c>
      <c r="AW602" s="485" t="s">
        <v>375</v>
      </c>
      <c r="AX602" s="548" t="s">
        <v>852</v>
      </c>
      <c r="AY602" s="453">
        <v>40974</v>
      </c>
      <c r="AZ602" s="548" t="s">
        <v>852</v>
      </c>
      <c r="BA602" s="453">
        <v>40974</v>
      </c>
      <c r="BB602" s="480"/>
      <c r="BC602" s="480"/>
      <c r="BD602" s="480"/>
      <c r="BE602" s="480"/>
      <c r="BF602" s="480"/>
      <c r="BG602" s="480"/>
      <c r="BH602" s="480"/>
      <c r="BI602" s="480"/>
      <c r="BJ602" s="480"/>
      <c r="BK602" s="480"/>
      <c r="BL602" s="480"/>
      <c r="BM602" s="480"/>
    </row>
    <row r="603" spans="1:65" x14ac:dyDescent="0.2">
      <c r="A603" s="472"/>
      <c r="B603" s="475"/>
      <c r="C603" s="478"/>
      <c r="D603" s="414"/>
      <c r="E603" s="481"/>
      <c r="F603" s="414"/>
      <c r="G603" s="426"/>
      <c r="H603" s="133"/>
      <c r="I603" s="140"/>
      <c r="J603" s="140"/>
      <c r="K603" s="486"/>
      <c r="L603" s="409"/>
      <c r="M603" s="409"/>
      <c r="N603" s="437"/>
      <c r="O603" s="436"/>
      <c r="P603" s="509"/>
      <c r="Q603" s="437"/>
      <c r="R603" s="437"/>
      <c r="S603" s="429"/>
      <c r="T603" s="515"/>
      <c r="U603" s="515"/>
      <c r="V603" s="515"/>
      <c r="W603" s="429"/>
      <c r="X603" s="61"/>
      <c r="Y603" s="12" t="s">
        <v>144</v>
      </c>
      <c r="Z603" s="67">
        <v>41639</v>
      </c>
      <c r="AA603" s="242">
        <v>11218</v>
      </c>
      <c r="AB603" s="519"/>
      <c r="AC603" s="67">
        <v>41639</v>
      </c>
      <c r="AD603" s="67">
        <v>42004</v>
      </c>
      <c r="AE603" s="70">
        <v>5.6095199999999998</v>
      </c>
      <c r="AF603" s="71"/>
      <c r="AG603" s="247">
        <v>133068</v>
      </c>
      <c r="AH603" s="244"/>
      <c r="AI603" s="248"/>
      <c r="AJ603" s="248"/>
      <c r="AK603" s="248"/>
      <c r="AL603" s="536"/>
      <c r="AM603" s="521"/>
      <c r="AN603" s="524"/>
      <c r="AO603" s="536"/>
      <c r="AP603" s="481"/>
      <c r="AQ603" s="165"/>
      <c r="AR603" s="165"/>
      <c r="AS603" s="481"/>
      <c r="AT603" s="481"/>
      <c r="AU603" s="481"/>
      <c r="AV603" s="481"/>
      <c r="AW603" s="486"/>
      <c r="AX603" s="549"/>
      <c r="AY603" s="454"/>
      <c r="AZ603" s="549"/>
      <c r="BA603" s="454"/>
      <c r="BB603" s="481"/>
      <c r="BC603" s="481"/>
      <c r="BD603" s="481"/>
      <c r="BE603" s="481"/>
      <c r="BF603" s="481"/>
      <c r="BG603" s="481"/>
      <c r="BH603" s="481"/>
      <c r="BI603" s="481"/>
      <c r="BJ603" s="481"/>
      <c r="BK603" s="481"/>
      <c r="BL603" s="481"/>
      <c r="BM603" s="481"/>
    </row>
    <row r="604" spans="1:65" ht="89.25" x14ac:dyDescent="0.2">
      <c r="A604" s="472"/>
      <c r="B604" s="475"/>
      <c r="C604" s="478"/>
      <c r="D604" s="414"/>
      <c r="E604" s="481"/>
      <c r="F604" s="414"/>
      <c r="G604" s="426"/>
      <c r="H604" s="133"/>
      <c r="I604" s="140"/>
      <c r="J604" s="140"/>
      <c r="K604" s="486"/>
      <c r="L604" s="409"/>
      <c r="M604" s="409"/>
      <c r="N604" s="437"/>
      <c r="O604" s="436"/>
      <c r="P604" s="509"/>
      <c r="Q604" s="437"/>
      <c r="R604" s="437"/>
      <c r="S604" s="429"/>
      <c r="T604" s="515"/>
      <c r="U604" s="515"/>
      <c r="V604" s="515"/>
      <c r="W604" s="429"/>
      <c r="X604" s="61"/>
      <c r="Y604" s="12" t="s">
        <v>193</v>
      </c>
      <c r="Z604" s="67">
        <v>41988</v>
      </c>
      <c r="AA604" s="242">
        <v>11460</v>
      </c>
      <c r="AB604" s="89" t="s">
        <v>437</v>
      </c>
      <c r="AC604" s="67">
        <v>42004</v>
      </c>
      <c r="AD604" s="67">
        <v>42369</v>
      </c>
      <c r="AE604" s="70">
        <v>3.6543000000000001</v>
      </c>
      <c r="AF604" s="71"/>
      <c r="AG604" s="247">
        <v>137930.76</v>
      </c>
      <c r="AH604" s="244"/>
      <c r="AI604" s="248"/>
      <c r="AJ604" s="248"/>
      <c r="AK604" s="248"/>
      <c r="AL604" s="536"/>
      <c r="AM604" s="521"/>
      <c r="AN604" s="524"/>
      <c r="AO604" s="536"/>
      <c r="AP604" s="481"/>
      <c r="AQ604" s="165"/>
      <c r="AR604" s="165"/>
      <c r="AS604" s="481"/>
      <c r="AT604" s="481"/>
      <c r="AU604" s="481"/>
      <c r="AV604" s="481"/>
      <c r="AW604" s="486"/>
      <c r="AX604" s="549"/>
      <c r="AY604" s="454"/>
      <c r="AZ604" s="549"/>
      <c r="BA604" s="454"/>
      <c r="BB604" s="481"/>
      <c r="BC604" s="481"/>
      <c r="BD604" s="481"/>
      <c r="BE604" s="481"/>
      <c r="BF604" s="481"/>
      <c r="BG604" s="481"/>
      <c r="BH604" s="481"/>
      <c r="BI604" s="481"/>
      <c r="BJ604" s="481"/>
      <c r="BK604" s="481"/>
      <c r="BL604" s="481"/>
      <c r="BM604" s="481"/>
    </row>
    <row r="605" spans="1:65" ht="76.5" x14ac:dyDescent="0.2">
      <c r="A605" s="472"/>
      <c r="B605" s="475"/>
      <c r="C605" s="478"/>
      <c r="D605" s="414"/>
      <c r="E605" s="481"/>
      <c r="F605" s="414"/>
      <c r="G605" s="426"/>
      <c r="H605" s="133"/>
      <c r="I605" s="140"/>
      <c r="J605" s="140"/>
      <c r="K605" s="486"/>
      <c r="L605" s="409"/>
      <c r="M605" s="409"/>
      <c r="N605" s="437"/>
      <c r="O605" s="436"/>
      <c r="P605" s="509"/>
      <c r="Q605" s="437"/>
      <c r="R605" s="437"/>
      <c r="S605" s="429"/>
      <c r="T605" s="515"/>
      <c r="U605" s="515"/>
      <c r="V605" s="515"/>
      <c r="W605" s="429"/>
      <c r="X605" s="61"/>
      <c r="Y605" s="12" t="s">
        <v>194</v>
      </c>
      <c r="Z605" s="67">
        <v>42352</v>
      </c>
      <c r="AA605" s="242">
        <v>11715</v>
      </c>
      <c r="AB605" s="89" t="s">
        <v>623</v>
      </c>
      <c r="AC605" s="67">
        <v>42369</v>
      </c>
      <c r="AD605" s="67">
        <v>42735</v>
      </c>
      <c r="AE605" s="70"/>
      <c r="AF605" s="71"/>
      <c r="AG605" s="247">
        <v>137930.76</v>
      </c>
      <c r="AH605" s="244"/>
      <c r="AI605" s="248"/>
      <c r="AJ605" s="248"/>
      <c r="AK605" s="248"/>
      <c r="AL605" s="536"/>
      <c r="AM605" s="521"/>
      <c r="AN605" s="524"/>
      <c r="AO605" s="536"/>
      <c r="AP605" s="481"/>
      <c r="AQ605" s="165"/>
      <c r="AR605" s="165"/>
      <c r="AS605" s="481"/>
      <c r="AT605" s="481"/>
      <c r="AU605" s="481"/>
      <c r="AV605" s="481"/>
      <c r="AW605" s="486"/>
      <c r="AX605" s="549"/>
      <c r="AY605" s="454"/>
      <c r="AZ605" s="549"/>
      <c r="BA605" s="454"/>
      <c r="BB605" s="481"/>
      <c r="BC605" s="481"/>
      <c r="BD605" s="481"/>
      <c r="BE605" s="481"/>
      <c r="BF605" s="481"/>
      <c r="BG605" s="481"/>
      <c r="BH605" s="481"/>
      <c r="BI605" s="481"/>
      <c r="BJ605" s="481"/>
      <c r="BK605" s="481"/>
      <c r="BL605" s="481"/>
      <c r="BM605" s="481"/>
    </row>
    <row r="606" spans="1:65" ht="76.5" x14ac:dyDescent="0.2">
      <c r="A606" s="473"/>
      <c r="B606" s="476"/>
      <c r="C606" s="479"/>
      <c r="D606" s="415"/>
      <c r="E606" s="482"/>
      <c r="F606" s="415"/>
      <c r="G606" s="406"/>
      <c r="H606" s="30"/>
      <c r="I606" s="191"/>
      <c r="J606" s="191"/>
      <c r="K606" s="412"/>
      <c r="L606" s="406"/>
      <c r="M606" s="406"/>
      <c r="N606" s="428"/>
      <c r="O606" s="428"/>
      <c r="P606" s="428"/>
      <c r="Q606" s="428"/>
      <c r="R606" s="428"/>
      <c r="S606" s="428"/>
      <c r="T606" s="428"/>
      <c r="U606" s="428"/>
      <c r="V606" s="428"/>
      <c r="W606" s="428"/>
      <c r="X606" s="111"/>
      <c r="Y606" s="12" t="s">
        <v>195</v>
      </c>
      <c r="Z606" s="67">
        <v>42723</v>
      </c>
      <c r="AA606" s="242">
        <v>11965</v>
      </c>
      <c r="AB606" s="72" t="s">
        <v>1068</v>
      </c>
      <c r="AC606" s="67">
        <v>42735</v>
      </c>
      <c r="AD606" s="67">
        <v>43100</v>
      </c>
      <c r="AE606" s="70"/>
      <c r="AF606" s="71"/>
      <c r="AG606" s="247">
        <v>137930.76</v>
      </c>
      <c r="AH606" s="244"/>
      <c r="AI606" s="249"/>
      <c r="AJ606" s="249"/>
      <c r="AK606" s="249"/>
      <c r="AL606" s="537"/>
      <c r="AM606" s="522"/>
      <c r="AN606" s="525"/>
      <c r="AO606" s="537"/>
      <c r="AP606" s="482"/>
      <c r="AQ606" s="184"/>
      <c r="AR606" s="184"/>
      <c r="AS606" s="482"/>
      <c r="AT606" s="482"/>
      <c r="AU606" s="482"/>
      <c r="AV606" s="482"/>
      <c r="AW606" s="496"/>
      <c r="AX606" s="550"/>
      <c r="AY606" s="455"/>
      <c r="AZ606" s="550"/>
      <c r="BA606" s="455"/>
      <c r="BB606" s="482"/>
      <c r="BC606" s="482"/>
      <c r="BD606" s="482"/>
      <c r="BE606" s="482"/>
      <c r="BF606" s="482"/>
      <c r="BG606" s="482"/>
      <c r="BH606" s="482"/>
      <c r="BI606" s="482"/>
      <c r="BJ606" s="482"/>
      <c r="BK606" s="482"/>
      <c r="BL606" s="482"/>
      <c r="BM606" s="482"/>
    </row>
    <row r="607" spans="1:65" x14ac:dyDescent="0.2">
      <c r="A607" s="471">
        <v>344</v>
      </c>
      <c r="B607" s="474">
        <v>123180223</v>
      </c>
      <c r="C607" s="477"/>
      <c r="D607" s="413" t="s">
        <v>142</v>
      </c>
      <c r="E607" s="480"/>
      <c r="F607" s="405" t="s">
        <v>1380</v>
      </c>
      <c r="G607" s="425" t="s">
        <v>367</v>
      </c>
      <c r="H607" s="132"/>
      <c r="I607" s="253"/>
      <c r="J607" s="253"/>
      <c r="K607" s="485" t="s">
        <v>310</v>
      </c>
      <c r="L607" s="413" t="s">
        <v>324</v>
      </c>
      <c r="M607" s="494" t="s">
        <v>334</v>
      </c>
      <c r="N607" s="483">
        <v>41052</v>
      </c>
      <c r="O607" s="435">
        <v>47450.03</v>
      </c>
      <c r="P607" s="508" t="s">
        <v>808</v>
      </c>
      <c r="Q607" s="483">
        <v>41052</v>
      </c>
      <c r="R607" s="431">
        <v>41274</v>
      </c>
      <c r="S607" s="427" t="s">
        <v>146</v>
      </c>
      <c r="T607" s="514"/>
      <c r="U607" s="514"/>
      <c r="V607" s="514"/>
      <c r="W607" s="427" t="s">
        <v>137</v>
      </c>
      <c r="X607" s="60"/>
      <c r="Y607" s="12" t="s">
        <v>138</v>
      </c>
      <c r="Z607" s="67">
        <v>41274</v>
      </c>
      <c r="AA607" s="242">
        <v>10963</v>
      </c>
      <c r="AB607" s="514" t="s">
        <v>378</v>
      </c>
      <c r="AC607" s="67">
        <v>41274</v>
      </c>
      <c r="AD607" s="67">
        <v>41639</v>
      </c>
      <c r="AE607" s="70"/>
      <c r="AF607" s="71"/>
      <c r="AG607" s="247">
        <v>78000</v>
      </c>
      <c r="AH607" s="244"/>
      <c r="AI607" s="245"/>
      <c r="AJ607" s="245"/>
      <c r="AK607" s="245"/>
      <c r="AL607" s="535">
        <f>O607-AH607+AG607-AH608+AG608-AH609+AG609-AH610+AG610-AH611+AG611</f>
        <v>463951.91000000003</v>
      </c>
      <c r="AM607" s="520">
        <f>207818.03+85377.96+7114.83+7114.83+7114.83+7114.83+7114.83+7114.83+7114.83+7114.83+7114.83+7114.83+7114.83+7114.83</f>
        <v>378573.95000000019</v>
      </c>
      <c r="AN607" s="523">
        <f>7114.83+7114.83+7114.83+7114.83+7114.83+7114.83+7114.83+7114.83+7114.83+7114.83+7114.83</f>
        <v>78263.13</v>
      </c>
      <c r="AO607" s="535">
        <f>AM607+AN607</f>
        <v>456837.08000000019</v>
      </c>
      <c r="AP607" s="480"/>
      <c r="AQ607" s="6"/>
      <c r="AR607" s="6"/>
      <c r="AS607" s="480"/>
      <c r="AT607" s="480"/>
      <c r="AU607" s="480"/>
      <c r="AV607" s="480" t="s">
        <v>122</v>
      </c>
      <c r="AW607" s="485" t="s">
        <v>375</v>
      </c>
      <c r="AX607" s="548" t="s">
        <v>853</v>
      </c>
      <c r="AY607" s="453">
        <v>41064</v>
      </c>
      <c r="AZ607" s="548" t="s">
        <v>853</v>
      </c>
      <c r="BA607" s="453">
        <v>41064</v>
      </c>
      <c r="BB607" s="480"/>
      <c r="BC607" s="480"/>
      <c r="BD607" s="480"/>
      <c r="BE607" s="480"/>
      <c r="BF607" s="480"/>
      <c r="BG607" s="480"/>
      <c r="BH607" s="480"/>
      <c r="BI607" s="480"/>
      <c r="BJ607" s="480"/>
      <c r="BK607" s="480"/>
      <c r="BL607" s="480"/>
      <c r="BM607" s="480"/>
    </row>
    <row r="608" spans="1:65" x14ac:dyDescent="0.2">
      <c r="A608" s="472"/>
      <c r="B608" s="475"/>
      <c r="C608" s="478"/>
      <c r="D608" s="414"/>
      <c r="E608" s="481"/>
      <c r="F608" s="409"/>
      <c r="G608" s="426"/>
      <c r="H608" s="133"/>
      <c r="I608" s="140"/>
      <c r="J608" s="140"/>
      <c r="K608" s="486"/>
      <c r="L608" s="414"/>
      <c r="M608" s="495"/>
      <c r="N608" s="484"/>
      <c r="O608" s="436"/>
      <c r="P608" s="509"/>
      <c r="Q608" s="484"/>
      <c r="R608" s="437"/>
      <c r="S608" s="429"/>
      <c r="T608" s="515"/>
      <c r="U608" s="515"/>
      <c r="V608" s="515"/>
      <c r="W608" s="429"/>
      <c r="X608" s="61"/>
      <c r="Y608" s="12" t="s">
        <v>144</v>
      </c>
      <c r="Z608" s="67">
        <v>41639</v>
      </c>
      <c r="AA608" s="242">
        <v>11218</v>
      </c>
      <c r="AB608" s="519"/>
      <c r="AC608" s="67">
        <v>41639</v>
      </c>
      <c r="AD608" s="67">
        <v>42004</v>
      </c>
      <c r="AE608" s="252">
        <v>5.6</v>
      </c>
      <c r="AF608" s="71"/>
      <c r="AG608" s="247">
        <v>82368</v>
      </c>
      <c r="AH608" s="244"/>
      <c r="AI608" s="248"/>
      <c r="AJ608" s="248"/>
      <c r="AK608" s="248"/>
      <c r="AL608" s="536"/>
      <c r="AM608" s="521"/>
      <c r="AN608" s="524"/>
      <c r="AO608" s="536"/>
      <c r="AP608" s="481"/>
      <c r="AQ608" s="165"/>
      <c r="AR608" s="165"/>
      <c r="AS608" s="481"/>
      <c r="AT608" s="481"/>
      <c r="AU608" s="481"/>
      <c r="AV608" s="481"/>
      <c r="AW608" s="486"/>
      <c r="AX608" s="549"/>
      <c r="AY608" s="454"/>
      <c r="AZ608" s="549"/>
      <c r="BA608" s="454"/>
      <c r="BB608" s="481"/>
      <c r="BC608" s="481"/>
      <c r="BD608" s="481"/>
      <c r="BE608" s="481"/>
      <c r="BF608" s="481"/>
      <c r="BG608" s="481"/>
      <c r="BH608" s="481"/>
      <c r="BI608" s="481"/>
      <c r="BJ608" s="481"/>
      <c r="BK608" s="481"/>
      <c r="BL608" s="481"/>
      <c r="BM608" s="481"/>
    </row>
    <row r="609" spans="1:65" ht="76.5" x14ac:dyDescent="0.2">
      <c r="A609" s="472"/>
      <c r="B609" s="475"/>
      <c r="C609" s="478"/>
      <c r="D609" s="414"/>
      <c r="E609" s="481"/>
      <c r="F609" s="409"/>
      <c r="G609" s="426"/>
      <c r="H609" s="133"/>
      <c r="I609" s="140"/>
      <c r="J609" s="140"/>
      <c r="K609" s="486"/>
      <c r="L609" s="414"/>
      <c r="M609" s="495"/>
      <c r="N609" s="484"/>
      <c r="O609" s="436"/>
      <c r="P609" s="509"/>
      <c r="Q609" s="484"/>
      <c r="R609" s="437"/>
      <c r="S609" s="429"/>
      <c r="T609" s="515"/>
      <c r="U609" s="515"/>
      <c r="V609" s="515"/>
      <c r="W609" s="429"/>
      <c r="X609" s="61"/>
      <c r="Y609" s="12" t="s">
        <v>193</v>
      </c>
      <c r="Z609" s="67">
        <v>41988</v>
      </c>
      <c r="AA609" s="242">
        <v>11460</v>
      </c>
      <c r="AB609" s="89" t="s">
        <v>439</v>
      </c>
      <c r="AC609" s="67">
        <v>42004</v>
      </c>
      <c r="AD609" s="67">
        <v>42369</v>
      </c>
      <c r="AE609" s="252">
        <v>3.6543000000000001</v>
      </c>
      <c r="AF609" s="71"/>
      <c r="AG609" s="247">
        <v>85377.96</v>
      </c>
      <c r="AH609" s="244"/>
      <c r="AI609" s="248"/>
      <c r="AJ609" s="248"/>
      <c r="AK609" s="248"/>
      <c r="AL609" s="536"/>
      <c r="AM609" s="521"/>
      <c r="AN609" s="524"/>
      <c r="AO609" s="536"/>
      <c r="AP609" s="481"/>
      <c r="AQ609" s="165"/>
      <c r="AR609" s="165"/>
      <c r="AS609" s="481"/>
      <c r="AT609" s="481"/>
      <c r="AU609" s="481"/>
      <c r="AV609" s="481"/>
      <c r="AW609" s="486"/>
      <c r="AX609" s="549"/>
      <c r="AY609" s="454"/>
      <c r="AZ609" s="549"/>
      <c r="BA609" s="454"/>
      <c r="BB609" s="481"/>
      <c r="BC609" s="481"/>
      <c r="BD609" s="481"/>
      <c r="BE609" s="481"/>
      <c r="BF609" s="481"/>
      <c r="BG609" s="481"/>
      <c r="BH609" s="481"/>
      <c r="BI609" s="481"/>
      <c r="BJ609" s="481"/>
      <c r="BK609" s="481"/>
      <c r="BL609" s="481"/>
      <c r="BM609" s="481"/>
    </row>
    <row r="610" spans="1:65" ht="76.5" x14ac:dyDescent="0.2">
      <c r="A610" s="472"/>
      <c r="B610" s="475"/>
      <c r="C610" s="478"/>
      <c r="D610" s="414"/>
      <c r="E610" s="481"/>
      <c r="F610" s="409"/>
      <c r="G610" s="426"/>
      <c r="H610" s="133"/>
      <c r="I610" s="140"/>
      <c r="J610" s="140"/>
      <c r="K610" s="486"/>
      <c r="L610" s="414"/>
      <c r="M610" s="495"/>
      <c r="N610" s="484"/>
      <c r="O610" s="436"/>
      <c r="P610" s="509"/>
      <c r="Q610" s="484"/>
      <c r="R610" s="437"/>
      <c r="S610" s="429"/>
      <c r="T610" s="515"/>
      <c r="U610" s="515"/>
      <c r="V610" s="515"/>
      <c r="W610" s="429"/>
      <c r="X610" s="61"/>
      <c r="Y610" s="12" t="s">
        <v>194</v>
      </c>
      <c r="Z610" s="67">
        <v>42352</v>
      </c>
      <c r="AA610" s="242">
        <v>11715</v>
      </c>
      <c r="AB610" s="89" t="s">
        <v>628</v>
      </c>
      <c r="AC610" s="67">
        <v>42369</v>
      </c>
      <c r="AD610" s="67">
        <v>42735</v>
      </c>
      <c r="AE610" s="252"/>
      <c r="AF610" s="71"/>
      <c r="AG610" s="247">
        <v>85377.96</v>
      </c>
      <c r="AH610" s="244"/>
      <c r="AI610" s="248"/>
      <c r="AJ610" s="248"/>
      <c r="AK610" s="248"/>
      <c r="AL610" s="536"/>
      <c r="AM610" s="521"/>
      <c r="AN610" s="524"/>
      <c r="AO610" s="536"/>
      <c r="AP610" s="481"/>
      <c r="AQ610" s="165"/>
      <c r="AR610" s="165"/>
      <c r="AS610" s="481"/>
      <c r="AT610" s="481"/>
      <c r="AU610" s="481"/>
      <c r="AV610" s="481"/>
      <c r="AW610" s="486"/>
      <c r="AX610" s="549"/>
      <c r="AY610" s="454"/>
      <c r="AZ610" s="549"/>
      <c r="BA610" s="454"/>
      <c r="BB610" s="481"/>
      <c r="BC610" s="481"/>
      <c r="BD610" s="481"/>
      <c r="BE610" s="481"/>
      <c r="BF610" s="481"/>
      <c r="BG610" s="481"/>
      <c r="BH610" s="481"/>
      <c r="BI610" s="481"/>
      <c r="BJ610" s="481"/>
      <c r="BK610" s="481"/>
      <c r="BL610" s="481"/>
      <c r="BM610" s="481"/>
    </row>
    <row r="611" spans="1:65" ht="76.5" x14ac:dyDescent="0.2">
      <c r="A611" s="473"/>
      <c r="B611" s="476"/>
      <c r="C611" s="479"/>
      <c r="D611" s="415"/>
      <c r="E611" s="482"/>
      <c r="F611" s="406"/>
      <c r="G611" s="406"/>
      <c r="H611" s="30"/>
      <c r="I611" s="191"/>
      <c r="J611" s="191"/>
      <c r="K611" s="412"/>
      <c r="L611" s="406"/>
      <c r="M611" s="406"/>
      <c r="N611" s="428"/>
      <c r="O611" s="428"/>
      <c r="P611" s="428"/>
      <c r="Q611" s="428"/>
      <c r="R611" s="428"/>
      <c r="S611" s="428"/>
      <c r="T611" s="428"/>
      <c r="U611" s="428"/>
      <c r="V611" s="428"/>
      <c r="W611" s="428"/>
      <c r="X611" s="111"/>
      <c r="Y611" s="12" t="s">
        <v>419</v>
      </c>
      <c r="Z611" s="67">
        <v>42723</v>
      </c>
      <c r="AA611" s="242">
        <v>11965</v>
      </c>
      <c r="AB611" s="72" t="s">
        <v>628</v>
      </c>
      <c r="AC611" s="67">
        <v>42735</v>
      </c>
      <c r="AD611" s="67">
        <v>43100</v>
      </c>
      <c r="AE611" s="252"/>
      <c r="AF611" s="71"/>
      <c r="AG611" s="247">
        <v>85377.96</v>
      </c>
      <c r="AH611" s="244"/>
      <c r="AI611" s="249"/>
      <c r="AJ611" s="249"/>
      <c r="AK611" s="249"/>
      <c r="AL611" s="537"/>
      <c r="AM611" s="522"/>
      <c r="AN611" s="525"/>
      <c r="AO611" s="537"/>
      <c r="AP611" s="482"/>
      <c r="AQ611" s="184"/>
      <c r="AR611" s="184"/>
      <c r="AS611" s="482"/>
      <c r="AT611" s="482"/>
      <c r="AU611" s="482"/>
      <c r="AV611" s="482"/>
      <c r="AW611" s="496"/>
      <c r="AX611" s="550"/>
      <c r="AY611" s="455"/>
      <c r="AZ611" s="550"/>
      <c r="BA611" s="455"/>
      <c r="BB611" s="482"/>
      <c r="BC611" s="482"/>
      <c r="BD611" s="482"/>
      <c r="BE611" s="482"/>
      <c r="BF611" s="482"/>
      <c r="BG611" s="482"/>
      <c r="BH611" s="482"/>
      <c r="BI611" s="482"/>
      <c r="BJ611" s="482"/>
      <c r="BK611" s="482"/>
      <c r="BL611" s="482"/>
      <c r="BM611" s="482"/>
    </row>
    <row r="612" spans="1:65" x14ac:dyDescent="0.2">
      <c r="A612" s="471">
        <v>345</v>
      </c>
      <c r="B612" s="474">
        <v>123180224</v>
      </c>
      <c r="C612" s="477"/>
      <c r="D612" s="413" t="s">
        <v>142</v>
      </c>
      <c r="E612" s="480"/>
      <c r="F612" s="405" t="s">
        <v>1381</v>
      </c>
      <c r="G612" s="425" t="s">
        <v>367</v>
      </c>
      <c r="H612" s="132"/>
      <c r="I612" s="253"/>
      <c r="J612" s="253"/>
      <c r="K612" s="485" t="s">
        <v>124</v>
      </c>
      <c r="L612" s="413" t="s">
        <v>324</v>
      </c>
      <c r="M612" s="494" t="s">
        <v>334</v>
      </c>
      <c r="N612" s="483">
        <v>41052</v>
      </c>
      <c r="O612" s="435">
        <v>43887.6</v>
      </c>
      <c r="P612" s="508" t="s">
        <v>808</v>
      </c>
      <c r="Q612" s="431">
        <v>41052</v>
      </c>
      <c r="R612" s="431">
        <v>41274</v>
      </c>
      <c r="S612" s="427" t="s">
        <v>146</v>
      </c>
      <c r="T612" s="514"/>
      <c r="U612" s="514"/>
      <c r="V612" s="514"/>
      <c r="W612" s="427" t="s">
        <v>137</v>
      </c>
      <c r="X612" s="60"/>
      <c r="Y612" s="12" t="s">
        <v>138</v>
      </c>
      <c r="Z612" s="67">
        <v>41274</v>
      </c>
      <c r="AA612" s="242">
        <v>10963</v>
      </c>
      <c r="AB612" s="514" t="s">
        <v>378</v>
      </c>
      <c r="AC612" s="67">
        <v>41274</v>
      </c>
      <c r="AD612" s="67">
        <v>41639</v>
      </c>
      <c r="AE612" s="70"/>
      <c r="AF612" s="71"/>
      <c r="AG612" s="247">
        <v>72144</v>
      </c>
      <c r="AH612" s="244"/>
      <c r="AI612" s="245"/>
      <c r="AJ612" s="245"/>
      <c r="AK612" s="245"/>
      <c r="AL612" s="535">
        <f>O612-AH612+AG612-AH613+AG613-AH614+AG614-AH615+AG615-AH616+AG616</f>
        <v>429135.95999999996</v>
      </c>
      <c r="AM612" s="520">
        <f>192219.6+78972.07+6581.01+6581.01+6581.01+6581.01+6581.01+6581.01+6581.01+6581.01+6581.01+6581.01+6581.01+6581.01</f>
        <v>350163.79000000015</v>
      </c>
      <c r="AN612" s="523">
        <f>6581.01+6581.01+6581.01+6581.01+6581.01+6581.01+6581.01+6581.01+6581.01+6581.01+6581.01</f>
        <v>72391.11</v>
      </c>
      <c r="AO612" s="505">
        <f>AM612+AN612</f>
        <v>422554.90000000014</v>
      </c>
      <c r="AP612" s="439"/>
      <c r="AQ612" s="132"/>
      <c r="AR612" s="132"/>
      <c r="AS612" s="439"/>
      <c r="AT612" s="480"/>
      <c r="AU612" s="480"/>
      <c r="AV612" s="480" t="s">
        <v>122</v>
      </c>
      <c r="AW612" s="485" t="s">
        <v>375</v>
      </c>
      <c r="AX612" s="548" t="s">
        <v>853</v>
      </c>
      <c r="AY612" s="453">
        <v>41064</v>
      </c>
      <c r="AZ612" s="548" t="s">
        <v>853</v>
      </c>
      <c r="BA612" s="453">
        <v>41064</v>
      </c>
      <c r="BB612" s="480"/>
      <c r="BC612" s="480"/>
      <c r="BD612" s="480"/>
      <c r="BE612" s="480"/>
      <c r="BF612" s="480"/>
      <c r="BG612" s="480"/>
      <c r="BH612" s="480"/>
      <c r="BI612" s="480"/>
      <c r="BJ612" s="480"/>
      <c r="BK612" s="480"/>
      <c r="BL612" s="480"/>
      <c r="BM612" s="480"/>
    </row>
    <row r="613" spans="1:65" x14ac:dyDescent="0.2">
      <c r="A613" s="472"/>
      <c r="B613" s="475"/>
      <c r="C613" s="478"/>
      <c r="D613" s="414"/>
      <c r="E613" s="481"/>
      <c r="F613" s="409"/>
      <c r="G613" s="426"/>
      <c r="H613" s="133"/>
      <c r="I613" s="140"/>
      <c r="J613" s="140"/>
      <c r="K613" s="486"/>
      <c r="L613" s="414"/>
      <c r="M613" s="495"/>
      <c r="N613" s="484"/>
      <c r="O613" s="436"/>
      <c r="P613" s="509"/>
      <c r="Q613" s="437"/>
      <c r="R613" s="437"/>
      <c r="S613" s="429"/>
      <c r="T613" s="515"/>
      <c r="U613" s="515"/>
      <c r="V613" s="515"/>
      <c r="W613" s="429"/>
      <c r="X613" s="61"/>
      <c r="Y613" s="12" t="s">
        <v>144</v>
      </c>
      <c r="Z613" s="67">
        <v>41639</v>
      </c>
      <c r="AA613" s="242">
        <v>11218</v>
      </c>
      <c r="AB613" s="519"/>
      <c r="AC613" s="67">
        <v>41639</v>
      </c>
      <c r="AD613" s="67">
        <v>42004</v>
      </c>
      <c r="AE613" s="70">
        <v>5.6054500000000003</v>
      </c>
      <c r="AF613" s="71"/>
      <c r="AG613" s="247">
        <v>76188</v>
      </c>
      <c r="AH613" s="244"/>
      <c r="AI613" s="248"/>
      <c r="AJ613" s="248"/>
      <c r="AK613" s="248"/>
      <c r="AL613" s="536"/>
      <c r="AM613" s="521"/>
      <c r="AN613" s="524"/>
      <c r="AO613" s="506"/>
      <c r="AP613" s="458"/>
      <c r="AQ613" s="133"/>
      <c r="AR613" s="133"/>
      <c r="AS613" s="458"/>
      <c r="AT613" s="481"/>
      <c r="AU613" s="481"/>
      <c r="AV613" s="481"/>
      <c r="AW613" s="486"/>
      <c r="AX613" s="549"/>
      <c r="AY613" s="454"/>
      <c r="AZ613" s="549"/>
      <c r="BA613" s="454"/>
      <c r="BB613" s="481"/>
      <c r="BC613" s="481"/>
      <c r="BD613" s="481"/>
      <c r="BE613" s="481"/>
      <c r="BF613" s="481"/>
      <c r="BG613" s="481"/>
      <c r="BH613" s="481"/>
      <c r="BI613" s="481"/>
      <c r="BJ613" s="481"/>
      <c r="BK613" s="481"/>
      <c r="BL613" s="481"/>
      <c r="BM613" s="481"/>
    </row>
    <row r="614" spans="1:65" ht="76.5" x14ac:dyDescent="0.2">
      <c r="A614" s="472"/>
      <c r="B614" s="475"/>
      <c r="C614" s="478"/>
      <c r="D614" s="414"/>
      <c r="E614" s="481"/>
      <c r="F614" s="409"/>
      <c r="G614" s="426"/>
      <c r="H614" s="133"/>
      <c r="I614" s="140"/>
      <c r="J614" s="140"/>
      <c r="K614" s="486"/>
      <c r="L614" s="414"/>
      <c r="M614" s="495"/>
      <c r="N614" s="484"/>
      <c r="O614" s="436"/>
      <c r="P614" s="509"/>
      <c r="Q614" s="437"/>
      <c r="R614" s="437"/>
      <c r="S614" s="429"/>
      <c r="T614" s="515"/>
      <c r="U614" s="515"/>
      <c r="V614" s="515"/>
      <c r="W614" s="429"/>
      <c r="X614" s="61"/>
      <c r="Y614" s="12" t="s">
        <v>193</v>
      </c>
      <c r="Z614" s="67">
        <v>41988</v>
      </c>
      <c r="AA614" s="242">
        <v>11460</v>
      </c>
      <c r="AB614" s="89" t="s">
        <v>438</v>
      </c>
      <c r="AC614" s="67">
        <v>42004</v>
      </c>
      <c r="AD614" s="67">
        <v>42369</v>
      </c>
      <c r="AE614" s="70">
        <v>3.6543000000000001</v>
      </c>
      <c r="AF614" s="71"/>
      <c r="AG614" s="247">
        <v>78972.12</v>
      </c>
      <c r="AH614" s="244"/>
      <c r="AI614" s="248"/>
      <c r="AJ614" s="248"/>
      <c r="AK614" s="248"/>
      <c r="AL614" s="536"/>
      <c r="AM614" s="521"/>
      <c r="AN614" s="524"/>
      <c r="AO614" s="506"/>
      <c r="AP614" s="458"/>
      <c r="AQ614" s="133"/>
      <c r="AR614" s="133"/>
      <c r="AS614" s="458"/>
      <c r="AT614" s="481"/>
      <c r="AU614" s="481"/>
      <c r="AV614" s="481"/>
      <c r="AW614" s="486"/>
      <c r="AX614" s="549"/>
      <c r="AY614" s="454"/>
      <c r="AZ614" s="549"/>
      <c r="BA614" s="454"/>
      <c r="BB614" s="481"/>
      <c r="BC614" s="481"/>
      <c r="BD614" s="481"/>
      <c r="BE614" s="481"/>
      <c r="BF614" s="481"/>
      <c r="BG614" s="481"/>
      <c r="BH614" s="481"/>
      <c r="BI614" s="481"/>
      <c r="BJ614" s="481"/>
      <c r="BK614" s="481"/>
      <c r="BL614" s="481"/>
      <c r="BM614" s="481"/>
    </row>
    <row r="615" spans="1:65" ht="76.5" x14ac:dyDescent="0.2">
      <c r="A615" s="472"/>
      <c r="B615" s="475"/>
      <c r="C615" s="478"/>
      <c r="D615" s="414"/>
      <c r="E615" s="481"/>
      <c r="F615" s="409"/>
      <c r="G615" s="426"/>
      <c r="H615" s="133"/>
      <c r="I615" s="140"/>
      <c r="J615" s="140"/>
      <c r="K615" s="486"/>
      <c r="L615" s="414"/>
      <c r="M615" s="495"/>
      <c r="N615" s="484"/>
      <c r="O615" s="436"/>
      <c r="P615" s="509"/>
      <c r="Q615" s="437"/>
      <c r="R615" s="437"/>
      <c r="S615" s="429"/>
      <c r="T615" s="515"/>
      <c r="U615" s="515"/>
      <c r="V615" s="515"/>
      <c r="W615" s="429"/>
      <c r="X615" s="61"/>
      <c r="Y615" s="12" t="s">
        <v>194</v>
      </c>
      <c r="Z615" s="67">
        <v>42352</v>
      </c>
      <c r="AA615" s="242">
        <v>11715</v>
      </c>
      <c r="AB615" s="89" t="s">
        <v>627</v>
      </c>
      <c r="AC615" s="67">
        <v>42369</v>
      </c>
      <c r="AD615" s="67">
        <v>42735</v>
      </c>
      <c r="AE615" s="70"/>
      <c r="AF615" s="71"/>
      <c r="AG615" s="247">
        <v>78972.12</v>
      </c>
      <c r="AH615" s="244"/>
      <c r="AI615" s="248"/>
      <c r="AJ615" s="248"/>
      <c r="AK615" s="248"/>
      <c r="AL615" s="536"/>
      <c r="AM615" s="521"/>
      <c r="AN615" s="524"/>
      <c r="AO615" s="506"/>
      <c r="AP615" s="458"/>
      <c r="AQ615" s="133"/>
      <c r="AR615" s="133"/>
      <c r="AS615" s="458"/>
      <c r="AT615" s="481"/>
      <c r="AU615" s="481"/>
      <c r="AV615" s="481"/>
      <c r="AW615" s="486"/>
      <c r="AX615" s="549"/>
      <c r="AY615" s="454"/>
      <c r="AZ615" s="549"/>
      <c r="BA615" s="454"/>
      <c r="BB615" s="481"/>
      <c r="BC615" s="481"/>
      <c r="BD615" s="481"/>
      <c r="BE615" s="481"/>
      <c r="BF615" s="481"/>
      <c r="BG615" s="481"/>
      <c r="BH615" s="481"/>
      <c r="BI615" s="481"/>
      <c r="BJ615" s="481"/>
      <c r="BK615" s="481"/>
      <c r="BL615" s="481"/>
      <c r="BM615" s="481"/>
    </row>
    <row r="616" spans="1:65" ht="76.5" x14ac:dyDescent="0.2">
      <c r="A616" s="473"/>
      <c r="B616" s="476"/>
      <c r="C616" s="479"/>
      <c r="D616" s="415"/>
      <c r="E616" s="482"/>
      <c r="F616" s="406"/>
      <c r="G616" s="406"/>
      <c r="H616" s="30"/>
      <c r="I616" s="191"/>
      <c r="J616" s="191"/>
      <c r="K616" s="412"/>
      <c r="L616" s="406"/>
      <c r="M616" s="406"/>
      <c r="N616" s="428"/>
      <c r="O616" s="428"/>
      <c r="P616" s="428"/>
      <c r="Q616" s="428"/>
      <c r="R616" s="428"/>
      <c r="S616" s="428"/>
      <c r="T616" s="428"/>
      <c r="U616" s="428"/>
      <c r="V616" s="428"/>
      <c r="W616" s="428"/>
      <c r="X616" s="111"/>
      <c r="Y616" s="12" t="s">
        <v>195</v>
      </c>
      <c r="Z616" s="67">
        <v>42723</v>
      </c>
      <c r="AA616" s="242">
        <v>11965</v>
      </c>
      <c r="AB616" s="89" t="s">
        <v>1071</v>
      </c>
      <c r="AC616" s="67">
        <v>42735</v>
      </c>
      <c r="AD616" s="67">
        <v>43100</v>
      </c>
      <c r="AE616" s="70"/>
      <c r="AF616" s="71"/>
      <c r="AG616" s="247">
        <v>78972.12</v>
      </c>
      <c r="AH616" s="244"/>
      <c r="AI616" s="249"/>
      <c r="AJ616" s="249"/>
      <c r="AK616" s="249"/>
      <c r="AL616" s="537"/>
      <c r="AM616" s="522"/>
      <c r="AN616" s="525"/>
      <c r="AO616" s="507"/>
      <c r="AP616" s="440"/>
      <c r="AQ616" s="134"/>
      <c r="AR616" s="134"/>
      <c r="AS616" s="440"/>
      <c r="AT616" s="482"/>
      <c r="AU616" s="482"/>
      <c r="AV616" s="482"/>
      <c r="AW616" s="496"/>
      <c r="AX616" s="550"/>
      <c r="AY616" s="455"/>
      <c r="AZ616" s="550"/>
      <c r="BA616" s="455"/>
      <c r="BB616" s="482"/>
      <c r="BC616" s="482"/>
      <c r="BD616" s="482"/>
      <c r="BE616" s="482"/>
      <c r="BF616" s="482"/>
      <c r="BG616" s="482"/>
      <c r="BH616" s="482"/>
      <c r="BI616" s="482"/>
      <c r="BJ616" s="482"/>
      <c r="BK616" s="482"/>
      <c r="BL616" s="482"/>
      <c r="BM616" s="482"/>
    </row>
    <row r="617" spans="1:65" ht="25.5" x14ac:dyDescent="0.2">
      <c r="A617" s="471">
        <v>346</v>
      </c>
      <c r="B617" s="474">
        <v>123180210</v>
      </c>
      <c r="C617" s="477"/>
      <c r="D617" s="413" t="s">
        <v>142</v>
      </c>
      <c r="E617" s="480"/>
      <c r="F617" s="413" t="s">
        <v>1382</v>
      </c>
      <c r="G617" s="425" t="s">
        <v>367</v>
      </c>
      <c r="H617" s="132"/>
      <c r="I617" s="253"/>
      <c r="J617" s="253"/>
      <c r="K617" s="485" t="s">
        <v>311</v>
      </c>
      <c r="L617" s="405" t="s">
        <v>323</v>
      </c>
      <c r="M617" s="405" t="s">
        <v>333</v>
      </c>
      <c r="N617" s="431">
        <v>40940</v>
      </c>
      <c r="O617" s="435">
        <v>371250</v>
      </c>
      <c r="P617" s="508" t="s">
        <v>806</v>
      </c>
      <c r="Q617" s="431">
        <v>40940</v>
      </c>
      <c r="R617" s="431">
        <v>41274</v>
      </c>
      <c r="S617" s="427" t="s">
        <v>146</v>
      </c>
      <c r="T617" s="514"/>
      <c r="U617" s="514"/>
      <c r="V617" s="514"/>
      <c r="W617" s="427" t="s">
        <v>117</v>
      </c>
      <c r="X617" s="60"/>
      <c r="Y617" s="12" t="s">
        <v>138</v>
      </c>
      <c r="Z617" s="67">
        <v>41274</v>
      </c>
      <c r="AA617" s="242">
        <v>10963</v>
      </c>
      <c r="AB617" s="71" t="s">
        <v>378</v>
      </c>
      <c r="AC617" s="67">
        <v>41274</v>
      </c>
      <c r="AD617" s="67">
        <v>41639</v>
      </c>
      <c r="AE617" s="70"/>
      <c r="AF617" s="71"/>
      <c r="AG617" s="247">
        <v>405000</v>
      </c>
      <c r="AH617" s="244"/>
      <c r="AI617" s="245"/>
      <c r="AJ617" s="245"/>
      <c r="AK617" s="245"/>
      <c r="AL617" s="535">
        <f>O617-AH617+AG617-AH618+AG618-AH619+AG619-AH620+AG620-AH621+AG621-AH622+AG622-AH623+AG623-AH624+AG624-AH625+AG625</f>
        <v>3420890.41</v>
      </c>
      <c r="AM617" s="520">
        <f>1438606.77+653485.48+55366.59+55366.59+55366.59+55366.59+55366.59+55366.59+55366.59+55366.59+55366.59+55366.59+55366.59+55366.59</f>
        <v>2756491.3299999982</v>
      </c>
      <c r="AN617" s="523">
        <f>55366.59+55366.59+55366.59+55366.59+55366.59+55366.59+55366.59+55366.59+55366.59+55366.59+55366.59</f>
        <v>609032.48999999976</v>
      </c>
      <c r="AO617" s="535">
        <f>AM617+AN617</f>
        <v>3365523.819999998</v>
      </c>
      <c r="AP617" s="480"/>
      <c r="AQ617" s="6"/>
      <c r="AR617" s="6"/>
      <c r="AS617" s="480"/>
      <c r="AT617" s="480"/>
      <c r="AU617" s="480"/>
      <c r="AV617" s="480" t="s">
        <v>122</v>
      </c>
      <c r="AW617" s="485" t="s">
        <v>375</v>
      </c>
      <c r="AX617" s="548" t="s">
        <v>852</v>
      </c>
      <c r="AY617" s="453">
        <v>40974</v>
      </c>
      <c r="AZ617" s="548" t="s">
        <v>852</v>
      </c>
      <c r="BA617" s="453">
        <v>40974</v>
      </c>
      <c r="BB617" s="480"/>
      <c r="BC617" s="480"/>
      <c r="BD617" s="480"/>
      <c r="BE617" s="480"/>
      <c r="BF617" s="480"/>
      <c r="BG617" s="480"/>
      <c r="BH617" s="480"/>
      <c r="BI617" s="480"/>
      <c r="BJ617" s="480"/>
      <c r="BK617" s="480"/>
      <c r="BL617" s="480"/>
      <c r="BM617" s="480"/>
    </row>
    <row r="618" spans="1:65" ht="25.5" x14ac:dyDescent="0.2">
      <c r="A618" s="472"/>
      <c r="B618" s="475"/>
      <c r="C618" s="478"/>
      <c r="D618" s="414"/>
      <c r="E618" s="481"/>
      <c r="F618" s="414"/>
      <c r="G618" s="426"/>
      <c r="H618" s="133"/>
      <c r="I618" s="140"/>
      <c r="J618" s="140"/>
      <c r="K618" s="486"/>
      <c r="L618" s="409"/>
      <c r="M618" s="409"/>
      <c r="N618" s="437"/>
      <c r="O618" s="436"/>
      <c r="P618" s="509"/>
      <c r="Q618" s="437"/>
      <c r="R618" s="437"/>
      <c r="S618" s="429"/>
      <c r="T618" s="515"/>
      <c r="U618" s="515"/>
      <c r="V618" s="515"/>
      <c r="W618" s="429"/>
      <c r="X618" s="61"/>
      <c r="Y618" s="12" t="s">
        <v>144</v>
      </c>
      <c r="Z618" s="67">
        <v>41548</v>
      </c>
      <c r="AA618" s="242">
        <v>11178</v>
      </c>
      <c r="AB618" s="71" t="s">
        <v>382</v>
      </c>
      <c r="AC618" s="67">
        <v>41306</v>
      </c>
      <c r="AD618" s="67">
        <v>41639</v>
      </c>
      <c r="AE618" s="252">
        <v>8.2866</v>
      </c>
      <c r="AF618" s="71"/>
      <c r="AG618" s="247">
        <v>30764.03</v>
      </c>
      <c r="AH618" s="244"/>
      <c r="AI618" s="248"/>
      <c r="AJ618" s="248"/>
      <c r="AK618" s="248"/>
      <c r="AL618" s="536"/>
      <c r="AM618" s="521"/>
      <c r="AN618" s="524"/>
      <c r="AO618" s="536"/>
      <c r="AP618" s="481"/>
      <c r="AQ618" s="165"/>
      <c r="AR618" s="165"/>
      <c r="AS618" s="481"/>
      <c r="AT618" s="481"/>
      <c r="AU618" s="481"/>
      <c r="AV618" s="481"/>
      <c r="AW618" s="486"/>
      <c r="AX618" s="549"/>
      <c r="AY618" s="454"/>
      <c r="AZ618" s="549"/>
      <c r="BA618" s="454"/>
      <c r="BB618" s="481"/>
      <c r="BC618" s="481"/>
      <c r="BD618" s="481"/>
      <c r="BE618" s="481"/>
      <c r="BF618" s="481"/>
      <c r="BG618" s="481"/>
      <c r="BH618" s="481"/>
      <c r="BI618" s="481"/>
      <c r="BJ618" s="481"/>
      <c r="BK618" s="481"/>
      <c r="BL618" s="481"/>
      <c r="BM618" s="481"/>
    </row>
    <row r="619" spans="1:65" ht="25.5" x14ac:dyDescent="0.2">
      <c r="A619" s="472"/>
      <c r="B619" s="475"/>
      <c r="C619" s="478"/>
      <c r="D619" s="414"/>
      <c r="E619" s="481"/>
      <c r="F619" s="414"/>
      <c r="G619" s="426"/>
      <c r="H619" s="133"/>
      <c r="I619" s="140"/>
      <c r="J619" s="140"/>
      <c r="K619" s="486"/>
      <c r="L619" s="409"/>
      <c r="M619" s="409"/>
      <c r="N619" s="437"/>
      <c r="O619" s="436"/>
      <c r="P619" s="509"/>
      <c r="Q619" s="437"/>
      <c r="R619" s="437"/>
      <c r="S619" s="429"/>
      <c r="T619" s="515"/>
      <c r="U619" s="515"/>
      <c r="V619" s="515"/>
      <c r="W619" s="429"/>
      <c r="X619" s="61"/>
      <c r="Y619" s="12" t="s">
        <v>193</v>
      </c>
      <c r="Z619" s="67">
        <v>41548</v>
      </c>
      <c r="AA619" s="242">
        <v>11178</v>
      </c>
      <c r="AB619" s="71" t="s">
        <v>2053</v>
      </c>
      <c r="AC619" s="67">
        <v>41306</v>
      </c>
      <c r="AD619" s="67">
        <v>41639</v>
      </c>
      <c r="AE619" s="70">
        <v>26.18975</v>
      </c>
      <c r="AF619" s="71"/>
      <c r="AG619" s="247">
        <v>28714.5</v>
      </c>
      <c r="AH619" s="244"/>
      <c r="AI619" s="248"/>
      <c r="AJ619" s="248"/>
      <c r="AK619" s="248"/>
      <c r="AL619" s="536"/>
      <c r="AM619" s="521"/>
      <c r="AN619" s="524"/>
      <c r="AO619" s="536"/>
      <c r="AP619" s="481"/>
      <c r="AQ619" s="165"/>
      <c r="AR619" s="165"/>
      <c r="AS619" s="481"/>
      <c r="AT619" s="481"/>
      <c r="AU619" s="481"/>
      <c r="AV619" s="481"/>
      <c r="AW619" s="486"/>
      <c r="AX619" s="549"/>
      <c r="AY619" s="454"/>
      <c r="AZ619" s="549"/>
      <c r="BA619" s="454"/>
      <c r="BB619" s="481"/>
      <c r="BC619" s="481"/>
      <c r="BD619" s="481"/>
      <c r="BE619" s="481"/>
      <c r="BF619" s="481"/>
      <c r="BG619" s="481"/>
      <c r="BH619" s="481"/>
      <c r="BI619" s="481"/>
      <c r="BJ619" s="481"/>
      <c r="BK619" s="481"/>
      <c r="BL619" s="481"/>
      <c r="BM619" s="481"/>
    </row>
    <row r="620" spans="1:65" ht="25.5" x14ac:dyDescent="0.2">
      <c r="A620" s="472"/>
      <c r="B620" s="475"/>
      <c r="C620" s="478"/>
      <c r="D620" s="414"/>
      <c r="E620" s="481"/>
      <c r="F620" s="414"/>
      <c r="G620" s="426"/>
      <c r="H620" s="133"/>
      <c r="I620" s="140"/>
      <c r="J620" s="140"/>
      <c r="K620" s="486"/>
      <c r="L620" s="409"/>
      <c r="M620" s="409"/>
      <c r="N620" s="437"/>
      <c r="O620" s="436"/>
      <c r="P620" s="509"/>
      <c r="Q620" s="437"/>
      <c r="R620" s="437"/>
      <c r="S620" s="429"/>
      <c r="T620" s="515"/>
      <c r="U620" s="515"/>
      <c r="V620" s="515"/>
      <c r="W620" s="429"/>
      <c r="X620" s="61"/>
      <c r="Y620" s="12" t="s">
        <v>194</v>
      </c>
      <c r="Z620" s="67">
        <v>41639</v>
      </c>
      <c r="AA620" s="242">
        <v>11218</v>
      </c>
      <c r="AB620" s="71" t="s">
        <v>378</v>
      </c>
      <c r="AC620" s="67">
        <v>41639</v>
      </c>
      <c r="AD620" s="67">
        <v>42004</v>
      </c>
      <c r="AE620" s="70"/>
      <c r="AF620" s="71"/>
      <c r="AG620" s="247">
        <v>553418.76</v>
      </c>
      <c r="AH620" s="244"/>
      <c r="AI620" s="248"/>
      <c r="AJ620" s="248"/>
      <c r="AK620" s="248"/>
      <c r="AL620" s="536"/>
      <c r="AM620" s="521"/>
      <c r="AN620" s="524"/>
      <c r="AO620" s="536"/>
      <c r="AP620" s="481"/>
      <c r="AQ620" s="165"/>
      <c r="AR620" s="165"/>
      <c r="AS620" s="481"/>
      <c r="AT620" s="481"/>
      <c r="AU620" s="481"/>
      <c r="AV620" s="481"/>
      <c r="AW620" s="486"/>
      <c r="AX620" s="549"/>
      <c r="AY620" s="454"/>
      <c r="AZ620" s="549"/>
      <c r="BA620" s="454"/>
      <c r="BB620" s="481"/>
      <c r="BC620" s="481"/>
      <c r="BD620" s="481"/>
      <c r="BE620" s="481"/>
      <c r="BF620" s="481"/>
      <c r="BG620" s="481"/>
      <c r="BH620" s="481"/>
      <c r="BI620" s="481"/>
      <c r="BJ620" s="481"/>
      <c r="BK620" s="481"/>
      <c r="BL620" s="481"/>
      <c r="BM620" s="481"/>
    </row>
    <row r="621" spans="1:65" ht="25.5" x14ac:dyDescent="0.2">
      <c r="A621" s="472"/>
      <c r="B621" s="475"/>
      <c r="C621" s="478"/>
      <c r="D621" s="414"/>
      <c r="E621" s="481"/>
      <c r="F621" s="414"/>
      <c r="G621" s="426"/>
      <c r="H621" s="133"/>
      <c r="I621" s="140"/>
      <c r="J621" s="140"/>
      <c r="K621" s="486"/>
      <c r="L621" s="409"/>
      <c r="M621" s="409"/>
      <c r="N621" s="437"/>
      <c r="O621" s="436"/>
      <c r="P621" s="509"/>
      <c r="Q621" s="437"/>
      <c r="R621" s="437"/>
      <c r="S621" s="429"/>
      <c r="T621" s="515"/>
      <c r="U621" s="515"/>
      <c r="V621" s="515"/>
      <c r="W621" s="429"/>
      <c r="X621" s="61"/>
      <c r="Y621" s="12" t="s">
        <v>195</v>
      </c>
      <c r="Z621" s="67">
        <v>41789</v>
      </c>
      <c r="AA621" s="242">
        <v>11332</v>
      </c>
      <c r="AB621" s="71" t="s">
        <v>378</v>
      </c>
      <c r="AC621" s="67">
        <v>41789</v>
      </c>
      <c r="AD621" s="67">
        <v>42004</v>
      </c>
      <c r="AE621" s="70">
        <v>15.3207</v>
      </c>
      <c r="AF621" s="71"/>
      <c r="AG621" s="247">
        <v>49459.48</v>
      </c>
      <c r="AH621" s="244"/>
      <c r="AI621" s="248"/>
      <c r="AJ621" s="248"/>
      <c r="AK621" s="248"/>
      <c r="AL621" s="536"/>
      <c r="AM621" s="521"/>
      <c r="AN621" s="524"/>
      <c r="AO621" s="536"/>
      <c r="AP621" s="481"/>
      <c r="AQ621" s="165"/>
      <c r="AR621" s="165"/>
      <c r="AS621" s="481"/>
      <c r="AT621" s="481"/>
      <c r="AU621" s="481"/>
      <c r="AV621" s="481"/>
      <c r="AW621" s="486"/>
      <c r="AX621" s="549"/>
      <c r="AY621" s="454"/>
      <c r="AZ621" s="549"/>
      <c r="BA621" s="454"/>
      <c r="BB621" s="481"/>
      <c r="BC621" s="481"/>
      <c r="BD621" s="481"/>
      <c r="BE621" s="481"/>
      <c r="BF621" s="481"/>
      <c r="BG621" s="481"/>
      <c r="BH621" s="481"/>
      <c r="BI621" s="481"/>
      <c r="BJ621" s="481"/>
      <c r="BK621" s="481"/>
      <c r="BL621" s="481"/>
      <c r="BM621" s="481"/>
    </row>
    <row r="622" spans="1:65" ht="76.5" x14ac:dyDescent="0.2">
      <c r="A622" s="472"/>
      <c r="B622" s="475"/>
      <c r="C622" s="478"/>
      <c r="D622" s="414"/>
      <c r="E622" s="481"/>
      <c r="F622" s="414"/>
      <c r="G622" s="426"/>
      <c r="H622" s="133"/>
      <c r="I622" s="140"/>
      <c r="J622" s="140"/>
      <c r="K622" s="486"/>
      <c r="L622" s="409"/>
      <c r="M622" s="409"/>
      <c r="N622" s="437"/>
      <c r="O622" s="436"/>
      <c r="P622" s="509"/>
      <c r="Q622" s="437"/>
      <c r="R622" s="437"/>
      <c r="S622" s="429"/>
      <c r="T622" s="515"/>
      <c r="U622" s="515"/>
      <c r="V622" s="515"/>
      <c r="W622" s="429"/>
      <c r="X622" s="61"/>
      <c r="Y622" s="12" t="s">
        <v>118</v>
      </c>
      <c r="Z622" s="67">
        <v>41988</v>
      </c>
      <c r="AA622" s="242">
        <v>11461</v>
      </c>
      <c r="AB622" s="71" t="s">
        <v>593</v>
      </c>
      <c r="AC622" s="67">
        <v>42004</v>
      </c>
      <c r="AD622" s="67">
        <v>42369</v>
      </c>
      <c r="AE622" s="70"/>
      <c r="AF622" s="71"/>
      <c r="AG622" s="247">
        <v>638206.43999999994</v>
      </c>
      <c r="AH622" s="244"/>
      <c r="AI622" s="248"/>
      <c r="AJ622" s="248"/>
      <c r="AK622" s="248"/>
      <c r="AL622" s="536"/>
      <c r="AM622" s="521"/>
      <c r="AN622" s="524"/>
      <c r="AO622" s="536"/>
      <c r="AP622" s="481"/>
      <c r="AQ622" s="165"/>
      <c r="AR622" s="165"/>
      <c r="AS622" s="481"/>
      <c r="AT622" s="481"/>
      <c r="AU622" s="481"/>
      <c r="AV622" s="481"/>
      <c r="AW622" s="486"/>
      <c r="AX622" s="549"/>
      <c r="AY622" s="454"/>
      <c r="AZ622" s="549"/>
      <c r="BA622" s="454"/>
      <c r="BB622" s="481"/>
      <c r="BC622" s="481"/>
      <c r="BD622" s="481"/>
      <c r="BE622" s="481"/>
      <c r="BF622" s="481"/>
      <c r="BG622" s="481"/>
      <c r="BH622" s="481"/>
      <c r="BI622" s="481"/>
      <c r="BJ622" s="481"/>
      <c r="BK622" s="481"/>
      <c r="BL622" s="481"/>
      <c r="BM622" s="481"/>
    </row>
    <row r="623" spans="1:65" ht="114.75" x14ac:dyDescent="0.2">
      <c r="A623" s="472"/>
      <c r="B623" s="475"/>
      <c r="C623" s="478"/>
      <c r="D623" s="414"/>
      <c r="E623" s="481"/>
      <c r="F623" s="414"/>
      <c r="G623" s="426"/>
      <c r="H623" s="133"/>
      <c r="I623" s="140"/>
      <c r="J623" s="140"/>
      <c r="K623" s="486"/>
      <c r="L623" s="409"/>
      <c r="M623" s="409"/>
      <c r="N623" s="437"/>
      <c r="O623" s="436"/>
      <c r="P623" s="509"/>
      <c r="Q623" s="437"/>
      <c r="R623" s="437"/>
      <c r="S623" s="429"/>
      <c r="T623" s="515"/>
      <c r="U623" s="515"/>
      <c r="V623" s="515"/>
      <c r="W623" s="429"/>
      <c r="X623" s="61"/>
      <c r="Y623" s="12" t="s">
        <v>121</v>
      </c>
      <c r="Z623" s="67">
        <v>42156</v>
      </c>
      <c r="AA623" s="242">
        <v>11578</v>
      </c>
      <c r="AB623" s="71" t="s">
        <v>527</v>
      </c>
      <c r="AC623" s="67"/>
      <c r="AD623" s="67"/>
      <c r="AE623" s="70"/>
      <c r="AF623" s="71"/>
      <c r="AG623" s="247">
        <v>15279.04</v>
      </c>
      <c r="AH623" s="244"/>
      <c r="AI623" s="248"/>
      <c r="AJ623" s="248"/>
      <c r="AK623" s="248"/>
      <c r="AL623" s="536"/>
      <c r="AM623" s="521"/>
      <c r="AN623" s="524"/>
      <c r="AO623" s="536"/>
      <c r="AP623" s="481"/>
      <c r="AQ623" s="165"/>
      <c r="AR623" s="165"/>
      <c r="AS623" s="481"/>
      <c r="AT623" s="481"/>
      <c r="AU623" s="481"/>
      <c r="AV623" s="481"/>
      <c r="AW623" s="486"/>
      <c r="AX623" s="549"/>
      <c r="AY623" s="454"/>
      <c r="AZ623" s="549"/>
      <c r="BA623" s="454"/>
      <c r="BB623" s="481"/>
      <c r="BC623" s="481"/>
      <c r="BD623" s="481"/>
      <c r="BE623" s="481"/>
      <c r="BF623" s="481"/>
      <c r="BG623" s="481"/>
      <c r="BH623" s="481"/>
      <c r="BI623" s="481"/>
      <c r="BJ623" s="481"/>
      <c r="BK623" s="481"/>
      <c r="BL623" s="481"/>
      <c r="BM623" s="481"/>
    </row>
    <row r="624" spans="1:65" ht="76.5" x14ac:dyDescent="0.2">
      <c r="A624" s="472"/>
      <c r="B624" s="475"/>
      <c r="C624" s="478"/>
      <c r="D624" s="414"/>
      <c r="E624" s="481"/>
      <c r="F624" s="414"/>
      <c r="G624" s="426"/>
      <c r="H624" s="133"/>
      <c r="I624" s="140"/>
      <c r="J624" s="140"/>
      <c r="K624" s="486"/>
      <c r="L624" s="409"/>
      <c r="M624" s="409"/>
      <c r="N624" s="437"/>
      <c r="O624" s="436"/>
      <c r="P624" s="509"/>
      <c r="Q624" s="437"/>
      <c r="R624" s="437"/>
      <c r="S624" s="429"/>
      <c r="T624" s="515"/>
      <c r="U624" s="515"/>
      <c r="V624" s="515"/>
      <c r="W624" s="429"/>
      <c r="X624" s="61"/>
      <c r="Y624" s="12" t="s">
        <v>119</v>
      </c>
      <c r="Z624" s="67">
        <v>42352</v>
      </c>
      <c r="AA624" s="242">
        <v>11715</v>
      </c>
      <c r="AB624" s="71" t="s">
        <v>626</v>
      </c>
      <c r="AC624" s="67">
        <v>42369</v>
      </c>
      <c r="AD624" s="67">
        <v>42735</v>
      </c>
      <c r="AE624" s="70"/>
      <c r="AF624" s="71"/>
      <c r="AG624" s="247">
        <v>664399.07999999996</v>
      </c>
      <c r="AH624" s="244"/>
      <c r="AI624" s="248"/>
      <c r="AJ624" s="248"/>
      <c r="AK624" s="248"/>
      <c r="AL624" s="536"/>
      <c r="AM624" s="521"/>
      <c r="AN624" s="524"/>
      <c r="AO624" s="536"/>
      <c r="AP624" s="481"/>
      <c r="AQ624" s="165"/>
      <c r="AR624" s="165"/>
      <c r="AS624" s="481"/>
      <c r="AT624" s="481"/>
      <c r="AU624" s="481"/>
      <c r="AV624" s="481"/>
      <c r="AW624" s="486"/>
      <c r="AX624" s="549"/>
      <c r="AY624" s="454"/>
      <c r="AZ624" s="549"/>
      <c r="BA624" s="454"/>
      <c r="BB624" s="481"/>
      <c r="BC624" s="481"/>
      <c r="BD624" s="481"/>
      <c r="BE624" s="481"/>
      <c r="BF624" s="481"/>
      <c r="BG624" s="481"/>
      <c r="BH624" s="481"/>
      <c r="BI624" s="481"/>
      <c r="BJ624" s="481"/>
      <c r="BK624" s="481"/>
      <c r="BL624" s="481"/>
      <c r="BM624" s="481"/>
    </row>
    <row r="625" spans="1:65" ht="76.5" x14ac:dyDescent="0.2">
      <c r="A625" s="473"/>
      <c r="B625" s="476"/>
      <c r="C625" s="479"/>
      <c r="D625" s="415"/>
      <c r="E625" s="482"/>
      <c r="F625" s="415"/>
      <c r="G625" s="406"/>
      <c r="H625" s="30"/>
      <c r="I625" s="191"/>
      <c r="J625" s="191"/>
      <c r="K625" s="412"/>
      <c r="L625" s="406"/>
      <c r="M625" s="406"/>
      <c r="N625" s="428"/>
      <c r="O625" s="428"/>
      <c r="P625" s="428"/>
      <c r="Q625" s="428"/>
      <c r="R625" s="428"/>
      <c r="S625" s="428"/>
      <c r="T625" s="428"/>
      <c r="U625" s="428"/>
      <c r="V625" s="428"/>
      <c r="W625" s="428"/>
      <c r="X625" s="111"/>
      <c r="Y625" s="12" t="s">
        <v>374</v>
      </c>
      <c r="Z625" s="67">
        <v>42723</v>
      </c>
      <c r="AA625" s="242">
        <v>11965</v>
      </c>
      <c r="AB625" s="21" t="s">
        <v>1070</v>
      </c>
      <c r="AC625" s="67">
        <v>42735</v>
      </c>
      <c r="AD625" s="67">
        <v>43100</v>
      </c>
      <c r="AE625" s="70"/>
      <c r="AF625" s="71"/>
      <c r="AG625" s="247">
        <v>664399.07999999996</v>
      </c>
      <c r="AH625" s="244"/>
      <c r="AI625" s="249"/>
      <c r="AJ625" s="249"/>
      <c r="AK625" s="249"/>
      <c r="AL625" s="537"/>
      <c r="AM625" s="522"/>
      <c r="AN625" s="525"/>
      <c r="AO625" s="537"/>
      <c r="AP625" s="482"/>
      <c r="AQ625" s="184"/>
      <c r="AR625" s="184"/>
      <c r="AS625" s="482"/>
      <c r="AT625" s="482"/>
      <c r="AU625" s="482"/>
      <c r="AV625" s="482"/>
      <c r="AW625" s="496"/>
      <c r="AX625" s="550"/>
      <c r="AY625" s="455"/>
      <c r="AZ625" s="550"/>
      <c r="BA625" s="455"/>
      <c r="BB625" s="482"/>
      <c r="BC625" s="482"/>
      <c r="BD625" s="482"/>
      <c r="BE625" s="482"/>
      <c r="BF625" s="482"/>
      <c r="BG625" s="482"/>
      <c r="BH625" s="482"/>
      <c r="BI625" s="482"/>
      <c r="BJ625" s="482"/>
      <c r="BK625" s="482"/>
      <c r="BL625" s="482"/>
      <c r="BM625" s="482"/>
    </row>
    <row r="626" spans="1:65" x14ac:dyDescent="0.2">
      <c r="A626" s="471">
        <v>347</v>
      </c>
      <c r="B626" s="474">
        <v>123190069</v>
      </c>
      <c r="C626" s="477"/>
      <c r="D626" s="413" t="s">
        <v>142</v>
      </c>
      <c r="E626" s="514"/>
      <c r="F626" s="413" t="s">
        <v>1383</v>
      </c>
      <c r="G626" s="425" t="s">
        <v>367</v>
      </c>
      <c r="H626" s="132"/>
      <c r="I626" s="253"/>
      <c r="J626" s="253"/>
      <c r="K626" s="485" t="s">
        <v>312</v>
      </c>
      <c r="L626" s="405" t="s">
        <v>335</v>
      </c>
      <c r="M626" s="405" t="s">
        <v>336</v>
      </c>
      <c r="N626" s="483">
        <v>40806</v>
      </c>
      <c r="O626" s="510">
        <v>3166.66</v>
      </c>
      <c r="P626" s="508" t="s">
        <v>809</v>
      </c>
      <c r="Q626" s="483">
        <v>40806</v>
      </c>
      <c r="R626" s="431">
        <v>40908</v>
      </c>
      <c r="S626" s="514" t="s">
        <v>136</v>
      </c>
      <c r="T626" s="514"/>
      <c r="U626" s="514"/>
      <c r="V626" s="514"/>
      <c r="W626" s="556" t="s">
        <v>117</v>
      </c>
      <c r="X626" s="266"/>
      <c r="Y626" s="12" t="s">
        <v>138</v>
      </c>
      <c r="Z626" s="67">
        <v>40907</v>
      </c>
      <c r="AA626" s="242">
        <v>10734</v>
      </c>
      <c r="AB626" s="514" t="s">
        <v>378</v>
      </c>
      <c r="AC626" s="67">
        <v>40907</v>
      </c>
      <c r="AD626" s="67">
        <v>41274</v>
      </c>
      <c r="AE626" s="70"/>
      <c r="AF626" s="71"/>
      <c r="AG626" s="247">
        <v>11400</v>
      </c>
      <c r="AH626" s="244"/>
      <c r="AI626" s="245"/>
      <c r="AJ626" s="245"/>
      <c r="AK626" s="245"/>
      <c r="AL626" s="505">
        <f>O626-AH626+AG626-AH627+AG627-AH628+AG628-AH629+AG629-AH630+AG630-AH631+AG631</f>
        <v>72816.58</v>
      </c>
      <c r="AM626" s="558">
        <f>37366.66+11816.64+984.72+984.72+984.72+984.72+984.72+984.72+984.72+984.72+984.72+984.72+984.72+984.72</f>
        <v>60999.940000000017</v>
      </c>
      <c r="AN626" s="523">
        <f>984.72+984.72+984.72+984.72+984.72+984.72+984.72+984.72+984.72+984.72+984.72</f>
        <v>10831.92</v>
      </c>
      <c r="AO626" s="562">
        <f>AM626+AN626</f>
        <v>71831.860000000015</v>
      </c>
      <c r="AP626" s="553"/>
      <c r="AQ626" s="267"/>
      <c r="AR626" s="267"/>
      <c r="AS626" s="553"/>
      <c r="AT626" s="553"/>
      <c r="AU626" s="553"/>
      <c r="AV626" s="485" t="s">
        <v>122</v>
      </c>
      <c r="AW626" s="410" t="s">
        <v>375</v>
      </c>
      <c r="AX626" s="548" t="s">
        <v>809</v>
      </c>
      <c r="AY626" s="453">
        <v>40827</v>
      </c>
      <c r="AZ626" s="548" t="s">
        <v>809</v>
      </c>
      <c r="BA626" s="453">
        <v>40827</v>
      </c>
      <c r="BB626" s="480"/>
      <c r="BC626" s="480"/>
      <c r="BD626" s="480"/>
      <c r="BE626" s="480"/>
      <c r="BF626" s="480"/>
      <c r="BG626" s="480" t="s">
        <v>443</v>
      </c>
      <c r="BH626" s="480"/>
      <c r="BI626" s="561"/>
      <c r="BJ626" s="561"/>
      <c r="BK626" s="480"/>
      <c r="BL626" s="480"/>
      <c r="BM626" s="480"/>
    </row>
    <row r="627" spans="1:65" x14ac:dyDescent="0.2">
      <c r="A627" s="472"/>
      <c r="B627" s="475"/>
      <c r="C627" s="478"/>
      <c r="D627" s="414"/>
      <c r="E627" s="515"/>
      <c r="F627" s="414"/>
      <c r="G627" s="426"/>
      <c r="H627" s="133"/>
      <c r="I627" s="140"/>
      <c r="J627" s="140"/>
      <c r="K627" s="486"/>
      <c r="L627" s="409"/>
      <c r="M627" s="409"/>
      <c r="N627" s="484"/>
      <c r="O627" s="511"/>
      <c r="P627" s="509"/>
      <c r="Q627" s="484"/>
      <c r="R627" s="437"/>
      <c r="S627" s="515"/>
      <c r="T627" s="515"/>
      <c r="U627" s="515"/>
      <c r="V627" s="515"/>
      <c r="W627" s="557"/>
      <c r="X627" s="268"/>
      <c r="Y627" s="12" t="s">
        <v>144</v>
      </c>
      <c r="Z627" s="67">
        <v>41274</v>
      </c>
      <c r="AA627" s="242">
        <v>10968</v>
      </c>
      <c r="AB627" s="515"/>
      <c r="AC627" s="67">
        <v>41274</v>
      </c>
      <c r="AD627" s="67">
        <v>41639</v>
      </c>
      <c r="AE627" s="70"/>
      <c r="AF627" s="71"/>
      <c r="AG627" s="247">
        <v>11400</v>
      </c>
      <c r="AH627" s="244"/>
      <c r="AI627" s="248"/>
      <c r="AJ627" s="248"/>
      <c r="AK627" s="248"/>
      <c r="AL627" s="506"/>
      <c r="AM627" s="559"/>
      <c r="AN627" s="524"/>
      <c r="AO627" s="563"/>
      <c r="AP627" s="554"/>
      <c r="AQ627" s="269"/>
      <c r="AR627" s="269"/>
      <c r="AS627" s="554"/>
      <c r="AT627" s="554"/>
      <c r="AU627" s="554"/>
      <c r="AV627" s="486"/>
      <c r="AW627" s="411"/>
      <c r="AX627" s="549"/>
      <c r="AY627" s="454"/>
      <c r="AZ627" s="549"/>
      <c r="BA627" s="454"/>
      <c r="BB627" s="481"/>
      <c r="BC627" s="481"/>
      <c r="BD627" s="481"/>
      <c r="BE627" s="481"/>
      <c r="BF627" s="481"/>
      <c r="BG627" s="481"/>
      <c r="BH627" s="481"/>
      <c r="BI627" s="561"/>
      <c r="BJ627" s="561"/>
      <c r="BK627" s="481"/>
      <c r="BL627" s="481"/>
      <c r="BM627" s="481"/>
    </row>
    <row r="628" spans="1:65" x14ac:dyDescent="0.2">
      <c r="A628" s="472"/>
      <c r="B628" s="475"/>
      <c r="C628" s="478"/>
      <c r="D628" s="414"/>
      <c r="E628" s="515"/>
      <c r="F628" s="414"/>
      <c r="G628" s="426"/>
      <c r="H628" s="133"/>
      <c r="I628" s="140"/>
      <c r="J628" s="140"/>
      <c r="K628" s="486"/>
      <c r="L628" s="409"/>
      <c r="M628" s="409"/>
      <c r="N628" s="484"/>
      <c r="O628" s="511"/>
      <c r="P628" s="509"/>
      <c r="Q628" s="484"/>
      <c r="R628" s="437"/>
      <c r="S628" s="515"/>
      <c r="T628" s="515"/>
      <c r="U628" s="515"/>
      <c r="V628" s="515"/>
      <c r="W628" s="557"/>
      <c r="X628" s="268"/>
      <c r="Y628" s="12" t="s">
        <v>193</v>
      </c>
      <c r="Z628" s="67">
        <v>41639</v>
      </c>
      <c r="AA628" s="242">
        <v>11213</v>
      </c>
      <c r="AB628" s="519"/>
      <c r="AC628" s="67">
        <v>41639</v>
      </c>
      <c r="AD628" s="67">
        <v>42004</v>
      </c>
      <c r="AE628" s="70"/>
      <c r="AF628" s="71"/>
      <c r="AG628" s="247">
        <v>11400</v>
      </c>
      <c r="AH628" s="244"/>
      <c r="AI628" s="248"/>
      <c r="AJ628" s="248"/>
      <c r="AK628" s="248"/>
      <c r="AL628" s="506"/>
      <c r="AM628" s="559"/>
      <c r="AN628" s="524"/>
      <c r="AO628" s="563"/>
      <c r="AP628" s="554"/>
      <c r="AQ628" s="269"/>
      <c r="AR628" s="269"/>
      <c r="AS628" s="554"/>
      <c r="AT628" s="554"/>
      <c r="AU628" s="554"/>
      <c r="AV628" s="486"/>
      <c r="AW628" s="411"/>
      <c r="AX628" s="549"/>
      <c r="AY628" s="454"/>
      <c r="AZ628" s="549"/>
      <c r="BA628" s="454"/>
      <c r="BB628" s="481"/>
      <c r="BC628" s="481"/>
      <c r="BD628" s="481"/>
      <c r="BE628" s="481"/>
      <c r="BF628" s="481"/>
      <c r="BG628" s="481"/>
      <c r="BH628" s="481"/>
      <c r="BI628" s="561"/>
      <c r="BJ628" s="561"/>
      <c r="BK628" s="481"/>
      <c r="BL628" s="481"/>
      <c r="BM628" s="481"/>
    </row>
    <row r="629" spans="1:65" ht="76.5" x14ac:dyDescent="0.2">
      <c r="A629" s="472"/>
      <c r="B629" s="475"/>
      <c r="C629" s="478"/>
      <c r="D629" s="414"/>
      <c r="E629" s="515"/>
      <c r="F629" s="414"/>
      <c r="G629" s="426"/>
      <c r="H629" s="133"/>
      <c r="I629" s="140"/>
      <c r="J629" s="140"/>
      <c r="K629" s="486"/>
      <c r="L629" s="409"/>
      <c r="M629" s="409"/>
      <c r="N629" s="484"/>
      <c r="O629" s="511"/>
      <c r="P629" s="509"/>
      <c r="Q629" s="484"/>
      <c r="R629" s="437"/>
      <c r="S629" s="515"/>
      <c r="T629" s="515"/>
      <c r="U629" s="515"/>
      <c r="V629" s="515"/>
      <c r="W629" s="557"/>
      <c r="X629" s="268"/>
      <c r="Y629" s="12" t="s">
        <v>194</v>
      </c>
      <c r="Z629" s="67">
        <v>41988</v>
      </c>
      <c r="AA629" s="242">
        <v>11461</v>
      </c>
      <c r="AB629" s="89" t="s">
        <v>442</v>
      </c>
      <c r="AC629" s="67">
        <v>42004</v>
      </c>
      <c r="AD629" s="67">
        <v>42369</v>
      </c>
      <c r="AE629" s="70">
        <v>3.6543000000000001</v>
      </c>
      <c r="AF629" s="71"/>
      <c r="AG629" s="247">
        <v>11816.64</v>
      </c>
      <c r="AH629" s="244"/>
      <c r="AI629" s="248"/>
      <c r="AJ629" s="248"/>
      <c r="AK629" s="248"/>
      <c r="AL629" s="506"/>
      <c r="AM629" s="559"/>
      <c r="AN629" s="524"/>
      <c r="AO629" s="563"/>
      <c r="AP629" s="554"/>
      <c r="AQ629" s="269"/>
      <c r="AR629" s="269"/>
      <c r="AS629" s="554"/>
      <c r="AT629" s="554"/>
      <c r="AU629" s="554"/>
      <c r="AV629" s="486"/>
      <c r="AW629" s="411"/>
      <c r="AX629" s="549"/>
      <c r="AY629" s="454"/>
      <c r="AZ629" s="549"/>
      <c r="BA629" s="454"/>
      <c r="BB629" s="481"/>
      <c r="BC629" s="481"/>
      <c r="BD629" s="481"/>
      <c r="BE629" s="481"/>
      <c r="BF629" s="481"/>
      <c r="BG629" s="481"/>
      <c r="BH629" s="481"/>
      <c r="BI629" s="561"/>
      <c r="BJ629" s="561"/>
      <c r="BK629" s="481"/>
      <c r="BL629" s="481"/>
      <c r="BM629" s="481"/>
    </row>
    <row r="630" spans="1:65" ht="76.5" x14ac:dyDescent="0.2">
      <c r="A630" s="472"/>
      <c r="B630" s="475"/>
      <c r="C630" s="478"/>
      <c r="D630" s="414"/>
      <c r="E630" s="515"/>
      <c r="F630" s="414"/>
      <c r="G630" s="426"/>
      <c r="H630" s="133"/>
      <c r="I630" s="140"/>
      <c r="J630" s="140"/>
      <c r="K630" s="486"/>
      <c r="L630" s="409"/>
      <c r="M630" s="409"/>
      <c r="N630" s="484"/>
      <c r="O630" s="511"/>
      <c r="P630" s="509"/>
      <c r="Q630" s="484"/>
      <c r="R630" s="437"/>
      <c r="S630" s="515"/>
      <c r="T630" s="515"/>
      <c r="U630" s="515"/>
      <c r="V630" s="515"/>
      <c r="W630" s="557"/>
      <c r="X630" s="268"/>
      <c r="Y630" s="12" t="s">
        <v>195</v>
      </c>
      <c r="Z630" s="67">
        <v>42352</v>
      </c>
      <c r="AA630" s="242">
        <v>11715</v>
      </c>
      <c r="AB630" s="89" t="s">
        <v>631</v>
      </c>
      <c r="AC630" s="67">
        <v>42369</v>
      </c>
      <c r="AD630" s="67">
        <v>42735</v>
      </c>
      <c r="AE630" s="70"/>
      <c r="AF630" s="71"/>
      <c r="AG630" s="247">
        <v>11816.64</v>
      </c>
      <c r="AH630" s="244"/>
      <c r="AI630" s="248"/>
      <c r="AJ630" s="248"/>
      <c r="AK630" s="248"/>
      <c r="AL630" s="506"/>
      <c r="AM630" s="559"/>
      <c r="AN630" s="524"/>
      <c r="AO630" s="563"/>
      <c r="AP630" s="554"/>
      <c r="AQ630" s="269"/>
      <c r="AR630" s="269"/>
      <c r="AS630" s="554"/>
      <c r="AT630" s="554"/>
      <c r="AU630" s="554"/>
      <c r="AV630" s="486"/>
      <c r="AW630" s="411"/>
      <c r="AX630" s="549"/>
      <c r="AY630" s="454"/>
      <c r="AZ630" s="549"/>
      <c r="BA630" s="454"/>
      <c r="BB630" s="481"/>
      <c r="BC630" s="481"/>
      <c r="BD630" s="481"/>
      <c r="BE630" s="481"/>
      <c r="BF630" s="481"/>
      <c r="BG630" s="481"/>
      <c r="BH630" s="481"/>
      <c r="BI630" s="561"/>
      <c r="BJ630" s="561"/>
      <c r="BK630" s="481"/>
      <c r="BL630" s="481"/>
      <c r="BM630" s="481"/>
    </row>
    <row r="631" spans="1:65" ht="76.5" x14ac:dyDescent="0.2">
      <c r="A631" s="473"/>
      <c r="B631" s="476"/>
      <c r="C631" s="479"/>
      <c r="D631" s="415"/>
      <c r="E631" s="428"/>
      <c r="F631" s="406"/>
      <c r="G631" s="406"/>
      <c r="H631" s="30"/>
      <c r="I631" s="191"/>
      <c r="J631" s="191"/>
      <c r="K631" s="412"/>
      <c r="L631" s="406"/>
      <c r="M631" s="406"/>
      <c r="N631" s="428"/>
      <c r="O631" s="428"/>
      <c r="P631" s="428"/>
      <c r="Q631" s="428"/>
      <c r="R631" s="428"/>
      <c r="S631" s="428"/>
      <c r="T631" s="428"/>
      <c r="U631" s="428"/>
      <c r="V631" s="428"/>
      <c r="W631" s="428"/>
      <c r="X631" s="111"/>
      <c r="Y631" s="12" t="s">
        <v>118</v>
      </c>
      <c r="Z631" s="67">
        <v>42723</v>
      </c>
      <c r="AA631" s="242">
        <v>11965</v>
      </c>
      <c r="AB631" s="72" t="s">
        <v>631</v>
      </c>
      <c r="AC631" s="67">
        <v>42735</v>
      </c>
      <c r="AD631" s="67">
        <v>43100</v>
      </c>
      <c r="AE631" s="70"/>
      <c r="AF631" s="71"/>
      <c r="AG631" s="247">
        <v>11816.64</v>
      </c>
      <c r="AH631" s="244"/>
      <c r="AI631" s="249"/>
      <c r="AJ631" s="249"/>
      <c r="AK631" s="249"/>
      <c r="AL631" s="507"/>
      <c r="AM631" s="560"/>
      <c r="AN631" s="525"/>
      <c r="AO631" s="564"/>
      <c r="AP631" s="555"/>
      <c r="AQ631" s="270"/>
      <c r="AR631" s="270"/>
      <c r="AS631" s="555"/>
      <c r="AT631" s="555"/>
      <c r="AU631" s="555"/>
      <c r="AV631" s="496"/>
      <c r="AW631" s="412"/>
      <c r="AX631" s="550"/>
      <c r="AY631" s="455"/>
      <c r="AZ631" s="550"/>
      <c r="BA631" s="455"/>
      <c r="BB631" s="482"/>
      <c r="BC631" s="482"/>
      <c r="BD631" s="482"/>
      <c r="BE631" s="482"/>
      <c r="BF631" s="482"/>
      <c r="BG631" s="482"/>
      <c r="BH631" s="482"/>
      <c r="BI631" s="561"/>
      <c r="BJ631" s="561"/>
      <c r="BK631" s="482"/>
      <c r="BL631" s="482"/>
      <c r="BM631" s="482"/>
    </row>
    <row r="632" spans="1:65" x14ac:dyDescent="0.2">
      <c r="A632" s="471">
        <v>348</v>
      </c>
      <c r="B632" s="418" t="s">
        <v>337</v>
      </c>
      <c r="C632" s="422" t="s">
        <v>338</v>
      </c>
      <c r="D632" s="405" t="s">
        <v>130</v>
      </c>
      <c r="E632" s="410" t="s">
        <v>126</v>
      </c>
      <c r="F632" s="405" t="s">
        <v>2054</v>
      </c>
      <c r="G632" s="425" t="s">
        <v>835</v>
      </c>
      <c r="H632" s="439" t="s">
        <v>308</v>
      </c>
      <c r="I632" s="453">
        <v>40934</v>
      </c>
      <c r="J632" s="453">
        <v>41300</v>
      </c>
      <c r="K632" s="485" t="s">
        <v>314</v>
      </c>
      <c r="L632" s="405" t="s">
        <v>339</v>
      </c>
      <c r="M632" s="405" t="s">
        <v>340</v>
      </c>
      <c r="N632" s="516">
        <v>41243</v>
      </c>
      <c r="O632" s="435">
        <v>2640</v>
      </c>
      <c r="P632" s="508" t="s">
        <v>810</v>
      </c>
      <c r="Q632" s="516">
        <v>41243</v>
      </c>
      <c r="R632" s="431">
        <v>41274</v>
      </c>
      <c r="S632" s="512" t="s">
        <v>146</v>
      </c>
      <c r="T632" s="514"/>
      <c r="U632" s="514"/>
      <c r="V632" s="514"/>
      <c r="W632" s="427" t="s">
        <v>117</v>
      </c>
      <c r="X632" s="60"/>
      <c r="Y632" s="12" t="s">
        <v>138</v>
      </c>
      <c r="Z632" s="67">
        <v>41274</v>
      </c>
      <c r="AA632" s="242">
        <v>10973</v>
      </c>
      <c r="AB632" s="514" t="s">
        <v>383</v>
      </c>
      <c r="AC632" s="67">
        <v>41274</v>
      </c>
      <c r="AD632" s="67">
        <v>41639</v>
      </c>
      <c r="AE632" s="70"/>
      <c r="AF632" s="71"/>
      <c r="AG632" s="247">
        <v>15840</v>
      </c>
      <c r="AH632" s="244"/>
      <c r="AI632" s="245"/>
      <c r="AJ632" s="245"/>
      <c r="AK632" s="245"/>
      <c r="AL632" s="535">
        <f>O632-AH632+AG632-AH633+AG633-AH634+AG634-AH635+AG635-AH636+AG636</f>
        <v>80520</v>
      </c>
      <c r="AM632" s="520">
        <f>34320+15840+1320+1320+1320+1320+1320+1320+2640+1320+1320+2640</f>
        <v>66000</v>
      </c>
      <c r="AN632" s="523">
        <f>1320+1320+1320+1320+1320+1320+2640+1320+1320</f>
        <v>13200</v>
      </c>
      <c r="AO632" s="535">
        <f>AM632+AN632</f>
        <v>79200</v>
      </c>
      <c r="AP632" s="480"/>
      <c r="AQ632" s="6"/>
      <c r="AR632" s="6"/>
      <c r="AS632" s="480"/>
      <c r="AT632" s="480"/>
      <c r="AU632" s="480"/>
      <c r="AV632" s="480"/>
      <c r="AW632" s="480"/>
      <c r="AX632" s="480"/>
      <c r="AY632" s="480"/>
      <c r="AZ632" s="480"/>
      <c r="BA632" s="480"/>
      <c r="BB632" s="480"/>
      <c r="BC632" s="480"/>
      <c r="BD632" s="480"/>
      <c r="BE632" s="480"/>
      <c r="BF632" s="480"/>
      <c r="BG632" s="480"/>
      <c r="BH632" s="480"/>
      <c r="BI632" s="480"/>
      <c r="BJ632" s="480"/>
      <c r="BK632" s="480"/>
      <c r="BL632" s="480"/>
      <c r="BM632" s="480"/>
    </row>
    <row r="633" spans="1:65" x14ac:dyDescent="0.2">
      <c r="A633" s="472"/>
      <c r="B633" s="421"/>
      <c r="C633" s="423"/>
      <c r="D633" s="409"/>
      <c r="E633" s="411"/>
      <c r="F633" s="409"/>
      <c r="G633" s="426"/>
      <c r="H633" s="458"/>
      <c r="I633" s="454"/>
      <c r="J633" s="454"/>
      <c r="K633" s="486"/>
      <c r="L633" s="409"/>
      <c r="M633" s="409"/>
      <c r="N633" s="517"/>
      <c r="O633" s="436"/>
      <c r="P633" s="509"/>
      <c r="Q633" s="517"/>
      <c r="R633" s="437"/>
      <c r="S633" s="513"/>
      <c r="T633" s="515"/>
      <c r="U633" s="515"/>
      <c r="V633" s="515"/>
      <c r="W633" s="429"/>
      <c r="X633" s="61"/>
      <c r="Y633" s="12" t="s">
        <v>144</v>
      </c>
      <c r="Z633" s="67">
        <v>41639</v>
      </c>
      <c r="AA633" s="242">
        <v>11216</v>
      </c>
      <c r="AB633" s="519"/>
      <c r="AC633" s="67">
        <v>41639</v>
      </c>
      <c r="AD633" s="67">
        <v>42004</v>
      </c>
      <c r="AE633" s="70"/>
      <c r="AF633" s="71"/>
      <c r="AG633" s="247">
        <v>15840</v>
      </c>
      <c r="AH633" s="244"/>
      <c r="AI633" s="248"/>
      <c r="AJ633" s="248"/>
      <c r="AK633" s="248"/>
      <c r="AL633" s="536"/>
      <c r="AM633" s="521"/>
      <c r="AN633" s="524"/>
      <c r="AO633" s="536"/>
      <c r="AP633" s="481"/>
      <c r="AQ633" s="165"/>
      <c r="AR633" s="165"/>
      <c r="AS633" s="481"/>
      <c r="AT633" s="481"/>
      <c r="AU633" s="481"/>
      <c r="AV633" s="481"/>
      <c r="AW633" s="481"/>
      <c r="AX633" s="481"/>
      <c r="AY633" s="481"/>
      <c r="AZ633" s="481"/>
      <c r="BA633" s="481"/>
      <c r="BB633" s="481"/>
      <c r="BC633" s="481"/>
      <c r="BD633" s="481"/>
      <c r="BE633" s="481"/>
      <c r="BF633" s="481"/>
      <c r="BG633" s="481"/>
      <c r="BH633" s="481"/>
      <c r="BI633" s="481"/>
      <c r="BJ633" s="481"/>
      <c r="BK633" s="481"/>
      <c r="BL633" s="481"/>
      <c r="BM633" s="481"/>
    </row>
    <row r="634" spans="1:65" ht="38.25" x14ac:dyDescent="0.2">
      <c r="A634" s="472"/>
      <c r="B634" s="421"/>
      <c r="C634" s="423"/>
      <c r="D634" s="409"/>
      <c r="E634" s="411"/>
      <c r="F634" s="409"/>
      <c r="G634" s="426"/>
      <c r="H634" s="458"/>
      <c r="I634" s="454"/>
      <c r="J634" s="454"/>
      <c r="K634" s="486"/>
      <c r="L634" s="409"/>
      <c r="M634" s="409"/>
      <c r="N634" s="517"/>
      <c r="O634" s="436"/>
      <c r="P634" s="509"/>
      <c r="Q634" s="517"/>
      <c r="R634" s="437"/>
      <c r="S634" s="513"/>
      <c r="T634" s="515"/>
      <c r="U634" s="515"/>
      <c r="V634" s="515"/>
      <c r="W634" s="429"/>
      <c r="X634" s="61"/>
      <c r="Y634" s="12" t="s">
        <v>193</v>
      </c>
      <c r="Z634" s="67">
        <v>42004</v>
      </c>
      <c r="AA634" s="242">
        <v>11470</v>
      </c>
      <c r="AB634" s="89" t="s">
        <v>590</v>
      </c>
      <c r="AC634" s="67">
        <v>42004</v>
      </c>
      <c r="AD634" s="67">
        <v>42369</v>
      </c>
      <c r="AE634" s="70"/>
      <c r="AF634" s="71"/>
      <c r="AG634" s="247">
        <v>15840</v>
      </c>
      <c r="AH634" s="244"/>
      <c r="AI634" s="248"/>
      <c r="AJ634" s="248"/>
      <c r="AK634" s="248"/>
      <c r="AL634" s="536"/>
      <c r="AM634" s="521"/>
      <c r="AN634" s="524"/>
      <c r="AO634" s="536"/>
      <c r="AP634" s="481"/>
      <c r="AQ634" s="165"/>
      <c r="AR634" s="165"/>
      <c r="AS634" s="481"/>
      <c r="AT634" s="481"/>
      <c r="AU634" s="481"/>
      <c r="AV634" s="481"/>
      <c r="AW634" s="481"/>
      <c r="AX634" s="481"/>
      <c r="AY634" s="481"/>
      <c r="AZ634" s="481"/>
      <c r="BA634" s="481"/>
      <c r="BB634" s="481"/>
      <c r="BC634" s="481"/>
      <c r="BD634" s="481"/>
      <c r="BE634" s="481"/>
      <c r="BF634" s="481"/>
      <c r="BG634" s="481"/>
      <c r="BH634" s="481"/>
      <c r="BI634" s="481"/>
      <c r="BJ634" s="481"/>
      <c r="BK634" s="481"/>
      <c r="BL634" s="481"/>
      <c r="BM634" s="481"/>
    </row>
    <row r="635" spans="1:65" ht="51" x14ac:dyDescent="0.2">
      <c r="A635" s="472"/>
      <c r="B635" s="421"/>
      <c r="C635" s="423"/>
      <c r="D635" s="409"/>
      <c r="E635" s="411"/>
      <c r="F635" s="409"/>
      <c r="G635" s="426"/>
      <c r="H635" s="458"/>
      <c r="I635" s="454"/>
      <c r="J635" s="454"/>
      <c r="K635" s="486"/>
      <c r="L635" s="409"/>
      <c r="M635" s="409"/>
      <c r="N635" s="517"/>
      <c r="O635" s="436"/>
      <c r="P635" s="509"/>
      <c r="Q635" s="517"/>
      <c r="R635" s="437"/>
      <c r="S635" s="513"/>
      <c r="T635" s="515"/>
      <c r="U635" s="515"/>
      <c r="V635" s="515"/>
      <c r="W635" s="429"/>
      <c r="X635" s="61"/>
      <c r="Y635" s="12" t="s">
        <v>194</v>
      </c>
      <c r="Z635" s="67">
        <v>42369</v>
      </c>
      <c r="AA635" s="242">
        <v>11721</v>
      </c>
      <c r="AB635" s="89" t="s">
        <v>640</v>
      </c>
      <c r="AC635" s="67">
        <v>42369</v>
      </c>
      <c r="AD635" s="67">
        <v>42735</v>
      </c>
      <c r="AE635" s="70"/>
      <c r="AF635" s="71"/>
      <c r="AG635" s="247">
        <v>15840</v>
      </c>
      <c r="AH635" s="244"/>
      <c r="AI635" s="248"/>
      <c r="AJ635" s="248"/>
      <c r="AK635" s="248"/>
      <c r="AL635" s="536"/>
      <c r="AM635" s="521"/>
      <c r="AN635" s="524"/>
      <c r="AO635" s="536"/>
      <c r="AP635" s="482"/>
      <c r="AQ635" s="184"/>
      <c r="AR635" s="184"/>
      <c r="AS635" s="482"/>
      <c r="AT635" s="482"/>
      <c r="AU635" s="482"/>
      <c r="AV635" s="482"/>
      <c r="AW635" s="482"/>
      <c r="AX635" s="482"/>
      <c r="AY635" s="482"/>
      <c r="AZ635" s="482"/>
      <c r="BA635" s="482"/>
      <c r="BB635" s="482"/>
      <c r="BC635" s="482"/>
      <c r="BD635" s="482"/>
      <c r="BE635" s="482"/>
      <c r="BF635" s="482"/>
      <c r="BG635" s="482"/>
      <c r="BH635" s="482"/>
      <c r="BI635" s="482"/>
      <c r="BJ635" s="482"/>
      <c r="BK635" s="482"/>
      <c r="BL635" s="482"/>
      <c r="BM635" s="482"/>
    </row>
    <row r="636" spans="1:65" ht="51" x14ac:dyDescent="0.2">
      <c r="A636" s="473"/>
      <c r="B636" s="419"/>
      <c r="C636" s="424"/>
      <c r="D636" s="406"/>
      <c r="E636" s="412"/>
      <c r="F636" s="406"/>
      <c r="G636" s="406"/>
      <c r="H636" s="440"/>
      <c r="I636" s="455"/>
      <c r="J636" s="455"/>
      <c r="K636" s="412"/>
      <c r="L636" s="406"/>
      <c r="M636" s="406"/>
      <c r="N636" s="428"/>
      <c r="O636" s="428"/>
      <c r="P636" s="428"/>
      <c r="Q636" s="428"/>
      <c r="R636" s="428"/>
      <c r="S636" s="428"/>
      <c r="T636" s="428"/>
      <c r="U636" s="428"/>
      <c r="V636" s="428"/>
      <c r="W636" s="428"/>
      <c r="X636" s="111"/>
      <c r="Y636" s="12" t="s">
        <v>195</v>
      </c>
      <c r="Z636" s="67">
        <v>42719</v>
      </c>
      <c r="AA636" s="242">
        <v>11964</v>
      </c>
      <c r="AB636" s="72" t="s">
        <v>1063</v>
      </c>
      <c r="AC636" s="67">
        <v>42735</v>
      </c>
      <c r="AD636" s="67">
        <v>43069</v>
      </c>
      <c r="AE636" s="70"/>
      <c r="AF636" s="71"/>
      <c r="AG636" s="247">
        <v>14520</v>
      </c>
      <c r="AH636" s="244"/>
      <c r="AI636" s="249"/>
      <c r="AJ636" s="249"/>
      <c r="AK636" s="249"/>
      <c r="AL636" s="537"/>
      <c r="AM636" s="522"/>
      <c r="AN636" s="525"/>
      <c r="AO636" s="537"/>
      <c r="AP636" s="165"/>
      <c r="AQ636" s="165"/>
      <c r="AR636" s="165"/>
      <c r="AS636" s="165"/>
      <c r="AT636" s="165"/>
      <c r="AU636" s="165"/>
      <c r="AV636" s="165"/>
      <c r="AW636" s="165"/>
      <c r="AX636" s="165"/>
      <c r="AY636" s="165"/>
      <c r="AZ636" s="165"/>
      <c r="BA636" s="165"/>
      <c r="BB636" s="165"/>
      <c r="BC636" s="165"/>
      <c r="BD636" s="165"/>
      <c r="BE636" s="165"/>
      <c r="BF636" s="165"/>
      <c r="BG636" s="165"/>
      <c r="BH636" s="165"/>
      <c r="BI636" s="165"/>
      <c r="BJ636" s="165"/>
      <c r="BK636" s="165"/>
      <c r="BL636" s="165"/>
      <c r="BM636" s="165"/>
    </row>
    <row r="637" spans="1:65" x14ac:dyDescent="0.2">
      <c r="A637" s="471">
        <v>349</v>
      </c>
      <c r="B637" s="418">
        <v>121770006</v>
      </c>
      <c r="C637" s="477"/>
      <c r="D637" s="405" t="s">
        <v>142</v>
      </c>
      <c r="E637" s="480"/>
      <c r="F637" s="545" t="s">
        <v>1384</v>
      </c>
      <c r="G637" s="413" t="s">
        <v>367</v>
      </c>
      <c r="H637" s="132"/>
      <c r="I637" s="132"/>
      <c r="J637" s="132"/>
      <c r="K637" s="485" t="s">
        <v>315</v>
      </c>
      <c r="L637" s="405" t="s">
        <v>321</v>
      </c>
      <c r="M637" s="494" t="s">
        <v>341</v>
      </c>
      <c r="N637" s="483">
        <v>41297</v>
      </c>
      <c r="O637" s="435">
        <v>12309</v>
      </c>
      <c r="P637" s="438" t="s">
        <v>811</v>
      </c>
      <c r="Q637" s="431">
        <v>41297</v>
      </c>
      <c r="R637" s="431">
        <v>41639</v>
      </c>
      <c r="S637" s="427" t="s">
        <v>136</v>
      </c>
      <c r="T637" s="514"/>
      <c r="U637" s="514"/>
      <c r="V637" s="514"/>
      <c r="W637" s="427" t="s">
        <v>117</v>
      </c>
      <c r="X637" s="60"/>
      <c r="Y637" s="12" t="s">
        <v>138</v>
      </c>
      <c r="Z637" s="67">
        <v>41639</v>
      </c>
      <c r="AA637" s="242">
        <v>11216</v>
      </c>
      <c r="AB637" s="514" t="s">
        <v>378</v>
      </c>
      <c r="AC637" s="67">
        <v>41639</v>
      </c>
      <c r="AD637" s="67">
        <v>42004</v>
      </c>
      <c r="AE637" s="70"/>
      <c r="AF637" s="271"/>
      <c r="AG637" s="247">
        <v>13428</v>
      </c>
      <c r="AH637" s="256"/>
      <c r="AI637" s="257"/>
      <c r="AJ637" s="257"/>
      <c r="AK637" s="257"/>
      <c r="AL637" s="505">
        <f>O637-AH637+AG637-AH638+AG638-AH639+AG639-AH640+AG640-AH641+AG641-AH642+AG642</f>
        <v>70621.75</v>
      </c>
      <c r="AM637" s="520">
        <f>26430+14699.35+1228.85+1228.85+1228.85+1228.85+1228.85+1228.85+1228.85+1228.85+1228.85+1228.85+1228.85+1228.85</f>
        <v>55875.549999999981</v>
      </c>
      <c r="AN637" s="523">
        <f>1228.85+1228.85+1228.85+1228.85+1228.85+1228.85+1228.85+1228.85+1228.85+1228.85+1228.85</f>
        <v>13517.350000000002</v>
      </c>
      <c r="AO637" s="505">
        <f>AM637+AN637</f>
        <v>69392.89999999998</v>
      </c>
      <c r="AP637" s="439"/>
      <c r="AQ637" s="132"/>
      <c r="AR637" s="132"/>
      <c r="AS637" s="439"/>
      <c r="AT637" s="480"/>
      <c r="AU637" s="480"/>
      <c r="AV637" s="480" t="s">
        <v>122</v>
      </c>
      <c r="AW637" s="410" t="s">
        <v>375</v>
      </c>
      <c r="AX637" s="443" t="s">
        <v>818</v>
      </c>
      <c r="AY637" s="432">
        <v>41330</v>
      </c>
      <c r="AZ637" s="443" t="s">
        <v>854</v>
      </c>
      <c r="BA637" s="432">
        <v>41340</v>
      </c>
      <c r="BB637" s="480"/>
      <c r="BC637" s="480"/>
      <c r="BD637" s="480"/>
      <c r="BE637" s="480"/>
      <c r="BF637" s="480"/>
      <c r="BG637" s="480"/>
      <c r="BH637" s="480"/>
      <c r="BI637" s="480"/>
      <c r="BJ637" s="480"/>
      <c r="BK637" s="480"/>
      <c r="BL637" s="480"/>
      <c r="BM637" s="480"/>
    </row>
    <row r="638" spans="1:65" x14ac:dyDescent="0.2">
      <c r="A638" s="472"/>
      <c r="B638" s="421"/>
      <c r="C638" s="478"/>
      <c r="D638" s="409"/>
      <c r="E638" s="481"/>
      <c r="F638" s="546"/>
      <c r="G638" s="414"/>
      <c r="H638" s="133"/>
      <c r="I638" s="133"/>
      <c r="J638" s="133"/>
      <c r="K638" s="486"/>
      <c r="L638" s="409"/>
      <c r="M638" s="495"/>
      <c r="N638" s="484"/>
      <c r="O638" s="436"/>
      <c r="P638" s="448"/>
      <c r="Q638" s="437"/>
      <c r="R638" s="437"/>
      <c r="S638" s="429"/>
      <c r="T638" s="515"/>
      <c r="U638" s="515"/>
      <c r="V638" s="515"/>
      <c r="W638" s="429"/>
      <c r="X638" s="61"/>
      <c r="Y638" s="12" t="s">
        <v>144</v>
      </c>
      <c r="Z638" s="67">
        <v>41687</v>
      </c>
      <c r="AA638" s="242">
        <v>11250</v>
      </c>
      <c r="AB638" s="519"/>
      <c r="AC638" s="67" t="s">
        <v>368</v>
      </c>
      <c r="AD638" s="67">
        <v>42004</v>
      </c>
      <c r="AE638" s="70">
        <v>5.63</v>
      </c>
      <c r="AF638" s="271"/>
      <c r="AG638" s="247">
        <v>693</v>
      </c>
      <c r="AH638" s="256"/>
      <c r="AI638" s="259"/>
      <c r="AJ638" s="259"/>
      <c r="AK638" s="259"/>
      <c r="AL638" s="506"/>
      <c r="AM638" s="521"/>
      <c r="AN638" s="524"/>
      <c r="AO638" s="506"/>
      <c r="AP638" s="458"/>
      <c r="AQ638" s="133"/>
      <c r="AR638" s="133"/>
      <c r="AS638" s="458"/>
      <c r="AT638" s="481"/>
      <c r="AU638" s="481"/>
      <c r="AV638" s="481"/>
      <c r="AW638" s="411"/>
      <c r="AX638" s="444"/>
      <c r="AY638" s="433"/>
      <c r="AZ638" s="444"/>
      <c r="BA638" s="433"/>
      <c r="BB638" s="481"/>
      <c r="BC638" s="481"/>
      <c r="BD638" s="481"/>
      <c r="BE638" s="481"/>
      <c r="BF638" s="481"/>
      <c r="BG638" s="481"/>
      <c r="BH638" s="481"/>
      <c r="BI638" s="481"/>
      <c r="BJ638" s="481"/>
      <c r="BK638" s="481"/>
      <c r="BL638" s="481"/>
      <c r="BM638" s="481"/>
    </row>
    <row r="639" spans="1:65" ht="63.75" x14ac:dyDescent="0.2">
      <c r="A639" s="472"/>
      <c r="B639" s="421"/>
      <c r="C639" s="478"/>
      <c r="D639" s="409"/>
      <c r="E639" s="481"/>
      <c r="F639" s="546"/>
      <c r="G639" s="414"/>
      <c r="H639" s="133"/>
      <c r="I639" s="133"/>
      <c r="J639" s="133"/>
      <c r="K639" s="486"/>
      <c r="L639" s="409"/>
      <c r="M639" s="495"/>
      <c r="N639" s="484"/>
      <c r="O639" s="436"/>
      <c r="P639" s="448"/>
      <c r="Q639" s="437"/>
      <c r="R639" s="437"/>
      <c r="S639" s="429"/>
      <c r="T639" s="515"/>
      <c r="U639" s="515"/>
      <c r="V639" s="515"/>
      <c r="W639" s="429"/>
      <c r="X639" s="61"/>
      <c r="Y639" s="12" t="s">
        <v>193</v>
      </c>
      <c r="Z639" s="67">
        <v>41988</v>
      </c>
      <c r="AA639" s="242">
        <v>11461</v>
      </c>
      <c r="AB639" s="89" t="s">
        <v>594</v>
      </c>
      <c r="AC639" s="67">
        <v>42004</v>
      </c>
      <c r="AD639" s="67">
        <v>42369</v>
      </c>
      <c r="AE639" s="70"/>
      <c r="AF639" s="271"/>
      <c r="AG639" s="247">
        <v>14184</v>
      </c>
      <c r="AH639" s="256"/>
      <c r="AI639" s="259"/>
      <c r="AJ639" s="259"/>
      <c r="AK639" s="259"/>
      <c r="AL639" s="506"/>
      <c r="AM639" s="521"/>
      <c r="AN639" s="524"/>
      <c r="AO639" s="506"/>
      <c r="AP639" s="458"/>
      <c r="AQ639" s="133"/>
      <c r="AR639" s="133"/>
      <c r="AS639" s="458"/>
      <c r="AT639" s="481"/>
      <c r="AU639" s="481"/>
      <c r="AV639" s="481"/>
      <c r="AW639" s="411"/>
      <c r="AX639" s="444"/>
      <c r="AY639" s="433"/>
      <c r="AZ639" s="444"/>
      <c r="BA639" s="433"/>
      <c r="BB639" s="481"/>
      <c r="BC639" s="481"/>
      <c r="BD639" s="481"/>
      <c r="BE639" s="481"/>
      <c r="BF639" s="481"/>
      <c r="BG639" s="481"/>
      <c r="BH639" s="481"/>
      <c r="BI639" s="481"/>
      <c r="BJ639" s="481"/>
      <c r="BK639" s="481"/>
      <c r="BL639" s="481"/>
      <c r="BM639" s="481"/>
    </row>
    <row r="640" spans="1:65" ht="89.25" x14ac:dyDescent="0.2">
      <c r="A640" s="472"/>
      <c r="B640" s="421"/>
      <c r="C640" s="478"/>
      <c r="D640" s="409"/>
      <c r="E640" s="481"/>
      <c r="F640" s="546"/>
      <c r="G640" s="414"/>
      <c r="H640" s="133"/>
      <c r="I640" s="133"/>
      <c r="J640" s="133"/>
      <c r="K640" s="486"/>
      <c r="L640" s="409"/>
      <c r="M640" s="495"/>
      <c r="N640" s="484"/>
      <c r="O640" s="436"/>
      <c r="P640" s="448"/>
      <c r="Q640" s="437"/>
      <c r="R640" s="437"/>
      <c r="S640" s="429"/>
      <c r="T640" s="515"/>
      <c r="U640" s="515"/>
      <c r="V640" s="515"/>
      <c r="W640" s="429"/>
      <c r="X640" s="61"/>
      <c r="Y640" s="12" t="s">
        <v>194</v>
      </c>
      <c r="Z640" s="67">
        <v>42038</v>
      </c>
      <c r="AA640" s="242">
        <v>11502</v>
      </c>
      <c r="AB640" s="89" t="s">
        <v>482</v>
      </c>
      <c r="AC640" s="67"/>
      <c r="AD640" s="67"/>
      <c r="AE640" s="70">
        <v>3.9638</v>
      </c>
      <c r="AF640" s="271"/>
      <c r="AG640" s="247">
        <v>515.35</v>
      </c>
      <c r="AH640" s="256"/>
      <c r="AI640" s="259"/>
      <c r="AJ640" s="259"/>
      <c r="AK640" s="259"/>
      <c r="AL640" s="506"/>
      <c r="AM640" s="521"/>
      <c r="AN640" s="524"/>
      <c r="AO640" s="506"/>
      <c r="AP640" s="458"/>
      <c r="AQ640" s="133"/>
      <c r="AR640" s="133"/>
      <c r="AS640" s="458"/>
      <c r="AT640" s="481"/>
      <c r="AU640" s="481"/>
      <c r="AV640" s="481"/>
      <c r="AW640" s="411"/>
      <c r="AX640" s="444"/>
      <c r="AY640" s="433"/>
      <c r="AZ640" s="444"/>
      <c r="BA640" s="433"/>
      <c r="BB640" s="481"/>
      <c r="BC640" s="481"/>
      <c r="BD640" s="481"/>
      <c r="BE640" s="481"/>
      <c r="BF640" s="481"/>
      <c r="BG640" s="481"/>
      <c r="BH640" s="481"/>
      <c r="BI640" s="481"/>
      <c r="BJ640" s="481"/>
      <c r="BK640" s="481"/>
      <c r="BL640" s="481"/>
      <c r="BM640" s="481"/>
    </row>
    <row r="641" spans="1:65" ht="76.5" x14ac:dyDescent="0.2">
      <c r="A641" s="472"/>
      <c r="B641" s="421"/>
      <c r="C641" s="478"/>
      <c r="D641" s="409"/>
      <c r="E641" s="481"/>
      <c r="F641" s="546"/>
      <c r="G641" s="414"/>
      <c r="H641" s="133"/>
      <c r="I641" s="133"/>
      <c r="J641" s="133"/>
      <c r="K641" s="486"/>
      <c r="L641" s="409"/>
      <c r="M641" s="495"/>
      <c r="N641" s="484"/>
      <c r="O641" s="436"/>
      <c r="P641" s="448"/>
      <c r="Q641" s="437"/>
      <c r="R641" s="437"/>
      <c r="S641" s="429"/>
      <c r="T641" s="515"/>
      <c r="U641" s="515"/>
      <c r="V641" s="515"/>
      <c r="W641" s="429"/>
      <c r="X641" s="61"/>
      <c r="Y641" s="12" t="s">
        <v>195</v>
      </c>
      <c r="Z641" s="67">
        <v>42352</v>
      </c>
      <c r="AA641" s="242">
        <v>11715</v>
      </c>
      <c r="AB641" s="89" t="s">
        <v>634</v>
      </c>
      <c r="AC641" s="67">
        <v>42369</v>
      </c>
      <c r="AD641" s="67">
        <v>42735</v>
      </c>
      <c r="AE641" s="70"/>
      <c r="AF641" s="271"/>
      <c r="AG641" s="247">
        <v>14746.2</v>
      </c>
      <c r="AH641" s="256"/>
      <c r="AI641" s="259"/>
      <c r="AJ641" s="259"/>
      <c r="AK641" s="259"/>
      <c r="AL641" s="506"/>
      <c r="AM641" s="521"/>
      <c r="AN641" s="524"/>
      <c r="AO641" s="506"/>
      <c r="AP641" s="458"/>
      <c r="AQ641" s="133"/>
      <c r="AR641" s="133"/>
      <c r="AS641" s="458"/>
      <c r="AT641" s="481"/>
      <c r="AU641" s="481"/>
      <c r="AV641" s="481"/>
      <c r="AW641" s="411"/>
      <c r="AX641" s="444"/>
      <c r="AY641" s="433"/>
      <c r="AZ641" s="444"/>
      <c r="BA641" s="433"/>
      <c r="BB641" s="481"/>
      <c r="BC641" s="481"/>
      <c r="BD641" s="481"/>
      <c r="BE641" s="481"/>
      <c r="BF641" s="481"/>
      <c r="BG641" s="481"/>
      <c r="BH641" s="481"/>
      <c r="BI641" s="481"/>
      <c r="BJ641" s="481"/>
      <c r="BK641" s="481"/>
      <c r="BL641" s="481"/>
      <c r="BM641" s="481"/>
    </row>
    <row r="642" spans="1:65" ht="76.5" x14ac:dyDescent="0.2">
      <c r="A642" s="473"/>
      <c r="B642" s="419"/>
      <c r="C642" s="479"/>
      <c r="D642" s="406"/>
      <c r="E642" s="482"/>
      <c r="F642" s="547"/>
      <c r="G642" s="415"/>
      <c r="H642" s="134"/>
      <c r="I642" s="134"/>
      <c r="J642" s="134"/>
      <c r="K642" s="412"/>
      <c r="L642" s="406"/>
      <c r="M642" s="406"/>
      <c r="N642" s="428"/>
      <c r="O642" s="428"/>
      <c r="P642" s="428"/>
      <c r="Q642" s="428"/>
      <c r="R642" s="428"/>
      <c r="S642" s="428"/>
      <c r="T642" s="428"/>
      <c r="U642" s="428"/>
      <c r="V642" s="428"/>
      <c r="W642" s="428"/>
      <c r="X642" s="111"/>
      <c r="Y642" s="12" t="s">
        <v>118</v>
      </c>
      <c r="Z642" s="67">
        <v>42723</v>
      </c>
      <c r="AA642" s="242">
        <v>11965</v>
      </c>
      <c r="AB642" s="89" t="s">
        <v>1075</v>
      </c>
      <c r="AC642" s="67">
        <v>42735</v>
      </c>
      <c r="AD642" s="67">
        <v>43100</v>
      </c>
      <c r="AE642" s="70"/>
      <c r="AF642" s="271"/>
      <c r="AG642" s="247">
        <v>14746.2</v>
      </c>
      <c r="AH642" s="256"/>
      <c r="AI642" s="261"/>
      <c r="AJ642" s="261"/>
      <c r="AK642" s="261"/>
      <c r="AL642" s="507"/>
      <c r="AM642" s="522"/>
      <c r="AN642" s="525"/>
      <c r="AO642" s="507"/>
      <c r="AP642" s="440"/>
      <c r="AQ642" s="134"/>
      <c r="AR642" s="134"/>
      <c r="AS642" s="440"/>
      <c r="AT642" s="482"/>
      <c r="AU642" s="482"/>
      <c r="AV642" s="482"/>
      <c r="AW642" s="412"/>
      <c r="AX642" s="445"/>
      <c r="AY642" s="434"/>
      <c r="AZ642" s="445"/>
      <c r="BA642" s="434"/>
      <c r="BB642" s="482"/>
      <c r="BC642" s="482"/>
      <c r="BD642" s="482"/>
      <c r="BE642" s="482"/>
      <c r="BF642" s="482"/>
      <c r="BG642" s="482"/>
      <c r="BH642" s="482"/>
      <c r="BI642" s="482"/>
      <c r="BJ642" s="482"/>
      <c r="BK642" s="482"/>
      <c r="BL642" s="482"/>
      <c r="BM642" s="482"/>
    </row>
    <row r="643" spans="1:65" ht="25.5" x14ac:dyDescent="0.2">
      <c r="A643" s="471">
        <v>350</v>
      </c>
      <c r="B643" s="418">
        <v>123190144</v>
      </c>
      <c r="C643" s="477"/>
      <c r="D643" s="405" t="s">
        <v>142</v>
      </c>
      <c r="E643" s="480"/>
      <c r="F643" s="545" t="s">
        <v>1385</v>
      </c>
      <c r="G643" s="425" t="s">
        <v>367</v>
      </c>
      <c r="H643" s="489"/>
      <c r="I643" s="489"/>
      <c r="J643" s="489"/>
      <c r="K643" s="551" t="s">
        <v>249</v>
      </c>
      <c r="L643" s="405" t="s">
        <v>322</v>
      </c>
      <c r="M643" s="494" t="s">
        <v>342</v>
      </c>
      <c r="N643" s="483">
        <v>41303</v>
      </c>
      <c r="O643" s="435">
        <v>14400</v>
      </c>
      <c r="P643" s="438" t="s">
        <v>812</v>
      </c>
      <c r="Q643" s="431">
        <v>41303</v>
      </c>
      <c r="R643" s="431">
        <v>41639</v>
      </c>
      <c r="S643" s="427" t="s">
        <v>136</v>
      </c>
      <c r="T643" s="514"/>
      <c r="U643" s="514"/>
      <c r="V643" s="514"/>
      <c r="W643" s="427" t="s">
        <v>117</v>
      </c>
      <c r="X643" s="24"/>
      <c r="Y643" s="12" t="s">
        <v>138</v>
      </c>
      <c r="Z643" s="67">
        <v>41639</v>
      </c>
      <c r="AA643" s="242">
        <v>11215</v>
      </c>
      <c r="AB643" s="71" t="s">
        <v>378</v>
      </c>
      <c r="AC643" s="67">
        <v>41639</v>
      </c>
      <c r="AD643" s="67">
        <v>42004</v>
      </c>
      <c r="AE643" s="70"/>
      <c r="AF643" s="12"/>
      <c r="AG643" s="247">
        <v>14400</v>
      </c>
      <c r="AH643" s="256"/>
      <c r="AI643" s="256"/>
      <c r="AJ643" s="256"/>
      <c r="AK643" s="256"/>
      <c r="AL643" s="505">
        <f>O643-AH643+AG643-AH644+AG644-AH645+AG645-AH646+AG646-AH647+AG647-AH648+AG648</f>
        <v>76955.100000000006</v>
      </c>
      <c r="AM643" s="520">
        <f>29548+15768.86+1318.26+1318.26+1318.26+1318.26+1318.26+1318.26+1318.26+1318.26+1318.26+1318.26+1318.26+1318.26</f>
        <v>61135.980000000025</v>
      </c>
      <c r="AN643" s="523">
        <f>1318.26+1318.26+1318.26+1318.26+1318.26</f>
        <v>6591.3</v>
      </c>
      <c r="AO643" s="505">
        <f>AM643+AN643</f>
        <v>67727.280000000028</v>
      </c>
      <c r="AP643" s="439"/>
      <c r="AQ643" s="132"/>
      <c r="AR643" s="132"/>
      <c r="AS643" s="439"/>
      <c r="AT643" s="480"/>
      <c r="AU643" s="480"/>
      <c r="AV643" s="480" t="s">
        <v>122</v>
      </c>
      <c r="AW643" s="410" t="s">
        <v>375</v>
      </c>
      <c r="AX643" s="443" t="s">
        <v>855</v>
      </c>
      <c r="AY643" s="432">
        <v>41295</v>
      </c>
      <c r="AZ643" s="443" t="s">
        <v>837</v>
      </c>
      <c r="BA643" s="432">
        <v>41296</v>
      </c>
      <c r="BB643" s="480"/>
      <c r="BC643" s="480"/>
      <c r="BD643" s="480"/>
      <c r="BE643" s="480"/>
      <c r="BF643" s="480"/>
      <c r="BG643" s="480"/>
      <c r="BH643" s="480"/>
      <c r="BI643" s="480"/>
      <c r="BJ643" s="480"/>
      <c r="BK643" s="480"/>
      <c r="BL643" s="480"/>
      <c r="BM643" s="480"/>
    </row>
    <row r="644" spans="1:65" ht="102" x14ac:dyDescent="0.2">
      <c r="A644" s="472"/>
      <c r="B644" s="421"/>
      <c r="C644" s="478"/>
      <c r="D644" s="409"/>
      <c r="E644" s="481"/>
      <c r="F644" s="546"/>
      <c r="G644" s="426"/>
      <c r="H644" s="429"/>
      <c r="I644" s="429"/>
      <c r="J644" s="429"/>
      <c r="K644" s="552"/>
      <c r="L644" s="409"/>
      <c r="M644" s="495"/>
      <c r="N644" s="484"/>
      <c r="O644" s="436"/>
      <c r="P644" s="448"/>
      <c r="Q644" s="437"/>
      <c r="R644" s="437"/>
      <c r="S644" s="429"/>
      <c r="T644" s="515"/>
      <c r="U644" s="515"/>
      <c r="V644" s="515"/>
      <c r="W644" s="429"/>
      <c r="X644" s="25"/>
      <c r="Y644" s="12" t="s">
        <v>144</v>
      </c>
      <c r="Z644" s="67">
        <v>41687</v>
      </c>
      <c r="AA644" s="242">
        <v>11251</v>
      </c>
      <c r="AB644" s="71" t="s">
        <v>440</v>
      </c>
      <c r="AC644" s="67"/>
      <c r="AD644" s="67"/>
      <c r="AE644" s="70">
        <v>5.67</v>
      </c>
      <c r="AF644" s="12"/>
      <c r="AG644" s="247">
        <v>748</v>
      </c>
      <c r="AH644" s="256"/>
      <c r="AI644" s="256"/>
      <c r="AJ644" s="256"/>
      <c r="AK644" s="256"/>
      <c r="AL644" s="506"/>
      <c r="AM644" s="521"/>
      <c r="AN644" s="524"/>
      <c r="AO644" s="506"/>
      <c r="AP644" s="458"/>
      <c r="AQ644" s="133"/>
      <c r="AR644" s="133"/>
      <c r="AS644" s="458"/>
      <c r="AT644" s="481"/>
      <c r="AU644" s="481"/>
      <c r="AV644" s="481"/>
      <c r="AW644" s="411"/>
      <c r="AX644" s="444"/>
      <c r="AY644" s="433"/>
      <c r="AZ644" s="444"/>
      <c r="BA644" s="433"/>
      <c r="BB644" s="481"/>
      <c r="BC644" s="481"/>
      <c r="BD644" s="481"/>
      <c r="BE644" s="481"/>
      <c r="BF644" s="481"/>
      <c r="BG644" s="481"/>
      <c r="BH644" s="481"/>
      <c r="BI644" s="481"/>
      <c r="BJ644" s="481"/>
      <c r="BK644" s="481"/>
      <c r="BL644" s="481"/>
      <c r="BM644" s="481"/>
    </row>
    <row r="645" spans="1:65" ht="63.75" x14ac:dyDescent="0.2">
      <c r="A645" s="472"/>
      <c r="B645" s="421"/>
      <c r="C645" s="478"/>
      <c r="D645" s="409"/>
      <c r="E645" s="481"/>
      <c r="F645" s="546"/>
      <c r="G645" s="426"/>
      <c r="H645" s="429"/>
      <c r="I645" s="429"/>
      <c r="J645" s="429"/>
      <c r="K645" s="552"/>
      <c r="L645" s="409"/>
      <c r="M645" s="495"/>
      <c r="N645" s="484"/>
      <c r="O645" s="436"/>
      <c r="P645" s="448"/>
      <c r="Q645" s="437"/>
      <c r="R645" s="437"/>
      <c r="S645" s="429"/>
      <c r="T645" s="515"/>
      <c r="U645" s="515"/>
      <c r="V645" s="515"/>
      <c r="W645" s="429"/>
      <c r="X645" s="25"/>
      <c r="Y645" s="12" t="s">
        <v>193</v>
      </c>
      <c r="Z645" s="67">
        <v>41988</v>
      </c>
      <c r="AA645" s="242">
        <v>11460</v>
      </c>
      <c r="AB645" s="71" t="s">
        <v>441</v>
      </c>
      <c r="AC645" s="67">
        <v>42004</v>
      </c>
      <c r="AD645" s="67">
        <v>42369</v>
      </c>
      <c r="AE645" s="70"/>
      <c r="AF645" s="12"/>
      <c r="AG645" s="247">
        <v>15216</v>
      </c>
      <c r="AH645" s="256"/>
      <c r="AI645" s="256"/>
      <c r="AJ645" s="256"/>
      <c r="AK645" s="256"/>
      <c r="AL645" s="506"/>
      <c r="AM645" s="521"/>
      <c r="AN645" s="524"/>
      <c r="AO645" s="506"/>
      <c r="AP645" s="458"/>
      <c r="AQ645" s="133"/>
      <c r="AR645" s="133"/>
      <c r="AS645" s="458"/>
      <c r="AT645" s="481"/>
      <c r="AU645" s="481"/>
      <c r="AV645" s="481"/>
      <c r="AW645" s="411"/>
      <c r="AX645" s="444"/>
      <c r="AY645" s="433"/>
      <c r="AZ645" s="444"/>
      <c r="BA645" s="433"/>
      <c r="BB645" s="481"/>
      <c r="BC645" s="481"/>
      <c r="BD645" s="481"/>
      <c r="BE645" s="481"/>
      <c r="BF645" s="481"/>
      <c r="BG645" s="481"/>
      <c r="BH645" s="481"/>
      <c r="BI645" s="481"/>
      <c r="BJ645" s="481"/>
      <c r="BK645" s="481"/>
      <c r="BL645" s="481"/>
      <c r="BM645" s="481"/>
    </row>
    <row r="646" spans="1:65" ht="102" x14ac:dyDescent="0.2">
      <c r="A646" s="472"/>
      <c r="B646" s="421"/>
      <c r="C646" s="478"/>
      <c r="D646" s="409"/>
      <c r="E646" s="481"/>
      <c r="F646" s="546"/>
      <c r="G646" s="426"/>
      <c r="H646" s="429"/>
      <c r="I646" s="429"/>
      <c r="J646" s="429"/>
      <c r="K646" s="552"/>
      <c r="L646" s="409"/>
      <c r="M646" s="495"/>
      <c r="N646" s="484"/>
      <c r="O646" s="436"/>
      <c r="P646" s="448"/>
      <c r="Q646" s="437"/>
      <c r="R646" s="437"/>
      <c r="S646" s="429"/>
      <c r="T646" s="515"/>
      <c r="U646" s="515"/>
      <c r="V646" s="515"/>
      <c r="W646" s="429"/>
      <c r="X646" s="25"/>
      <c r="Y646" s="12" t="s">
        <v>194</v>
      </c>
      <c r="Z646" s="67">
        <v>42038</v>
      </c>
      <c r="AA646" s="242">
        <v>11509</v>
      </c>
      <c r="AB646" s="71" t="s">
        <v>595</v>
      </c>
      <c r="AC646" s="67"/>
      <c r="AD646" s="67"/>
      <c r="AE646" s="70">
        <v>3.9638</v>
      </c>
      <c r="AF646" s="12"/>
      <c r="AG646" s="247">
        <v>552.86</v>
      </c>
      <c r="AH646" s="256"/>
      <c r="AI646" s="256"/>
      <c r="AJ646" s="256"/>
      <c r="AK646" s="256"/>
      <c r="AL646" s="506"/>
      <c r="AM646" s="521"/>
      <c r="AN646" s="524"/>
      <c r="AO646" s="506"/>
      <c r="AP646" s="458"/>
      <c r="AQ646" s="133"/>
      <c r="AR646" s="133"/>
      <c r="AS646" s="458"/>
      <c r="AT646" s="481"/>
      <c r="AU646" s="481"/>
      <c r="AV646" s="481"/>
      <c r="AW646" s="411"/>
      <c r="AX646" s="444"/>
      <c r="AY646" s="433"/>
      <c r="AZ646" s="444"/>
      <c r="BA646" s="433"/>
      <c r="BB646" s="481"/>
      <c r="BC646" s="481"/>
      <c r="BD646" s="481"/>
      <c r="BE646" s="481"/>
      <c r="BF646" s="481"/>
      <c r="BG646" s="481"/>
      <c r="BH646" s="481"/>
      <c r="BI646" s="481"/>
      <c r="BJ646" s="481"/>
      <c r="BK646" s="481"/>
      <c r="BL646" s="481"/>
      <c r="BM646" s="481"/>
    </row>
    <row r="647" spans="1:65" ht="76.5" x14ac:dyDescent="0.2">
      <c r="A647" s="472"/>
      <c r="B647" s="421"/>
      <c r="C647" s="478"/>
      <c r="D647" s="409"/>
      <c r="E647" s="481"/>
      <c r="F647" s="546"/>
      <c r="G647" s="426"/>
      <c r="H647" s="429"/>
      <c r="I647" s="429"/>
      <c r="J647" s="429"/>
      <c r="K647" s="552"/>
      <c r="L647" s="409"/>
      <c r="M647" s="495"/>
      <c r="N647" s="484"/>
      <c r="O647" s="436"/>
      <c r="P647" s="448"/>
      <c r="Q647" s="437"/>
      <c r="R647" s="437"/>
      <c r="S647" s="429"/>
      <c r="T647" s="515"/>
      <c r="U647" s="515"/>
      <c r="V647" s="515"/>
      <c r="W647" s="429"/>
      <c r="X647" s="25"/>
      <c r="Y647" s="12" t="s">
        <v>195</v>
      </c>
      <c r="Z647" s="67">
        <v>42352</v>
      </c>
      <c r="AA647" s="242">
        <v>11715</v>
      </c>
      <c r="AB647" s="71" t="s">
        <v>635</v>
      </c>
      <c r="AC647" s="67">
        <v>42369</v>
      </c>
      <c r="AD647" s="67">
        <v>42735</v>
      </c>
      <c r="AE647" s="70"/>
      <c r="AF647" s="12"/>
      <c r="AG647" s="247">
        <v>15819.12</v>
      </c>
      <c r="AH647" s="256"/>
      <c r="AI647" s="256"/>
      <c r="AJ647" s="256"/>
      <c r="AK647" s="256"/>
      <c r="AL647" s="506"/>
      <c r="AM647" s="521"/>
      <c r="AN647" s="524"/>
      <c r="AO647" s="506"/>
      <c r="AP647" s="458"/>
      <c r="AQ647" s="133"/>
      <c r="AR647" s="133"/>
      <c r="AS647" s="458"/>
      <c r="AT647" s="481"/>
      <c r="AU647" s="481"/>
      <c r="AV647" s="481"/>
      <c r="AW647" s="411"/>
      <c r="AX647" s="444"/>
      <c r="AY647" s="433"/>
      <c r="AZ647" s="444"/>
      <c r="BA647" s="433"/>
      <c r="BB647" s="481"/>
      <c r="BC647" s="481"/>
      <c r="BD647" s="481"/>
      <c r="BE647" s="481"/>
      <c r="BF647" s="481"/>
      <c r="BG647" s="481"/>
      <c r="BH647" s="481"/>
      <c r="BI647" s="481"/>
      <c r="BJ647" s="481"/>
      <c r="BK647" s="481"/>
      <c r="BL647" s="481"/>
      <c r="BM647" s="481"/>
    </row>
    <row r="648" spans="1:65" ht="76.5" x14ac:dyDescent="0.2">
      <c r="A648" s="472"/>
      <c r="B648" s="421"/>
      <c r="C648" s="478"/>
      <c r="D648" s="409"/>
      <c r="E648" s="481"/>
      <c r="F648" s="546"/>
      <c r="G648" s="426"/>
      <c r="H648" s="429"/>
      <c r="I648" s="429"/>
      <c r="J648" s="429"/>
      <c r="K648" s="552"/>
      <c r="L648" s="409"/>
      <c r="M648" s="495"/>
      <c r="N648" s="484"/>
      <c r="O648" s="436"/>
      <c r="P648" s="448"/>
      <c r="Q648" s="437"/>
      <c r="R648" s="437"/>
      <c r="S648" s="429"/>
      <c r="T648" s="515"/>
      <c r="U648" s="515"/>
      <c r="V648" s="515"/>
      <c r="W648" s="429"/>
      <c r="X648" s="26"/>
      <c r="Y648" s="12" t="s">
        <v>118</v>
      </c>
      <c r="Z648" s="67">
        <v>42723</v>
      </c>
      <c r="AA648" s="242">
        <v>11965</v>
      </c>
      <c r="AB648" s="71" t="s">
        <v>1076</v>
      </c>
      <c r="AC648" s="67">
        <v>42735</v>
      </c>
      <c r="AD648" s="67">
        <v>43100</v>
      </c>
      <c r="AE648" s="70"/>
      <c r="AF648" s="12"/>
      <c r="AG648" s="247">
        <v>15819.12</v>
      </c>
      <c r="AH648" s="256"/>
      <c r="AI648" s="256"/>
      <c r="AJ648" s="256"/>
      <c r="AK648" s="256"/>
      <c r="AL648" s="506"/>
      <c r="AM648" s="521"/>
      <c r="AN648" s="524"/>
      <c r="AO648" s="506"/>
      <c r="AP648" s="440"/>
      <c r="AQ648" s="134"/>
      <c r="AR648" s="134"/>
      <c r="AS648" s="440"/>
      <c r="AT648" s="482"/>
      <c r="AU648" s="482"/>
      <c r="AV648" s="482"/>
      <c r="AW648" s="412"/>
      <c r="AX648" s="445"/>
      <c r="AY648" s="434"/>
      <c r="AZ648" s="445"/>
      <c r="BA648" s="434"/>
      <c r="BB648" s="482"/>
      <c r="BC648" s="482"/>
      <c r="BD648" s="482"/>
      <c r="BE648" s="482"/>
      <c r="BF648" s="482"/>
      <c r="BG648" s="482"/>
      <c r="BH648" s="482"/>
      <c r="BI648" s="482"/>
      <c r="BJ648" s="482"/>
      <c r="BK648" s="482"/>
      <c r="BL648" s="482"/>
      <c r="BM648" s="482"/>
    </row>
    <row r="649" spans="1:65" ht="102" x14ac:dyDescent="0.2">
      <c r="A649" s="473"/>
      <c r="B649" s="419"/>
      <c r="C649" s="479"/>
      <c r="D649" s="406"/>
      <c r="E649" s="482"/>
      <c r="F649" s="547"/>
      <c r="G649" s="406"/>
      <c r="H649" s="428"/>
      <c r="I649" s="428"/>
      <c r="J649" s="428"/>
      <c r="K649" s="428"/>
      <c r="L649" s="406"/>
      <c r="M649" s="406"/>
      <c r="N649" s="428"/>
      <c r="O649" s="428"/>
      <c r="P649" s="428"/>
      <c r="Q649" s="428"/>
      <c r="R649" s="428"/>
      <c r="S649" s="428"/>
      <c r="T649" s="428"/>
      <c r="U649" s="428"/>
      <c r="V649" s="428"/>
      <c r="W649" s="428"/>
      <c r="X649" s="25"/>
      <c r="Y649" s="12" t="s">
        <v>742</v>
      </c>
      <c r="Z649" s="67">
        <v>42888</v>
      </c>
      <c r="AA649" s="242">
        <v>12072</v>
      </c>
      <c r="AB649" s="71" t="s">
        <v>1644</v>
      </c>
      <c r="AC649" s="67"/>
      <c r="AD649" s="67"/>
      <c r="AE649" s="70"/>
      <c r="AF649" s="12"/>
      <c r="AG649" s="247"/>
      <c r="AH649" s="256"/>
      <c r="AI649" s="259"/>
      <c r="AJ649" s="259"/>
      <c r="AK649" s="259"/>
      <c r="AL649" s="507"/>
      <c r="AM649" s="522"/>
      <c r="AN649" s="525"/>
      <c r="AO649" s="507"/>
      <c r="AP649" s="133"/>
      <c r="AQ649" s="133"/>
      <c r="AR649" s="133"/>
      <c r="AS649" s="133"/>
      <c r="AT649" s="165"/>
      <c r="AU649" s="165"/>
      <c r="AV649" s="165"/>
      <c r="AW649" s="25"/>
      <c r="AX649" s="130"/>
      <c r="AY649" s="131"/>
      <c r="AZ649" s="130"/>
      <c r="BA649" s="131"/>
      <c r="BB649" s="165"/>
      <c r="BC649" s="165"/>
      <c r="BD649" s="165"/>
      <c r="BE649" s="165"/>
      <c r="BF649" s="165"/>
      <c r="BG649" s="165"/>
      <c r="BH649" s="165"/>
      <c r="BI649" s="165"/>
      <c r="BJ649" s="165"/>
      <c r="BK649" s="165"/>
      <c r="BL649" s="165"/>
      <c r="BM649" s="165"/>
    </row>
    <row r="650" spans="1:65" ht="25.5" x14ac:dyDescent="0.2">
      <c r="A650" s="471">
        <v>351</v>
      </c>
      <c r="B650" s="418">
        <v>1234200149</v>
      </c>
      <c r="C650" s="422" t="s">
        <v>348</v>
      </c>
      <c r="D650" s="405" t="s">
        <v>218</v>
      </c>
      <c r="E650" s="410" t="s">
        <v>126</v>
      </c>
      <c r="F650" s="405" t="s">
        <v>219</v>
      </c>
      <c r="G650" s="425" t="s">
        <v>821</v>
      </c>
      <c r="H650" s="439" t="s">
        <v>1203</v>
      </c>
      <c r="I650" s="453">
        <v>41323</v>
      </c>
      <c r="J650" s="453">
        <v>41688</v>
      </c>
      <c r="K650" s="485" t="s">
        <v>316</v>
      </c>
      <c r="L650" s="405" t="s">
        <v>343</v>
      </c>
      <c r="M650" s="405" t="s">
        <v>344</v>
      </c>
      <c r="N650" s="502">
        <v>41325</v>
      </c>
      <c r="O650" s="487">
        <v>56680</v>
      </c>
      <c r="P650" s="548" t="s">
        <v>813</v>
      </c>
      <c r="Q650" s="502">
        <v>41325</v>
      </c>
      <c r="R650" s="432">
        <v>41639</v>
      </c>
      <c r="S650" s="410" t="s">
        <v>345</v>
      </c>
      <c r="T650" s="480"/>
      <c r="U650" s="480"/>
      <c r="V650" s="480"/>
      <c r="W650" s="410" t="s">
        <v>222</v>
      </c>
      <c r="X650" s="24"/>
      <c r="Y650" s="12" t="s">
        <v>138</v>
      </c>
      <c r="Z650" s="67">
        <v>41639</v>
      </c>
      <c r="AA650" s="242">
        <v>11213</v>
      </c>
      <c r="AB650" s="71" t="s">
        <v>384</v>
      </c>
      <c r="AC650" s="67">
        <v>41639</v>
      </c>
      <c r="AD650" s="67">
        <v>42004</v>
      </c>
      <c r="AE650" s="70"/>
      <c r="AF650" s="12"/>
      <c r="AG650" s="247">
        <v>56680</v>
      </c>
      <c r="AH650" s="256"/>
      <c r="AI650" s="257"/>
      <c r="AJ650" s="257"/>
      <c r="AK650" s="257"/>
      <c r="AL650" s="505">
        <f>O650-AH650+AG650-AH651+AG651-AH652+AG652</f>
        <v>226720</v>
      </c>
      <c r="AM650" s="520">
        <f>113360+15375+0+11261+0+2341+2432+1176+977+1266+813+520+544</f>
        <v>150065</v>
      </c>
      <c r="AN650" s="523">
        <f>0+1337+2070+1604+1556+955+1246+795+1069</f>
        <v>10632</v>
      </c>
      <c r="AO650" s="505">
        <f>AM650+AN650</f>
        <v>160697</v>
      </c>
      <c r="AP650" s="480"/>
      <c r="AQ650" s="6"/>
      <c r="AR650" s="6"/>
      <c r="AS650" s="480"/>
      <c r="AT650" s="480"/>
      <c r="AU650" s="480"/>
      <c r="AV650" s="480"/>
      <c r="AW650" s="480"/>
      <c r="AX650" s="480"/>
      <c r="AY650" s="480"/>
      <c r="AZ650" s="480"/>
      <c r="BA650" s="480"/>
      <c r="BB650" s="480"/>
      <c r="BC650" s="480"/>
      <c r="BD650" s="480"/>
      <c r="BE650" s="480"/>
      <c r="BF650" s="480"/>
      <c r="BG650" s="480"/>
      <c r="BH650" s="480"/>
      <c r="BI650" s="480"/>
      <c r="BJ650" s="480"/>
      <c r="BK650" s="480"/>
      <c r="BL650" s="480"/>
      <c r="BM650" s="480"/>
    </row>
    <row r="651" spans="1:65" ht="38.25" x14ac:dyDescent="0.2">
      <c r="A651" s="472"/>
      <c r="B651" s="421"/>
      <c r="C651" s="423"/>
      <c r="D651" s="409"/>
      <c r="E651" s="411"/>
      <c r="F651" s="409"/>
      <c r="G651" s="426"/>
      <c r="H651" s="458"/>
      <c r="I651" s="454"/>
      <c r="J651" s="454"/>
      <c r="K651" s="486"/>
      <c r="L651" s="409"/>
      <c r="M651" s="409"/>
      <c r="N651" s="503"/>
      <c r="O651" s="528"/>
      <c r="P651" s="549"/>
      <c r="Q651" s="503"/>
      <c r="R651" s="433"/>
      <c r="S651" s="411"/>
      <c r="T651" s="481"/>
      <c r="U651" s="481"/>
      <c r="V651" s="481"/>
      <c r="W651" s="411"/>
      <c r="X651" s="25"/>
      <c r="Y651" s="12" t="s">
        <v>144</v>
      </c>
      <c r="Z651" s="67">
        <v>42004</v>
      </c>
      <c r="AA651" s="242">
        <v>11472</v>
      </c>
      <c r="AB651" s="71" t="s">
        <v>586</v>
      </c>
      <c r="AC651" s="67">
        <v>42004</v>
      </c>
      <c r="AD651" s="67">
        <v>42369</v>
      </c>
      <c r="AE651" s="70"/>
      <c r="AF651" s="12"/>
      <c r="AG651" s="247">
        <v>56680</v>
      </c>
      <c r="AH651" s="256"/>
      <c r="AI651" s="259"/>
      <c r="AJ651" s="259"/>
      <c r="AK651" s="259"/>
      <c r="AL651" s="506"/>
      <c r="AM651" s="521"/>
      <c r="AN651" s="524"/>
      <c r="AO651" s="506"/>
      <c r="AP651" s="481"/>
      <c r="AQ651" s="165"/>
      <c r="AR651" s="165"/>
      <c r="AS651" s="481"/>
      <c r="AT651" s="481"/>
      <c r="AU651" s="481"/>
      <c r="AV651" s="481"/>
      <c r="AW651" s="481"/>
      <c r="AX651" s="481"/>
      <c r="AY651" s="481"/>
      <c r="AZ651" s="481"/>
      <c r="BA651" s="481"/>
      <c r="BB651" s="481"/>
      <c r="BC651" s="481"/>
      <c r="BD651" s="481"/>
      <c r="BE651" s="481"/>
      <c r="BF651" s="481"/>
      <c r="BG651" s="481"/>
      <c r="BH651" s="481"/>
      <c r="BI651" s="481"/>
      <c r="BJ651" s="481"/>
      <c r="BK651" s="481"/>
      <c r="BL651" s="481"/>
      <c r="BM651" s="481"/>
    </row>
    <row r="652" spans="1:65" ht="51" x14ac:dyDescent="0.2">
      <c r="A652" s="473"/>
      <c r="B652" s="419"/>
      <c r="C652" s="424"/>
      <c r="D652" s="406"/>
      <c r="E652" s="412"/>
      <c r="F652" s="406"/>
      <c r="G652" s="459"/>
      <c r="H652" s="440"/>
      <c r="I652" s="455"/>
      <c r="J652" s="455"/>
      <c r="K652" s="496"/>
      <c r="L652" s="406"/>
      <c r="M652" s="406"/>
      <c r="N652" s="504"/>
      <c r="O652" s="488"/>
      <c r="P652" s="550"/>
      <c r="Q652" s="504"/>
      <c r="R652" s="434"/>
      <c r="S652" s="412"/>
      <c r="T652" s="482"/>
      <c r="U652" s="482"/>
      <c r="V652" s="482"/>
      <c r="W652" s="412"/>
      <c r="X652" s="26"/>
      <c r="Y652" s="12" t="s">
        <v>193</v>
      </c>
      <c r="Z652" s="67">
        <v>42369</v>
      </c>
      <c r="AA652" s="242">
        <v>11716</v>
      </c>
      <c r="AB652" s="71" t="s">
        <v>636</v>
      </c>
      <c r="AC652" s="67">
        <v>42369</v>
      </c>
      <c r="AD652" s="67">
        <v>42735</v>
      </c>
      <c r="AE652" s="70"/>
      <c r="AF652" s="12"/>
      <c r="AG652" s="247">
        <v>56680</v>
      </c>
      <c r="AH652" s="256"/>
      <c r="AI652" s="261"/>
      <c r="AJ652" s="261"/>
      <c r="AK652" s="261"/>
      <c r="AL652" s="507"/>
      <c r="AM652" s="522"/>
      <c r="AN652" s="525"/>
      <c r="AO652" s="507"/>
      <c r="AP652" s="482"/>
      <c r="AQ652" s="184"/>
      <c r="AR652" s="184"/>
      <c r="AS652" s="482"/>
      <c r="AT652" s="482"/>
      <c r="AU652" s="482"/>
      <c r="AV652" s="482"/>
      <c r="AW652" s="482"/>
      <c r="AX652" s="482"/>
      <c r="AY652" s="482"/>
      <c r="AZ652" s="482"/>
      <c r="BA652" s="482"/>
      <c r="BB652" s="482"/>
      <c r="BC652" s="482"/>
      <c r="BD652" s="482"/>
      <c r="BE652" s="482"/>
      <c r="BF652" s="482"/>
      <c r="BG652" s="482"/>
      <c r="BH652" s="482"/>
      <c r="BI652" s="482"/>
      <c r="BJ652" s="482"/>
      <c r="BK652" s="482"/>
      <c r="BL652" s="482"/>
      <c r="BM652" s="482"/>
    </row>
    <row r="653" spans="1:65" ht="25.5" x14ac:dyDescent="0.2">
      <c r="A653" s="471">
        <v>352</v>
      </c>
      <c r="B653" s="418" t="s">
        <v>346</v>
      </c>
      <c r="C653" s="422" t="s">
        <v>347</v>
      </c>
      <c r="D653" s="405" t="s">
        <v>218</v>
      </c>
      <c r="E653" s="410" t="s">
        <v>372</v>
      </c>
      <c r="F653" s="405" t="s">
        <v>349</v>
      </c>
      <c r="G653" s="425" t="s">
        <v>836</v>
      </c>
      <c r="H653" s="439" t="s">
        <v>1212</v>
      </c>
      <c r="I653" s="453">
        <v>41065</v>
      </c>
      <c r="J653" s="453">
        <v>41430</v>
      </c>
      <c r="K653" s="485" t="s">
        <v>317</v>
      </c>
      <c r="L653" s="405" t="s">
        <v>350</v>
      </c>
      <c r="M653" s="405" t="s">
        <v>351</v>
      </c>
      <c r="N653" s="516">
        <v>41282</v>
      </c>
      <c r="O653" s="435">
        <v>79005.119999999995</v>
      </c>
      <c r="P653" s="508" t="s">
        <v>814</v>
      </c>
      <c r="Q653" s="516">
        <v>41282</v>
      </c>
      <c r="R653" s="431">
        <v>41639</v>
      </c>
      <c r="S653" s="427" t="s">
        <v>136</v>
      </c>
      <c r="T653" s="514"/>
      <c r="U653" s="514"/>
      <c r="V653" s="514"/>
      <c r="W653" s="427" t="s">
        <v>222</v>
      </c>
      <c r="X653" s="24"/>
      <c r="Y653" s="12" t="s">
        <v>138</v>
      </c>
      <c r="Z653" s="67">
        <v>41639</v>
      </c>
      <c r="AA653" s="242">
        <v>11213</v>
      </c>
      <c r="AB653" s="71" t="s">
        <v>386</v>
      </c>
      <c r="AC653" s="67">
        <v>41639</v>
      </c>
      <c r="AD653" s="67">
        <v>42004</v>
      </c>
      <c r="AE653" s="272"/>
      <c r="AF653" s="273"/>
      <c r="AG653" s="247">
        <v>79005.119999999995</v>
      </c>
      <c r="AH653" s="243"/>
      <c r="AI653" s="274"/>
      <c r="AJ653" s="274"/>
      <c r="AK653" s="274"/>
      <c r="AL653" s="505">
        <f>O653-AH653+AG653-AH654+AG654-AH655+AG655-AH656+AG656-AH657+AG657-AH658+AG658-AH659+AG659</f>
        <v>523291.04</v>
      </c>
      <c r="AM653" s="520">
        <f>174469.64+97955.48+9055.12+9055.12+9055.12+9055.12+9055.12+9055.12+9055.12+9055.12+9055.12+9055.12+9055.12+9055.12</f>
        <v>381086.55999999994</v>
      </c>
      <c r="AN653" s="523">
        <f>9055.12+9055.12+9055.12+20150.92+11095.8+19258.44+11095.8+22192.2+11095.6</f>
        <v>122054.12000000001</v>
      </c>
      <c r="AO653" s="505">
        <f>AM653+AN653</f>
        <v>503140.67999999993</v>
      </c>
      <c r="AP653" s="439"/>
      <c r="AQ653" s="132"/>
      <c r="AR653" s="132"/>
      <c r="AS653" s="439"/>
      <c r="AT653" s="480"/>
      <c r="AU653" s="480"/>
      <c r="AV653" s="480"/>
      <c r="AW653" s="485"/>
      <c r="AX653" s="548"/>
      <c r="AY653" s="453"/>
      <c r="AZ653" s="548"/>
      <c r="BA653" s="453"/>
      <c r="BB653" s="480"/>
      <c r="BC653" s="480"/>
      <c r="BD653" s="480"/>
      <c r="BE653" s="480"/>
      <c r="BF653" s="480"/>
      <c r="BG653" s="480"/>
      <c r="BH653" s="480"/>
      <c r="BI653" s="480"/>
      <c r="BJ653" s="480"/>
      <c r="BK653" s="480"/>
      <c r="BL653" s="480"/>
      <c r="BM653" s="480"/>
    </row>
    <row r="654" spans="1:65" ht="25.5" x14ac:dyDescent="0.2">
      <c r="A654" s="472"/>
      <c r="B654" s="421"/>
      <c r="C654" s="423"/>
      <c r="D654" s="409"/>
      <c r="E654" s="411"/>
      <c r="F654" s="409"/>
      <c r="G654" s="426"/>
      <c r="H654" s="458"/>
      <c r="I654" s="454"/>
      <c r="J654" s="454"/>
      <c r="K654" s="486"/>
      <c r="L654" s="409"/>
      <c r="M654" s="409"/>
      <c r="N654" s="517"/>
      <c r="O654" s="436"/>
      <c r="P654" s="509"/>
      <c r="Q654" s="517"/>
      <c r="R654" s="437"/>
      <c r="S654" s="429"/>
      <c r="T654" s="515"/>
      <c r="U654" s="515"/>
      <c r="V654" s="515"/>
      <c r="W654" s="429"/>
      <c r="X654" s="25"/>
      <c r="Y654" s="12" t="s">
        <v>144</v>
      </c>
      <c r="Z654" s="67">
        <v>41698</v>
      </c>
      <c r="AA654" s="242">
        <v>11262</v>
      </c>
      <c r="AB654" s="71" t="s">
        <v>385</v>
      </c>
      <c r="AC654" s="67">
        <v>41699</v>
      </c>
      <c r="AD654" s="67">
        <v>42004</v>
      </c>
      <c r="AE654" s="275">
        <v>20.833300000000001</v>
      </c>
      <c r="AF654" s="273"/>
      <c r="AG654" s="247">
        <v>16459.400000000001</v>
      </c>
      <c r="AH654" s="243"/>
      <c r="AI654" s="276"/>
      <c r="AJ654" s="276"/>
      <c r="AK654" s="276"/>
      <c r="AL654" s="506"/>
      <c r="AM654" s="521"/>
      <c r="AN654" s="524"/>
      <c r="AO654" s="506"/>
      <c r="AP654" s="458"/>
      <c r="AQ654" s="133"/>
      <c r="AR654" s="133"/>
      <c r="AS654" s="458"/>
      <c r="AT654" s="481"/>
      <c r="AU654" s="481"/>
      <c r="AV654" s="481"/>
      <c r="AW654" s="486"/>
      <c r="AX654" s="549"/>
      <c r="AY654" s="454"/>
      <c r="AZ654" s="549"/>
      <c r="BA654" s="454"/>
      <c r="BB654" s="481"/>
      <c r="BC654" s="481"/>
      <c r="BD654" s="481"/>
      <c r="BE654" s="481"/>
      <c r="BF654" s="481"/>
      <c r="BG654" s="481"/>
      <c r="BH654" s="481"/>
      <c r="BI654" s="481"/>
      <c r="BJ654" s="481"/>
      <c r="BK654" s="481"/>
      <c r="BL654" s="481"/>
      <c r="BM654" s="481"/>
    </row>
    <row r="655" spans="1:65" ht="38.25" x14ac:dyDescent="0.2">
      <c r="A655" s="472"/>
      <c r="B655" s="421"/>
      <c r="C655" s="423"/>
      <c r="D655" s="409"/>
      <c r="E655" s="411"/>
      <c r="F655" s="409"/>
      <c r="G655" s="426"/>
      <c r="H655" s="458"/>
      <c r="I655" s="454"/>
      <c r="J655" s="454"/>
      <c r="K655" s="486"/>
      <c r="L655" s="409"/>
      <c r="M655" s="409"/>
      <c r="N655" s="517"/>
      <c r="O655" s="436"/>
      <c r="P655" s="509"/>
      <c r="Q655" s="517"/>
      <c r="R655" s="437"/>
      <c r="S655" s="429"/>
      <c r="T655" s="515"/>
      <c r="U655" s="515"/>
      <c r="V655" s="515"/>
      <c r="W655" s="429"/>
      <c r="X655" s="25"/>
      <c r="Y655" s="12" t="s">
        <v>193</v>
      </c>
      <c r="Z655" s="67">
        <v>42004</v>
      </c>
      <c r="AA655" s="242">
        <v>11475</v>
      </c>
      <c r="AB655" s="71" t="s">
        <v>586</v>
      </c>
      <c r="AC655" s="67">
        <v>42004</v>
      </c>
      <c r="AD655" s="67">
        <v>42369</v>
      </c>
      <c r="AE655" s="275"/>
      <c r="AF655" s="273"/>
      <c r="AG655" s="247">
        <v>98756.4</v>
      </c>
      <c r="AH655" s="243"/>
      <c r="AI655" s="276"/>
      <c r="AJ655" s="276"/>
      <c r="AK655" s="276"/>
      <c r="AL655" s="506"/>
      <c r="AM655" s="521"/>
      <c r="AN655" s="524"/>
      <c r="AO655" s="506"/>
      <c r="AP655" s="458"/>
      <c r="AQ655" s="133"/>
      <c r="AR655" s="133"/>
      <c r="AS655" s="458"/>
      <c r="AT655" s="481"/>
      <c r="AU655" s="481"/>
      <c r="AV655" s="481"/>
      <c r="AW655" s="486"/>
      <c r="AX655" s="549"/>
      <c r="AY655" s="454"/>
      <c r="AZ655" s="549"/>
      <c r="BA655" s="454"/>
      <c r="BB655" s="481"/>
      <c r="BC655" s="481"/>
      <c r="BD655" s="481"/>
      <c r="BE655" s="481"/>
      <c r="BF655" s="481"/>
      <c r="BG655" s="481"/>
      <c r="BH655" s="481"/>
      <c r="BI655" s="481"/>
      <c r="BJ655" s="481"/>
      <c r="BK655" s="481"/>
      <c r="BL655" s="481"/>
      <c r="BM655" s="481"/>
    </row>
    <row r="656" spans="1:65" ht="114.75" x14ac:dyDescent="0.2">
      <c r="A656" s="472"/>
      <c r="B656" s="421"/>
      <c r="C656" s="423"/>
      <c r="D656" s="409"/>
      <c r="E656" s="411"/>
      <c r="F656" s="409"/>
      <c r="G656" s="426"/>
      <c r="H656" s="458"/>
      <c r="I656" s="454"/>
      <c r="J656" s="454"/>
      <c r="K656" s="486"/>
      <c r="L656" s="409"/>
      <c r="M656" s="409"/>
      <c r="N656" s="517"/>
      <c r="O656" s="436"/>
      <c r="P656" s="509"/>
      <c r="Q656" s="517"/>
      <c r="R656" s="437"/>
      <c r="S656" s="429"/>
      <c r="T656" s="515"/>
      <c r="U656" s="515"/>
      <c r="V656" s="515"/>
      <c r="W656" s="429"/>
      <c r="X656" s="25"/>
      <c r="Y656" s="12" t="s">
        <v>194</v>
      </c>
      <c r="Z656" s="67">
        <v>42145</v>
      </c>
      <c r="AA656" s="242">
        <v>11563</v>
      </c>
      <c r="AB656" s="71" t="s">
        <v>509</v>
      </c>
      <c r="AC656" s="67"/>
      <c r="AD656" s="67"/>
      <c r="AE656" s="275">
        <v>3.5</v>
      </c>
      <c r="AF656" s="273"/>
      <c r="AG656" s="247">
        <v>8254.2000000000007</v>
      </c>
      <c r="AH656" s="243"/>
      <c r="AI656" s="276"/>
      <c r="AJ656" s="276"/>
      <c r="AK656" s="276"/>
      <c r="AL656" s="506"/>
      <c r="AM656" s="521"/>
      <c r="AN656" s="524"/>
      <c r="AO656" s="506"/>
      <c r="AP656" s="458"/>
      <c r="AQ656" s="133"/>
      <c r="AR656" s="133"/>
      <c r="AS656" s="458"/>
      <c r="AT656" s="481"/>
      <c r="AU656" s="481"/>
      <c r="AV656" s="481"/>
      <c r="AW656" s="486"/>
      <c r="AX656" s="549"/>
      <c r="AY656" s="454"/>
      <c r="AZ656" s="549"/>
      <c r="BA656" s="454"/>
      <c r="BB656" s="481"/>
      <c r="BC656" s="481"/>
      <c r="BD656" s="481"/>
      <c r="BE656" s="481"/>
      <c r="BF656" s="481"/>
      <c r="BG656" s="481"/>
      <c r="BH656" s="481"/>
      <c r="BI656" s="481"/>
      <c r="BJ656" s="481"/>
      <c r="BK656" s="481"/>
      <c r="BL656" s="481"/>
      <c r="BM656" s="481"/>
    </row>
    <row r="657" spans="1:65" ht="51" x14ac:dyDescent="0.2">
      <c r="A657" s="472"/>
      <c r="B657" s="421"/>
      <c r="C657" s="423"/>
      <c r="D657" s="409"/>
      <c r="E657" s="411"/>
      <c r="F657" s="409"/>
      <c r="G657" s="426"/>
      <c r="H657" s="458"/>
      <c r="I657" s="454"/>
      <c r="J657" s="454"/>
      <c r="K657" s="486"/>
      <c r="L657" s="409"/>
      <c r="M657" s="409"/>
      <c r="N657" s="517"/>
      <c r="O657" s="436"/>
      <c r="P657" s="509"/>
      <c r="Q657" s="517"/>
      <c r="R657" s="437"/>
      <c r="S657" s="429"/>
      <c r="T657" s="515"/>
      <c r="U657" s="515"/>
      <c r="V657" s="515"/>
      <c r="W657" s="429"/>
      <c r="X657" s="25"/>
      <c r="Y657" s="12" t="s">
        <v>195</v>
      </c>
      <c r="Z657" s="67">
        <v>42369</v>
      </c>
      <c r="AA657" s="242">
        <v>11722</v>
      </c>
      <c r="AB657" s="71" t="s">
        <v>636</v>
      </c>
      <c r="AC657" s="67">
        <v>42369</v>
      </c>
      <c r="AD657" s="67">
        <v>42735</v>
      </c>
      <c r="AE657" s="275"/>
      <c r="AF657" s="273"/>
      <c r="AG657" s="247">
        <v>108661.44</v>
      </c>
      <c r="AH657" s="243"/>
      <c r="AI657" s="276"/>
      <c r="AJ657" s="276"/>
      <c r="AK657" s="276"/>
      <c r="AL657" s="506"/>
      <c r="AM657" s="521"/>
      <c r="AN657" s="524"/>
      <c r="AO657" s="506"/>
      <c r="AP657" s="440"/>
      <c r="AQ657" s="134"/>
      <c r="AR657" s="134"/>
      <c r="AS657" s="440"/>
      <c r="AT657" s="482"/>
      <c r="AU657" s="482"/>
      <c r="AV657" s="482"/>
      <c r="AW657" s="496"/>
      <c r="AX657" s="550"/>
      <c r="AY657" s="455"/>
      <c r="AZ657" s="550"/>
      <c r="BA657" s="455"/>
      <c r="BB657" s="482"/>
      <c r="BC657" s="482"/>
      <c r="BD657" s="482"/>
      <c r="BE657" s="482"/>
      <c r="BF657" s="482"/>
      <c r="BG657" s="482"/>
      <c r="BH657" s="482"/>
      <c r="BI657" s="482"/>
      <c r="BJ657" s="482"/>
      <c r="BK657" s="482"/>
      <c r="BL657" s="482"/>
      <c r="BM657" s="482"/>
    </row>
    <row r="658" spans="1:65" ht="51" x14ac:dyDescent="0.2">
      <c r="A658" s="472"/>
      <c r="B658" s="421"/>
      <c r="C658" s="423"/>
      <c r="D658" s="409"/>
      <c r="E658" s="411"/>
      <c r="F658" s="409"/>
      <c r="G658" s="426"/>
      <c r="H658" s="458"/>
      <c r="I658" s="454"/>
      <c r="J658" s="454"/>
      <c r="K658" s="486"/>
      <c r="L658" s="409"/>
      <c r="M658" s="409"/>
      <c r="N658" s="517"/>
      <c r="O658" s="436"/>
      <c r="P658" s="509"/>
      <c r="Q658" s="517"/>
      <c r="R658" s="437"/>
      <c r="S658" s="429"/>
      <c r="T658" s="515"/>
      <c r="U658" s="515"/>
      <c r="V658" s="515"/>
      <c r="W658" s="429"/>
      <c r="X658" s="26"/>
      <c r="Y658" s="12" t="s">
        <v>118</v>
      </c>
      <c r="Z658" s="67">
        <v>42725</v>
      </c>
      <c r="AA658" s="242">
        <v>11964</v>
      </c>
      <c r="AB658" s="71" t="s">
        <v>636</v>
      </c>
      <c r="AC658" s="67">
        <v>42735</v>
      </c>
      <c r="AD658" s="67">
        <v>43100</v>
      </c>
      <c r="AE658" s="275"/>
      <c r="AF658" s="273"/>
      <c r="AG658" s="247">
        <v>108661.44</v>
      </c>
      <c r="AH658" s="243"/>
      <c r="AI658" s="277"/>
      <c r="AJ658" s="277"/>
      <c r="AK658" s="277"/>
      <c r="AL658" s="506"/>
      <c r="AM658" s="521"/>
      <c r="AN658" s="524"/>
      <c r="AO658" s="506"/>
      <c r="AP658" s="133"/>
      <c r="AQ658" s="133"/>
      <c r="AR658" s="133"/>
      <c r="AS658" s="133"/>
      <c r="AT658" s="165"/>
      <c r="AU658" s="165"/>
      <c r="AV658" s="165"/>
      <c r="AW658" s="278"/>
      <c r="AX658" s="155"/>
      <c r="AY658" s="156"/>
      <c r="AZ658" s="155"/>
      <c r="BA658" s="156"/>
      <c r="BB658" s="165"/>
      <c r="BC658" s="165"/>
      <c r="BD658" s="165"/>
      <c r="BE658" s="165"/>
      <c r="BF658" s="165"/>
      <c r="BG658" s="165"/>
      <c r="BH658" s="165"/>
      <c r="BI658" s="165"/>
      <c r="BJ658" s="165"/>
      <c r="BK658" s="165"/>
      <c r="BL658" s="165"/>
      <c r="BM658" s="165"/>
    </row>
    <row r="659" spans="1:65" ht="204" x14ac:dyDescent="0.2">
      <c r="A659" s="473"/>
      <c r="B659" s="419"/>
      <c r="C659" s="424"/>
      <c r="D659" s="406"/>
      <c r="E659" s="412"/>
      <c r="F659" s="406"/>
      <c r="G659" s="459"/>
      <c r="H659" s="440"/>
      <c r="I659" s="455"/>
      <c r="J659" s="455"/>
      <c r="K659" s="496"/>
      <c r="L659" s="406"/>
      <c r="M659" s="406"/>
      <c r="N659" s="428"/>
      <c r="O659" s="428"/>
      <c r="P659" s="428"/>
      <c r="Q659" s="428"/>
      <c r="R659" s="428"/>
      <c r="S659" s="428"/>
      <c r="T659" s="428"/>
      <c r="U659" s="428"/>
      <c r="V659" s="428"/>
      <c r="W659" s="428"/>
      <c r="X659" s="25" t="s">
        <v>498</v>
      </c>
      <c r="Y659" s="12" t="s">
        <v>121</v>
      </c>
      <c r="Z659" s="67">
        <v>42851</v>
      </c>
      <c r="AA659" s="242">
        <v>12044</v>
      </c>
      <c r="AB659" s="71" t="s">
        <v>1536</v>
      </c>
      <c r="AC659" s="67"/>
      <c r="AD659" s="67"/>
      <c r="AE659" s="275"/>
      <c r="AF659" s="273"/>
      <c r="AG659" s="247">
        <v>24487.919999999998</v>
      </c>
      <c r="AH659" s="243"/>
      <c r="AI659" s="276"/>
      <c r="AJ659" s="276"/>
      <c r="AK659" s="276"/>
      <c r="AL659" s="507"/>
      <c r="AM659" s="522"/>
      <c r="AN659" s="525"/>
      <c r="AO659" s="507"/>
      <c r="AP659" s="133"/>
      <c r="AQ659" s="133"/>
      <c r="AR659" s="133"/>
      <c r="AS659" s="133"/>
      <c r="AT659" s="165"/>
      <c r="AU659" s="165"/>
      <c r="AV659" s="165"/>
      <c r="AW659" s="278"/>
      <c r="AX659" s="155"/>
      <c r="AY659" s="156"/>
      <c r="AZ659" s="155"/>
      <c r="BA659" s="156"/>
      <c r="BB659" s="165"/>
      <c r="BC659" s="165"/>
      <c r="BD659" s="165"/>
      <c r="BE659" s="165"/>
      <c r="BF659" s="165"/>
      <c r="BG659" s="165"/>
      <c r="BH659" s="165"/>
      <c r="BI659" s="165"/>
      <c r="BJ659" s="165"/>
      <c r="BK659" s="165"/>
      <c r="BL659" s="165"/>
      <c r="BM659" s="165"/>
    </row>
    <row r="660" spans="1:65" ht="25.5" x14ac:dyDescent="0.2">
      <c r="A660" s="471">
        <v>353</v>
      </c>
      <c r="B660" s="418" t="s">
        <v>356</v>
      </c>
      <c r="C660" s="422" t="s">
        <v>313</v>
      </c>
      <c r="D660" s="405" t="s">
        <v>357</v>
      </c>
      <c r="E660" s="410" t="s">
        <v>372</v>
      </c>
      <c r="F660" s="405" t="s">
        <v>358</v>
      </c>
      <c r="G660" s="425" t="s">
        <v>838</v>
      </c>
      <c r="H660" s="439" t="s">
        <v>1213</v>
      </c>
      <c r="I660" s="453">
        <v>41198</v>
      </c>
      <c r="J660" s="453">
        <v>41563</v>
      </c>
      <c r="K660" s="485" t="s">
        <v>319</v>
      </c>
      <c r="L660" s="405" t="s">
        <v>359</v>
      </c>
      <c r="M660" s="494" t="s">
        <v>2055</v>
      </c>
      <c r="N660" s="516">
        <v>41282</v>
      </c>
      <c r="O660" s="435">
        <v>83815</v>
      </c>
      <c r="P660" s="508" t="s">
        <v>816</v>
      </c>
      <c r="Q660" s="516">
        <v>41282</v>
      </c>
      <c r="R660" s="431">
        <v>41639</v>
      </c>
      <c r="S660" s="427" t="s">
        <v>363</v>
      </c>
      <c r="T660" s="514"/>
      <c r="U660" s="514"/>
      <c r="V660" s="514"/>
      <c r="W660" s="427" t="s">
        <v>137</v>
      </c>
      <c r="X660" s="60"/>
      <c r="Y660" s="12" t="s">
        <v>138</v>
      </c>
      <c r="Z660" s="67">
        <v>41639</v>
      </c>
      <c r="AA660" s="242">
        <v>11213</v>
      </c>
      <c r="AB660" s="71" t="s">
        <v>387</v>
      </c>
      <c r="AC660" s="67">
        <v>41639</v>
      </c>
      <c r="AD660" s="67">
        <v>42004</v>
      </c>
      <c r="AE660" s="70"/>
      <c r="AF660" s="12"/>
      <c r="AG660" s="247">
        <v>83815</v>
      </c>
      <c r="AH660" s="256"/>
      <c r="AI660" s="257"/>
      <c r="AJ660" s="257"/>
      <c r="AK660" s="257"/>
      <c r="AL660" s="505">
        <f>O660-AH660+AG660-AH661+AG661-AH662+AG662-AH663+AG663</f>
        <v>419075</v>
      </c>
      <c r="AM660" s="520">
        <f>167630+83814.07+0+0+6920.04+21622+7490.66+8236.49+6112.85+7726.69+9419.72+6249.77+9980.21</f>
        <v>335202.49999999994</v>
      </c>
      <c r="AN660" s="523">
        <f>0+0+20908.03+7188.83+12999.46+7687.5+7889.08+6939.5+9042.57</f>
        <v>72654.97</v>
      </c>
      <c r="AO660" s="505">
        <f>AM660+AN660</f>
        <v>407857.47</v>
      </c>
      <c r="AP660" s="439"/>
      <c r="AQ660" s="132"/>
      <c r="AR660" s="132"/>
      <c r="AS660" s="439"/>
      <c r="AT660" s="439"/>
      <c r="AU660" s="439"/>
      <c r="AV660" s="439"/>
      <c r="AW660" s="439"/>
      <c r="AX660" s="439"/>
      <c r="AY660" s="439"/>
      <c r="AZ660" s="439"/>
      <c r="BA660" s="439"/>
      <c r="BB660" s="439"/>
      <c r="BC660" s="439"/>
      <c r="BD660" s="439"/>
      <c r="BE660" s="439"/>
      <c r="BF660" s="439"/>
      <c r="BG660" s="439"/>
      <c r="BH660" s="439"/>
      <c r="BI660" s="439"/>
      <c r="BJ660" s="439"/>
      <c r="BK660" s="439"/>
      <c r="BL660" s="439"/>
      <c r="BM660" s="439"/>
    </row>
    <row r="661" spans="1:65" ht="38.25" x14ac:dyDescent="0.2">
      <c r="A661" s="472"/>
      <c r="B661" s="421"/>
      <c r="C661" s="423"/>
      <c r="D661" s="409"/>
      <c r="E661" s="411"/>
      <c r="F661" s="409"/>
      <c r="G661" s="426"/>
      <c r="H661" s="458"/>
      <c r="I661" s="454"/>
      <c r="J661" s="454"/>
      <c r="K661" s="486"/>
      <c r="L661" s="409"/>
      <c r="M661" s="495"/>
      <c r="N661" s="517"/>
      <c r="O661" s="436"/>
      <c r="P661" s="509"/>
      <c r="Q661" s="517"/>
      <c r="R661" s="437"/>
      <c r="S661" s="429"/>
      <c r="T661" s="515"/>
      <c r="U661" s="515"/>
      <c r="V661" s="515"/>
      <c r="W661" s="429"/>
      <c r="X661" s="61"/>
      <c r="Y661" s="12" t="s">
        <v>144</v>
      </c>
      <c r="Z661" s="67">
        <v>42004</v>
      </c>
      <c r="AA661" s="242">
        <v>11472</v>
      </c>
      <c r="AB661" s="71" t="s">
        <v>446</v>
      </c>
      <c r="AC661" s="67">
        <v>42004</v>
      </c>
      <c r="AD661" s="67">
        <v>42369</v>
      </c>
      <c r="AE661" s="70"/>
      <c r="AF661" s="12"/>
      <c r="AG661" s="247">
        <v>83815</v>
      </c>
      <c r="AH661" s="256"/>
      <c r="AI661" s="259"/>
      <c r="AJ661" s="259"/>
      <c r="AK661" s="259"/>
      <c r="AL661" s="506"/>
      <c r="AM661" s="521"/>
      <c r="AN661" s="524"/>
      <c r="AO661" s="506"/>
      <c r="AP661" s="458"/>
      <c r="AQ661" s="133"/>
      <c r="AR661" s="133"/>
      <c r="AS661" s="458"/>
      <c r="AT661" s="458"/>
      <c r="AU661" s="458"/>
      <c r="AV661" s="458"/>
      <c r="AW661" s="458"/>
      <c r="AX661" s="458"/>
      <c r="AY661" s="458"/>
      <c r="AZ661" s="458"/>
      <c r="BA661" s="458"/>
      <c r="BB661" s="458"/>
      <c r="BC661" s="458"/>
      <c r="BD661" s="458"/>
      <c r="BE661" s="458"/>
      <c r="BF661" s="458"/>
      <c r="BG661" s="458"/>
      <c r="BH661" s="458"/>
      <c r="BI661" s="458"/>
      <c r="BJ661" s="458"/>
      <c r="BK661" s="458"/>
      <c r="BL661" s="458"/>
      <c r="BM661" s="458"/>
    </row>
    <row r="662" spans="1:65" ht="51" x14ac:dyDescent="0.2">
      <c r="A662" s="472"/>
      <c r="B662" s="421"/>
      <c r="C662" s="423"/>
      <c r="D662" s="409"/>
      <c r="E662" s="411"/>
      <c r="F662" s="409"/>
      <c r="G662" s="426"/>
      <c r="H662" s="458"/>
      <c r="I662" s="454"/>
      <c r="J662" s="454"/>
      <c r="K662" s="486"/>
      <c r="L662" s="409"/>
      <c r="M662" s="495"/>
      <c r="N662" s="517"/>
      <c r="O662" s="436"/>
      <c r="P662" s="509"/>
      <c r="Q662" s="517"/>
      <c r="R662" s="437"/>
      <c r="S662" s="429"/>
      <c r="T662" s="515"/>
      <c r="U662" s="515"/>
      <c r="V662" s="515"/>
      <c r="W662" s="429"/>
      <c r="X662" s="61"/>
      <c r="Y662" s="12" t="s">
        <v>193</v>
      </c>
      <c r="Z662" s="67">
        <v>42353</v>
      </c>
      <c r="AA662" s="242">
        <v>11713</v>
      </c>
      <c r="AB662" s="71" t="s">
        <v>619</v>
      </c>
      <c r="AC662" s="67">
        <v>42369</v>
      </c>
      <c r="AD662" s="67">
        <v>42735</v>
      </c>
      <c r="AE662" s="70"/>
      <c r="AF662" s="12"/>
      <c r="AG662" s="247">
        <v>83815</v>
      </c>
      <c r="AH662" s="256"/>
      <c r="AI662" s="259"/>
      <c r="AJ662" s="259"/>
      <c r="AK662" s="259"/>
      <c r="AL662" s="506"/>
      <c r="AM662" s="521"/>
      <c r="AN662" s="524"/>
      <c r="AO662" s="506"/>
      <c r="AP662" s="440"/>
      <c r="AQ662" s="134"/>
      <c r="AR662" s="134"/>
      <c r="AS662" s="440"/>
      <c r="AT662" s="440"/>
      <c r="AU662" s="440"/>
      <c r="AV662" s="440"/>
      <c r="AW662" s="440"/>
      <c r="AX662" s="440"/>
      <c r="AY662" s="440"/>
      <c r="AZ662" s="440"/>
      <c r="BA662" s="440"/>
      <c r="BB662" s="440"/>
      <c r="BC662" s="440"/>
      <c r="BD662" s="440"/>
      <c r="BE662" s="440"/>
      <c r="BF662" s="440"/>
      <c r="BG662" s="440"/>
      <c r="BH662" s="440"/>
      <c r="BI662" s="440"/>
      <c r="BJ662" s="440"/>
      <c r="BK662" s="440"/>
      <c r="BL662" s="440"/>
      <c r="BM662" s="440"/>
    </row>
    <row r="663" spans="1:65" ht="51" x14ac:dyDescent="0.2">
      <c r="A663" s="473"/>
      <c r="B663" s="419"/>
      <c r="C663" s="424"/>
      <c r="D663" s="406"/>
      <c r="E663" s="412"/>
      <c r="F663" s="406"/>
      <c r="G663" s="406"/>
      <c r="H663" s="440"/>
      <c r="I663" s="455"/>
      <c r="J663" s="455"/>
      <c r="K663" s="412"/>
      <c r="L663" s="406"/>
      <c r="M663" s="406"/>
      <c r="N663" s="428"/>
      <c r="O663" s="428"/>
      <c r="P663" s="428"/>
      <c r="Q663" s="428"/>
      <c r="R663" s="428"/>
      <c r="S663" s="428"/>
      <c r="T663" s="428"/>
      <c r="U663" s="428"/>
      <c r="V663" s="428"/>
      <c r="W663" s="428"/>
      <c r="X663" s="111"/>
      <c r="Y663" s="12" t="s">
        <v>194</v>
      </c>
      <c r="Z663" s="67">
        <v>42719</v>
      </c>
      <c r="AA663" s="242">
        <v>11964</v>
      </c>
      <c r="AB663" s="71" t="s">
        <v>619</v>
      </c>
      <c r="AC663" s="67">
        <v>42735</v>
      </c>
      <c r="AD663" s="67">
        <v>43100</v>
      </c>
      <c r="AE663" s="70"/>
      <c r="AF663" s="12"/>
      <c r="AG663" s="247">
        <v>83815</v>
      </c>
      <c r="AH663" s="256"/>
      <c r="AI663" s="261"/>
      <c r="AJ663" s="261"/>
      <c r="AK663" s="261"/>
      <c r="AL663" s="507"/>
      <c r="AM663" s="522"/>
      <c r="AN663" s="525"/>
      <c r="AO663" s="507"/>
      <c r="AP663" s="133"/>
      <c r="AQ663" s="133"/>
      <c r="AR663" s="133"/>
      <c r="AS663" s="133"/>
      <c r="AT663" s="133"/>
      <c r="AU663" s="133"/>
      <c r="AV663" s="133"/>
      <c r="AW663" s="133"/>
      <c r="AX663" s="133"/>
      <c r="AY663" s="133"/>
      <c r="AZ663" s="133"/>
      <c r="BA663" s="133"/>
      <c r="BB663" s="133"/>
      <c r="BC663" s="133"/>
      <c r="BD663" s="133"/>
      <c r="BE663" s="133"/>
      <c r="BF663" s="133"/>
      <c r="BG663" s="133"/>
      <c r="BH663" s="133"/>
      <c r="BI663" s="133"/>
      <c r="BJ663" s="133"/>
      <c r="BK663" s="133"/>
      <c r="BL663" s="133"/>
      <c r="BM663" s="133"/>
    </row>
    <row r="664" spans="1:65" ht="25.5" x14ac:dyDescent="0.2">
      <c r="A664" s="471">
        <v>354</v>
      </c>
      <c r="B664" s="542" t="s">
        <v>352</v>
      </c>
      <c r="C664" s="422" t="s">
        <v>207</v>
      </c>
      <c r="D664" s="405" t="s">
        <v>218</v>
      </c>
      <c r="E664" s="410" t="s">
        <v>372</v>
      </c>
      <c r="F664" s="405" t="s">
        <v>353</v>
      </c>
      <c r="G664" s="425" t="s">
        <v>837</v>
      </c>
      <c r="H664" s="439" t="s">
        <v>317</v>
      </c>
      <c r="I664" s="453">
        <v>41330</v>
      </c>
      <c r="J664" s="453">
        <v>41695</v>
      </c>
      <c r="K664" s="485" t="s">
        <v>318</v>
      </c>
      <c r="L664" s="494" t="s">
        <v>733</v>
      </c>
      <c r="M664" s="405" t="s">
        <v>354</v>
      </c>
      <c r="N664" s="516">
        <v>41352</v>
      </c>
      <c r="O664" s="435">
        <v>41600</v>
      </c>
      <c r="P664" s="508" t="s">
        <v>815</v>
      </c>
      <c r="Q664" s="516">
        <v>41352</v>
      </c>
      <c r="R664" s="431">
        <v>41639</v>
      </c>
      <c r="S664" s="427" t="s">
        <v>355</v>
      </c>
      <c r="T664" s="514"/>
      <c r="U664" s="514"/>
      <c r="V664" s="514"/>
      <c r="W664" s="427" t="s">
        <v>222</v>
      </c>
      <c r="X664" s="60"/>
      <c r="Y664" s="2" t="s">
        <v>138</v>
      </c>
      <c r="Z664" s="67">
        <v>41639</v>
      </c>
      <c r="AA664" s="242">
        <v>11213</v>
      </c>
      <c r="AB664" s="20" t="s">
        <v>426</v>
      </c>
      <c r="AC664" s="67">
        <v>41639</v>
      </c>
      <c r="AD664" s="67">
        <v>42004</v>
      </c>
      <c r="AE664" s="70"/>
      <c r="AF664" s="12"/>
      <c r="AG664" s="65">
        <v>41600</v>
      </c>
      <c r="AH664" s="256"/>
      <c r="AI664" s="257"/>
      <c r="AJ664" s="257"/>
      <c r="AK664" s="257"/>
      <c r="AL664" s="505">
        <f>O664-AH664+AG664-AH665+AG665-AH666+AG666-AH667+AG667</f>
        <v>208000</v>
      </c>
      <c r="AM664" s="520">
        <f>83200+14291+2373+751+304+1810+1540+2612+231+718</f>
        <v>107830</v>
      </c>
      <c r="AN664" s="523">
        <f>0+2389+29234.5+1189+1071+1159+998+1511+425+726</f>
        <v>38702.5</v>
      </c>
      <c r="AO664" s="505">
        <f>AM664+AN664</f>
        <v>146532.5</v>
      </c>
      <c r="AP664" s="480"/>
      <c r="AQ664" s="6"/>
      <c r="AR664" s="6"/>
      <c r="AS664" s="480"/>
      <c r="AT664" s="480"/>
      <c r="AU664" s="480"/>
      <c r="AV664" s="480"/>
      <c r="AW664" s="480"/>
      <c r="AX664" s="480"/>
      <c r="AY664" s="480"/>
      <c r="AZ664" s="480"/>
      <c r="BA664" s="480"/>
      <c r="BB664" s="480"/>
      <c r="BC664" s="480"/>
      <c r="BD664" s="480"/>
      <c r="BE664" s="480"/>
      <c r="BF664" s="480"/>
      <c r="BG664" s="480"/>
      <c r="BH664" s="480"/>
      <c r="BI664" s="480"/>
      <c r="BJ664" s="480"/>
      <c r="BK664" s="480"/>
      <c r="BL664" s="480"/>
      <c r="BM664" s="480"/>
    </row>
    <row r="665" spans="1:65" ht="38.25" x14ac:dyDescent="0.2">
      <c r="A665" s="472"/>
      <c r="B665" s="543"/>
      <c r="C665" s="423"/>
      <c r="D665" s="409"/>
      <c r="E665" s="411"/>
      <c r="F665" s="409"/>
      <c r="G665" s="426"/>
      <c r="H665" s="458"/>
      <c r="I665" s="454"/>
      <c r="J665" s="454"/>
      <c r="K665" s="486"/>
      <c r="L665" s="495"/>
      <c r="M665" s="409"/>
      <c r="N665" s="517"/>
      <c r="O665" s="436"/>
      <c r="P665" s="509"/>
      <c r="Q665" s="517"/>
      <c r="R665" s="437"/>
      <c r="S665" s="429"/>
      <c r="T665" s="515"/>
      <c r="U665" s="515"/>
      <c r="V665" s="515"/>
      <c r="W665" s="429"/>
      <c r="X665" s="61"/>
      <c r="Y665" s="2" t="s">
        <v>144</v>
      </c>
      <c r="Z665" s="67">
        <v>42004</v>
      </c>
      <c r="AA665" s="242">
        <v>11470</v>
      </c>
      <c r="AB665" s="20" t="s">
        <v>586</v>
      </c>
      <c r="AC665" s="67">
        <v>42004</v>
      </c>
      <c r="AD665" s="67">
        <v>42369</v>
      </c>
      <c r="AE665" s="70"/>
      <c r="AF665" s="12"/>
      <c r="AG665" s="65">
        <v>41600</v>
      </c>
      <c r="AH665" s="256"/>
      <c r="AI665" s="259"/>
      <c r="AJ665" s="259"/>
      <c r="AK665" s="259"/>
      <c r="AL665" s="506"/>
      <c r="AM665" s="521"/>
      <c r="AN665" s="524"/>
      <c r="AO665" s="506"/>
      <c r="AP665" s="481"/>
      <c r="AQ665" s="165"/>
      <c r="AR665" s="165"/>
      <c r="AS665" s="481"/>
      <c r="AT665" s="481"/>
      <c r="AU665" s="481"/>
      <c r="AV665" s="481"/>
      <c r="AW665" s="481"/>
      <c r="AX665" s="481"/>
      <c r="AY665" s="481"/>
      <c r="AZ665" s="481"/>
      <c r="BA665" s="481"/>
      <c r="BB665" s="481"/>
      <c r="BC665" s="481"/>
      <c r="BD665" s="481"/>
      <c r="BE665" s="481"/>
      <c r="BF665" s="481"/>
      <c r="BG665" s="481"/>
      <c r="BH665" s="481"/>
      <c r="BI665" s="481"/>
      <c r="BJ665" s="481"/>
      <c r="BK665" s="481"/>
      <c r="BL665" s="481"/>
      <c r="BM665" s="481"/>
    </row>
    <row r="666" spans="1:65" ht="51" x14ac:dyDescent="0.2">
      <c r="A666" s="472"/>
      <c r="B666" s="543"/>
      <c r="C666" s="423"/>
      <c r="D666" s="409"/>
      <c r="E666" s="411"/>
      <c r="F666" s="409"/>
      <c r="G666" s="426"/>
      <c r="H666" s="458"/>
      <c r="I666" s="454"/>
      <c r="J666" s="454"/>
      <c r="K666" s="486"/>
      <c r="L666" s="495"/>
      <c r="M666" s="409"/>
      <c r="N666" s="517"/>
      <c r="O666" s="436"/>
      <c r="P666" s="509"/>
      <c r="Q666" s="517"/>
      <c r="R666" s="437"/>
      <c r="S666" s="429"/>
      <c r="T666" s="515"/>
      <c r="U666" s="515"/>
      <c r="V666" s="515"/>
      <c r="W666" s="429"/>
      <c r="X666" s="61"/>
      <c r="Y666" s="2" t="s">
        <v>193</v>
      </c>
      <c r="Z666" s="67">
        <v>42369</v>
      </c>
      <c r="AA666" s="242">
        <v>11716</v>
      </c>
      <c r="AB666" s="20" t="s">
        <v>637</v>
      </c>
      <c r="AC666" s="67">
        <v>42369</v>
      </c>
      <c r="AD666" s="67">
        <v>42735</v>
      </c>
      <c r="AE666" s="70"/>
      <c r="AF666" s="12"/>
      <c r="AG666" s="65">
        <v>41600</v>
      </c>
      <c r="AH666" s="256"/>
      <c r="AI666" s="259"/>
      <c r="AJ666" s="259"/>
      <c r="AK666" s="259"/>
      <c r="AL666" s="506"/>
      <c r="AM666" s="521"/>
      <c r="AN666" s="524"/>
      <c r="AO666" s="506"/>
      <c r="AP666" s="482"/>
      <c r="AQ666" s="184"/>
      <c r="AR666" s="184"/>
      <c r="AS666" s="482"/>
      <c r="AT666" s="482"/>
      <c r="AU666" s="482"/>
      <c r="AV666" s="482"/>
      <c r="AW666" s="482"/>
      <c r="AX666" s="482"/>
      <c r="AY666" s="482"/>
      <c r="AZ666" s="482"/>
      <c r="BA666" s="482"/>
      <c r="BB666" s="482"/>
      <c r="BC666" s="482"/>
      <c r="BD666" s="482"/>
      <c r="BE666" s="482"/>
      <c r="BF666" s="482"/>
      <c r="BG666" s="482"/>
      <c r="BH666" s="482"/>
      <c r="BI666" s="482"/>
      <c r="BJ666" s="482"/>
      <c r="BK666" s="482"/>
      <c r="BL666" s="482"/>
      <c r="BM666" s="482"/>
    </row>
    <row r="667" spans="1:65" ht="51" x14ac:dyDescent="0.2">
      <c r="A667" s="473"/>
      <c r="B667" s="544"/>
      <c r="C667" s="424"/>
      <c r="D667" s="406"/>
      <c r="E667" s="412"/>
      <c r="F667" s="406"/>
      <c r="G667" s="459"/>
      <c r="H667" s="440"/>
      <c r="I667" s="455"/>
      <c r="J667" s="455"/>
      <c r="K667" s="496"/>
      <c r="L667" s="538"/>
      <c r="M667" s="406"/>
      <c r="N667" s="428"/>
      <c r="O667" s="428"/>
      <c r="P667" s="428"/>
      <c r="Q667" s="428"/>
      <c r="R667" s="428"/>
      <c r="S667" s="428"/>
      <c r="T667" s="428"/>
      <c r="U667" s="428"/>
      <c r="V667" s="428"/>
      <c r="W667" s="428"/>
      <c r="X667" s="111"/>
      <c r="Y667" s="2" t="s">
        <v>194</v>
      </c>
      <c r="Z667" s="67">
        <v>42720</v>
      </c>
      <c r="AA667" s="242">
        <v>11964</v>
      </c>
      <c r="AB667" s="20" t="s">
        <v>636</v>
      </c>
      <c r="AC667" s="67">
        <v>42735</v>
      </c>
      <c r="AD667" s="67">
        <v>43100</v>
      </c>
      <c r="AE667" s="70"/>
      <c r="AF667" s="12"/>
      <c r="AG667" s="65">
        <v>41600</v>
      </c>
      <c r="AH667" s="256"/>
      <c r="AI667" s="261"/>
      <c r="AJ667" s="261"/>
      <c r="AK667" s="261"/>
      <c r="AL667" s="507"/>
      <c r="AM667" s="522"/>
      <c r="AN667" s="525"/>
      <c r="AO667" s="507"/>
      <c r="AP667" s="165"/>
      <c r="AQ667" s="165"/>
      <c r="AR667" s="165"/>
      <c r="AS667" s="165"/>
      <c r="AT667" s="165"/>
      <c r="AU667" s="165"/>
      <c r="AV667" s="165"/>
      <c r="AW667" s="165"/>
      <c r="AX667" s="165"/>
      <c r="AY667" s="165"/>
      <c r="AZ667" s="165"/>
      <c r="BA667" s="165"/>
      <c r="BB667" s="165"/>
      <c r="BC667" s="165"/>
      <c r="BD667" s="165"/>
      <c r="BE667" s="165"/>
      <c r="BF667" s="165"/>
      <c r="BG667" s="165"/>
      <c r="BH667" s="165"/>
      <c r="BI667" s="165"/>
      <c r="BJ667" s="165"/>
      <c r="BK667" s="165"/>
      <c r="BL667" s="165"/>
      <c r="BM667" s="165"/>
    </row>
    <row r="668" spans="1:65" ht="25.5" x14ac:dyDescent="0.2">
      <c r="A668" s="471">
        <v>355</v>
      </c>
      <c r="B668" s="418" t="s">
        <v>360</v>
      </c>
      <c r="C668" s="422" t="s">
        <v>361</v>
      </c>
      <c r="D668" s="405" t="s">
        <v>130</v>
      </c>
      <c r="E668" s="410" t="s">
        <v>372</v>
      </c>
      <c r="F668" s="405" t="s">
        <v>362</v>
      </c>
      <c r="G668" s="425" t="s">
        <v>839</v>
      </c>
      <c r="H668" s="439" t="s">
        <v>1214</v>
      </c>
      <c r="I668" s="453">
        <v>41351</v>
      </c>
      <c r="J668" s="453">
        <v>41716</v>
      </c>
      <c r="K668" s="485" t="s">
        <v>320</v>
      </c>
      <c r="L668" s="405" t="s">
        <v>364</v>
      </c>
      <c r="M668" s="405" t="s">
        <v>365</v>
      </c>
      <c r="N668" s="516">
        <v>41352</v>
      </c>
      <c r="O668" s="435">
        <v>280000</v>
      </c>
      <c r="P668" s="508" t="s">
        <v>817</v>
      </c>
      <c r="Q668" s="516">
        <v>41352</v>
      </c>
      <c r="R668" s="431">
        <v>41639</v>
      </c>
      <c r="S668" s="427" t="s">
        <v>366</v>
      </c>
      <c r="T668" s="514"/>
      <c r="U668" s="514"/>
      <c r="V668" s="514"/>
      <c r="W668" s="427" t="s">
        <v>421</v>
      </c>
      <c r="X668" s="60"/>
      <c r="Y668" s="12" t="s">
        <v>138</v>
      </c>
      <c r="Z668" s="67">
        <v>41639</v>
      </c>
      <c r="AA668" s="242">
        <v>11213</v>
      </c>
      <c r="AB668" s="71" t="s">
        <v>388</v>
      </c>
      <c r="AC668" s="67">
        <v>41639</v>
      </c>
      <c r="AD668" s="67">
        <v>42004</v>
      </c>
      <c r="AE668" s="70"/>
      <c r="AF668" s="12"/>
      <c r="AG668" s="247">
        <v>280000</v>
      </c>
      <c r="AH668" s="256"/>
      <c r="AI668" s="257"/>
      <c r="AJ668" s="257"/>
      <c r="AK668" s="257"/>
      <c r="AL668" s="505">
        <f>O668-AH668+AG668-AH669+AG669-AH670+AG670-AH671+AG671</f>
        <v>1400000</v>
      </c>
      <c r="AM668" s="520">
        <f>560000+25001.41+0+1880.75+2953.33+11599.51+1332.58+5518.52+5033.28+4181.07+2209.66</f>
        <v>619710.11</v>
      </c>
      <c r="AN668" s="523">
        <f>0+3994.3+5124.17</f>
        <v>9118.4700000000012</v>
      </c>
      <c r="AO668" s="505">
        <f>AM668+AN668</f>
        <v>628828.57999999996</v>
      </c>
      <c r="AP668" s="439"/>
      <c r="AQ668" s="132"/>
      <c r="AR668" s="132"/>
      <c r="AS668" s="439"/>
      <c r="AT668" s="439"/>
      <c r="AU668" s="439"/>
      <c r="AV668" s="439"/>
      <c r="AW668" s="439"/>
      <c r="AX668" s="439"/>
      <c r="AY668" s="439"/>
      <c r="AZ668" s="439"/>
      <c r="BA668" s="439"/>
      <c r="BB668" s="439"/>
      <c r="BC668" s="439"/>
      <c r="BD668" s="439"/>
      <c r="BE668" s="439"/>
      <c r="BF668" s="439"/>
      <c r="BG668" s="439"/>
      <c r="BH668" s="439"/>
      <c r="BI668" s="439"/>
      <c r="BJ668" s="439"/>
      <c r="BK668" s="439"/>
      <c r="BL668" s="439"/>
      <c r="BM668" s="439"/>
    </row>
    <row r="669" spans="1:65" ht="38.25" x14ac:dyDescent="0.2">
      <c r="A669" s="472"/>
      <c r="B669" s="421"/>
      <c r="C669" s="423"/>
      <c r="D669" s="409"/>
      <c r="E669" s="411"/>
      <c r="F669" s="409"/>
      <c r="G669" s="426"/>
      <c r="H669" s="458"/>
      <c r="I669" s="458"/>
      <c r="J669" s="458"/>
      <c r="K669" s="486"/>
      <c r="L669" s="409"/>
      <c r="M669" s="409"/>
      <c r="N669" s="517"/>
      <c r="O669" s="436"/>
      <c r="P669" s="509"/>
      <c r="Q669" s="517"/>
      <c r="R669" s="437"/>
      <c r="S669" s="429"/>
      <c r="T669" s="515"/>
      <c r="U669" s="515"/>
      <c r="V669" s="515"/>
      <c r="W669" s="429"/>
      <c r="X669" s="61"/>
      <c r="Y669" s="12" t="s">
        <v>144</v>
      </c>
      <c r="Z669" s="67">
        <v>42004</v>
      </c>
      <c r="AA669" s="242">
        <v>11473</v>
      </c>
      <c r="AB669" s="71" t="s">
        <v>586</v>
      </c>
      <c r="AC669" s="67">
        <v>42004</v>
      </c>
      <c r="AD669" s="67">
        <v>42369</v>
      </c>
      <c r="AE669" s="70"/>
      <c r="AF669" s="12"/>
      <c r="AG669" s="247">
        <v>280000</v>
      </c>
      <c r="AH669" s="256"/>
      <c r="AI669" s="259"/>
      <c r="AJ669" s="259"/>
      <c r="AK669" s="259"/>
      <c r="AL669" s="506"/>
      <c r="AM669" s="521"/>
      <c r="AN669" s="524"/>
      <c r="AO669" s="506"/>
      <c r="AP669" s="458"/>
      <c r="AQ669" s="133"/>
      <c r="AR669" s="133"/>
      <c r="AS669" s="458"/>
      <c r="AT669" s="458"/>
      <c r="AU669" s="458"/>
      <c r="AV669" s="458"/>
      <c r="AW669" s="458"/>
      <c r="AX669" s="458"/>
      <c r="AY669" s="458"/>
      <c r="AZ669" s="458"/>
      <c r="BA669" s="458"/>
      <c r="BB669" s="458"/>
      <c r="BC669" s="458"/>
      <c r="BD669" s="458"/>
      <c r="BE669" s="458"/>
      <c r="BF669" s="458"/>
      <c r="BG669" s="458"/>
      <c r="BH669" s="458"/>
      <c r="BI669" s="458"/>
      <c r="BJ669" s="458"/>
      <c r="BK669" s="458"/>
      <c r="BL669" s="458"/>
      <c r="BM669" s="458"/>
    </row>
    <row r="670" spans="1:65" ht="89.25" x14ac:dyDescent="0.2">
      <c r="A670" s="472"/>
      <c r="B670" s="421"/>
      <c r="C670" s="423"/>
      <c r="D670" s="409"/>
      <c r="E670" s="411"/>
      <c r="F670" s="409"/>
      <c r="G670" s="426"/>
      <c r="H670" s="458"/>
      <c r="I670" s="458"/>
      <c r="J670" s="458"/>
      <c r="K670" s="486"/>
      <c r="L670" s="409"/>
      <c r="M670" s="409"/>
      <c r="N670" s="517"/>
      <c r="O670" s="436"/>
      <c r="P670" s="509"/>
      <c r="Q670" s="517"/>
      <c r="R670" s="437"/>
      <c r="S670" s="429"/>
      <c r="T670" s="515"/>
      <c r="U670" s="515"/>
      <c r="V670" s="515"/>
      <c r="W670" s="429"/>
      <c r="X670" s="61"/>
      <c r="Y670" s="12" t="s">
        <v>193</v>
      </c>
      <c r="Z670" s="67">
        <v>42355</v>
      </c>
      <c r="AA670" s="242">
        <v>11716</v>
      </c>
      <c r="AB670" s="71" t="s">
        <v>638</v>
      </c>
      <c r="AC670" s="67">
        <v>42369</v>
      </c>
      <c r="AD670" s="67">
        <v>42735</v>
      </c>
      <c r="AE670" s="70"/>
      <c r="AF670" s="12"/>
      <c r="AG670" s="247">
        <v>280000</v>
      </c>
      <c r="AH670" s="256"/>
      <c r="AI670" s="259"/>
      <c r="AJ670" s="259"/>
      <c r="AK670" s="259"/>
      <c r="AL670" s="506"/>
      <c r="AM670" s="521"/>
      <c r="AN670" s="524"/>
      <c r="AO670" s="506"/>
      <c r="AP670" s="458"/>
      <c r="AQ670" s="133"/>
      <c r="AR670" s="133"/>
      <c r="AS670" s="458"/>
      <c r="AT670" s="458"/>
      <c r="AU670" s="458"/>
      <c r="AV670" s="458"/>
      <c r="AW670" s="458"/>
      <c r="AX670" s="458"/>
      <c r="AY670" s="458"/>
      <c r="AZ670" s="458"/>
      <c r="BA670" s="458"/>
      <c r="BB670" s="458"/>
      <c r="BC670" s="458"/>
      <c r="BD670" s="458"/>
      <c r="BE670" s="458"/>
      <c r="BF670" s="458"/>
      <c r="BG670" s="458"/>
      <c r="BH670" s="458"/>
      <c r="BI670" s="458"/>
      <c r="BJ670" s="458"/>
      <c r="BK670" s="458"/>
      <c r="BL670" s="458"/>
      <c r="BM670" s="458"/>
    </row>
    <row r="671" spans="1:65" ht="51.75" thickBot="1" x14ac:dyDescent="0.25">
      <c r="A671" s="472"/>
      <c r="B671" s="421"/>
      <c r="C671" s="423"/>
      <c r="D671" s="409"/>
      <c r="E671" s="411"/>
      <c r="F671" s="409"/>
      <c r="G671" s="409"/>
      <c r="H671" s="458"/>
      <c r="I671" s="458"/>
      <c r="J671" s="458"/>
      <c r="K671" s="411"/>
      <c r="L671" s="409"/>
      <c r="M671" s="409"/>
      <c r="N671" s="429"/>
      <c r="O671" s="429"/>
      <c r="P671" s="429"/>
      <c r="Q671" s="429"/>
      <c r="R671" s="429"/>
      <c r="S671" s="429"/>
      <c r="T671" s="429"/>
      <c r="U671" s="429"/>
      <c r="V671" s="429"/>
      <c r="W671" s="429"/>
      <c r="X671" s="61"/>
      <c r="Y671" s="6" t="s">
        <v>194</v>
      </c>
      <c r="Z671" s="73">
        <v>42720</v>
      </c>
      <c r="AA671" s="74">
        <v>11965</v>
      </c>
      <c r="AB671" s="21" t="s">
        <v>618</v>
      </c>
      <c r="AC671" s="73">
        <v>42735</v>
      </c>
      <c r="AD671" s="73">
        <v>43100</v>
      </c>
      <c r="AE671" s="22"/>
      <c r="AF671" s="6"/>
      <c r="AG671" s="333">
        <v>280000</v>
      </c>
      <c r="AH671" s="257"/>
      <c r="AI671" s="259"/>
      <c r="AJ671" s="259"/>
      <c r="AK671" s="259"/>
      <c r="AL671" s="506"/>
      <c r="AM671" s="521"/>
      <c r="AN671" s="524"/>
      <c r="AO671" s="506"/>
      <c r="AP671" s="458"/>
      <c r="AQ671" s="133"/>
      <c r="AR671" s="133"/>
      <c r="AS671" s="458"/>
      <c r="AT671" s="458"/>
      <c r="AU671" s="458"/>
      <c r="AV671" s="458"/>
      <c r="AW671" s="458"/>
      <c r="AX671" s="458"/>
      <c r="AY671" s="458"/>
      <c r="AZ671" s="458"/>
      <c r="BA671" s="458"/>
      <c r="BB671" s="458"/>
      <c r="BC671" s="458"/>
      <c r="BD671" s="458"/>
      <c r="BE671" s="458"/>
      <c r="BF671" s="458"/>
      <c r="BG671" s="458"/>
      <c r="BH671" s="458"/>
      <c r="BI671" s="458"/>
      <c r="BJ671" s="458"/>
      <c r="BK671" s="458"/>
      <c r="BL671" s="458"/>
      <c r="BM671" s="458"/>
    </row>
    <row r="672" spans="1:65" ht="13.5" thickBot="1" x14ac:dyDescent="0.25">
      <c r="A672" s="396" t="s">
        <v>2059</v>
      </c>
      <c r="B672" s="397"/>
      <c r="C672" s="397"/>
      <c r="D672" s="397"/>
      <c r="E672" s="397"/>
      <c r="F672" s="397"/>
      <c r="G672" s="397"/>
      <c r="H672" s="397"/>
      <c r="I672" s="397"/>
      <c r="J672" s="397"/>
      <c r="K672" s="397"/>
      <c r="L672" s="397"/>
      <c r="M672" s="397"/>
      <c r="N672" s="398"/>
      <c r="O672" s="334">
        <f>SUM(O20:O671)</f>
        <v>68733331.899999991</v>
      </c>
      <c r="P672" s="335"/>
      <c r="Q672" s="335"/>
      <c r="R672" s="335"/>
      <c r="S672" s="335"/>
      <c r="T672" s="335"/>
      <c r="U672" s="335"/>
      <c r="V672" s="335"/>
      <c r="W672" s="335"/>
      <c r="X672" s="335"/>
      <c r="Y672" s="336"/>
      <c r="Z672" s="337"/>
      <c r="AA672" s="338"/>
      <c r="AB672" s="339"/>
      <c r="AC672" s="337"/>
      <c r="AD672" s="337"/>
      <c r="AE672" s="340"/>
      <c r="AF672" s="336"/>
      <c r="AG672" s="341">
        <f>SUM(AG20:AG671)</f>
        <v>55003598.379999973</v>
      </c>
      <c r="AH672" s="342">
        <f>SUM(AH20:AH671)</f>
        <v>762846.00999999989</v>
      </c>
      <c r="AI672" s="342"/>
      <c r="AJ672" s="342"/>
      <c r="AK672" s="342"/>
      <c r="AL672" s="341">
        <f>SUM(AL20:AL671)</f>
        <v>122974084.27</v>
      </c>
      <c r="AM672" s="343">
        <f>SUM(AM20:AM671)</f>
        <v>51001492.770000003</v>
      </c>
      <c r="AN672" s="344">
        <f>SUM(AN20:AN671)</f>
        <v>33449865.580000021</v>
      </c>
      <c r="AO672" s="341">
        <f>SUM(AO20:AO671)</f>
        <v>84451358.349999994</v>
      </c>
      <c r="AP672" s="345"/>
      <c r="AQ672" s="345"/>
      <c r="AR672" s="345"/>
      <c r="AS672" s="345"/>
      <c r="AT672" s="345"/>
      <c r="AU672" s="345"/>
      <c r="AV672" s="345"/>
      <c r="AW672" s="345"/>
      <c r="AX672" s="345"/>
      <c r="AY672" s="345"/>
      <c r="AZ672" s="345"/>
      <c r="BA672" s="345"/>
      <c r="BB672" s="345"/>
      <c r="BC672" s="345"/>
      <c r="BD672" s="345"/>
      <c r="BE672" s="345"/>
      <c r="BF672" s="345"/>
      <c r="BG672" s="345"/>
      <c r="BH672" s="345"/>
      <c r="BI672" s="345"/>
      <c r="BJ672" s="345"/>
      <c r="BK672" s="345"/>
      <c r="BL672" s="345"/>
      <c r="BM672" s="346"/>
    </row>
    <row r="673" spans="1:65" x14ac:dyDescent="0.2">
      <c r="A673" s="372"/>
      <c r="B673" s="372"/>
      <c r="C673" s="372"/>
      <c r="D673" s="372"/>
      <c r="E673" s="372"/>
      <c r="F673" s="372"/>
      <c r="G673" s="372"/>
      <c r="H673" s="372"/>
      <c r="I673" s="372"/>
      <c r="J673" s="372"/>
      <c r="K673" s="372"/>
      <c r="L673" s="372"/>
      <c r="M673" s="372"/>
      <c r="N673" s="372"/>
      <c r="O673" s="373"/>
      <c r="P673" s="374"/>
      <c r="Q673" s="374"/>
      <c r="R673" s="374"/>
      <c r="S673" s="374"/>
      <c r="T673" s="374"/>
      <c r="U673" s="374"/>
      <c r="V673" s="374"/>
      <c r="W673" s="374"/>
      <c r="X673" s="374"/>
      <c r="Y673" s="372"/>
      <c r="Z673" s="375"/>
      <c r="AA673" s="376"/>
      <c r="AB673" s="377"/>
      <c r="AC673" s="375"/>
      <c r="AD673" s="375"/>
      <c r="AE673" s="378"/>
      <c r="AF673" s="372"/>
      <c r="AG673" s="379"/>
      <c r="AH673" s="380"/>
      <c r="AI673" s="380"/>
      <c r="AJ673" s="380"/>
      <c r="AK673" s="380"/>
      <c r="AL673" s="379"/>
      <c r="AM673" s="381"/>
      <c r="AN673" s="382"/>
      <c r="AO673" s="379"/>
      <c r="AP673" s="383"/>
      <c r="AQ673" s="383"/>
      <c r="AR673" s="383"/>
      <c r="AS673" s="383"/>
      <c r="AT673" s="383"/>
      <c r="AU673" s="383"/>
      <c r="AV673" s="383"/>
      <c r="AW673" s="383"/>
      <c r="AX673" s="383"/>
      <c r="AY673" s="383"/>
      <c r="AZ673" s="383"/>
      <c r="BA673" s="383"/>
      <c r="BB673" s="383"/>
      <c r="BC673" s="383"/>
      <c r="BD673" s="383"/>
      <c r="BE673" s="383"/>
      <c r="BF673" s="383"/>
      <c r="BG673" s="383"/>
      <c r="BH673" s="383"/>
      <c r="BI673" s="383"/>
      <c r="BJ673" s="383"/>
      <c r="BK673" s="383"/>
      <c r="BL673" s="383"/>
      <c r="BM673" s="383"/>
    </row>
    <row r="674" spans="1:65" s="98" customFormat="1" x14ac:dyDescent="0.2">
      <c r="A674" s="347"/>
      <c r="B674" s="348"/>
      <c r="C674" s="349"/>
      <c r="D674" s="350"/>
      <c r="E674" s="348"/>
      <c r="F674" s="350"/>
      <c r="G674" s="350"/>
      <c r="H674" s="351"/>
      <c r="I674" s="351"/>
      <c r="J674" s="351"/>
      <c r="K674" s="348"/>
      <c r="L674" s="350"/>
      <c r="M674" s="350"/>
      <c r="N674" s="352"/>
      <c r="O674" s="353"/>
      <c r="P674" s="352"/>
      <c r="Q674" s="352"/>
      <c r="R674" s="352"/>
      <c r="S674" s="352"/>
      <c r="T674" s="352"/>
      <c r="U674" s="352"/>
      <c r="V674" s="352"/>
      <c r="W674" s="352"/>
      <c r="X674" s="352"/>
      <c r="Y674" s="347"/>
      <c r="Z674" s="354"/>
      <c r="AA674" s="355"/>
      <c r="AB674" s="356"/>
      <c r="AC674" s="354"/>
      <c r="AD674" s="354"/>
      <c r="AE674" s="357"/>
      <c r="AF674" s="347"/>
      <c r="AG674" s="358"/>
      <c r="AH674" s="359"/>
      <c r="AI674" s="359"/>
      <c r="AJ674" s="359"/>
      <c r="AK674" s="359"/>
      <c r="AL674" s="358"/>
      <c r="AM674" s="360"/>
      <c r="AN674" s="361"/>
      <c r="AO674" s="358"/>
      <c r="AP674" s="351"/>
      <c r="AQ674" s="351"/>
      <c r="AR674" s="351"/>
      <c r="AS674" s="351"/>
      <c r="AT674" s="351"/>
      <c r="AU674" s="351"/>
      <c r="AV674" s="351"/>
      <c r="AW674" s="351"/>
      <c r="AX674" s="351"/>
      <c r="AY674" s="351"/>
      <c r="AZ674" s="351"/>
      <c r="BA674" s="351"/>
      <c r="BB674" s="351"/>
      <c r="BC674" s="351"/>
      <c r="BD674" s="351"/>
      <c r="BE674" s="351"/>
      <c r="BF674" s="351"/>
      <c r="BG674" s="351"/>
      <c r="BH674" s="351"/>
      <c r="BI674" s="351"/>
      <c r="BJ674" s="351"/>
      <c r="BK674" s="351"/>
      <c r="BL674" s="351"/>
      <c r="BM674" s="351"/>
    </row>
    <row r="675" spans="1:65" s="98" customFormat="1" x14ac:dyDescent="0.2">
      <c r="A675" s="399" t="s">
        <v>2060</v>
      </c>
      <c r="B675" s="399"/>
      <c r="C675" s="399"/>
      <c r="D675" s="399"/>
      <c r="E675" s="399"/>
      <c r="F675" s="399"/>
      <c r="G675" s="384"/>
      <c r="H675" s="385"/>
      <c r="I675" s="386"/>
      <c r="J675" s="386"/>
      <c r="K675" s="387"/>
      <c r="L675" s="388"/>
      <c r="M675" s="388"/>
      <c r="N675" s="389"/>
      <c r="O675" s="390"/>
      <c r="P675" s="391"/>
      <c r="Q675" s="389"/>
      <c r="R675" s="389"/>
      <c r="S675" s="387"/>
      <c r="T675" s="387"/>
      <c r="U675" s="389"/>
      <c r="V675" s="389"/>
      <c r="W675" s="389"/>
      <c r="X675" s="389"/>
      <c r="Y675" s="387"/>
      <c r="Z675" s="389"/>
      <c r="AA675" s="387"/>
      <c r="AB675" s="389"/>
      <c r="AC675" s="389"/>
      <c r="AD675" s="389"/>
      <c r="AE675" s="391"/>
      <c r="AF675" s="389"/>
      <c r="AG675" s="390"/>
      <c r="AH675" s="392"/>
      <c r="AI675" s="392"/>
      <c r="AJ675" s="392"/>
      <c r="AK675" s="392"/>
      <c r="AL675" s="390"/>
      <c r="AM675" s="393"/>
      <c r="AN675" s="394"/>
      <c r="AO675" s="390"/>
      <c r="AP675" s="395"/>
      <c r="AQ675" s="395"/>
      <c r="AR675" s="395"/>
      <c r="AS675" s="395"/>
      <c r="AT675" s="389"/>
      <c r="AU675" s="389"/>
      <c r="AV675" s="387"/>
      <c r="AW675" s="389"/>
      <c r="AX675" s="389"/>
      <c r="AY675" s="389"/>
      <c r="AZ675" s="389"/>
      <c r="BA675" s="389"/>
      <c r="BB675" s="389"/>
      <c r="BC675" s="389"/>
      <c r="BD675" s="389"/>
      <c r="BE675" s="389"/>
      <c r="BF675" s="389"/>
      <c r="BG675" s="389"/>
      <c r="BH675" s="389"/>
      <c r="BI675" s="389"/>
      <c r="BJ675" s="389"/>
      <c r="BK675" s="389"/>
      <c r="BL675" s="389"/>
      <c r="BM675" s="389"/>
    </row>
    <row r="676" spans="1:65" s="98" customFormat="1" x14ac:dyDescent="0.2">
      <c r="A676" s="388"/>
      <c r="B676" s="388"/>
      <c r="C676" s="388"/>
      <c r="D676" s="388"/>
      <c r="E676" s="388"/>
      <c r="F676" s="388"/>
      <c r="G676" s="384"/>
      <c r="H676" s="385"/>
      <c r="I676" s="386"/>
      <c r="J676" s="386"/>
      <c r="K676" s="387"/>
      <c r="L676" s="388"/>
      <c r="M676" s="388"/>
      <c r="N676" s="389"/>
      <c r="O676" s="390"/>
      <c r="P676" s="391"/>
      <c r="Q676" s="389"/>
      <c r="R676" s="389"/>
      <c r="S676" s="387"/>
      <c r="T676" s="387"/>
      <c r="U676" s="389"/>
      <c r="V676" s="389"/>
      <c r="W676" s="389"/>
      <c r="X676" s="389"/>
      <c r="Y676" s="387"/>
      <c r="Z676" s="389"/>
      <c r="AA676" s="387"/>
      <c r="AB676" s="389"/>
      <c r="AC676" s="389"/>
      <c r="AD676" s="389"/>
      <c r="AE676" s="391"/>
      <c r="AF676" s="389"/>
      <c r="AG676" s="390"/>
      <c r="AH676" s="392"/>
      <c r="AI676" s="392"/>
      <c r="AJ676" s="392"/>
      <c r="AK676" s="392"/>
      <c r="AL676" s="390"/>
      <c r="AM676" s="393"/>
      <c r="AN676" s="394"/>
      <c r="AO676" s="390"/>
      <c r="AP676" s="395"/>
      <c r="AQ676" s="395"/>
      <c r="AR676" s="395"/>
      <c r="AS676" s="395"/>
      <c r="AT676" s="389"/>
      <c r="AU676" s="389"/>
      <c r="AV676" s="387"/>
      <c r="AW676" s="389"/>
      <c r="AX676" s="389"/>
      <c r="AY676" s="389"/>
      <c r="AZ676" s="389"/>
      <c r="BA676" s="389"/>
      <c r="BB676" s="389"/>
      <c r="BC676" s="389"/>
      <c r="BD676" s="389"/>
      <c r="BE676" s="389"/>
      <c r="BF676" s="389"/>
      <c r="BG676" s="389"/>
      <c r="BH676" s="389"/>
      <c r="BI676" s="389"/>
      <c r="BJ676" s="389"/>
      <c r="BK676" s="389"/>
      <c r="BL676" s="389"/>
      <c r="BM676" s="389"/>
    </row>
    <row r="677" spans="1:65" s="98" customFormat="1" x14ac:dyDescent="0.2">
      <c r="A677" s="399" t="s">
        <v>2061</v>
      </c>
      <c r="B677" s="399"/>
      <c r="C677" s="399"/>
      <c r="D677" s="399"/>
      <c r="E677" s="399"/>
      <c r="F677" s="399"/>
      <c r="G677" s="384"/>
      <c r="H677" s="385"/>
      <c r="I677" s="386"/>
      <c r="J677" s="386"/>
      <c r="K677" s="387"/>
      <c r="L677" s="388"/>
      <c r="M677" s="388"/>
      <c r="N677" s="389"/>
      <c r="O677" s="390"/>
      <c r="P677" s="391"/>
      <c r="Q677" s="389"/>
      <c r="R677" s="389"/>
      <c r="S677" s="387"/>
      <c r="T677" s="387"/>
      <c r="U677" s="389"/>
      <c r="V677" s="389"/>
      <c r="W677" s="389"/>
      <c r="X677" s="389"/>
      <c r="Y677" s="387"/>
      <c r="Z677" s="389"/>
      <c r="AA677" s="387"/>
      <c r="AB677" s="389"/>
      <c r="AC677" s="389"/>
      <c r="AD677" s="389"/>
      <c r="AE677" s="391"/>
      <c r="AF677" s="389"/>
      <c r="AG677" s="390"/>
      <c r="AH677" s="392"/>
      <c r="AI677" s="392"/>
      <c r="AJ677" s="392"/>
      <c r="AK677" s="392"/>
      <c r="AL677" s="390"/>
      <c r="AM677" s="393"/>
      <c r="AN677" s="394"/>
      <c r="AO677" s="390"/>
      <c r="AP677" s="395"/>
      <c r="AQ677" s="395"/>
      <c r="AR677" s="395"/>
      <c r="AS677" s="395"/>
      <c r="AT677" s="394"/>
      <c r="AU677" s="389"/>
      <c r="AV677" s="387"/>
      <c r="AW677" s="389"/>
      <c r="AX677" s="389"/>
      <c r="AY677" s="389"/>
      <c r="AZ677" s="389"/>
      <c r="BA677" s="389"/>
      <c r="BB677" s="389"/>
      <c r="BC677" s="389"/>
      <c r="BD677" s="389"/>
      <c r="BE677" s="389"/>
      <c r="BF677" s="389"/>
      <c r="BG677" s="389"/>
      <c r="BH677" s="389"/>
      <c r="BI677" s="389"/>
      <c r="BJ677" s="389"/>
      <c r="BK677" s="389"/>
      <c r="BL677" s="389"/>
      <c r="BM677" s="389"/>
    </row>
    <row r="678" spans="1:65" s="98" customFormat="1" x14ac:dyDescent="0.2">
      <c r="A678" s="348"/>
      <c r="B678" s="366"/>
      <c r="C678" s="366"/>
      <c r="D678" s="364"/>
      <c r="E678" s="370"/>
      <c r="F678" s="364"/>
      <c r="G678" s="356"/>
      <c r="H678" s="351"/>
      <c r="I678" s="365"/>
      <c r="J678" s="365"/>
      <c r="K678" s="362"/>
      <c r="L678" s="364"/>
      <c r="M678" s="350"/>
      <c r="N678" s="364"/>
      <c r="O678" s="363"/>
      <c r="P678" s="349"/>
      <c r="Q678" s="364"/>
      <c r="R678" s="364"/>
      <c r="S678" s="371"/>
      <c r="T678" s="362"/>
      <c r="U678" s="364"/>
      <c r="V678" s="364"/>
      <c r="W678" s="364"/>
      <c r="X678" s="364"/>
      <c r="Y678" s="362"/>
      <c r="Z678" s="364"/>
      <c r="AA678" s="362"/>
      <c r="AB678" s="364"/>
      <c r="AC678" s="364"/>
      <c r="AD678" s="364"/>
      <c r="AE678" s="366"/>
      <c r="AF678" s="364"/>
      <c r="AG678" s="363"/>
      <c r="AH678" s="367"/>
      <c r="AI678" s="367"/>
      <c r="AJ678" s="367"/>
      <c r="AK678" s="367"/>
      <c r="AL678" s="363"/>
      <c r="AM678" s="102"/>
      <c r="AN678" s="368"/>
      <c r="AO678" s="363"/>
      <c r="AP678" s="369"/>
      <c r="AQ678" s="369"/>
      <c r="AR678" s="369"/>
      <c r="AS678" s="369"/>
      <c r="AT678" s="364"/>
      <c r="AU678" s="364"/>
      <c r="AV678" s="362"/>
      <c r="AW678" s="364"/>
      <c r="AX678" s="364"/>
      <c r="AY678" s="364"/>
      <c r="AZ678" s="364"/>
      <c r="BA678" s="364"/>
      <c r="BB678" s="364"/>
      <c r="BC678" s="364"/>
      <c r="BD678" s="364"/>
      <c r="BE678" s="364"/>
      <c r="BF678" s="364"/>
      <c r="BG678" s="364"/>
      <c r="BH678" s="364"/>
      <c r="BI678" s="364"/>
      <c r="BJ678" s="364"/>
      <c r="BK678" s="364"/>
      <c r="BL678" s="364"/>
      <c r="BM678" s="364"/>
    </row>
    <row r="679" spans="1:65" s="98" customFormat="1" x14ac:dyDescent="0.2">
      <c r="A679" s="348"/>
      <c r="B679" s="366"/>
      <c r="C679" s="366"/>
      <c r="D679" s="364"/>
      <c r="E679" s="370"/>
      <c r="F679" s="364"/>
      <c r="G679" s="356"/>
      <c r="H679" s="351"/>
      <c r="I679" s="365"/>
      <c r="J679" s="365"/>
      <c r="K679" s="362"/>
      <c r="L679" s="364"/>
      <c r="M679" s="350"/>
      <c r="N679" s="364"/>
      <c r="O679" s="363"/>
      <c r="P679" s="349"/>
      <c r="Q679" s="364"/>
      <c r="R679" s="364"/>
      <c r="S679" s="362"/>
      <c r="T679" s="362"/>
      <c r="U679" s="364"/>
      <c r="V679" s="364"/>
      <c r="W679" s="364"/>
      <c r="X679" s="364"/>
      <c r="Y679" s="362"/>
      <c r="Z679" s="364"/>
      <c r="AA679" s="362"/>
      <c r="AB679" s="364"/>
      <c r="AC679" s="364"/>
      <c r="AD679" s="364"/>
      <c r="AE679" s="366"/>
      <c r="AF679" s="364"/>
      <c r="AG679" s="363"/>
      <c r="AH679" s="367"/>
      <c r="AI679" s="367"/>
      <c r="AJ679" s="367"/>
      <c r="AK679" s="367"/>
      <c r="AL679" s="363"/>
      <c r="AM679" s="102"/>
      <c r="AN679" s="368"/>
      <c r="AO679" s="363"/>
      <c r="AP679" s="369"/>
      <c r="AQ679" s="369"/>
      <c r="AR679" s="369"/>
      <c r="AS679" s="369"/>
      <c r="AT679" s="364"/>
      <c r="AU679" s="364"/>
      <c r="AV679" s="362"/>
      <c r="AW679" s="364"/>
      <c r="AX679" s="364"/>
      <c r="AY679" s="364"/>
      <c r="AZ679" s="364"/>
      <c r="BA679" s="364"/>
      <c r="BB679" s="364"/>
      <c r="BC679" s="364"/>
      <c r="BD679" s="364"/>
      <c r="BE679" s="364"/>
      <c r="BF679" s="364"/>
      <c r="BG679" s="364"/>
      <c r="BH679" s="364"/>
      <c r="BI679" s="364"/>
      <c r="BJ679" s="364"/>
      <c r="BK679" s="364"/>
      <c r="BL679" s="364"/>
      <c r="BM679" s="364"/>
    </row>
    <row r="680" spans="1:65" s="98" customFormat="1" x14ac:dyDescent="0.2">
      <c r="A680" s="348"/>
      <c r="B680" s="366"/>
      <c r="C680" s="366"/>
      <c r="D680" s="364"/>
      <c r="E680" s="370"/>
      <c r="F680" s="364"/>
      <c r="G680" s="356"/>
      <c r="H680" s="351"/>
      <c r="I680" s="365"/>
      <c r="J680" s="365"/>
      <c r="K680" s="362"/>
      <c r="L680" s="364"/>
      <c r="M680" s="350"/>
      <c r="N680" s="364"/>
      <c r="O680" s="363"/>
      <c r="P680" s="349"/>
      <c r="Q680" s="364"/>
      <c r="R680" s="364"/>
      <c r="S680" s="362"/>
      <c r="T680" s="362"/>
      <c r="U680" s="364"/>
      <c r="V680" s="364"/>
      <c r="W680" s="364"/>
      <c r="X680" s="364"/>
      <c r="Y680" s="362"/>
      <c r="Z680" s="364"/>
      <c r="AA680" s="362"/>
      <c r="AB680" s="364"/>
      <c r="AC680" s="364"/>
      <c r="AD680" s="364"/>
      <c r="AE680" s="366"/>
      <c r="AF680" s="364"/>
      <c r="AG680" s="363"/>
      <c r="AH680" s="367"/>
      <c r="AI680" s="367"/>
      <c r="AJ680" s="367"/>
      <c r="AK680" s="367"/>
      <c r="AL680" s="363"/>
      <c r="AM680" s="102"/>
      <c r="AN680" s="368"/>
      <c r="AO680" s="363"/>
      <c r="AP680" s="369"/>
      <c r="AQ680" s="369"/>
      <c r="AR680" s="369"/>
      <c r="AS680" s="369"/>
      <c r="AT680" s="364"/>
      <c r="AU680" s="364"/>
      <c r="AV680" s="362"/>
      <c r="AW680" s="364"/>
      <c r="AX680" s="364"/>
      <c r="AY680" s="364"/>
      <c r="AZ680" s="364"/>
      <c r="BA680" s="364"/>
      <c r="BB680" s="364"/>
      <c r="BC680" s="364"/>
      <c r="BD680" s="364"/>
      <c r="BE680" s="364"/>
      <c r="BF680" s="364"/>
      <c r="BG680" s="364"/>
      <c r="BH680" s="364"/>
      <c r="BI680" s="364"/>
      <c r="BJ680" s="364"/>
      <c r="BK680" s="364"/>
      <c r="BL680" s="364"/>
      <c r="BM680" s="364"/>
    </row>
    <row r="681" spans="1:65" s="98" customFormat="1" x14ac:dyDescent="0.2">
      <c r="A681" s="348"/>
      <c r="B681" s="366"/>
      <c r="C681" s="366"/>
      <c r="D681" s="364"/>
      <c r="E681" s="370"/>
      <c r="F681" s="364"/>
      <c r="G681" s="356"/>
      <c r="H681" s="351"/>
      <c r="I681" s="365"/>
      <c r="J681" s="365"/>
      <c r="K681" s="362"/>
      <c r="L681" s="364"/>
      <c r="M681" s="350"/>
      <c r="N681" s="364"/>
      <c r="O681" s="363"/>
      <c r="P681" s="349"/>
      <c r="Q681" s="364"/>
      <c r="R681" s="364"/>
      <c r="S681" s="362"/>
      <c r="T681" s="362"/>
      <c r="U681" s="364"/>
      <c r="V681" s="364"/>
      <c r="W681" s="364"/>
      <c r="X681" s="364"/>
      <c r="Y681" s="362"/>
      <c r="Z681" s="364"/>
      <c r="AA681" s="362"/>
      <c r="AB681" s="364"/>
      <c r="AC681" s="364"/>
      <c r="AD681" s="364"/>
      <c r="AE681" s="366"/>
      <c r="AF681" s="364"/>
      <c r="AG681" s="363"/>
      <c r="AH681" s="367"/>
      <c r="AI681" s="367"/>
      <c r="AJ681" s="367"/>
      <c r="AK681" s="367"/>
      <c r="AL681" s="363"/>
      <c r="AM681" s="102"/>
      <c r="AN681" s="368"/>
      <c r="AO681" s="363"/>
      <c r="AP681" s="369"/>
      <c r="AQ681" s="369"/>
      <c r="AR681" s="369"/>
      <c r="AS681" s="369"/>
      <c r="AT681" s="364"/>
      <c r="AU681" s="364"/>
      <c r="AV681" s="362"/>
      <c r="AW681" s="364"/>
      <c r="AX681" s="364"/>
      <c r="AY681" s="364"/>
      <c r="AZ681" s="364"/>
      <c r="BA681" s="364"/>
      <c r="BB681" s="364"/>
      <c r="BC681" s="364"/>
      <c r="BD681" s="364"/>
      <c r="BE681" s="364"/>
      <c r="BF681" s="364"/>
      <c r="BG681" s="364"/>
      <c r="BH681" s="364"/>
      <c r="BI681" s="364"/>
      <c r="BJ681" s="364"/>
      <c r="BK681" s="364"/>
      <c r="BL681" s="364"/>
      <c r="BM681" s="364"/>
    </row>
    <row r="682" spans="1:65" s="98" customFormat="1" x14ac:dyDescent="0.2">
      <c r="A682" s="348"/>
      <c r="B682" s="366"/>
      <c r="C682" s="366"/>
      <c r="D682" s="364"/>
      <c r="E682" s="370"/>
      <c r="F682" s="364"/>
      <c r="G682" s="356"/>
      <c r="H682" s="351"/>
      <c r="I682" s="365"/>
      <c r="J682" s="365"/>
      <c r="K682" s="362"/>
      <c r="L682" s="364"/>
      <c r="M682" s="350"/>
      <c r="N682" s="364"/>
      <c r="O682" s="363"/>
      <c r="P682" s="349"/>
      <c r="Q682" s="364"/>
      <c r="R682" s="364"/>
      <c r="S682" s="362"/>
      <c r="T682" s="362"/>
      <c r="U682" s="364"/>
      <c r="V682" s="364"/>
      <c r="W682" s="364"/>
      <c r="X682" s="364"/>
      <c r="Y682" s="362"/>
      <c r="Z682" s="364"/>
      <c r="AA682" s="362"/>
      <c r="AB682" s="364"/>
      <c r="AC682" s="364"/>
      <c r="AD682" s="364"/>
      <c r="AE682" s="366"/>
      <c r="AF682" s="364"/>
      <c r="AG682" s="363"/>
      <c r="AH682" s="367"/>
      <c r="AI682" s="367"/>
      <c r="AJ682" s="367"/>
      <c r="AK682" s="367"/>
      <c r="AL682" s="363"/>
      <c r="AM682" s="102"/>
      <c r="AN682" s="368"/>
      <c r="AO682" s="363"/>
      <c r="AP682" s="369"/>
      <c r="AQ682" s="369"/>
      <c r="AR682" s="369"/>
      <c r="AS682" s="369"/>
      <c r="AT682" s="364"/>
      <c r="AU682" s="364"/>
      <c r="AV682" s="362"/>
      <c r="AW682" s="364"/>
      <c r="AX682" s="364"/>
      <c r="AY682" s="364"/>
      <c r="AZ682" s="364"/>
      <c r="BA682" s="364"/>
      <c r="BB682" s="364"/>
      <c r="BC682" s="364"/>
      <c r="BD682" s="364"/>
      <c r="BE682" s="364"/>
      <c r="BF682" s="364"/>
      <c r="BG682" s="364"/>
      <c r="BH682" s="364"/>
      <c r="BI682" s="364"/>
      <c r="BJ682" s="364"/>
      <c r="BK682" s="364"/>
      <c r="BL682" s="364"/>
      <c r="BM682" s="364"/>
    </row>
  </sheetData>
  <mergeCells count="3243">
    <mergeCell ref="BB146:BB155"/>
    <mergeCell ref="BC146:BC155"/>
    <mergeCell ref="R183:R187"/>
    <mergeCell ref="S183:S187"/>
    <mergeCell ref="T183:T187"/>
    <mergeCell ref="U183:U187"/>
    <mergeCell ref="V183:V187"/>
    <mergeCell ref="W183:W187"/>
    <mergeCell ref="AL183:AL187"/>
    <mergeCell ref="AM183:AM187"/>
    <mergeCell ref="AN183:AN187"/>
    <mergeCell ref="AO183:AO187"/>
    <mergeCell ref="AZ192:AZ198"/>
    <mergeCell ref="BA192:BA198"/>
    <mergeCell ref="BC192:BC198"/>
    <mergeCell ref="BB192:BB198"/>
    <mergeCell ref="BB223:BB229"/>
    <mergeCell ref="BC223:BC229"/>
    <mergeCell ref="AL155:AL159"/>
    <mergeCell ref="U155:U159"/>
    <mergeCell ref="AL181:AL182"/>
    <mergeCell ref="AN176:AN177"/>
    <mergeCell ref="AL211:AL212"/>
    <mergeCell ref="AM211:AM212"/>
    <mergeCell ref="AI226:AI228"/>
    <mergeCell ref="R220:R221"/>
    <mergeCell ref="S220:S221"/>
    <mergeCell ref="S155:S159"/>
    <mergeCell ref="T155:T159"/>
    <mergeCell ref="R155:R159"/>
    <mergeCell ref="V220:V221"/>
    <mergeCell ref="W220:W221"/>
    <mergeCell ref="AO308:AO310"/>
    <mergeCell ref="AN290:AN291"/>
    <mergeCell ref="AO290:AO291"/>
    <mergeCell ref="AO288:AO289"/>
    <mergeCell ref="AO261:AO262"/>
    <mergeCell ref="AN327:AN328"/>
    <mergeCell ref="AO271:AO272"/>
    <mergeCell ref="T311:T314"/>
    <mergeCell ref="U311:U314"/>
    <mergeCell ref="V311:V314"/>
    <mergeCell ref="W311:W314"/>
    <mergeCell ref="R311:R314"/>
    <mergeCell ref="S311:S314"/>
    <mergeCell ref="AN311:AN314"/>
    <mergeCell ref="AL311:AL314"/>
    <mergeCell ref="AM311:AM314"/>
    <mergeCell ref="AN236:AN238"/>
    <mergeCell ref="AO236:AO238"/>
    <mergeCell ref="W308:W310"/>
    <mergeCell ref="AL308:AL310"/>
    <mergeCell ref="AO246:AO247"/>
    <mergeCell ref="AO311:AO314"/>
    <mergeCell ref="AO303:AO307"/>
    <mergeCell ref="W303:W307"/>
    <mergeCell ref="AL303:AL307"/>
    <mergeCell ref="AM303:AM307"/>
    <mergeCell ref="R290:R291"/>
    <mergeCell ref="W290:W291"/>
    <mergeCell ref="AL290:AL291"/>
    <mergeCell ref="AM290:AM291"/>
    <mergeCell ref="AL298:AL301"/>
    <mergeCell ref="AM298:AM301"/>
    <mergeCell ref="AM308:AM310"/>
    <mergeCell ref="X181:X182"/>
    <mergeCell ref="AN211:AN212"/>
    <mergeCell ref="T166:T173"/>
    <mergeCell ref="W206:W208"/>
    <mergeCell ref="AL206:AL208"/>
    <mergeCell ref="T214:T215"/>
    <mergeCell ref="U214:U215"/>
    <mergeCell ref="X174:X175"/>
    <mergeCell ref="S178:S180"/>
    <mergeCell ref="R214:R215"/>
    <mergeCell ref="U166:U173"/>
    <mergeCell ref="S223:S229"/>
    <mergeCell ref="T223:T229"/>
    <mergeCell ref="U223:U229"/>
    <mergeCell ref="AN288:AN289"/>
    <mergeCell ref="T251:T257"/>
    <mergeCell ref="U251:U257"/>
    <mergeCell ref="AN303:AN307"/>
    <mergeCell ref="T303:T307"/>
    <mergeCell ref="V234:V235"/>
    <mergeCell ref="AN181:AN182"/>
    <mergeCell ref="AM181:AM182"/>
    <mergeCell ref="T181:T182"/>
    <mergeCell ref="U181:U182"/>
    <mergeCell ref="V181:V182"/>
    <mergeCell ref="W181:W182"/>
    <mergeCell ref="AN422:AN423"/>
    <mergeCell ref="AO422:AO423"/>
    <mergeCell ref="A422:A423"/>
    <mergeCell ref="B422:B423"/>
    <mergeCell ref="C422:C423"/>
    <mergeCell ref="D422:D423"/>
    <mergeCell ref="E422:E423"/>
    <mergeCell ref="F422:F423"/>
    <mergeCell ref="G422:G423"/>
    <mergeCell ref="H422:H423"/>
    <mergeCell ref="I422:I423"/>
    <mergeCell ref="J422:J423"/>
    <mergeCell ref="K422:K423"/>
    <mergeCell ref="L422:L423"/>
    <mergeCell ref="M422:M423"/>
    <mergeCell ref="N422:N423"/>
    <mergeCell ref="O422:O423"/>
    <mergeCell ref="P422:P423"/>
    <mergeCell ref="Q422:Q423"/>
    <mergeCell ref="R422:R423"/>
    <mergeCell ref="S422:S423"/>
    <mergeCell ref="T422:T423"/>
    <mergeCell ref="U422:U423"/>
    <mergeCell ref="V422:V423"/>
    <mergeCell ref="W422:W423"/>
    <mergeCell ref="AL422:AL423"/>
    <mergeCell ref="AM422:AM423"/>
    <mergeCell ref="L303:L307"/>
    <mergeCell ref="H303:H307"/>
    <mergeCell ref="C288:C289"/>
    <mergeCell ref="D288:D289"/>
    <mergeCell ref="E288:E289"/>
    <mergeCell ref="G311:G314"/>
    <mergeCell ref="H311:H314"/>
    <mergeCell ref="I311:I314"/>
    <mergeCell ref="J311:J314"/>
    <mergeCell ref="K311:K314"/>
    <mergeCell ref="L311:L314"/>
    <mergeCell ref="M311:M314"/>
    <mergeCell ref="N311:N314"/>
    <mergeCell ref="O311:O314"/>
    <mergeCell ref="P311:P314"/>
    <mergeCell ref="N261:N262"/>
    <mergeCell ref="N290:N291"/>
    <mergeCell ref="N303:N307"/>
    <mergeCell ref="N298:N301"/>
    <mergeCell ref="M290:M291"/>
    <mergeCell ref="K271:K272"/>
    <mergeCell ref="L271:L272"/>
    <mergeCell ref="M271:M272"/>
    <mergeCell ref="N271:N272"/>
    <mergeCell ref="O271:O272"/>
    <mergeCell ref="P271:P272"/>
    <mergeCell ref="I303:I307"/>
    <mergeCell ref="J303:J307"/>
    <mergeCell ref="J271:J272"/>
    <mergeCell ref="J308:J310"/>
    <mergeCell ref="P308:P310"/>
    <mergeCell ref="G288:G289"/>
    <mergeCell ref="E271:E272"/>
    <mergeCell ref="F271:F272"/>
    <mergeCell ref="E303:E307"/>
    <mergeCell ref="F303:F307"/>
    <mergeCell ref="G303:G307"/>
    <mergeCell ref="B298:B301"/>
    <mergeCell ref="C298:C301"/>
    <mergeCell ref="D298:D301"/>
    <mergeCell ref="E298:E301"/>
    <mergeCell ref="F298:F301"/>
    <mergeCell ref="G298:G301"/>
    <mergeCell ref="H298:H301"/>
    <mergeCell ref="I298:I301"/>
    <mergeCell ref="G271:G272"/>
    <mergeCell ref="H271:H272"/>
    <mergeCell ref="I271:I272"/>
    <mergeCell ref="K303:K307"/>
    <mergeCell ref="K290:K291"/>
    <mergeCell ref="J288:J289"/>
    <mergeCell ref="K288:K289"/>
    <mergeCell ref="L298:L301"/>
    <mergeCell ref="M298:M301"/>
    <mergeCell ref="V271:V272"/>
    <mergeCell ref="T242:T243"/>
    <mergeCell ref="N230:N233"/>
    <mergeCell ref="N246:N247"/>
    <mergeCell ref="V236:V237"/>
    <mergeCell ref="J298:J301"/>
    <mergeCell ref="K298:K301"/>
    <mergeCell ref="V223:V229"/>
    <mergeCell ref="R242:R244"/>
    <mergeCell ref="V290:V291"/>
    <mergeCell ref="U290:U291"/>
    <mergeCell ref="T290:T291"/>
    <mergeCell ref="S290:S291"/>
    <mergeCell ref="P242:P244"/>
    <mergeCell ref="K261:K262"/>
    <mergeCell ref="L261:L262"/>
    <mergeCell ref="Q298:Q301"/>
    <mergeCell ref="J246:J247"/>
    <mergeCell ref="O246:O247"/>
    <mergeCell ref="P246:P247"/>
    <mergeCell ref="M246:M247"/>
    <mergeCell ref="R251:R257"/>
    <mergeCell ref="U246:U247"/>
    <mergeCell ref="U261:U262"/>
    <mergeCell ref="O236:O238"/>
    <mergeCell ref="R271:R272"/>
    <mergeCell ref="S271:S272"/>
    <mergeCell ref="T271:T272"/>
    <mergeCell ref="E216:E217"/>
    <mergeCell ref="H236:H238"/>
    <mergeCell ref="I236:I238"/>
    <mergeCell ref="J236:J238"/>
    <mergeCell ref="K236:K238"/>
    <mergeCell ref="L236:L238"/>
    <mergeCell ref="J234:J235"/>
    <mergeCell ref="K234:K235"/>
    <mergeCell ref="A218:A219"/>
    <mergeCell ref="A220:A221"/>
    <mergeCell ref="F290:F291"/>
    <mergeCell ref="G290:G291"/>
    <mergeCell ref="L290:L291"/>
    <mergeCell ref="J290:J291"/>
    <mergeCell ref="A298:A301"/>
    <mergeCell ref="A223:A229"/>
    <mergeCell ref="B223:B229"/>
    <mergeCell ref="C223:C229"/>
    <mergeCell ref="D223:D229"/>
    <mergeCell ref="J218:J219"/>
    <mergeCell ref="I218:I219"/>
    <mergeCell ref="I290:I291"/>
    <mergeCell ref="B230:B233"/>
    <mergeCell ref="A288:A289"/>
    <mergeCell ref="H288:H289"/>
    <mergeCell ref="I288:I289"/>
    <mergeCell ref="A290:A291"/>
    <mergeCell ref="B290:B291"/>
    <mergeCell ref="C290:C291"/>
    <mergeCell ref="D290:D291"/>
    <mergeCell ref="E290:E291"/>
    <mergeCell ref="H234:H235"/>
    <mergeCell ref="AO112:AO122"/>
    <mergeCell ref="AO181:AO182"/>
    <mergeCell ref="G211:G212"/>
    <mergeCell ref="B75:B78"/>
    <mergeCell ref="C75:C78"/>
    <mergeCell ref="D75:D78"/>
    <mergeCell ref="G86:G89"/>
    <mergeCell ref="E75:E78"/>
    <mergeCell ref="F75:F78"/>
    <mergeCell ref="G75:G78"/>
    <mergeCell ref="T160:T165"/>
    <mergeCell ref="U160:U165"/>
    <mergeCell ref="C230:C233"/>
    <mergeCell ref="D230:D233"/>
    <mergeCell ref="A214:A215"/>
    <mergeCell ref="B214:B215"/>
    <mergeCell ref="H224:H229"/>
    <mergeCell ref="A206:A208"/>
    <mergeCell ref="B206:B208"/>
    <mergeCell ref="C206:C208"/>
    <mergeCell ref="A199:A201"/>
    <mergeCell ref="W223:W229"/>
    <mergeCell ref="AL223:AL229"/>
    <mergeCell ref="AM223:AM229"/>
    <mergeCell ref="AN223:AN229"/>
    <mergeCell ref="R230:R233"/>
    <mergeCell ref="AN230:AN233"/>
    <mergeCell ref="A216:A217"/>
    <mergeCell ref="B216:B217"/>
    <mergeCell ref="C216:C217"/>
    <mergeCell ref="W211:W212"/>
    <mergeCell ref="D216:D217"/>
    <mergeCell ref="H75:H78"/>
    <mergeCell ref="I75:I78"/>
    <mergeCell ref="H218:H219"/>
    <mergeCell ref="T174:T175"/>
    <mergeCell ref="W202:W205"/>
    <mergeCell ref="AN202:AN205"/>
    <mergeCell ref="I220:I221"/>
    <mergeCell ref="J220:J221"/>
    <mergeCell ref="K220:K221"/>
    <mergeCell ref="N220:N221"/>
    <mergeCell ref="R166:R173"/>
    <mergeCell ref="Q174:Q175"/>
    <mergeCell ref="R174:R175"/>
    <mergeCell ref="AN188:AN191"/>
    <mergeCell ref="AM112:AM122"/>
    <mergeCell ref="AN112:AN122"/>
    <mergeCell ref="Q166:Q173"/>
    <mergeCell ref="T220:T221"/>
    <mergeCell ref="U220:U221"/>
    <mergeCell ref="O211:O212"/>
    <mergeCell ref="AL82:AL85"/>
    <mergeCell ref="X93:X96"/>
    <mergeCell ref="AL93:AL96"/>
    <mergeCell ref="V101:V111"/>
    <mergeCell ref="T75:T78"/>
    <mergeCell ref="V155:V159"/>
    <mergeCell ref="W155:W159"/>
    <mergeCell ref="U174:U175"/>
    <mergeCell ref="V166:V173"/>
    <mergeCell ref="W166:W173"/>
    <mergeCell ref="AL218:AL219"/>
    <mergeCell ref="AM206:AM208"/>
    <mergeCell ref="W236:W237"/>
    <mergeCell ref="R218:R219"/>
    <mergeCell ref="R216:R217"/>
    <mergeCell ref="S216:S217"/>
    <mergeCell ref="P214:P215"/>
    <mergeCell ref="U211:U212"/>
    <mergeCell ref="P218:P219"/>
    <mergeCell ref="S242:S244"/>
    <mergeCell ref="S230:S233"/>
    <mergeCell ref="Q246:Q247"/>
    <mergeCell ref="W230:W233"/>
    <mergeCell ref="T230:T233"/>
    <mergeCell ref="U230:U233"/>
    <mergeCell ref="V230:V233"/>
    <mergeCell ref="R246:R247"/>
    <mergeCell ref="T246:T247"/>
    <mergeCell ref="Q236:Q238"/>
    <mergeCell ref="P220:P221"/>
    <mergeCell ref="P223:P229"/>
    <mergeCell ref="Q230:Q233"/>
    <mergeCell ref="Q234:Q235"/>
    <mergeCell ref="R234:R235"/>
    <mergeCell ref="S234:S235"/>
    <mergeCell ref="T234:T235"/>
    <mergeCell ref="U216:U217"/>
    <mergeCell ref="V216:V217"/>
    <mergeCell ref="W216:W217"/>
    <mergeCell ref="W246:W247"/>
    <mergeCell ref="R223:R229"/>
    <mergeCell ref="Q216:Q217"/>
    <mergeCell ref="S246:S247"/>
    <mergeCell ref="P236:P238"/>
    <mergeCell ref="AL230:AL233"/>
    <mergeCell ref="AM230:AM233"/>
    <mergeCell ref="Q192:Q198"/>
    <mergeCell ref="W234:W235"/>
    <mergeCell ref="AM261:AM262"/>
    <mergeCell ref="AN261:AN262"/>
    <mergeCell ref="X246:X247"/>
    <mergeCell ref="AL234:AL235"/>
    <mergeCell ref="AM234:AM235"/>
    <mergeCell ref="AN234:AN235"/>
    <mergeCell ref="X226:X228"/>
    <mergeCell ref="V214:V215"/>
    <mergeCell ref="U209:U210"/>
    <mergeCell ref="V209:V210"/>
    <mergeCell ref="W209:W210"/>
    <mergeCell ref="T209:T210"/>
    <mergeCell ref="AN192:AN198"/>
    <mergeCell ref="R199:R201"/>
    <mergeCell ref="S199:S201"/>
    <mergeCell ref="T199:T201"/>
    <mergeCell ref="U199:U201"/>
    <mergeCell ref="V199:V201"/>
    <mergeCell ref="W199:W201"/>
    <mergeCell ref="AL192:AL198"/>
    <mergeCell ref="AM192:AM198"/>
    <mergeCell ref="V246:V247"/>
    <mergeCell ref="W218:W219"/>
    <mergeCell ref="V218:V219"/>
    <mergeCell ref="AN246:AN247"/>
    <mergeCell ref="AL246:AL247"/>
    <mergeCell ref="AM246:AM247"/>
    <mergeCell ref="S251:S257"/>
    <mergeCell ref="AN271:AN272"/>
    <mergeCell ref="P261:P262"/>
    <mergeCell ref="V288:V289"/>
    <mergeCell ref="Q251:Q257"/>
    <mergeCell ref="Q261:Q262"/>
    <mergeCell ref="V251:V257"/>
    <mergeCell ref="W251:W257"/>
    <mergeCell ref="R298:R301"/>
    <mergeCell ref="S298:S301"/>
    <mergeCell ref="W298:W301"/>
    <mergeCell ref="AL288:AL289"/>
    <mergeCell ref="AM288:AM289"/>
    <mergeCell ref="Q290:Q291"/>
    <mergeCell ref="U288:U289"/>
    <mergeCell ref="O303:O307"/>
    <mergeCell ref="P303:P307"/>
    <mergeCell ref="U303:U307"/>
    <mergeCell ref="V303:V307"/>
    <mergeCell ref="Q271:Q272"/>
    <mergeCell ref="T288:T289"/>
    <mergeCell ref="S261:S262"/>
    <mergeCell ref="Q303:Q307"/>
    <mergeCell ref="O298:O301"/>
    <mergeCell ref="P298:P301"/>
    <mergeCell ref="V261:V262"/>
    <mergeCell ref="W261:W262"/>
    <mergeCell ref="AL261:AL262"/>
    <mergeCell ref="M214:M215"/>
    <mergeCell ref="N214:N215"/>
    <mergeCell ref="N236:N238"/>
    <mergeCell ref="O230:O233"/>
    <mergeCell ref="P230:P233"/>
    <mergeCell ref="O261:O262"/>
    <mergeCell ref="T236:T237"/>
    <mergeCell ref="U236:U237"/>
    <mergeCell ref="S218:S219"/>
    <mergeCell ref="O234:O235"/>
    <mergeCell ref="P234:P235"/>
    <mergeCell ref="O218:O219"/>
    <mergeCell ref="O223:O229"/>
    <mergeCell ref="O220:O221"/>
    <mergeCell ref="H230:H233"/>
    <mergeCell ref="I230:I233"/>
    <mergeCell ref="J230:J233"/>
    <mergeCell ref="K230:K233"/>
    <mergeCell ref="L230:L233"/>
    <mergeCell ref="M261:M262"/>
    <mergeCell ref="L251:L257"/>
    <mergeCell ref="M251:M257"/>
    <mergeCell ref="N251:N257"/>
    <mergeCell ref="O251:O257"/>
    <mergeCell ref="P251:P257"/>
    <mergeCell ref="Q218:Q219"/>
    <mergeCell ref="Q242:Q244"/>
    <mergeCell ref="N223:N229"/>
    <mergeCell ref="L234:L235"/>
    <mergeCell ref="M234:M235"/>
    <mergeCell ref="L223:L229"/>
    <mergeCell ref="M223:M229"/>
    <mergeCell ref="M236:M238"/>
    <mergeCell ref="N242:N244"/>
    <mergeCell ref="O242:O244"/>
    <mergeCell ref="G216:G217"/>
    <mergeCell ref="H216:H217"/>
    <mergeCell ref="I216:I217"/>
    <mergeCell ref="J216:J217"/>
    <mergeCell ref="K216:K217"/>
    <mergeCell ref="L216:L217"/>
    <mergeCell ref="M216:M217"/>
    <mergeCell ref="K218:K219"/>
    <mergeCell ref="I234:I235"/>
    <mergeCell ref="M230:M233"/>
    <mergeCell ref="L220:L221"/>
    <mergeCell ref="L218:L219"/>
    <mergeCell ref="N234:N235"/>
    <mergeCell ref="P123:P134"/>
    <mergeCell ref="P178:P180"/>
    <mergeCell ref="O202:O205"/>
    <mergeCell ref="P166:P173"/>
    <mergeCell ref="N112:N122"/>
    <mergeCell ref="D214:D215"/>
    <mergeCell ref="E214:E215"/>
    <mergeCell ref="N202:N205"/>
    <mergeCell ref="H206:H208"/>
    <mergeCell ref="H199:H201"/>
    <mergeCell ref="I199:I201"/>
    <mergeCell ref="H242:H244"/>
    <mergeCell ref="G218:G219"/>
    <mergeCell ref="F218:F219"/>
    <mergeCell ref="H220:H221"/>
    <mergeCell ref="O214:O215"/>
    <mergeCell ref="C234:C235"/>
    <mergeCell ref="F214:F215"/>
    <mergeCell ref="G214:G215"/>
    <mergeCell ref="F211:F212"/>
    <mergeCell ref="J214:J215"/>
    <mergeCell ref="G236:G238"/>
    <mergeCell ref="D234:D235"/>
    <mergeCell ref="J188:J191"/>
    <mergeCell ref="N206:N208"/>
    <mergeCell ref="M160:M165"/>
    <mergeCell ref="I224:I229"/>
    <mergeCell ref="J224:J229"/>
    <mergeCell ref="K223:K229"/>
    <mergeCell ref="E223:E229"/>
    <mergeCell ref="E230:E233"/>
    <mergeCell ref="F230:F233"/>
    <mergeCell ref="A188:A191"/>
    <mergeCell ref="B188:B191"/>
    <mergeCell ref="C174:C175"/>
    <mergeCell ref="A181:A182"/>
    <mergeCell ref="D86:D89"/>
    <mergeCell ref="E86:E89"/>
    <mergeCell ref="A166:A173"/>
    <mergeCell ref="A174:A175"/>
    <mergeCell ref="F82:F85"/>
    <mergeCell ref="F188:F191"/>
    <mergeCell ref="A66:A74"/>
    <mergeCell ref="B66:B74"/>
    <mergeCell ref="C66:C74"/>
    <mergeCell ref="D66:D74"/>
    <mergeCell ref="E66:E74"/>
    <mergeCell ref="F66:F74"/>
    <mergeCell ref="G66:G74"/>
    <mergeCell ref="A135:A145"/>
    <mergeCell ref="C101:C111"/>
    <mergeCell ref="D101:D111"/>
    <mergeCell ref="C82:C85"/>
    <mergeCell ref="D82:D85"/>
    <mergeCell ref="E82:E85"/>
    <mergeCell ref="G90:G92"/>
    <mergeCell ref="B181:B182"/>
    <mergeCell ref="G188:G191"/>
    <mergeCell ref="D135:D145"/>
    <mergeCell ref="C135:C145"/>
    <mergeCell ref="B135:B145"/>
    <mergeCell ref="C97:C100"/>
    <mergeCell ref="D97:D100"/>
    <mergeCell ref="E97:E100"/>
    <mergeCell ref="D53:D56"/>
    <mergeCell ref="E53:E56"/>
    <mergeCell ref="F53:F56"/>
    <mergeCell ref="G53:G56"/>
    <mergeCell ref="A75:A78"/>
    <mergeCell ref="A155:A159"/>
    <mergeCell ref="F135:F145"/>
    <mergeCell ref="A146:A154"/>
    <mergeCell ref="B146:B154"/>
    <mergeCell ref="C146:C154"/>
    <mergeCell ref="D146:D154"/>
    <mergeCell ref="G178:G180"/>
    <mergeCell ref="G61:G65"/>
    <mergeCell ref="P41:P44"/>
    <mergeCell ref="F160:F165"/>
    <mergeCell ref="A61:A65"/>
    <mergeCell ref="B61:B65"/>
    <mergeCell ref="C61:C65"/>
    <mergeCell ref="P53:P56"/>
    <mergeCell ref="A57:A60"/>
    <mergeCell ref="B57:B60"/>
    <mergeCell ref="C57:C60"/>
    <mergeCell ref="A45:A48"/>
    <mergeCell ref="B45:B48"/>
    <mergeCell ref="C45:C48"/>
    <mergeCell ref="D45:D48"/>
    <mergeCell ref="E45:E48"/>
    <mergeCell ref="F45:F48"/>
    <mergeCell ref="G45:G48"/>
    <mergeCell ref="J75:J78"/>
    <mergeCell ref="K75:K78"/>
    <mergeCell ref="H90:H92"/>
    <mergeCell ref="Q155:Q159"/>
    <mergeCell ref="A53:A56"/>
    <mergeCell ref="B53:B56"/>
    <mergeCell ref="F79:F81"/>
    <mergeCell ref="E79:E81"/>
    <mergeCell ref="D199:D201"/>
    <mergeCell ref="E199:E201"/>
    <mergeCell ref="F199:F201"/>
    <mergeCell ref="G199:G201"/>
    <mergeCell ref="K101:K111"/>
    <mergeCell ref="L101:L111"/>
    <mergeCell ref="S181:S182"/>
    <mergeCell ref="S174:S175"/>
    <mergeCell ref="N199:N201"/>
    <mergeCell ref="H183:H187"/>
    <mergeCell ref="I183:I187"/>
    <mergeCell ref="J183:J187"/>
    <mergeCell ref="K183:K187"/>
    <mergeCell ref="L183:L187"/>
    <mergeCell ref="M183:M187"/>
    <mergeCell ref="N183:N187"/>
    <mergeCell ref="O183:O187"/>
    <mergeCell ref="P183:P187"/>
    <mergeCell ref="O101:O111"/>
    <mergeCell ref="A82:A85"/>
    <mergeCell ref="A101:A111"/>
    <mergeCell ref="B101:B111"/>
    <mergeCell ref="L174:L175"/>
    <mergeCell ref="C53:C56"/>
    <mergeCell ref="I66:I74"/>
    <mergeCell ref="N53:N56"/>
    <mergeCell ref="J79:J81"/>
    <mergeCell ref="T20:T24"/>
    <mergeCell ref="U20:U24"/>
    <mergeCell ref="P20:P24"/>
    <mergeCell ref="R25:R28"/>
    <mergeCell ref="T25:T28"/>
    <mergeCell ref="R41:R44"/>
    <mergeCell ref="S41:S44"/>
    <mergeCell ref="T82:T85"/>
    <mergeCell ref="W20:W24"/>
    <mergeCell ref="W25:W28"/>
    <mergeCell ref="V20:V24"/>
    <mergeCell ref="T41:T44"/>
    <mergeCell ref="U41:U44"/>
    <mergeCell ref="V41:V44"/>
    <mergeCell ref="U53:U56"/>
    <mergeCell ref="T49:T52"/>
    <mergeCell ref="U49:U52"/>
    <mergeCell ref="S45:S48"/>
    <mergeCell ref="W41:W44"/>
    <mergeCell ref="T66:T74"/>
    <mergeCell ref="U66:U74"/>
    <mergeCell ref="P25:P28"/>
    <mergeCell ref="U25:U28"/>
    <mergeCell ref="S25:S28"/>
    <mergeCell ref="V25:V28"/>
    <mergeCell ref="P37:P40"/>
    <mergeCell ref="Q37:Q40"/>
    <mergeCell ref="R33:R36"/>
    <mergeCell ref="R45:R48"/>
    <mergeCell ref="P66:P74"/>
    <mergeCell ref="Q66:Q74"/>
    <mergeCell ref="S75:S78"/>
    <mergeCell ref="L25:L28"/>
    <mergeCell ref="M25:M28"/>
    <mergeCell ref="N25:N28"/>
    <mergeCell ref="O25:O28"/>
    <mergeCell ref="H33:H36"/>
    <mergeCell ref="I33:I36"/>
    <mergeCell ref="J33:J36"/>
    <mergeCell ref="K33:K36"/>
    <mergeCell ref="L33:L36"/>
    <mergeCell ref="M33:M36"/>
    <mergeCell ref="N33:N36"/>
    <mergeCell ref="O33:O36"/>
    <mergeCell ref="Q25:Q28"/>
    <mergeCell ref="R29:R32"/>
    <mergeCell ref="Q20:Q24"/>
    <mergeCell ref="R20:R24"/>
    <mergeCell ref="S20:S24"/>
    <mergeCell ref="P33:P36"/>
    <mergeCell ref="Q33:Q36"/>
    <mergeCell ref="H25:H28"/>
    <mergeCell ref="I25:I28"/>
    <mergeCell ref="J25:J28"/>
    <mergeCell ref="K25:K28"/>
    <mergeCell ref="N29:N32"/>
    <mergeCell ref="O29:O32"/>
    <mergeCell ref="P29:P32"/>
    <mergeCell ref="Q29:Q32"/>
    <mergeCell ref="L29:L32"/>
    <mergeCell ref="M29:M32"/>
    <mergeCell ref="W33:W36"/>
    <mergeCell ref="S29:S32"/>
    <mergeCell ref="T29:T32"/>
    <mergeCell ref="U29:U32"/>
    <mergeCell ref="V29:V32"/>
    <mergeCell ref="S66:S74"/>
    <mergeCell ref="W66:W74"/>
    <mergeCell ref="V37:V40"/>
    <mergeCell ref="W37:W40"/>
    <mergeCell ref="H61:H65"/>
    <mergeCell ref="I61:I65"/>
    <mergeCell ref="J61:J65"/>
    <mergeCell ref="R61:R65"/>
    <mergeCell ref="T61:T65"/>
    <mergeCell ref="L37:L40"/>
    <mergeCell ref="M37:M40"/>
    <mergeCell ref="N37:N40"/>
    <mergeCell ref="O37:O40"/>
    <mergeCell ref="O66:O74"/>
    <mergeCell ref="R37:R40"/>
    <mergeCell ref="S37:S40"/>
    <mergeCell ref="T37:T40"/>
    <mergeCell ref="U37:U40"/>
    <mergeCell ref="T45:T48"/>
    <mergeCell ref="U45:U48"/>
    <mergeCell ref="O45:O48"/>
    <mergeCell ref="P45:P48"/>
    <mergeCell ref="Q45:Q48"/>
    <mergeCell ref="O41:O44"/>
    <mergeCell ref="Q41:Q44"/>
    <mergeCell ref="R66:R74"/>
    <mergeCell ref="M45:M48"/>
    <mergeCell ref="J93:J96"/>
    <mergeCell ref="K93:K96"/>
    <mergeCell ref="L82:L85"/>
    <mergeCell ref="U82:U85"/>
    <mergeCell ref="M82:M85"/>
    <mergeCell ref="N82:N85"/>
    <mergeCell ref="AL66:AL74"/>
    <mergeCell ref="N101:N111"/>
    <mergeCell ref="V66:V74"/>
    <mergeCell ref="M101:M111"/>
    <mergeCell ref="V82:V85"/>
    <mergeCell ref="W82:W85"/>
    <mergeCell ref="S82:S85"/>
    <mergeCell ref="T97:T100"/>
    <mergeCell ref="U97:U100"/>
    <mergeCell ref="L93:L96"/>
    <mergeCell ref="M93:M96"/>
    <mergeCell ref="N93:N96"/>
    <mergeCell ref="O93:O96"/>
    <mergeCell ref="J66:J74"/>
    <mergeCell ref="K66:K74"/>
    <mergeCell ref="L66:L74"/>
    <mergeCell ref="M66:M74"/>
    <mergeCell ref="N66:N74"/>
    <mergeCell ref="P79:P81"/>
    <mergeCell ref="V79:V81"/>
    <mergeCell ref="W79:W81"/>
    <mergeCell ref="AL79:AL81"/>
    <mergeCell ref="L45:L48"/>
    <mergeCell ref="G79:G81"/>
    <mergeCell ref="R101:R111"/>
    <mergeCell ref="O112:O122"/>
    <mergeCell ref="P112:P122"/>
    <mergeCell ref="U75:U78"/>
    <mergeCell ref="O79:O81"/>
    <mergeCell ref="O75:O78"/>
    <mergeCell ref="O82:O85"/>
    <mergeCell ref="P82:P85"/>
    <mergeCell ref="Q82:Q85"/>
    <mergeCell ref="V93:V96"/>
    <mergeCell ref="V112:V122"/>
    <mergeCell ref="W112:W122"/>
    <mergeCell ref="W93:W96"/>
    <mergeCell ref="V97:V100"/>
    <mergeCell ref="W97:W100"/>
    <mergeCell ref="N45:N48"/>
    <mergeCell ref="S49:S52"/>
    <mergeCell ref="U61:U65"/>
    <mergeCell ref="R53:R56"/>
    <mergeCell ref="S53:S56"/>
    <mergeCell ref="H45:H48"/>
    <mergeCell ref="I45:I48"/>
    <mergeCell ref="J45:J48"/>
    <mergeCell ref="K45:K48"/>
    <mergeCell ref="L49:L52"/>
    <mergeCell ref="M49:M52"/>
    <mergeCell ref="N49:N52"/>
    <mergeCell ref="H66:H74"/>
    <mergeCell ref="K79:K81"/>
    <mergeCell ref="L79:L81"/>
    <mergeCell ref="R181:R182"/>
    <mergeCell ref="V160:V165"/>
    <mergeCell ref="H86:H89"/>
    <mergeCell ref="I86:I89"/>
    <mergeCell ref="L75:L78"/>
    <mergeCell ref="M75:M78"/>
    <mergeCell ref="N75:N78"/>
    <mergeCell ref="C192:C198"/>
    <mergeCell ref="B211:B212"/>
    <mergeCell ref="J199:J201"/>
    <mergeCell ref="K199:K201"/>
    <mergeCell ref="L199:L201"/>
    <mergeCell ref="M199:M201"/>
    <mergeCell ref="K181:K182"/>
    <mergeCell ref="L181:L182"/>
    <mergeCell ref="M181:M182"/>
    <mergeCell ref="N181:N182"/>
    <mergeCell ref="I160:I165"/>
    <mergeCell ref="J160:J165"/>
    <mergeCell ref="G181:G182"/>
    <mergeCell ref="K166:K173"/>
    <mergeCell ref="L166:L173"/>
    <mergeCell ref="B183:B187"/>
    <mergeCell ref="C183:C187"/>
    <mergeCell ref="D183:D187"/>
    <mergeCell ref="E183:E187"/>
    <mergeCell ref="F183:F187"/>
    <mergeCell ref="G183:G187"/>
    <mergeCell ref="L206:L208"/>
    <mergeCell ref="M206:M208"/>
    <mergeCell ref="M79:M81"/>
    <mergeCell ref="R97:R100"/>
    <mergeCell ref="M188:M191"/>
    <mergeCell ref="L637:L642"/>
    <mergeCell ref="M637:M642"/>
    <mergeCell ref="N637:N642"/>
    <mergeCell ref="O637:O642"/>
    <mergeCell ref="P637:P642"/>
    <mergeCell ref="Q637:Q642"/>
    <mergeCell ref="U612:U616"/>
    <mergeCell ref="U607:U611"/>
    <mergeCell ref="V607:V611"/>
    <mergeCell ref="O288:O289"/>
    <mergeCell ref="P288:P289"/>
    <mergeCell ref="Q288:Q289"/>
    <mergeCell ref="R288:R289"/>
    <mergeCell ref="S288:S289"/>
    <mergeCell ref="R303:R307"/>
    <mergeCell ref="M303:M307"/>
    <mergeCell ref="V327:V328"/>
    <mergeCell ref="Q311:Q314"/>
    <mergeCell ref="P290:P291"/>
    <mergeCell ref="N552:N560"/>
    <mergeCell ref="O552:O560"/>
    <mergeCell ref="P552:P560"/>
    <mergeCell ref="S578:S584"/>
    <mergeCell ref="T578:T584"/>
    <mergeCell ref="U578:U584"/>
    <mergeCell ref="T585:T590"/>
    <mergeCell ref="V578:V584"/>
    <mergeCell ref="P192:P198"/>
    <mergeCell ref="R192:R198"/>
    <mergeCell ref="L211:L212"/>
    <mergeCell ref="M211:M212"/>
    <mergeCell ref="N617:N625"/>
    <mergeCell ref="O607:O611"/>
    <mergeCell ref="P607:P611"/>
    <mergeCell ref="AL220:AL221"/>
    <mergeCell ref="AL236:AL238"/>
    <mergeCell ref="AM236:AM238"/>
    <mergeCell ref="AO234:AO235"/>
    <mergeCell ref="AN585:AN590"/>
    <mergeCell ref="AO585:AO590"/>
    <mergeCell ref="AB552:AB557"/>
    <mergeCell ref="AN220:AN221"/>
    <mergeCell ref="Q214:Q215"/>
    <mergeCell ref="U218:U219"/>
    <mergeCell ref="T218:T219"/>
    <mergeCell ref="X242:X243"/>
    <mergeCell ref="R261:R262"/>
    <mergeCell ref="W214:W215"/>
    <mergeCell ref="T261:T262"/>
    <mergeCell ref="P578:P584"/>
    <mergeCell ref="Q578:Q584"/>
    <mergeCell ref="R236:R238"/>
    <mergeCell ref="S214:S215"/>
    <mergeCell ref="S236:S238"/>
    <mergeCell ref="Q223:Q229"/>
    <mergeCell ref="AL214:AL215"/>
    <mergeCell ref="AM214:AM215"/>
    <mergeCell ref="AN214:AN215"/>
    <mergeCell ref="AO214:AO215"/>
    <mergeCell ref="AO220:AO221"/>
    <mergeCell ref="T216:T217"/>
    <mergeCell ref="AL216:AL217"/>
    <mergeCell ref="AM216:AM217"/>
    <mergeCell ref="BL199:BL201"/>
    <mergeCell ref="BA202:BA205"/>
    <mergeCell ref="BJ199:BJ201"/>
    <mergeCell ref="BK199:BK201"/>
    <mergeCell ref="BA199:BA201"/>
    <mergeCell ref="BB199:BB201"/>
    <mergeCell ref="AW202:AW205"/>
    <mergeCell ref="AX202:AX205"/>
    <mergeCell ref="V643:V649"/>
    <mergeCell ref="W643:W649"/>
    <mergeCell ref="M288:M289"/>
    <mergeCell ref="N288:N289"/>
    <mergeCell ref="W552:W560"/>
    <mergeCell ref="S637:S642"/>
    <mergeCell ref="T637:T642"/>
    <mergeCell ref="U637:U642"/>
    <mergeCell ref="V637:V642"/>
    <mergeCell ref="W637:W642"/>
    <mergeCell ref="W288:W289"/>
    <mergeCell ref="W327:W328"/>
    <mergeCell ref="Q607:Q611"/>
    <mergeCell ref="R607:R611"/>
    <mergeCell ref="S607:S611"/>
    <mergeCell ref="T607:T611"/>
    <mergeCell ref="U552:U560"/>
    <mergeCell ref="V552:V560"/>
    <mergeCell ref="N578:N584"/>
    <mergeCell ref="O578:O584"/>
    <mergeCell ref="U569:U577"/>
    <mergeCell ref="V569:V577"/>
    <mergeCell ref="W569:W577"/>
    <mergeCell ref="P617:P625"/>
    <mergeCell ref="A1:AO3"/>
    <mergeCell ref="A6:BB6"/>
    <mergeCell ref="A7:M7"/>
    <mergeCell ref="A8:E8"/>
    <mergeCell ref="A10:BB10"/>
    <mergeCell ref="AW16:AW18"/>
    <mergeCell ref="AX16:AX18"/>
    <mergeCell ref="K16:W17"/>
    <mergeCell ref="X16:AH16"/>
    <mergeCell ref="AI16:AK16"/>
    <mergeCell ref="AL16:AO16"/>
    <mergeCell ref="AP16:AP18"/>
    <mergeCell ref="AQ16:AR17"/>
    <mergeCell ref="AM17:AO17"/>
    <mergeCell ref="A11:BB11"/>
    <mergeCell ref="A12:BB12"/>
    <mergeCell ref="A13:K13"/>
    <mergeCell ref="A15:A19"/>
    <mergeCell ref="H181:H182"/>
    <mergeCell ref="B15:G17"/>
    <mergeCell ref="K15:AO15"/>
    <mergeCell ref="AP15:AU15"/>
    <mergeCell ref="H16:J16"/>
    <mergeCell ref="BJ16:BJ18"/>
    <mergeCell ref="BK16:BM17"/>
    <mergeCell ref="H17:H18"/>
    <mergeCell ref="I17:J17"/>
    <mergeCell ref="AI17:AK17"/>
    <mergeCell ref="AY16:AY18"/>
    <mergeCell ref="AZ16:AZ18"/>
    <mergeCell ref="V45:V48"/>
    <mergeCell ref="W45:W48"/>
    <mergeCell ref="R49:R52"/>
    <mergeCell ref="BM20:BM22"/>
    <mergeCell ref="BG20:BG22"/>
    <mergeCell ref="BH20:BH22"/>
    <mergeCell ref="BI20:BI22"/>
    <mergeCell ref="BJ20:BJ22"/>
    <mergeCell ref="BK20:BK22"/>
    <mergeCell ref="BL20:BL22"/>
    <mergeCell ref="BA20:BA22"/>
    <mergeCell ref="BB20:BB22"/>
    <mergeCell ref="BC20:BC22"/>
    <mergeCell ref="BD20:BD22"/>
    <mergeCell ref="BE20:BE22"/>
    <mergeCell ref="BF20:BF22"/>
    <mergeCell ref="AU20:AU22"/>
    <mergeCell ref="AV20:AV22"/>
    <mergeCell ref="BJ25:BJ27"/>
    <mergeCell ref="V174:V175"/>
    <mergeCell ref="BL25:BL27"/>
    <mergeCell ref="W29:W32"/>
    <mergeCell ref="AL20:AL24"/>
    <mergeCell ref="S33:S36"/>
    <mergeCell ref="X17:AB17"/>
    <mergeCell ref="AC17:AD17"/>
    <mergeCell ref="AE17:AH17"/>
    <mergeCell ref="BA16:BA18"/>
    <mergeCell ref="BB16:BB18"/>
    <mergeCell ref="BC16:BC18"/>
    <mergeCell ref="BK25:BK27"/>
    <mergeCell ref="AL25:AL28"/>
    <mergeCell ref="AM25:AM28"/>
    <mergeCell ref="AN25:AN28"/>
    <mergeCell ref="BG16:BH17"/>
    <mergeCell ref="BI16:BI18"/>
    <mergeCell ref="AP20:AP22"/>
    <mergeCell ref="BF25:BF27"/>
    <mergeCell ref="BG25:BG27"/>
    <mergeCell ref="BH25:BH27"/>
    <mergeCell ref="AO20:AO24"/>
    <mergeCell ref="AS20:AS22"/>
    <mergeCell ref="AT20:AT22"/>
    <mergeCell ref="AU29:AU31"/>
    <mergeCell ref="AV29:AV31"/>
    <mergeCell ref="BJ29:BJ31"/>
    <mergeCell ref="BK29:BK31"/>
    <mergeCell ref="AP33:AP35"/>
    <mergeCell ref="AS33:AS35"/>
    <mergeCell ref="AT33:AT35"/>
    <mergeCell ref="AU33:AU35"/>
    <mergeCell ref="T33:T36"/>
    <mergeCell ref="U33:U36"/>
    <mergeCell ref="V33:V36"/>
    <mergeCell ref="AP37:AP39"/>
    <mergeCell ref="AS37:AS39"/>
    <mergeCell ref="AT37:AT39"/>
    <mergeCell ref="BB29:BB31"/>
    <mergeCell ref="BA29:BA31"/>
    <mergeCell ref="BI25:BI27"/>
    <mergeCell ref="AX25:AX27"/>
    <mergeCell ref="AY25:AY27"/>
    <mergeCell ref="AV15:BA15"/>
    <mergeCell ref="BB15:BM15"/>
    <mergeCell ref="BD16:BF17"/>
    <mergeCell ref="AM20:AM24"/>
    <mergeCell ref="AN20:AN24"/>
    <mergeCell ref="AP29:AP31"/>
    <mergeCell ref="AS29:AS31"/>
    <mergeCell ref="AT29:AT31"/>
    <mergeCell ref="BD29:BD31"/>
    <mergeCell ref="BE29:BE31"/>
    <mergeCell ref="BF29:BF31"/>
    <mergeCell ref="BM25:BM27"/>
    <mergeCell ref="BD25:BD27"/>
    <mergeCell ref="BE25:BE27"/>
    <mergeCell ref="AS16:AS18"/>
    <mergeCell ref="AT16:AT18"/>
    <mergeCell ref="AU16:AU18"/>
    <mergeCell ref="AV16:AV18"/>
    <mergeCell ref="AY20:AY22"/>
    <mergeCell ref="AZ20:AZ22"/>
    <mergeCell ref="BM29:BM31"/>
    <mergeCell ref="BG29:BG31"/>
    <mergeCell ref="BH29:BH31"/>
    <mergeCell ref="BI29:BI31"/>
    <mergeCell ref="BL29:BL31"/>
    <mergeCell ref="AO25:AO28"/>
    <mergeCell ref="AW20:AW22"/>
    <mergeCell ref="AX20:AX22"/>
    <mergeCell ref="AV25:AV27"/>
    <mergeCell ref="AW25:AW27"/>
    <mergeCell ref="AZ25:AZ27"/>
    <mergeCell ref="BA25:BA27"/>
    <mergeCell ref="BB25:BB27"/>
    <mergeCell ref="BC25:BC27"/>
    <mergeCell ref="AP25:AP27"/>
    <mergeCell ref="AS25:AS27"/>
    <mergeCell ref="AT25:AT27"/>
    <mergeCell ref="AU25:AU27"/>
    <mergeCell ref="AL41:AL44"/>
    <mergeCell ref="AM41:AM44"/>
    <mergeCell ref="AN41:AN44"/>
    <mergeCell ref="AO41:AO44"/>
    <mergeCell ref="BC41:BC43"/>
    <mergeCell ref="AP41:AP43"/>
    <mergeCell ref="AS41:AS43"/>
    <mergeCell ref="AT41:AT43"/>
    <mergeCell ref="AU41:AU43"/>
    <mergeCell ref="AO29:AO32"/>
    <mergeCell ref="AN29:AN32"/>
    <mergeCell ref="AM29:AM32"/>
    <mergeCell ref="AL29:AL32"/>
    <mergeCell ref="AO33:AO36"/>
    <mergeCell ref="AN33:AN36"/>
    <mergeCell ref="AM33:AM36"/>
    <mergeCell ref="AL33:AL36"/>
    <mergeCell ref="AU37:AU39"/>
    <mergeCell ref="AV37:AV39"/>
    <mergeCell ref="AW37:AW39"/>
    <mergeCell ref="AX37:AX39"/>
    <mergeCell ref="AY37:AY39"/>
    <mergeCell ref="AZ37:AZ39"/>
    <mergeCell ref="AW29:AW31"/>
    <mergeCell ref="AX29:AX31"/>
    <mergeCell ref="AY29:AY31"/>
    <mergeCell ref="AZ29:AZ31"/>
    <mergeCell ref="BC29:BC31"/>
    <mergeCell ref="BL33:BL35"/>
    <mergeCell ref="BM33:BM35"/>
    <mergeCell ref="BD33:BD35"/>
    <mergeCell ref="BE33:BE35"/>
    <mergeCell ref="BF33:BF35"/>
    <mergeCell ref="BG33:BG35"/>
    <mergeCell ref="BH33:BH35"/>
    <mergeCell ref="BI33:BI35"/>
    <mergeCell ref="AX33:AX35"/>
    <mergeCell ref="AY33:AY35"/>
    <mergeCell ref="AZ33:AZ35"/>
    <mergeCell ref="BA33:BA35"/>
    <mergeCell ref="BB33:BB35"/>
    <mergeCell ref="BC33:BC35"/>
    <mergeCell ref="AV33:AV35"/>
    <mergeCell ref="AW33:AW35"/>
    <mergeCell ref="BJ33:BJ35"/>
    <mergeCell ref="BK33:BK35"/>
    <mergeCell ref="BM37:BM39"/>
    <mergeCell ref="BG37:BG39"/>
    <mergeCell ref="BH37:BH39"/>
    <mergeCell ref="BI37:BI39"/>
    <mergeCell ref="BJ37:BJ39"/>
    <mergeCell ref="BK37:BK39"/>
    <mergeCell ref="BL37:BL39"/>
    <mergeCell ref="BA37:BA39"/>
    <mergeCell ref="BB37:BB39"/>
    <mergeCell ref="BC37:BC39"/>
    <mergeCell ref="BD37:BD39"/>
    <mergeCell ref="BE37:BE39"/>
    <mergeCell ref="BF37:BF39"/>
    <mergeCell ref="AO37:AO40"/>
    <mergeCell ref="AN37:AN40"/>
    <mergeCell ref="AM37:AM40"/>
    <mergeCell ref="AL37:AL40"/>
    <mergeCell ref="AP45:AP47"/>
    <mergeCell ref="AS45:AS47"/>
    <mergeCell ref="AT45:AT47"/>
    <mergeCell ref="AO45:AO48"/>
    <mergeCell ref="AN45:AN48"/>
    <mergeCell ref="AM45:AM48"/>
    <mergeCell ref="AL45:AL48"/>
    <mergeCell ref="BJ41:BJ43"/>
    <mergeCell ref="BK41:BK43"/>
    <mergeCell ref="BL41:BL43"/>
    <mergeCell ref="BJ49:BJ51"/>
    <mergeCell ref="BK49:BK51"/>
    <mergeCell ref="BL49:BL51"/>
    <mergeCell ref="BD45:BD47"/>
    <mergeCell ref="BE45:BE47"/>
    <mergeCell ref="BF45:BF47"/>
    <mergeCell ref="AU45:AU47"/>
    <mergeCell ref="AV45:AV47"/>
    <mergeCell ref="AW45:AW47"/>
    <mergeCell ref="AX45:AX47"/>
    <mergeCell ref="AY45:AY47"/>
    <mergeCell ref="AZ45:AZ47"/>
    <mergeCell ref="BI49:BI51"/>
    <mergeCell ref="AX49:AX51"/>
    <mergeCell ref="AY49:AY51"/>
    <mergeCell ref="AZ49:AZ51"/>
    <mergeCell ref="BM49:BM51"/>
    <mergeCell ref="BA49:BA51"/>
    <mergeCell ref="BB49:BB51"/>
    <mergeCell ref="BC49:BC51"/>
    <mergeCell ref="BE49:BE51"/>
    <mergeCell ref="BF49:BF51"/>
    <mergeCell ref="BG49:BG51"/>
    <mergeCell ref="BH49:BH51"/>
    <mergeCell ref="BM41:BM43"/>
    <mergeCell ref="BD41:BD43"/>
    <mergeCell ref="BE41:BE43"/>
    <mergeCell ref="BF41:BF43"/>
    <mergeCell ref="BG41:BG43"/>
    <mergeCell ref="BH41:BH43"/>
    <mergeCell ref="BI41:BI43"/>
    <mergeCell ref="AX41:AX43"/>
    <mergeCell ref="AY41:AY43"/>
    <mergeCell ref="AZ41:AZ43"/>
    <mergeCell ref="BA41:BA43"/>
    <mergeCell ref="BB41:BB43"/>
    <mergeCell ref="AV41:AV43"/>
    <mergeCell ref="AW41:AW43"/>
    <mergeCell ref="BM45:BM47"/>
    <mergeCell ref="BG45:BG47"/>
    <mergeCell ref="BH45:BH47"/>
    <mergeCell ref="BI45:BI47"/>
    <mergeCell ref="BJ45:BJ47"/>
    <mergeCell ref="BK45:BK47"/>
    <mergeCell ref="BL45:BL47"/>
    <mergeCell ref="BA45:BA47"/>
    <mergeCell ref="BB45:BB47"/>
    <mergeCell ref="BC45:BC47"/>
    <mergeCell ref="AP49:AP51"/>
    <mergeCell ref="AS49:AS51"/>
    <mergeCell ref="AT49:AT51"/>
    <mergeCell ref="AU49:AU51"/>
    <mergeCell ref="AV49:AV51"/>
    <mergeCell ref="AW49:AW51"/>
    <mergeCell ref="BD49:BD51"/>
    <mergeCell ref="AO49:AO52"/>
    <mergeCell ref="AN49:AN52"/>
    <mergeCell ref="AM49:AM52"/>
    <mergeCell ref="H53:H56"/>
    <mergeCell ref="I53:I56"/>
    <mergeCell ref="J53:J56"/>
    <mergeCell ref="K53:K56"/>
    <mergeCell ref="L53:L56"/>
    <mergeCell ref="V53:V56"/>
    <mergeCell ref="W53:W56"/>
    <mergeCell ref="T53:T56"/>
    <mergeCell ref="AP53:AP55"/>
    <mergeCell ref="AT53:AT55"/>
    <mergeCell ref="AL53:AL56"/>
    <mergeCell ref="AL49:AL52"/>
    <mergeCell ref="V49:V52"/>
    <mergeCell ref="W49:W52"/>
    <mergeCell ref="BB53:BB55"/>
    <mergeCell ref="AM53:AM56"/>
    <mergeCell ref="AN53:AN56"/>
    <mergeCell ref="AN57:AN60"/>
    <mergeCell ref="AO57:AO60"/>
    <mergeCell ref="AY53:AY55"/>
    <mergeCell ref="AZ53:AZ55"/>
    <mergeCell ref="AS57:AS59"/>
    <mergeCell ref="AT57:AT59"/>
    <mergeCell ref="M53:M56"/>
    <mergeCell ref="AM57:AM60"/>
    <mergeCell ref="O57:O60"/>
    <mergeCell ref="P57:P60"/>
    <mergeCell ref="AV57:AV59"/>
    <mergeCell ref="AW57:AW59"/>
    <mergeCell ref="AX57:AX59"/>
    <mergeCell ref="AY57:AY59"/>
    <mergeCell ref="AZ57:AZ59"/>
    <mergeCell ref="O53:O56"/>
    <mergeCell ref="Q53:Q56"/>
    <mergeCell ref="AL57:AL60"/>
    <mergeCell ref="AM66:AM74"/>
    <mergeCell ref="AN66:AN74"/>
    <mergeCell ref="AO66:AO74"/>
    <mergeCell ref="BD66:BD71"/>
    <mergeCell ref="G57:G60"/>
    <mergeCell ref="W61:W65"/>
    <mergeCell ref="AL61:AL65"/>
    <mergeCell ref="S61:S65"/>
    <mergeCell ref="U57:U59"/>
    <mergeCell ref="V57:V59"/>
    <mergeCell ref="BM53:BM55"/>
    <mergeCell ref="BG53:BG55"/>
    <mergeCell ref="BH53:BH55"/>
    <mergeCell ref="BI53:BI55"/>
    <mergeCell ref="BJ53:BJ55"/>
    <mergeCell ref="BK53:BK55"/>
    <mergeCell ref="BL53:BL55"/>
    <mergeCell ref="BA53:BA55"/>
    <mergeCell ref="BC53:BC55"/>
    <mergeCell ref="BD53:BD55"/>
    <mergeCell ref="BE53:BE55"/>
    <mergeCell ref="BF53:BF55"/>
    <mergeCell ref="AU53:AU55"/>
    <mergeCell ref="AV53:AV55"/>
    <mergeCell ref="AW53:AW55"/>
    <mergeCell ref="AX53:AX55"/>
    <mergeCell ref="T57:T59"/>
    <mergeCell ref="BM57:BM59"/>
    <mergeCell ref="W57:W60"/>
    <mergeCell ref="AS53:AS55"/>
    <mergeCell ref="AO53:AO56"/>
    <mergeCell ref="BD57:BD59"/>
    <mergeCell ref="D61:D65"/>
    <mergeCell ref="E61:E65"/>
    <mergeCell ref="F61:F65"/>
    <mergeCell ref="Q57:Q60"/>
    <mergeCell ref="R57:R60"/>
    <mergeCell ref="S57:S60"/>
    <mergeCell ref="M61:M65"/>
    <mergeCell ref="K57:K60"/>
    <mergeCell ref="L57:L60"/>
    <mergeCell ref="AP61:AP64"/>
    <mergeCell ref="AS61:AS64"/>
    <mergeCell ref="D57:D60"/>
    <mergeCell ref="E57:E60"/>
    <mergeCell ref="F57:F60"/>
    <mergeCell ref="N61:N65"/>
    <mergeCell ref="O61:O65"/>
    <mergeCell ref="P61:P65"/>
    <mergeCell ref="Q61:Q65"/>
    <mergeCell ref="AN61:AN65"/>
    <mergeCell ref="M57:M60"/>
    <mergeCell ref="N57:N60"/>
    <mergeCell ref="AP57:AP59"/>
    <mergeCell ref="AM61:AM65"/>
    <mergeCell ref="K61:K65"/>
    <mergeCell ref="L61:L65"/>
    <mergeCell ref="AO61:AO65"/>
    <mergeCell ref="V61:V65"/>
    <mergeCell ref="BG57:BG59"/>
    <mergeCell ref="BH57:BH59"/>
    <mergeCell ref="BI57:BI59"/>
    <mergeCell ref="BJ57:BJ59"/>
    <mergeCell ref="BK57:BK59"/>
    <mergeCell ref="BL57:BL59"/>
    <mergeCell ref="BA57:BA59"/>
    <mergeCell ref="BB57:BB59"/>
    <mergeCell ref="BJ61:BJ64"/>
    <mergeCell ref="BK61:BK64"/>
    <mergeCell ref="BL61:BL64"/>
    <mergeCell ref="BE57:BE59"/>
    <mergeCell ref="BF57:BF59"/>
    <mergeCell ref="BF61:BF64"/>
    <mergeCell ref="AT61:AT64"/>
    <mergeCell ref="AU61:AU64"/>
    <mergeCell ref="BD61:BD64"/>
    <mergeCell ref="BC57:BC59"/>
    <mergeCell ref="BB61:BB64"/>
    <mergeCell ref="BE61:BE64"/>
    <mergeCell ref="AU57:AU59"/>
    <mergeCell ref="BC61:BC64"/>
    <mergeCell ref="AV61:AV64"/>
    <mergeCell ref="AW61:AW64"/>
    <mergeCell ref="BG61:BG64"/>
    <mergeCell ref="BH61:BH64"/>
    <mergeCell ref="BI61:BI64"/>
    <mergeCell ref="AX61:AX64"/>
    <mergeCell ref="AY61:AY64"/>
    <mergeCell ref="AZ61:AZ64"/>
    <mergeCell ref="BA61:BA64"/>
    <mergeCell ref="BC75:BC77"/>
    <mergeCell ref="BD75:BD77"/>
    <mergeCell ref="BE75:BE77"/>
    <mergeCell ref="BF75:BF77"/>
    <mergeCell ref="AU75:AU77"/>
    <mergeCell ref="AV75:AV77"/>
    <mergeCell ref="AY66:AY71"/>
    <mergeCell ref="AZ66:AZ71"/>
    <mergeCell ref="BM61:BM64"/>
    <mergeCell ref="AV66:AV71"/>
    <mergeCell ref="AW66:AW71"/>
    <mergeCell ref="AX66:AX71"/>
    <mergeCell ref="BM66:BM71"/>
    <mergeCell ref="BG66:BG71"/>
    <mergeCell ref="BH66:BH71"/>
    <mergeCell ref="BI66:BI71"/>
    <mergeCell ref="BJ66:BJ71"/>
    <mergeCell ref="BK66:BK71"/>
    <mergeCell ref="BL66:BL71"/>
    <mergeCell ref="BA66:BA71"/>
    <mergeCell ref="BB66:BB71"/>
    <mergeCell ref="BM75:BM77"/>
    <mergeCell ref="BB75:BB77"/>
    <mergeCell ref="AW75:AW77"/>
    <mergeCell ref="BG75:BG77"/>
    <mergeCell ref="BH75:BH77"/>
    <mergeCell ref="BI75:BI77"/>
    <mergeCell ref="BJ75:BJ77"/>
    <mergeCell ref="BK75:BK77"/>
    <mergeCell ref="BL75:BL77"/>
    <mergeCell ref="BC66:BC71"/>
    <mergeCell ref="BE66:BE71"/>
    <mergeCell ref="BF66:BF71"/>
    <mergeCell ref="AP79:AP80"/>
    <mergeCell ref="AS79:AS80"/>
    <mergeCell ref="AT79:AT80"/>
    <mergeCell ref="AU79:AU80"/>
    <mergeCell ref="AY79:AY80"/>
    <mergeCell ref="AZ79:AZ80"/>
    <mergeCell ref="AZ75:AZ77"/>
    <mergeCell ref="AP75:AP77"/>
    <mergeCell ref="AS75:AS77"/>
    <mergeCell ref="AT75:AT77"/>
    <mergeCell ref="AU66:AU71"/>
    <mergeCell ref="AM79:AM81"/>
    <mergeCell ref="BA75:BA77"/>
    <mergeCell ref="AN79:AN81"/>
    <mergeCell ref="AO79:AO81"/>
    <mergeCell ref="S79:S81"/>
    <mergeCell ref="T79:T81"/>
    <mergeCell ref="P75:P78"/>
    <mergeCell ref="Q75:Q78"/>
    <mergeCell ref="AM75:AM78"/>
    <mergeCell ref="AN75:AN78"/>
    <mergeCell ref="Q79:Q81"/>
    <mergeCell ref="R79:R81"/>
    <mergeCell ref="AO75:AO78"/>
    <mergeCell ref="V75:V78"/>
    <mergeCell ref="W75:W78"/>
    <mergeCell ref="AL75:AL78"/>
    <mergeCell ref="R75:R78"/>
    <mergeCell ref="U79:U81"/>
    <mergeCell ref="AX75:AX77"/>
    <mergeCell ref="AY75:AY77"/>
    <mergeCell ref="BM79:BM80"/>
    <mergeCell ref="BF79:BF80"/>
    <mergeCell ref="BG79:BG80"/>
    <mergeCell ref="BH79:BH80"/>
    <mergeCell ref="BI79:BI80"/>
    <mergeCell ref="AX79:AX80"/>
    <mergeCell ref="BJ82:BJ84"/>
    <mergeCell ref="BK82:BK84"/>
    <mergeCell ref="BL82:BL84"/>
    <mergeCell ref="BA82:BA84"/>
    <mergeCell ref="BB82:BB84"/>
    <mergeCell ref="BJ79:BJ80"/>
    <mergeCell ref="BD82:BD84"/>
    <mergeCell ref="BE82:BE84"/>
    <mergeCell ref="BF82:BF84"/>
    <mergeCell ref="AU82:AU84"/>
    <mergeCell ref="BK79:BK80"/>
    <mergeCell ref="BL79:BL80"/>
    <mergeCell ref="AV79:AV80"/>
    <mergeCell ref="AW79:AW80"/>
    <mergeCell ref="BE79:BE80"/>
    <mergeCell ref="BD79:BD80"/>
    <mergeCell ref="BG82:BG84"/>
    <mergeCell ref="BH82:BH84"/>
    <mergeCell ref="BI82:BI84"/>
    <mergeCell ref="AV82:AV84"/>
    <mergeCell ref="AY82:AY84"/>
    <mergeCell ref="AZ82:AZ84"/>
    <mergeCell ref="BA79:BA80"/>
    <mergeCell ref="BB79:BB80"/>
    <mergeCell ref="BC79:BC80"/>
    <mergeCell ref="AW82:AW84"/>
    <mergeCell ref="AM82:AM85"/>
    <mergeCell ref="AN82:AN85"/>
    <mergeCell ref="BM82:BM84"/>
    <mergeCell ref="R82:R85"/>
    <mergeCell ref="BM90:BM91"/>
    <mergeCell ref="Q86:Q89"/>
    <mergeCell ref="R86:R89"/>
    <mergeCell ref="W90:W92"/>
    <mergeCell ref="W86:W89"/>
    <mergeCell ref="O86:O89"/>
    <mergeCell ref="P86:P89"/>
    <mergeCell ref="S86:S89"/>
    <mergeCell ref="V86:V88"/>
    <mergeCell ref="X86:X88"/>
    <mergeCell ref="AI86:AI88"/>
    <mergeCell ref="AO86:AO89"/>
    <mergeCell ref="AM86:AM89"/>
    <mergeCell ref="AN86:AN89"/>
    <mergeCell ref="R90:R92"/>
    <mergeCell ref="AJ86:AJ88"/>
    <mergeCell ref="AK86:AK88"/>
    <mergeCell ref="T86:T88"/>
    <mergeCell ref="U86:U88"/>
    <mergeCell ref="AO82:AO85"/>
    <mergeCell ref="BC82:BC84"/>
    <mergeCell ref="BI90:BI91"/>
    <mergeCell ref="BJ90:BJ91"/>
    <mergeCell ref="BK90:BK91"/>
    <mergeCell ref="BL90:BL91"/>
    <mergeCell ref="BA90:BA91"/>
    <mergeCell ref="AM90:AM92"/>
    <mergeCell ref="AN90:AN92"/>
    <mergeCell ref="AO90:AO92"/>
    <mergeCell ref="AP90:AP91"/>
    <mergeCell ref="A90:A92"/>
    <mergeCell ref="B90:B92"/>
    <mergeCell ref="C90:C92"/>
    <mergeCell ref="D90:D92"/>
    <mergeCell ref="E90:E92"/>
    <mergeCell ref="F90:F92"/>
    <mergeCell ref="AS90:AS91"/>
    <mergeCell ref="AT90:AT91"/>
    <mergeCell ref="S90:S92"/>
    <mergeCell ref="T90:T92"/>
    <mergeCell ref="U90:U92"/>
    <mergeCell ref="V90:V92"/>
    <mergeCell ref="AL90:AL92"/>
    <mergeCell ref="BG90:BG91"/>
    <mergeCell ref="BH90:BH91"/>
    <mergeCell ref="AY90:AY91"/>
    <mergeCell ref="AZ90:AZ91"/>
    <mergeCell ref="BB90:BB91"/>
    <mergeCell ref="BC90:BC91"/>
    <mergeCell ref="BD90:BD91"/>
    <mergeCell ref="BE90:BE91"/>
    <mergeCell ref="O90:O92"/>
    <mergeCell ref="P90:P92"/>
    <mergeCell ref="Q90:Q92"/>
    <mergeCell ref="L90:L92"/>
    <mergeCell ref="N90:N92"/>
    <mergeCell ref="I90:I92"/>
    <mergeCell ref="AN93:AN96"/>
    <mergeCell ref="BE97:BE98"/>
    <mergeCell ref="BF97:BF98"/>
    <mergeCell ref="BG97:BG98"/>
    <mergeCell ref="BH97:BH98"/>
    <mergeCell ref="AL97:AL100"/>
    <mergeCell ref="X97:X99"/>
    <mergeCell ref="AP97:AP99"/>
    <mergeCell ref="A93:A96"/>
    <mergeCell ref="B93:B96"/>
    <mergeCell ref="C93:C96"/>
    <mergeCell ref="D93:D96"/>
    <mergeCell ref="E93:E96"/>
    <mergeCell ref="F93:F96"/>
    <mergeCell ref="G93:G96"/>
    <mergeCell ref="H93:H96"/>
    <mergeCell ref="I93:I96"/>
    <mergeCell ref="R93:R96"/>
    <mergeCell ref="S93:S96"/>
    <mergeCell ref="T93:T96"/>
    <mergeCell ref="U93:U96"/>
    <mergeCell ref="S97:S100"/>
    <mergeCell ref="BA97:BA98"/>
    <mergeCell ref="BB97:BB98"/>
    <mergeCell ref="BC97:BC98"/>
    <mergeCell ref="BD97:BD98"/>
    <mergeCell ref="AS97:AS98"/>
    <mergeCell ref="AT97:AT98"/>
    <mergeCell ref="AX97:AX98"/>
    <mergeCell ref="Q93:Q96"/>
    <mergeCell ref="A97:A100"/>
    <mergeCell ref="B97:B100"/>
    <mergeCell ref="AS101:AS109"/>
    <mergeCell ref="BG101:BG102"/>
    <mergeCell ref="BH101:BH105"/>
    <mergeCell ref="BI101:BI109"/>
    <mergeCell ref="AX101:AX109"/>
    <mergeCell ref="BD101:BD102"/>
    <mergeCell ref="BE101:BE102"/>
    <mergeCell ref="BF101:BF102"/>
    <mergeCell ref="AT101:AT109"/>
    <mergeCell ref="AU101:AU109"/>
    <mergeCell ref="AV101:AV109"/>
    <mergeCell ref="AW101:AW109"/>
    <mergeCell ref="AL86:AL89"/>
    <mergeCell ref="BF90:BF91"/>
    <mergeCell ref="AU90:AU91"/>
    <mergeCell ref="AV90:AV91"/>
    <mergeCell ref="AW90:AW91"/>
    <mergeCell ref="AX90:AX91"/>
    <mergeCell ref="AO93:AO96"/>
    <mergeCell ref="AP93:AP95"/>
    <mergeCell ref="AS93:AS95"/>
    <mergeCell ref="AT93:AT95"/>
    <mergeCell ref="AU93:AU95"/>
    <mergeCell ref="AV93:AV95"/>
    <mergeCell ref="AO101:AO111"/>
    <mergeCell ref="AL101:AL111"/>
    <mergeCell ref="AM101:AM111"/>
    <mergeCell ref="AP101:AP109"/>
    <mergeCell ref="AM93:AM96"/>
    <mergeCell ref="AM97:AM100"/>
    <mergeCell ref="AN97:AN100"/>
    <mergeCell ref="AQ98:AQ99"/>
    <mergeCell ref="AX82:AX84"/>
    <mergeCell ref="AO97:AO100"/>
    <mergeCell ref="AP82:AP84"/>
    <mergeCell ref="AS82:AS84"/>
    <mergeCell ref="AT82:AT84"/>
    <mergeCell ref="AU97:AU98"/>
    <mergeCell ref="AV97:AV98"/>
    <mergeCell ref="AY97:AY98"/>
    <mergeCell ref="AZ97:AZ98"/>
    <mergeCell ref="BJ101:BJ109"/>
    <mergeCell ref="AY101:AY109"/>
    <mergeCell ref="AZ101:AZ109"/>
    <mergeCell ref="BA101:BA109"/>
    <mergeCell ref="BB101:BB109"/>
    <mergeCell ref="BC101:BC109"/>
    <mergeCell ref="BM93:BM95"/>
    <mergeCell ref="BC93:BC95"/>
    <mergeCell ref="BD93:BD95"/>
    <mergeCell ref="BE93:BE95"/>
    <mergeCell ref="BF93:BF95"/>
    <mergeCell ref="BG93:BG95"/>
    <mergeCell ref="BH93:BH95"/>
    <mergeCell ref="AW93:AW95"/>
    <mergeCell ref="AX93:AX95"/>
    <mergeCell ref="AY93:AY95"/>
    <mergeCell ref="AZ93:AZ95"/>
    <mergeCell ref="BA93:BA95"/>
    <mergeCell ref="BB93:BB95"/>
    <mergeCell ref="AW97:AW98"/>
    <mergeCell ref="BM97:BM98"/>
    <mergeCell ref="BI93:BI95"/>
    <mergeCell ref="BJ93:BJ95"/>
    <mergeCell ref="BK93:BK95"/>
    <mergeCell ref="BL93:BL95"/>
    <mergeCell ref="BK97:BK98"/>
    <mergeCell ref="BL97:BL98"/>
    <mergeCell ref="BI97:BI98"/>
    <mergeCell ref="BJ97:BJ98"/>
    <mergeCell ref="W101:W111"/>
    <mergeCell ref="P101:P111"/>
    <mergeCell ref="Q101:Q111"/>
    <mergeCell ref="W123:W134"/>
    <mergeCell ref="AL123:AL134"/>
    <mergeCell ref="AM123:AM134"/>
    <mergeCell ref="AN123:AN134"/>
    <mergeCell ref="R123:R134"/>
    <mergeCell ref="S123:S134"/>
    <mergeCell ref="S101:S111"/>
    <mergeCell ref="T101:T111"/>
    <mergeCell ref="U101:U111"/>
    <mergeCell ref="AN101:AN111"/>
    <mergeCell ref="V123:V132"/>
    <mergeCell ref="AE123:AE124"/>
    <mergeCell ref="AG123:AG124"/>
    <mergeCell ref="AH123:AH124"/>
    <mergeCell ref="T112:T122"/>
    <mergeCell ref="U112:U122"/>
    <mergeCell ref="S112:S122"/>
    <mergeCell ref="AL112:AL122"/>
    <mergeCell ref="T123:T132"/>
    <mergeCell ref="U123:U132"/>
    <mergeCell ref="Q112:Q122"/>
    <mergeCell ref="R112:R122"/>
    <mergeCell ref="BK123:BK124"/>
    <mergeCell ref="BL123:BL124"/>
    <mergeCell ref="BJ112:BJ119"/>
    <mergeCell ref="BI112:BI119"/>
    <mergeCell ref="BM123:BM124"/>
    <mergeCell ref="M125:M131"/>
    <mergeCell ref="BC123:BC126"/>
    <mergeCell ref="BD123:BD124"/>
    <mergeCell ref="BE123:BE124"/>
    <mergeCell ref="BF123:BF124"/>
    <mergeCell ref="BG123:BG124"/>
    <mergeCell ref="BH123:BH124"/>
    <mergeCell ref="AW123:AW124"/>
    <mergeCell ref="AX123:AX124"/>
    <mergeCell ref="AY123:AY124"/>
    <mergeCell ref="AZ123:AZ124"/>
    <mergeCell ref="BA123:BA124"/>
    <mergeCell ref="BB123:BB126"/>
    <mergeCell ref="AP123:AP124"/>
    <mergeCell ref="AS123:AS124"/>
    <mergeCell ref="AT123:AT124"/>
    <mergeCell ref="AU123:AU124"/>
    <mergeCell ref="AV123:AV124"/>
    <mergeCell ref="AF123:AF124"/>
    <mergeCell ref="AI130:AI131"/>
    <mergeCell ref="AJ130:AJ131"/>
    <mergeCell ref="BI123:BI130"/>
    <mergeCell ref="BJ123:BJ130"/>
    <mergeCell ref="AK130:AK131"/>
    <mergeCell ref="AO123:AO134"/>
    <mergeCell ref="N123:N134"/>
    <mergeCell ref="O123:O134"/>
    <mergeCell ref="Q123:Q134"/>
    <mergeCell ref="BL160:BL164"/>
    <mergeCell ref="BM160:BM164"/>
    <mergeCell ref="AL135:AL145"/>
    <mergeCell ref="AW135:AW142"/>
    <mergeCell ref="AO135:AO144"/>
    <mergeCell ref="G135:G144"/>
    <mergeCell ref="AM135:AM145"/>
    <mergeCell ref="AN135:AN145"/>
    <mergeCell ref="W135:W145"/>
    <mergeCell ref="V135:V145"/>
    <mergeCell ref="U135:U145"/>
    <mergeCell ref="T135:T145"/>
    <mergeCell ref="S135:S145"/>
    <mergeCell ref="R135:R145"/>
    <mergeCell ref="Q135:Q145"/>
    <mergeCell ref="P135:P145"/>
    <mergeCell ref="O135:O145"/>
    <mergeCell ref="N135:N145"/>
    <mergeCell ref="M135:M145"/>
    <mergeCell ref="BL135:BL139"/>
    <mergeCell ref="BM135:BM139"/>
    <mergeCell ref="BF135:BF139"/>
    <mergeCell ref="BG135:BG139"/>
    <mergeCell ref="BH135:BH139"/>
    <mergeCell ref="BI135:BI144"/>
    <mergeCell ref="BJ135:BJ144"/>
    <mergeCell ref="BD160:BD164"/>
    <mergeCell ref="BE160:BE164"/>
    <mergeCell ref="BK135:BK139"/>
    <mergeCell ref="AX135:AX142"/>
    <mergeCell ref="BJ160:BJ164"/>
    <mergeCell ref="BB135:BB142"/>
    <mergeCell ref="BC135:BC142"/>
    <mergeCell ref="AP135:AP142"/>
    <mergeCell ref="AS135:AS142"/>
    <mergeCell ref="AT135:AT142"/>
    <mergeCell ref="AU135:AU142"/>
    <mergeCell ref="AV135:AV142"/>
    <mergeCell ref="AU160:AU164"/>
    <mergeCell ref="AV160:AV164"/>
    <mergeCell ref="AW160:AW164"/>
    <mergeCell ref="AY135:AY142"/>
    <mergeCell ref="AZ135:AZ142"/>
    <mergeCell ref="BA135:BA142"/>
    <mergeCell ref="AM155:AM159"/>
    <mergeCell ref="AN155:AN159"/>
    <mergeCell ref="AO155:AO159"/>
    <mergeCell ref="BK160:BK164"/>
    <mergeCell ref="AO174:AO175"/>
    <mergeCell ref="AM166:AM173"/>
    <mergeCell ref="AN166:AN173"/>
    <mergeCell ref="AO166:AO173"/>
    <mergeCell ref="BH166:BH171"/>
    <mergeCell ref="BI166:BI173"/>
    <mergeCell ref="BJ166:BJ173"/>
    <mergeCell ref="BF160:BF164"/>
    <mergeCell ref="BG160:BG164"/>
    <mergeCell ref="BH160:BH164"/>
    <mergeCell ref="BI160:BI164"/>
    <mergeCell ref="AX160:AX164"/>
    <mergeCell ref="AY160:AY164"/>
    <mergeCell ref="AZ160:AZ164"/>
    <mergeCell ref="BA160:BA164"/>
    <mergeCell ref="BB160:BB164"/>
    <mergeCell ref="BC160:BC164"/>
    <mergeCell ref="AP160:AP164"/>
    <mergeCell ref="AS160:AS164"/>
    <mergeCell ref="AT160:AT164"/>
    <mergeCell ref="AO178:AO180"/>
    <mergeCell ref="A176:A177"/>
    <mergeCell ref="B176:B177"/>
    <mergeCell ref="C176:C177"/>
    <mergeCell ref="D176:D177"/>
    <mergeCell ref="AL176:AL177"/>
    <mergeCell ref="Q176:Q177"/>
    <mergeCell ref="AM178:AM180"/>
    <mergeCell ref="AN178:AN180"/>
    <mergeCell ref="T178:T180"/>
    <mergeCell ref="U178:U180"/>
    <mergeCell ref="V178:V180"/>
    <mergeCell ref="W178:W180"/>
    <mergeCell ref="R176:R177"/>
    <mergeCell ref="AN160:AN165"/>
    <mergeCell ref="D166:D173"/>
    <mergeCell ref="G174:G175"/>
    <mergeCell ref="S166:S173"/>
    <mergeCell ref="O174:O175"/>
    <mergeCell ref="G160:G165"/>
    <mergeCell ref="H160:H165"/>
    <mergeCell ref="L176:L177"/>
    <mergeCell ref="M178:M180"/>
    <mergeCell ref="E176:E177"/>
    <mergeCell ref="F176:F177"/>
    <mergeCell ref="I174:I175"/>
    <mergeCell ref="J174:J175"/>
    <mergeCell ref="K174:K175"/>
    <mergeCell ref="BL166:BL171"/>
    <mergeCell ref="BM166:BM171"/>
    <mergeCell ref="AX166:AX171"/>
    <mergeCell ref="AY166:AY171"/>
    <mergeCell ref="AZ166:AZ171"/>
    <mergeCell ref="BA166:BA171"/>
    <mergeCell ref="BB166:BB171"/>
    <mergeCell ref="BC166:BC171"/>
    <mergeCell ref="AP166:AP171"/>
    <mergeCell ref="AS166:AS171"/>
    <mergeCell ref="AT166:AT171"/>
    <mergeCell ref="AU166:AU171"/>
    <mergeCell ref="AV166:AV171"/>
    <mergeCell ref="AW166:AW171"/>
    <mergeCell ref="AL174:AL175"/>
    <mergeCell ref="AM174:AM175"/>
    <mergeCell ref="AN174:AN175"/>
    <mergeCell ref="AL166:AL173"/>
    <mergeCell ref="M176:M177"/>
    <mergeCell ref="N176:N177"/>
    <mergeCell ref="O176:O177"/>
    <mergeCell ref="P176:P177"/>
    <mergeCell ref="H176:H177"/>
    <mergeCell ref="I176:I177"/>
    <mergeCell ref="J176:J177"/>
    <mergeCell ref="O178:O180"/>
    <mergeCell ref="R178:R180"/>
    <mergeCell ref="AM176:AM177"/>
    <mergeCell ref="AL178:AL180"/>
    <mergeCell ref="Q178:Q180"/>
    <mergeCell ref="J178:J180"/>
    <mergeCell ref="L178:L180"/>
    <mergeCell ref="I178:I180"/>
    <mergeCell ref="H178:H180"/>
    <mergeCell ref="BK166:BK171"/>
    <mergeCell ref="P174:P175"/>
    <mergeCell ref="W174:W175"/>
    <mergeCell ref="BM199:BM201"/>
    <mergeCell ref="BE202:BE205"/>
    <mergeCell ref="BF202:BF205"/>
    <mergeCell ref="BG202:BG205"/>
    <mergeCell ref="BH202:BH205"/>
    <mergeCell ref="BI202:BI205"/>
    <mergeCell ref="BJ202:BJ205"/>
    <mergeCell ref="BK202:BK205"/>
    <mergeCell ref="BL202:BL205"/>
    <mergeCell ref="AM202:AM205"/>
    <mergeCell ref="BK192:BK194"/>
    <mergeCell ref="S176:S177"/>
    <mergeCell ref="T176:T177"/>
    <mergeCell ref="U176:U177"/>
    <mergeCell ref="V176:V177"/>
    <mergeCell ref="W176:W177"/>
    <mergeCell ref="X176:X177"/>
    <mergeCell ref="BM202:BM205"/>
    <mergeCell ref="AP199:AP201"/>
    <mergeCell ref="AQ199:AQ201"/>
    <mergeCell ref="AR199:AR201"/>
    <mergeCell ref="AS199:AS201"/>
    <mergeCell ref="AT199:AT201"/>
    <mergeCell ref="AU199:AU201"/>
    <mergeCell ref="AW199:AW201"/>
    <mergeCell ref="AV199:AV201"/>
    <mergeCell ref="AX199:AX201"/>
    <mergeCell ref="AY199:AY201"/>
    <mergeCell ref="BB202:BB205"/>
    <mergeCell ref="BC202:BC205"/>
    <mergeCell ref="BD202:BD205"/>
    <mergeCell ref="AS202:AS205"/>
    <mergeCell ref="BM188:BM190"/>
    <mergeCell ref="BG188:BG190"/>
    <mergeCell ref="BH188:BH190"/>
    <mergeCell ref="BI188:BI190"/>
    <mergeCell ref="BJ188:BJ190"/>
    <mergeCell ref="BK188:BK190"/>
    <mergeCell ref="BL188:BL190"/>
    <mergeCell ref="BA188:BA190"/>
    <mergeCell ref="BB188:BB190"/>
    <mergeCell ref="BC188:BC190"/>
    <mergeCell ref="BD188:BD190"/>
    <mergeCell ref="BE188:BE190"/>
    <mergeCell ref="BF188:BF190"/>
    <mergeCell ref="AU188:AU190"/>
    <mergeCell ref="AV188:AV190"/>
    <mergeCell ref="AW188:AW190"/>
    <mergeCell ref="AX188:AX190"/>
    <mergeCell ref="AY188:AY190"/>
    <mergeCell ref="AZ188:AZ190"/>
    <mergeCell ref="S202:S205"/>
    <mergeCell ref="AO202:AO205"/>
    <mergeCell ref="AO192:AO198"/>
    <mergeCell ref="AL199:AL201"/>
    <mergeCell ref="AM199:AM201"/>
    <mergeCell ref="AN199:AN201"/>
    <mergeCell ref="AO199:AO201"/>
    <mergeCell ref="U202:U205"/>
    <mergeCell ref="V202:V205"/>
    <mergeCell ref="T202:T205"/>
    <mergeCell ref="T192:T197"/>
    <mergeCell ref="AX192:AX194"/>
    <mergeCell ref="AS188:AS190"/>
    <mergeCell ref="AT188:AT190"/>
    <mergeCell ref="T188:T191"/>
    <mergeCell ref="U188:U191"/>
    <mergeCell ref="V188:V191"/>
    <mergeCell ref="W188:W191"/>
    <mergeCell ref="AU192:AU194"/>
    <mergeCell ref="AM188:AM191"/>
    <mergeCell ref="AV202:AV205"/>
    <mergeCell ref="AU202:AU205"/>
    <mergeCell ref="R188:R191"/>
    <mergeCell ref="X188:X191"/>
    <mergeCell ref="S188:S191"/>
    <mergeCell ref="AL188:AL191"/>
    <mergeCell ref="R202:R205"/>
    <mergeCell ref="AZ199:AZ201"/>
    <mergeCell ref="BC199:BC201"/>
    <mergeCell ref="BD199:BD201"/>
    <mergeCell ref="BE199:BE201"/>
    <mergeCell ref="BF199:BF201"/>
    <mergeCell ref="BG199:BG201"/>
    <mergeCell ref="BH199:BH201"/>
    <mergeCell ref="BI199:BI201"/>
    <mergeCell ref="V206:V208"/>
    <mergeCell ref="AO206:AO208"/>
    <mergeCell ref="AT192:AT194"/>
    <mergeCell ref="AN218:AN219"/>
    <mergeCell ref="U206:U208"/>
    <mergeCell ref="V211:V212"/>
    <mergeCell ref="AO211:AO212"/>
    <mergeCell ref="AL202:AL205"/>
    <mergeCell ref="AO188:AO191"/>
    <mergeCell ref="AP188:AP190"/>
    <mergeCell ref="AY202:AY205"/>
    <mergeCell ref="AZ202:AZ205"/>
    <mergeCell ref="AP192:AP194"/>
    <mergeCell ref="AQ192:AQ194"/>
    <mergeCell ref="AR192:AR194"/>
    <mergeCell ref="AS192:AS194"/>
    <mergeCell ref="AP202:AP205"/>
    <mergeCell ref="AQ202:AQ205"/>
    <mergeCell ref="AR202:AR205"/>
    <mergeCell ref="BM206:BM207"/>
    <mergeCell ref="BG206:BG207"/>
    <mergeCell ref="BH206:BH207"/>
    <mergeCell ref="BI206:BI207"/>
    <mergeCell ref="BJ206:BJ207"/>
    <mergeCell ref="BK206:BK207"/>
    <mergeCell ref="BL206:BL207"/>
    <mergeCell ref="BA206:BA207"/>
    <mergeCell ref="BB206:BB207"/>
    <mergeCell ref="BC206:BC207"/>
    <mergeCell ref="BD206:BD207"/>
    <mergeCell ref="BE206:BE207"/>
    <mergeCell ref="BF206:BF207"/>
    <mergeCell ref="AU206:AU207"/>
    <mergeCell ref="BJ223:BJ226"/>
    <mergeCell ref="AJ225:AJ228"/>
    <mergeCell ref="AO209:AO210"/>
    <mergeCell ref="AO223:AO229"/>
    <mergeCell ref="AO216:AO217"/>
    <mergeCell ref="BI223:BI226"/>
    <mergeCell ref="AS206:AS207"/>
    <mergeCell ref="AT206:AT207"/>
    <mergeCell ref="AV206:AV207"/>
    <mergeCell ref="AW206:AW207"/>
    <mergeCell ref="AX206:AX207"/>
    <mergeCell ref="AY206:AY207"/>
    <mergeCell ref="AL209:AL210"/>
    <mergeCell ref="AM220:AM221"/>
    <mergeCell ref="S211:S212"/>
    <mergeCell ref="T211:T212"/>
    <mergeCell ref="Q220:Q221"/>
    <mergeCell ref="Q206:Q208"/>
    <mergeCell ref="AO218:AO219"/>
    <mergeCell ref="AO552:AO560"/>
    <mergeCell ref="Q552:Q560"/>
    <mergeCell ref="R552:R560"/>
    <mergeCell ref="S552:S560"/>
    <mergeCell ref="T552:T560"/>
    <mergeCell ref="AM552:AM560"/>
    <mergeCell ref="AL552:AL560"/>
    <mergeCell ref="P211:P212"/>
    <mergeCell ref="AM209:AM210"/>
    <mergeCell ref="AN209:AN210"/>
    <mergeCell ref="AM218:AM219"/>
    <mergeCell ref="AN216:AN217"/>
    <mergeCell ref="U234:U235"/>
    <mergeCell ref="R206:R208"/>
    <mergeCell ref="S206:S208"/>
    <mergeCell ref="V242:V243"/>
    <mergeCell ref="Q209:Q210"/>
    <mergeCell ref="AL242:AL244"/>
    <mergeCell ref="S209:S210"/>
    <mergeCell ref="R308:R310"/>
    <mergeCell ref="Q308:Q310"/>
    <mergeCell ref="AN298:AN301"/>
    <mergeCell ref="S303:S307"/>
    <mergeCell ref="U271:U272"/>
    <mergeCell ref="W271:W272"/>
    <mergeCell ref="AL271:AL272"/>
    <mergeCell ref="AM271:AM272"/>
    <mergeCell ref="BL552:BL559"/>
    <mergeCell ref="BM552:BM559"/>
    <mergeCell ref="H559:H560"/>
    <mergeCell ref="I559:I560"/>
    <mergeCell ref="J559:J560"/>
    <mergeCell ref="BD552:BD559"/>
    <mergeCell ref="BE552:BE559"/>
    <mergeCell ref="BF552:BF559"/>
    <mergeCell ref="BG552:BG559"/>
    <mergeCell ref="BH552:BH559"/>
    <mergeCell ref="BI552:BI559"/>
    <mergeCell ref="AX552:AX559"/>
    <mergeCell ref="AY552:AY559"/>
    <mergeCell ref="AZ552:AZ559"/>
    <mergeCell ref="BA552:BA559"/>
    <mergeCell ref="BB552:BB559"/>
    <mergeCell ref="BC552:BC559"/>
    <mergeCell ref="AP552:AP559"/>
    <mergeCell ref="AS552:AS559"/>
    <mergeCell ref="AT552:AT559"/>
    <mergeCell ref="AU552:AU559"/>
    <mergeCell ref="AV552:AV559"/>
    <mergeCell ref="AW552:AW559"/>
    <mergeCell ref="AN552:AN560"/>
    <mergeCell ref="BJ552:BJ559"/>
    <mergeCell ref="W561:W568"/>
    <mergeCell ref="AB561:AB565"/>
    <mergeCell ref="AL561:AL568"/>
    <mergeCell ref="AM561:AM568"/>
    <mergeCell ref="AN561:AN568"/>
    <mergeCell ref="N561:N568"/>
    <mergeCell ref="O561:O568"/>
    <mergeCell ref="AN569:AN577"/>
    <mergeCell ref="AO569:AO577"/>
    <mergeCell ref="G202:G205"/>
    <mergeCell ref="AT202:AT205"/>
    <mergeCell ref="O290:O291"/>
    <mergeCell ref="S308:S310"/>
    <mergeCell ref="BI192:BI194"/>
    <mergeCell ref="BJ192:BJ194"/>
    <mergeCell ref="U242:U243"/>
    <mergeCell ref="BK552:BK559"/>
    <mergeCell ref="V192:V197"/>
    <mergeCell ref="T206:T208"/>
    <mergeCell ref="AW192:AW194"/>
    <mergeCell ref="AZ206:AZ207"/>
    <mergeCell ref="AP206:AP207"/>
    <mergeCell ref="AM242:AM244"/>
    <mergeCell ref="AN242:AN244"/>
    <mergeCell ref="AO242:AO244"/>
    <mergeCell ref="AN206:AN208"/>
    <mergeCell ref="W242:W244"/>
    <mergeCell ref="O206:O208"/>
    <mergeCell ref="P206:P208"/>
    <mergeCell ref="AK225:AK228"/>
    <mergeCell ref="Q211:Q212"/>
    <mergeCell ref="R211:R212"/>
    <mergeCell ref="BD561:BD568"/>
    <mergeCell ref="BE561:BE568"/>
    <mergeCell ref="BF561:BF568"/>
    <mergeCell ref="BG561:BG568"/>
    <mergeCell ref="BH561:BH568"/>
    <mergeCell ref="BI561:BI568"/>
    <mergeCell ref="AX561:AX568"/>
    <mergeCell ref="AY561:AY568"/>
    <mergeCell ref="AZ561:AZ568"/>
    <mergeCell ref="BA561:BA568"/>
    <mergeCell ref="BB561:BB568"/>
    <mergeCell ref="BC561:BC568"/>
    <mergeCell ref="AP561:AP568"/>
    <mergeCell ref="AS561:AS568"/>
    <mergeCell ref="AT561:AT568"/>
    <mergeCell ref="AU561:AU568"/>
    <mergeCell ref="AV561:AV568"/>
    <mergeCell ref="AW561:AW568"/>
    <mergeCell ref="AM569:AM577"/>
    <mergeCell ref="O569:O577"/>
    <mergeCell ref="P569:P577"/>
    <mergeCell ref="Q569:Q577"/>
    <mergeCell ref="R569:R577"/>
    <mergeCell ref="S567:S568"/>
    <mergeCell ref="BM578:BM584"/>
    <mergeCell ref="BI578:BI584"/>
    <mergeCell ref="BC578:BC584"/>
    <mergeCell ref="BD578:BD584"/>
    <mergeCell ref="BE578:BE584"/>
    <mergeCell ref="BF578:BF584"/>
    <mergeCell ref="BG578:BG584"/>
    <mergeCell ref="BH578:BH584"/>
    <mergeCell ref="AW578:AW584"/>
    <mergeCell ref="AX578:AX584"/>
    <mergeCell ref="AV578:AV584"/>
    <mergeCell ref="BJ561:BJ568"/>
    <mergeCell ref="AO561:AO568"/>
    <mergeCell ref="P561:P568"/>
    <mergeCell ref="Q561:Q568"/>
    <mergeCell ref="R561:R568"/>
    <mergeCell ref="T561:T568"/>
    <mergeCell ref="U561:U568"/>
    <mergeCell ref="V561:V568"/>
    <mergeCell ref="BH569:BH577"/>
    <mergeCell ref="BI569:BI577"/>
    <mergeCell ref="BK561:BK568"/>
    <mergeCell ref="BL561:BL568"/>
    <mergeCell ref="BM561:BM568"/>
    <mergeCell ref="W578:W584"/>
    <mergeCell ref="AB578:AB581"/>
    <mergeCell ref="AV585:AV590"/>
    <mergeCell ref="BJ569:BJ577"/>
    <mergeCell ref="BK569:BK577"/>
    <mergeCell ref="BI585:BI590"/>
    <mergeCell ref="AO578:AO584"/>
    <mergeCell ref="AP578:AP584"/>
    <mergeCell ref="AS578:AS584"/>
    <mergeCell ref="AT578:AT584"/>
    <mergeCell ref="AU578:AU584"/>
    <mergeCell ref="AY578:AY584"/>
    <mergeCell ref="AZ578:AZ584"/>
    <mergeCell ref="BA578:BA584"/>
    <mergeCell ref="BB578:BB584"/>
    <mergeCell ref="AZ585:AZ590"/>
    <mergeCell ref="BA585:BA590"/>
    <mergeCell ref="AP569:AP577"/>
    <mergeCell ref="AS569:AS577"/>
    <mergeCell ref="AT569:AT577"/>
    <mergeCell ref="AU569:AU577"/>
    <mergeCell ref="AW585:AW590"/>
    <mergeCell ref="AX585:AX590"/>
    <mergeCell ref="AY585:AY590"/>
    <mergeCell ref="AB569:AB572"/>
    <mergeCell ref="AL569:AL577"/>
    <mergeCell ref="BK591:BK596"/>
    <mergeCell ref="U591:U596"/>
    <mergeCell ref="BJ585:BJ590"/>
    <mergeCell ref="BK585:BK590"/>
    <mergeCell ref="BL569:BL577"/>
    <mergeCell ref="BM569:BM577"/>
    <mergeCell ref="BB569:BB577"/>
    <mergeCell ref="BC569:BC577"/>
    <mergeCell ref="BD569:BD577"/>
    <mergeCell ref="BE569:BE577"/>
    <mergeCell ref="BF569:BF577"/>
    <mergeCell ref="BG569:BG577"/>
    <mergeCell ref="AV569:AV577"/>
    <mergeCell ref="AW569:AW577"/>
    <mergeCell ref="AX569:AX577"/>
    <mergeCell ref="AY569:AY577"/>
    <mergeCell ref="AZ569:AZ577"/>
    <mergeCell ref="BA569:BA577"/>
    <mergeCell ref="BJ578:BJ584"/>
    <mergeCell ref="BK578:BK584"/>
    <mergeCell ref="BL578:BL584"/>
    <mergeCell ref="BL585:BL590"/>
    <mergeCell ref="BM585:BM590"/>
    <mergeCell ref="BB585:BB590"/>
    <mergeCell ref="BC585:BC590"/>
    <mergeCell ref="BD585:BD590"/>
    <mergeCell ref="BE585:BE590"/>
    <mergeCell ref="BF585:BF590"/>
    <mergeCell ref="BG585:BG590"/>
    <mergeCell ref="AS591:AS596"/>
    <mergeCell ref="AT591:AT596"/>
    <mergeCell ref="AU591:AU596"/>
    <mergeCell ref="AV591:AV596"/>
    <mergeCell ref="V591:V596"/>
    <mergeCell ref="W591:W596"/>
    <mergeCell ref="AB591:AB593"/>
    <mergeCell ref="AL591:AL596"/>
    <mergeCell ref="AM591:AM596"/>
    <mergeCell ref="BJ597:BJ601"/>
    <mergeCell ref="BB597:BB601"/>
    <mergeCell ref="BC597:BC601"/>
    <mergeCell ref="BD597:BD601"/>
    <mergeCell ref="BE597:BE601"/>
    <mergeCell ref="BF597:BF601"/>
    <mergeCell ref="BG597:BG601"/>
    <mergeCell ref="AV597:AV601"/>
    <mergeCell ref="AW597:AW601"/>
    <mergeCell ref="AX597:AX601"/>
    <mergeCell ref="AY597:AY601"/>
    <mergeCell ref="AZ597:AZ601"/>
    <mergeCell ref="BA597:BA601"/>
    <mergeCell ref="BI591:BI596"/>
    <mergeCell ref="BJ591:BJ596"/>
    <mergeCell ref="AU597:AU601"/>
    <mergeCell ref="A597:A601"/>
    <mergeCell ref="B597:B601"/>
    <mergeCell ref="C597:C601"/>
    <mergeCell ref="D597:D601"/>
    <mergeCell ref="E597:E601"/>
    <mergeCell ref="BI602:BI606"/>
    <mergeCell ref="T602:T606"/>
    <mergeCell ref="R578:R584"/>
    <mergeCell ref="BH585:BH590"/>
    <mergeCell ref="AP585:AP590"/>
    <mergeCell ref="AS585:AS590"/>
    <mergeCell ref="AT585:AT590"/>
    <mergeCell ref="AU585:AU590"/>
    <mergeCell ref="U585:U590"/>
    <mergeCell ref="V585:V590"/>
    <mergeCell ref="W585:W590"/>
    <mergeCell ref="AB585:AB587"/>
    <mergeCell ref="AL585:AL590"/>
    <mergeCell ref="AM585:AM590"/>
    <mergeCell ref="P591:P596"/>
    <mergeCell ref="Q591:Q596"/>
    <mergeCell ref="R591:R596"/>
    <mergeCell ref="S591:S596"/>
    <mergeCell ref="T591:T596"/>
    <mergeCell ref="AL578:AL584"/>
    <mergeCell ref="AM578:AM584"/>
    <mergeCell ref="AN578:AN584"/>
    <mergeCell ref="T597:T601"/>
    <mergeCell ref="BB591:BB596"/>
    <mergeCell ref="AO591:AO596"/>
    <mergeCell ref="AP591:AP596"/>
    <mergeCell ref="BJ602:BJ606"/>
    <mergeCell ref="BK602:BK606"/>
    <mergeCell ref="BL602:BL606"/>
    <mergeCell ref="BM602:BM606"/>
    <mergeCell ref="BL591:BL596"/>
    <mergeCell ref="BM591:BM596"/>
    <mergeCell ref="BC591:BC596"/>
    <mergeCell ref="BD591:BD596"/>
    <mergeCell ref="BE591:BE596"/>
    <mergeCell ref="BF591:BF596"/>
    <mergeCell ref="BG591:BG596"/>
    <mergeCell ref="BH591:BH596"/>
    <mergeCell ref="AW591:AW596"/>
    <mergeCell ref="AX591:AX596"/>
    <mergeCell ref="AY591:AY596"/>
    <mergeCell ref="AZ591:AZ596"/>
    <mergeCell ref="BA591:BA596"/>
    <mergeCell ref="BK597:BK601"/>
    <mergeCell ref="BL597:BL601"/>
    <mergeCell ref="BM597:BM601"/>
    <mergeCell ref="BH597:BH601"/>
    <mergeCell ref="BI597:BI601"/>
    <mergeCell ref="AL602:AL606"/>
    <mergeCell ref="AM602:AM606"/>
    <mergeCell ref="AN602:AN606"/>
    <mergeCell ref="R602:R606"/>
    <mergeCell ref="U602:U606"/>
    <mergeCell ref="A602:A606"/>
    <mergeCell ref="B602:B606"/>
    <mergeCell ref="C602:C606"/>
    <mergeCell ref="D602:D606"/>
    <mergeCell ref="AN597:AN601"/>
    <mergeCell ref="AO597:AO601"/>
    <mergeCell ref="AP597:AP601"/>
    <mergeCell ref="AS597:AS601"/>
    <mergeCell ref="AT597:AT601"/>
    <mergeCell ref="U597:U601"/>
    <mergeCell ref="V597:V601"/>
    <mergeCell ref="W597:W601"/>
    <mergeCell ref="AB597:AB598"/>
    <mergeCell ref="AL597:AL601"/>
    <mergeCell ref="AM597:AM601"/>
    <mergeCell ref="O597:O601"/>
    <mergeCell ref="E602:E606"/>
    <mergeCell ref="F602:F606"/>
    <mergeCell ref="V602:V606"/>
    <mergeCell ref="W602:W606"/>
    <mergeCell ref="AB602:AB603"/>
    <mergeCell ref="BC602:BC606"/>
    <mergeCell ref="BD602:BD606"/>
    <mergeCell ref="BE602:BE606"/>
    <mergeCell ref="BF602:BF606"/>
    <mergeCell ref="BG602:BG606"/>
    <mergeCell ref="BH602:BH606"/>
    <mergeCell ref="AW602:AW606"/>
    <mergeCell ref="AX602:AX606"/>
    <mergeCell ref="AY602:AY606"/>
    <mergeCell ref="AZ602:AZ606"/>
    <mergeCell ref="BA602:BA606"/>
    <mergeCell ref="BB602:BB606"/>
    <mergeCell ref="AO602:AO606"/>
    <mergeCell ref="AP602:AP606"/>
    <mergeCell ref="AS602:AS606"/>
    <mergeCell ref="AT602:AT606"/>
    <mergeCell ref="AU602:AU606"/>
    <mergeCell ref="AV602:AV606"/>
    <mergeCell ref="AU612:AU616"/>
    <mergeCell ref="BJ617:BJ625"/>
    <mergeCell ref="BK617:BK625"/>
    <mergeCell ref="AV612:AV616"/>
    <mergeCell ref="V612:V616"/>
    <mergeCell ref="BM607:BM611"/>
    <mergeCell ref="BB607:BB611"/>
    <mergeCell ref="BC607:BC611"/>
    <mergeCell ref="BD607:BD611"/>
    <mergeCell ref="BE607:BE611"/>
    <mergeCell ref="BF607:BF611"/>
    <mergeCell ref="BG607:BG611"/>
    <mergeCell ref="AV607:AV611"/>
    <mergeCell ref="AW607:AW611"/>
    <mergeCell ref="AX607:AX611"/>
    <mergeCell ref="AY607:AY611"/>
    <mergeCell ref="AZ607:AZ611"/>
    <mergeCell ref="BA607:BA611"/>
    <mergeCell ref="AN607:AN611"/>
    <mergeCell ref="AO607:AO611"/>
    <mergeCell ref="AP607:AP611"/>
    <mergeCell ref="AS607:AS611"/>
    <mergeCell ref="AT607:AT611"/>
    <mergeCell ref="AU607:AU611"/>
    <mergeCell ref="BH607:BH611"/>
    <mergeCell ref="BI607:BI611"/>
    <mergeCell ref="BJ607:BJ611"/>
    <mergeCell ref="BK607:BK611"/>
    <mergeCell ref="BL607:BL611"/>
    <mergeCell ref="W612:W616"/>
    <mergeCell ref="BC612:BC616"/>
    <mergeCell ref="BD612:BD616"/>
    <mergeCell ref="U617:U625"/>
    <mergeCell ref="V617:V625"/>
    <mergeCell ref="BE612:BE616"/>
    <mergeCell ref="AZ612:AZ616"/>
    <mergeCell ref="BA612:BA616"/>
    <mergeCell ref="BF612:BF616"/>
    <mergeCell ref="BM617:BM625"/>
    <mergeCell ref="Q617:Q625"/>
    <mergeCell ref="R617:R625"/>
    <mergeCell ref="S617:S625"/>
    <mergeCell ref="T617:T625"/>
    <mergeCell ref="AS617:AS625"/>
    <mergeCell ref="AT617:AT625"/>
    <mergeCell ref="AU617:AU625"/>
    <mergeCell ref="AN617:AN625"/>
    <mergeCell ref="BL617:BL625"/>
    <mergeCell ref="AL617:AL625"/>
    <mergeCell ref="BL612:BL616"/>
    <mergeCell ref="BM612:BM616"/>
    <mergeCell ref="BI612:BI616"/>
    <mergeCell ref="BJ612:BJ616"/>
    <mergeCell ref="BK612:BK616"/>
    <mergeCell ref="BC617:BC625"/>
    <mergeCell ref="BD617:BD625"/>
    <mergeCell ref="BE617:BE625"/>
    <mergeCell ref="BF617:BF625"/>
    <mergeCell ref="BG617:BG625"/>
    <mergeCell ref="AV617:AV625"/>
    <mergeCell ref="BB612:BB616"/>
    <mergeCell ref="AO612:AO616"/>
    <mergeCell ref="BG612:BG616"/>
    <mergeCell ref="BH612:BH616"/>
    <mergeCell ref="AW612:AW616"/>
    <mergeCell ref="AX612:AX616"/>
    <mergeCell ref="AY612:AY616"/>
    <mergeCell ref="BL632:BL635"/>
    <mergeCell ref="AW632:AW635"/>
    <mergeCell ref="AX632:AX635"/>
    <mergeCell ref="AY632:AY635"/>
    <mergeCell ref="AL632:AL636"/>
    <mergeCell ref="BM626:BM631"/>
    <mergeCell ref="BB626:BB631"/>
    <mergeCell ref="BC626:BC631"/>
    <mergeCell ref="BD626:BD631"/>
    <mergeCell ref="BE626:BE631"/>
    <mergeCell ref="BF626:BF631"/>
    <mergeCell ref="BG626:BG631"/>
    <mergeCell ref="BH617:BH625"/>
    <mergeCell ref="AW617:AW625"/>
    <mergeCell ref="AX617:AX625"/>
    <mergeCell ref="AY617:AY625"/>
    <mergeCell ref="AZ617:AZ625"/>
    <mergeCell ref="BA617:BA625"/>
    <mergeCell ref="BB617:BB625"/>
    <mergeCell ref="AO617:AO625"/>
    <mergeCell ref="AP617:AP625"/>
    <mergeCell ref="AY626:AY631"/>
    <mergeCell ref="AZ626:AZ631"/>
    <mergeCell ref="BA626:BA631"/>
    <mergeCell ref="BJ626:BJ631"/>
    <mergeCell ref="BK626:BK631"/>
    <mergeCell ref="AS626:AS631"/>
    <mergeCell ref="BI617:BI625"/>
    <mergeCell ref="BL626:BL631"/>
    <mergeCell ref="U626:U631"/>
    <mergeCell ref="V626:V631"/>
    <mergeCell ref="W626:W631"/>
    <mergeCell ref="AB626:AB628"/>
    <mergeCell ref="AL626:AL631"/>
    <mergeCell ref="AM626:AM631"/>
    <mergeCell ref="O626:O631"/>
    <mergeCell ref="P626:P631"/>
    <mergeCell ref="Q626:Q631"/>
    <mergeCell ref="R626:R631"/>
    <mergeCell ref="S626:S631"/>
    <mergeCell ref="T626:T631"/>
    <mergeCell ref="BH626:BH631"/>
    <mergeCell ref="BI626:BI631"/>
    <mergeCell ref="AU626:AU631"/>
    <mergeCell ref="AN626:AN631"/>
    <mergeCell ref="AO626:AO631"/>
    <mergeCell ref="AP626:AP631"/>
    <mergeCell ref="A626:A631"/>
    <mergeCell ref="B626:B631"/>
    <mergeCell ref="C626:C631"/>
    <mergeCell ref="D626:D631"/>
    <mergeCell ref="E626:E631"/>
    <mergeCell ref="O632:O636"/>
    <mergeCell ref="P632:P636"/>
    <mergeCell ref="Q632:Q636"/>
    <mergeCell ref="R632:R636"/>
    <mergeCell ref="G632:G636"/>
    <mergeCell ref="H632:H636"/>
    <mergeCell ref="I632:I636"/>
    <mergeCell ref="J632:J636"/>
    <mergeCell ref="K632:K636"/>
    <mergeCell ref="L632:L636"/>
    <mergeCell ref="AB632:AB633"/>
    <mergeCell ref="M632:M636"/>
    <mergeCell ref="N632:N636"/>
    <mergeCell ref="A632:A636"/>
    <mergeCell ref="B632:B636"/>
    <mergeCell ref="C632:C636"/>
    <mergeCell ref="D632:D636"/>
    <mergeCell ref="E632:E636"/>
    <mergeCell ref="F632:F636"/>
    <mergeCell ref="F626:F631"/>
    <mergeCell ref="G626:G631"/>
    <mergeCell ref="K626:K631"/>
    <mergeCell ref="L626:L631"/>
    <mergeCell ref="M626:M631"/>
    <mergeCell ref="N626:N631"/>
    <mergeCell ref="BM632:BM635"/>
    <mergeCell ref="A637:A642"/>
    <mergeCell ref="B637:B642"/>
    <mergeCell ref="C637:C642"/>
    <mergeCell ref="D637:D642"/>
    <mergeCell ref="E637:E642"/>
    <mergeCell ref="F637:F642"/>
    <mergeCell ref="G637:G642"/>
    <mergeCell ref="K637:K642"/>
    <mergeCell ref="BF632:BF635"/>
    <mergeCell ref="BG632:BG635"/>
    <mergeCell ref="BH632:BH635"/>
    <mergeCell ref="BI632:BI635"/>
    <mergeCell ref="BJ632:BJ635"/>
    <mergeCell ref="BK632:BK635"/>
    <mergeCell ref="AZ632:AZ635"/>
    <mergeCell ref="BA632:BA635"/>
    <mergeCell ref="BB632:BB635"/>
    <mergeCell ref="BC632:BC635"/>
    <mergeCell ref="BD632:BD635"/>
    <mergeCell ref="BE632:BE635"/>
    <mergeCell ref="AT632:AT635"/>
    <mergeCell ref="AU632:AU635"/>
    <mergeCell ref="AV632:AV635"/>
    <mergeCell ref="AM632:AM636"/>
    <mergeCell ref="AN632:AN636"/>
    <mergeCell ref="AO632:AO636"/>
    <mergeCell ref="BH637:BH642"/>
    <mergeCell ref="AB637:AB638"/>
    <mergeCell ref="AL637:AL642"/>
    <mergeCell ref="AM637:AM642"/>
    <mergeCell ref="AN637:AN642"/>
    <mergeCell ref="BM650:BM652"/>
    <mergeCell ref="BG643:BG648"/>
    <mergeCell ref="BH643:BH648"/>
    <mergeCell ref="BI643:BI648"/>
    <mergeCell ref="BG637:BG642"/>
    <mergeCell ref="BI637:BI642"/>
    <mergeCell ref="BJ637:BJ642"/>
    <mergeCell ref="AY637:AY642"/>
    <mergeCell ref="AZ637:AZ642"/>
    <mergeCell ref="BA637:BA642"/>
    <mergeCell ref="BB637:BB642"/>
    <mergeCell ref="BC637:BC642"/>
    <mergeCell ref="BD637:BD642"/>
    <mergeCell ref="AS637:AS642"/>
    <mergeCell ref="AT637:AT642"/>
    <mergeCell ref="AU637:AU642"/>
    <mergeCell ref="AV637:AV642"/>
    <mergeCell ref="AW637:AW642"/>
    <mergeCell ref="AX637:AX642"/>
    <mergeCell ref="BJ643:BJ648"/>
    <mergeCell ref="AY643:AY648"/>
    <mergeCell ref="AZ643:AZ648"/>
    <mergeCell ref="BA643:BA648"/>
    <mergeCell ref="BB643:BB648"/>
    <mergeCell ref="BC643:BC648"/>
    <mergeCell ref="BK637:BK642"/>
    <mergeCell ref="BL637:BL642"/>
    <mergeCell ref="BM637:BM642"/>
    <mergeCell ref="BK643:BK648"/>
    <mergeCell ref="BL643:BL648"/>
    <mergeCell ref="BM643:BM648"/>
    <mergeCell ref="BE643:BE648"/>
    <mergeCell ref="BE637:BE642"/>
    <mergeCell ref="BF637:BF642"/>
    <mergeCell ref="AM643:AM649"/>
    <mergeCell ref="AN643:AN649"/>
    <mergeCell ref="AO643:AO649"/>
    <mergeCell ref="BF643:BF648"/>
    <mergeCell ref="AL643:AL649"/>
    <mergeCell ref="BJ650:BJ652"/>
    <mergeCell ref="BK650:BK652"/>
    <mergeCell ref="BL650:BL652"/>
    <mergeCell ref="BD653:BD657"/>
    <mergeCell ref="BE653:BE657"/>
    <mergeCell ref="BF653:BF657"/>
    <mergeCell ref="AV653:AV657"/>
    <mergeCell ref="AW653:AW657"/>
    <mergeCell ref="AX653:AX657"/>
    <mergeCell ref="AY653:AY657"/>
    <mergeCell ref="AZ653:AZ657"/>
    <mergeCell ref="BH650:BH652"/>
    <mergeCell ref="BI650:BI652"/>
    <mergeCell ref="BB650:BB652"/>
    <mergeCell ref="BC650:BC652"/>
    <mergeCell ref="BD650:BD652"/>
    <mergeCell ref="BE650:BE652"/>
    <mergeCell ref="BF650:BF652"/>
    <mergeCell ref="BG650:BG652"/>
    <mergeCell ref="AV650:AV652"/>
    <mergeCell ref="AW650:AW652"/>
    <mergeCell ref="AX650:AX652"/>
    <mergeCell ref="BD643:BD648"/>
    <mergeCell ref="AS643:AS648"/>
    <mergeCell ref="AT643:AT648"/>
    <mergeCell ref="C643:C649"/>
    <mergeCell ref="D643:D649"/>
    <mergeCell ref="E643:E649"/>
    <mergeCell ref="F643:F649"/>
    <mergeCell ref="G643:G649"/>
    <mergeCell ref="H643:H649"/>
    <mergeCell ref="AL650:AL652"/>
    <mergeCell ref="AM650:AM652"/>
    <mergeCell ref="N650:N652"/>
    <mergeCell ref="O650:O652"/>
    <mergeCell ref="P650:P652"/>
    <mergeCell ref="Q650:Q652"/>
    <mergeCell ref="T650:T652"/>
    <mergeCell ref="U650:U652"/>
    <mergeCell ref="V650:V652"/>
    <mergeCell ref="W650:W652"/>
    <mergeCell ref="I643:I649"/>
    <mergeCell ref="J643:J649"/>
    <mergeCell ref="K643:K649"/>
    <mergeCell ref="L643:L649"/>
    <mergeCell ref="M643:M649"/>
    <mergeCell ref="N643:N649"/>
    <mergeCell ref="O643:O649"/>
    <mergeCell ref="P643:P649"/>
    <mergeCell ref="Q643:Q649"/>
    <mergeCell ref="R643:R649"/>
    <mergeCell ref="S643:S649"/>
    <mergeCell ref="T643:T649"/>
    <mergeCell ref="U643:U649"/>
    <mergeCell ref="AL653:AL659"/>
    <mergeCell ref="AM653:AM659"/>
    <mergeCell ref="R653:R659"/>
    <mergeCell ref="S653:S659"/>
    <mergeCell ref="V653:V659"/>
    <mergeCell ref="AN653:AN659"/>
    <mergeCell ref="AT664:AT666"/>
    <mergeCell ref="AU664:AU666"/>
    <mergeCell ref="AV664:AV666"/>
    <mergeCell ref="AW664:AW666"/>
    <mergeCell ref="V664:V667"/>
    <mergeCell ref="W664:W667"/>
    <mergeCell ref="AL664:AL667"/>
    <mergeCell ref="AM664:AM667"/>
    <mergeCell ref="AN664:AN667"/>
    <mergeCell ref="AO664:AO667"/>
    <mergeCell ref="AN660:AN663"/>
    <mergeCell ref="AO660:AO663"/>
    <mergeCell ref="AP660:AP662"/>
    <mergeCell ref="AO653:AO659"/>
    <mergeCell ref="T653:T659"/>
    <mergeCell ref="AU653:AU657"/>
    <mergeCell ref="AP653:AP657"/>
    <mergeCell ref="U653:U659"/>
    <mergeCell ref="BM653:BM657"/>
    <mergeCell ref="A664:A667"/>
    <mergeCell ref="B664:B667"/>
    <mergeCell ref="C664:C667"/>
    <mergeCell ref="D664:D667"/>
    <mergeCell ref="E664:E667"/>
    <mergeCell ref="F664:F667"/>
    <mergeCell ref="G664:G667"/>
    <mergeCell ref="H664:H667"/>
    <mergeCell ref="I664:I667"/>
    <mergeCell ref="BG653:BG657"/>
    <mergeCell ref="BH653:BH657"/>
    <mergeCell ref="BI653:BI657"/>
    <mergeCell ref="BJ653:BJ657"/>
    <mergeCell ref="BK653:BK657"/>
    <mergeCell ref="BL653:BL657"/>
    <mergeCell ref="BA653:BA657"/>
    <mergeCell ref="BB653:BB657"/>
    <mergeCell ref="BC653:BC657"/>
    <mergeCell ref="L660:L663"/>
    <mergeCell ref="BJ664:BJ666"/>
    <mergeCell ref="BK664:BK666"/>
    <mergeCell ref="BL664:BL666"/>
    <mergeCell ref="AV660:AV662"/>
    <mergeCell ref="AW660:AW662"/>
    <mergeCell ref="AX660:AX662"/>
    <mergeCell ref="AY660:AY662"/>
    <mergeCell ref="AZ660:AZ662"/>
    <mergeCell ref="AM660:AM663"/>
    <mergeCell ref="BM660:BM662"/>
    <mergeCell ref="J653:J659"/>
    <mergeCell ref="K653:K659"/>
    <mergeCell ref="A660:A663"/>
    <mergeCell ref="B660:B663"/>
    <mergeCell ref="C660:C663"/>
    <mergeCell ref="D660:D663"/>
    <mergeCell ref="E660:E663"/>
    <mergeCell ref="F660:F663"/>
    <mergeCell ref="BD664:BD666"/>
    <mergeCell ref="BE664:BE666"/>
    <mergeCell ref="BF664:BF666"/>
    <mergeCell ref="BG664:BG666"/>
    <mergeCell ref="BH664:BH666"/>
    <mergeCell ref="BI664:BI666"/>
    <mergeCell ref="AX664:AX666"/>
    <mergeCell ref="AY664:AY666"/>
    <mergeCell ref="AZ664:AZ666"/>
    <mergeCell ref="BA664:BA666"/>
    <mergeCell ref="BB664:BB666"/>
    <mergeCell ref="BC664:BC666"/>
    <mergeCell ref="AP664:AP666"/>
    <mergeCell ref="J664:J667"/>
    <mergeCell ref="K664:K667"/>
    <mergeCell ref="L664:L667"/>
    <mergeCell ref="M664:M667"/>
    <mergeCell ref="N664:N667"/>
    <mergeCell ref="O664:O667"/>
    <mergeCell ref="P664:P667"/>
    <mergeCell ref="Q664:Q667"/>
    <mergeCell ref="N660:N663"/>
    <mergeCell ref="O660:O663"/>
    <mergeCell ref="P660:P663"/>
    <mergeCell ref="Q660:Q663"/>
    <mergeCell ref="R660:R663"/>
    <mergeCell ref="C668:C671"/>
    <mergeCell ref="D668:D671"/>
    <mergeCell ref="E668:E671"/>
    <mergeCell ref="F668:F671"/>
    <mergeCell ref="G668:G671"/>
    <mergeCell ref="H668:H671"/>
    <mergeCell ref="I668:I671"/>
    <mergeCell ref="BG660:BG662"/>
    <mergeCell ref="BH660:BH662"/>
    <mergeCell ref="BI660:BI662"/>
    <mergeCell ref="BJ660:BJ662"/>
    <mergeCell ref="BK660:BK662"/>
    <mergeCell ref="BL660:BL662"/>
    <mergeCell ref="BA660:BA662"/>
    <mergeCell ref="BB660:BB662"/>
    <mergeCell ref="BC660:BC662"/>
    <mergeCell ref="BD660:BD662"/>
    <mergeCell ref="BE660:BE662"/>
    <mergeCell ref="BF660:BF662"/>
    <mergeCell ref="AU660:AU662"/>
    <mergeCell ref="G660:G663"/>
    <mergeCell ref="H660:H663"/>
    <mergeCell ref="I660:I663"/>
    <mergeCell ref="J660:J663"/>
    <mergeCell ref="K660:K663"/>
    <mergeCell ref="BJ668:BJ671"/>
    <mergeCell ref="AL660:AL663"/>
    <mergeCell ref="M660:M663"/>
    <mergeCell ref="BK668:BK671"/>
    <mergeCell ref="P668:P671"/>
    <mergeCell ref="Q668:Q671"/>
    <mergeCell ref="R668:R671"/>
    <mergeCell ref="S668:S671"/>
    <mergeCell ref="L668:L671"/>
    <mergeCell ref="M668:M671"/>
    <mergeCell ref="N668:N671"/>
    <mergeCell ref="O668:O671"/>
    <mergeCell ref="T668:T671"/>
    <mergeCell ref="U668:U671"/>
    <mergeCell ref="J668:J671"/>
    <mergeCell ref="K668:K671"/>
    <mergeCell ref="BL668:BL671"/>
    <mergeCell ref="BM668:BM671"/>
    <mergeCell ref="BD668:BD671"/>
    <mergeCell ref="BE668:BE671"/>
    <mergeCell ref="BF668:BF671"/>
    <mergeCell ref="BG668:BG671"/>
    <mergeCell ref="BH668:BH671"/>
    <mergeCell ref="BI668:BI671"/>
    <mergeCell ref="AX668:AX671"/>
    <mergeCell ref="AY668:AY671"/>
    <mergeCell ref="AZ668:AZ671"/>
    <mergeCell ref="BA668:BA671"/>
    <mergeCell ref="BB668:BB671"/>
    <mergeCell ref="BC668:BC671"/>
    <mergeCell ref="AP668:AP671"/>
    <mergeCell ref="AS668:AS671"/>
    <mergeCell ref="AT668:AT671"/>
    <mergeCell ref="BM664:BM666"/>
    <mergeCell ref="R664:R667"/>
    <mergeCell ref="S664:S667"/>
    <mergeCell ref="T664:T667"/>
    <mergeCell ref="U664:U667"/>
    <mergeCell ref="AS664:AS666"/>
    <mergeCell ref="AU668:AU671"/>
    <mergeCell ref="AV668:AV671"/>
    <mergeCell ref="AW668:AW671"/>
    <mergeCell ref="V668:V671"/>
    <mergeCell ref="W668:W671"/>
    <mergeCell ref="AL668:AL671"/>
    <mergeCell ref="AM668:AM671"/>
    <mergeCell ref="AN668:AN671"/>
    <mergeCell ref="AS660:AS662"/>
    <mergeCell ref="AT660:AT662"/>
    <mergeCell ref="S660:S663"/>
    <mergeCell ref="T660:T663"/>
    <mergeCell ref="U660:U663"/>
    <mergeCell ref="V660:V663"/>
    <mergeCell ref="W660:W663"/>
    <mergeCell ref="AO668:AO671"/>
    <mergeCell ref="A668:A671"/>
    <mergeCell ref="B668:B671"/>
    <mergeCell ref="A20:A24"/>
    <mergeCell ref="B20:B24"/>
    <mergeCell ref="C20:C24"/>
    <mergeCell ref="D20:D24"/>
    <mergeCell ref="E20:E24"/>
    <mergeCell ref="F20:F24"/>
    <mergeCell ref="G20:G24"/>
    <mergeCell ref="H20:H24"/>
    <mergeCell ref="I20:I24"/>
    <mergeCell ref="J20:J24"/>
    <mergeCell ref="K20:K24"/>
    <mergeCell ref="L20:L24"/>
    <mergeCell ref="M20:M24"/>
    <mergeCell ref="N20:N24"/>
    <mergeCell ref="O20:O24"/>
    <mergeCell ref="A25:A28"/>
    <mergeCell ref="B25:B28"/>
    <mergeCell ref="C25:C28"/>
    <mergeCell ref="D25:D28"/>
    <mergeCell ref="E25:E28"/>
    <mergeCell ref="F25:F28"/>
    <mergeCell ref="G25:G28"/>
    <mergeCell ref="A37:A40"/>
    <mergeCell ref="B37:B40"/>
    <mergeCell ref="C37:C40"/>
    <mergeCell ref="D37:D40"/>
    <mergeCell ref="E37:E40"/>
    <mergeCell ref="F37:F40"/>
    <mergeCell ref="G37:G40"/>
    <mergeCell ref="H37:H40"/>
    <mergeCell ref="I37:I40"/>
    <mergeCell ref="J37:J40"/>
    <mergeCell ref="K37:K40"/>
    <mergeCell ref="A33:A36"/>
    <mergeCell ref="B33:B36"/>
    <mergeCell ref="C33:C36"/>
    <mergeCell ref="D33:D36"/>
    <mergeCell ref="E33:E36"/>
    <mergeCell ref="F33:F36"/>
    <mergeCell ref="G33:G36"/>
    <mergeCell ref="A29:A32"/>
    <mergeCell ref="B29:B32"/>
    <mergeCell ref="C29:C32"/>
    <mergeCell ref="D29:D32"/>
    <mergeCell ref="E29:E32"/>
    <mergeCell ref="F29:F32"/>
    <mergeCell ref="G29:G32"/>
    <mergeCell ref="H29:H32"/>
    <mergeCell ref="I29:I32"/>
    <mergeCell ref="J29:J32"/>
    <mergeCell ref="K29:K32"/>
    <mergeCell ref="A41:A44"/>
    <mergeCell ref="B41:B44"/>
    <mergeCell ref="C41:C44"/>
    <mergeCell ref="D41:D44"/>
    <mergeCell ref="E41:E44"/>
    <mergeCell ref="F41:F44"/>
    <mergeCell ref="G41:G44"/>
    <mergeCell ref="H41:H44"/>
    <mergeCell ref="I41:I44"/>
    <mergeCell ref="J41:J44"/>
    <mergeCell ref="K41:K44"/>
    <mergeCell ref="A49:A52"/>
    <mergeCell ref="B49:B52"/>
    <mergeCell ref="C49:C52"/>
    <mergeCell ref="D49:D52"/>
    <mergeCell ref="E49:E52"/>
    <mergeCell ref="F49:F52"/>
    <mergeCell ref="G49:G52"/>
    <mergeCell ref="H49:H52"/>
    <mergeCell ref="I49:I52"/>
    <mergeCell ref="J49:J52"/>
    <mergeCell ref="K49:K52"/>
    <mergeCell ref="L41:L44"/>
    <mergeCell ref="M41:M44"/>
    <mergeCell ref="N41:N44"/>
    <mergeCell ref="O49:O52"/>
    <mergeCell ref="P49:P52"/>
    <mergeCell ref="Q49:Q52"/>
    <mergeCell ref="A643:A649"/>
    <mergeCell ref="B643:B649"/>
    <mergeCell ref="A653:A659"/>
    <mergeCell ref="B653:B659"/>
    <mergeCell ref="C653:C659"/>
    <mergeCell ref="D653:D659"/>
    <mergeCell ref="E653:E659"/>
    <mergeCell ref="F653:F659"/>
    <mergeCell ref="A650:A652"/>
    <mergeCell ref="B650:B652"/>
    <mergeCell ref="O146:O154"/>
    <mergeCell ref="P146:P154"/>
    <mergeCell ref="Q146:Q154"/>
    <mergeCell ref="A552:A560"/>
    <mergeCell ref="B552:B560"/>
    <mergeCell ref="C552:C560"/>
    <mergeCell ref="D552:D560"/>
    <mergeCell ref="A311:A314"/>
    <mergeCell ref="B311:B314"/>
    <mergeCell ref="C311:C314"/>
    <mergeCell ref="D311:D314"/>
    <mergeCell ref="E311:E314"/>
    <mergeCell ref="F311:F314"/>
    <mergeCell ref="C650:C652"/>
    <mergeCell ref="D650:D652"/>
    <mergeCell ref="E650:E652"/>
    <mergeCell ref="F97:F100"/>
    <mergeCell ref="G97:G100"/>
    <mergeCell ref="H97:H100"/>
    <mergeCell ref="I97:I100"/>
    <mergeCell ref="J97:J100"/>
    <mergeCell ref="K97:K100"/>
    <mergeCell ref="L97:L100"/>
    <mergeCell ref="M97:M100"/>
    <mergeCell ref="N97:N100"/>
    <mergeCell ref="O97:O100"/>
    <mergeCell ref="P97:P100"/>
    <mergeCell ref="Q97:Q100"/>
    <mergeCell ref="AY192:AY194"/>
    <mergeCell ref="AP146:AP150"/>
    <mergeCell ref="AQ146:AQ150"/>
    <mergeCell ref="AR146:AR150"/>
    <mergeCell ref="U146:U154"/>
    <mergeCell ref="V146:V154"/>
    <mergeCell ref="W146:W154"/>
    <mergeCell ref="R146:R154"/>
    <mergeCell ref="S146:S154"/>
    <mergeCell ref="T146:T154"/>
    <mergeCell ref="L155:L159"/>
    <mergeCell ref="L135:L145"/>
    <mergeCell ref="K135:K145"/>
    <mergeCell ref="K160:K165"/>
    <mergeCell ref="L160:L165"/>
    <mergeCell ref="L125:L132"/>
    <mergeCell ref="P155:P159"/>
    <mergeCell ref="M155:M159"/>
    <mergeCell ref="N155:N159"/>
    <mergeCell ref="O155:O159"/>
    <mergeCell ref="E146:E154"/>
    <mergeCell ref="F146:F154"/>
    <mergeCell ref="G146:G154"/>
    <mergeCell ref="K146:K154"/>
    <mergeCell ref="L146:L154"/>
    <mergeCell ref="M146:M154"/>
    <mergeCell ref="N146:N154"/>
    <mergeCell ref="AU643:AU648"/>
    <mergeCell ref="AV643:AV648"/>
    <mergeCell ref="AW643:AW648"/>
    <mergeCell ref="AP643:AP648"/>
    <mergeCell ref="AS146:AS150"/>
    <mergeCell ref="AT146:AT150"/>
    <mergeCell ref="AU146:AU150"/>
    <mergeCell ref="AV146:AV150"/>
    <mergeCell ref="AS653:AS657"/>
    <mergeCell ref="AT653:AT657"/>
    <mergeCell ref="AS650:AS652"/>
    <mergeCell ref="AT650:AT652"/>
    <mergeCell ref="AL146:AL154"/>
    <mergeCell ref="AM146:AM154"/>
    <mergeCell ref="AM617:AM625"/>
    <mergeCell ref="AL327:AL328"/>
    <mergeCell ref="AM327:AM328"/>
    <mergeCell ref="AO251:AO257"/>
    <mergeCell ref="AO146:AO154"/>
    <mergeCell ref="AN146:AN154"/>
    <mergeCell ref="AL251:AL257"/>
    <mergeCell ref="AM251:AM257"/>
    <mergeCell ref="AN251:AN257"/>
    <mergeCell ref="AS632:AS635"/>
    <mergeCell ref="AL607:AL611"/>
    <mergeCell ref="AM607:AM611"/>
    <mergeCell ref="AN591:AN596"/>
    <mergeCell ref="AV192:AV194"/>
    <mergeCell ref="AO176:AO177"/>
    <mergeCell ref="AO230:AO233"/>
    <mergeCell ref="AN308:AN310"/>
    <mergeCell ref="AO298:AO301"/>
    <mergeCell ref="AY650:AY652"/>
    <mergeCell ref="AZ650:AZ652"/>
    <mergeCell ref="BA650:BA652"/>
    <mergeCell ref="AU650:AU652"/>
    <mergeCell ref="AX643:AX648"/>
    <mergeCell ref="AO637:AO642"/>
    <mergeCell ref="AP637:AP642"/>
    <mergeCell ref="AO327:AO328"/>
    <mergeCell ref="AL160:AL165"/>
    <mergeCell ref="AM160:AM165"/>
    <mergeCell ref="AO160:AO165"/>
    <mergeCell ref="AP632:AP635"/>
    <mergeCell ref="AN650:AN652"/>
    <mergeCell ref="AO650:AO652"/>
    <mergeCell ref="AP650:AP652"/>
    <mergeCell ref="AT626:AT631"/>
    <mergeCell ref="AV626:AV631"/>
    <mergeCell ref="AW626:AW631"/>
    <mergeCell ref="AX626:AX631"/>
    <mergeCell ref="AL612:AL616"/>
    <mergeCell ref="AM612:AM616"/>
    <mergeCell ref="AN612:AN616"/>
    <mergeCell ref="AP612:AP616"/>
    <mergeCell ref="AS612:AS616"/>
    <mergeCell ref="AT612:AT616"/>
    <mergeCell ref="G650:G652"/>
    <mergeCell ref="W192:W197"/>
    <mergeCell ref="L653:L659"/>
    <mergeCell ref="M653:M659"/>
    <mergeCell ref="N653:N659"/>
    <mergeCell ref="O653:O659"/>
    <mergeCell ref="P653:P659"/>
    <mergeCell ref="Q653:Q659"/>
    <mergeCell ref="AB607:AB608"/>
    <mergeCell ref="P602:P606"/>
    <mergeCell ref="Q602:Q606"/>
    <mergeCell ref="R637:R642"/>
    <mergeCell ref="M327:M328"/>
    <mergeCell ref="R327:R328"/>
    <mergeCell ref="S327:S328"/>
    <mergeCell ref="T327:T328"/>
    <mergeCell ref="U327:U328"/>
    <mergeCell ref="P327:P328"/>
    <mergeCell ref="R209:R210"/>
    <mergeCell ref="M650:M652"/>
    <mergeCell ref="G653:G659"/>
    <mergeCell ref="H653:H659"/>
    <mergeCell ref="I653:I659"/>
    <mergeCell ref="W653:W659"/>
    <mergeCell ref="R650:R652"/>
    <mergeCell ref="S650:S652"/>
    <mergeCell ref="AB612:AB613"/>
    <mergeCell ref="P612:P616"/>
    <mergeCell ref="Q612:Q616"/>
    <mergeCell ref="R612:R616"/>
    <mergeCell ref="S612:S616"/>
    <mergeCell ref="T612:T616"/>
    <mergeCell ref="A612:A616"/>
    <mergeCell ref="W607:W611"/>
    <mergeCell ref="K192:K198"/>
    <mergeCell ref="L192:L198"/>
    <mergeCell ref="B612:B616"/>
    <mergeCell ref="C612:C616"/>
    <mergeCell ref="D612:D616"/>
    <mergeCell ref="E612:E616"/>
    <mergeCell ref="F612:F616"/>
    <mergeCell ref="A591:A596"/>
    <mergeCell ref="B591:B596"/>
    <mergeCell ref="C591:C596"/>
    <mergeCell ref="D591:D596"/>
    <mergeCell ref="E591:E596"/>
    <mergeCell ref="F591:F596"/>
    <mergeCell ref="A561:A568"/>
    <mergeCell ref="D308:D310"/>
    <mergeCell ref="E308:E310"/>
    <mergeCell ref="B308:B310"/>
    <mergeCell ref="A327:A328"/>
    <mergeCell ref="B327:B328"/>
    <mergeCell ref="C327:C328"/>
    <mergeCell ref="A308:A310"/>
    <mergeCell ref="A585:A590"/>
    <mergeCell ref="B585:B590"/>
    <mergeCell ref="C585:C590"/>
    <mergeCell ref="A607:A611"/>
    <mergeCell ref="B607:B611"/>
    <mergeCell ref="C607:C611"/>
    <mergeCell ref="D607:D611"/>
    <mergeCell ref="E607:E611"/>
    <mergeCell ref="A569:A577"/>
    <mergeCell ref="H650:H652"/>
    <mergeCell ref="I650:I652"/>
    <mergeCell ref="J650:J652"/>
    <mergeCell ref="S632:S636"/>
    <mergeCell ref="T632:T636"/>
    <mergeCell ref="U632:U636"/>
    <mergeCell ref="V632:V636"/>
    <mergeCell ref="W632:W636"/>
    <mergeCell ref="M585:M590"/>
    <mergeCell ref="N585:N590"/>
    <mergeCell ref="K308:K310"/>
    <mergeCell ref="L308:L310"/>
    <mergeCell ref="M308:M310"/>
    <mergeCell ref="T569:T577"/>
    <mergeCell ref="M569:M577"/>
    <mergeCell ref="N569:N577"/>
    <mergeCell ref="F585:F590"/>
    <mergeCell ref="F607:F611"/>
    <mergeCell ref="G607:G611"/>
    <mergeCell ref="K607:K611"/>
    <mergeCell ref="L607:L611"/>
    <mergeCell ref="G597:G601"/>
    <mergeCell ref="K597:K601"/>
    <mergeCell ref="L597:L601"/>
    <mergeCell ref="S585:S590"/>
    <mergeCell ref="P585:P590"/>
    <mergeCell ref="Q585:Q590"/>
    <mergeCell ref="R585:R590"/>
    <mergeCell ref="K650:K652"/>
    <mergeCell ref="L650:L652"/>
    <mergeCell ref="W617:W625"/>
    <mergeCell ref="F650:F652"/>
    <mergeCell ref="P202:P205"/>
    <mergeCell ref="J211:J212"/>
    <mergeCell ref="F288:F289"/>
    <mergeCell ref="C578:C584"/>
    <mergeCell ref="S569:S577"/>
    <mergeCell ref="O308:O310"/>
    <mergeCell ref="N327:N328"/>
    <mergeCell ref="O327:O328"/>
    <mergeCell ref="L327:L328"/>
    <mergeCell ref="K612:K616"/>
    <mergeCell ref="O617:O625"/>
    <mergeCell ref="L612:L616"/>
    <mergeCell ref="M612:M616"/>
    <mergeCell ref="N612:N616"/>
    <mergeCell ref="O612:O616"/>
    <mergeCell ref="S602:S606"/>
    <mergeCell ref="K602:K606"/>
    <mergeCell ref="L602:L606"/>
    <mergeCell ref="M602:M606"/>
    <mergeCell ref="N602:N606"/>
    <mergeCell ref="O602:O606"/>
    <mergeCell ref="K591:K596"/>
    <mergeCell ref="L591:L596"/>
    <mergeCell ref="M591:M596"/>
    <mergeCell ref="N591:N596"/>
    <mergeCell ref="O591:O596"/>
    <mergeCell ref="P597:P601"/>
    <mergeCell ref="Q597:Q601"/>
    <mergeCell ref="R597:R601"/>
    <mergeCell ref="S597:S601"/>
    <mergeCell ref="K578:K584"/>
    <mergeCell ref="O585:O590"/>
    <mergeCell ref="L617:L625"/>
    <mergeCell ref="M617:M625"/>
    <mergeCell ref="G308:G310"/>
    <mergeCell ref="H308:H310"/>
    <mergeCell ref="I308:I310"/>
    <mergeCell ref="G327:G328"/>
    <mergeCell ref="G569:G577"/>
    <mergeCell ref="K569:K577"/>
    <mergeCell ref="L569:L577"/>
    <mergeCell ref="M607:M611"/>
    <mergeCell ref="G602:G606"/>
    <mergeCell ref="G591:G596"/>
    <mergeCell ref="L578:L584"/>
    <mergeCell ref="M578:M584"/>
    <mergeCell ref="D327:D328"/>
    <mergeCell ref="E327:E328"/>
    <mergeCell ref="H327:H328"/>
    <mergeCell ref="I327:I328"/>
    <mergeCell ref="K552:K560"/>
    <mergeCell ref="G561:G568"/>
    <mergeCell ref="K561:K568"/>
    <mergeCell ref="L561:L568"/>
    <mergeCell ref="M561:M568"/>
    <mergeCell ref="D569:D577"/>
    <mergeCell ref="E569:E577"/>
    <mergeCell ref="E552:E560"/>
    <mergeCell ref="F552:F560"/>
    <mergeCell ref="G552:G560"/>
    <mergeCell ref="J209:J210"/>
    <mergeCell ref="K209:K210"/>
    <mergeCell ref="L209:L210"/>
    <mergeCell ref="M209:M210"/>
    <mergeCell ref="N209:N210"/>
    <mergeCell ref="O209:O210"/>
    <mergeCell ref="P209:P210"/>
    <mergeCell ref="C214:C215"/>
    <mergeCell ref="E251:E257"/>
    <mergeCell ref="F251:F257"/>
    <mergeCell ref="G251:G257"/>
    <mergeCell ref="H251:H257"/>
    <mergeCell ref="I251:I257"/>
    <mergeCell ref="J251:J257"/>
    <mergeCell ref="I211:I212"/>
    <mergeCell ref="D218:D219"/>
    <mergeCell ref="E220:E221"/>
    <mergeCell ref="H214:H215"/>
    <mergeCell ref="E246:E247"/>
    <mergeCell ref="K211:K212"/>
    <mergeCell ref="K251:K257"/>
    <mergeCell ref="E211:E212"/>
    <mergeCell ref="H246:H247"/>
    <mergeCell ref="C220:C221"/>
    <mergeCell ref="F216:F217"/>
    <mergeCell ref="N216:N217"/>
    <mergeCell ref="O216:O217"/>
    <mergeCell ref="P216:P217"/>
    <mergeCell ref="M220:M221"/>
    <mergeCell ref="N218:N219"/>
    <mergeCell ref="M218:M219"/>
    <mergeCell ref="C246:C247"/>
    <mergeCell ref="Q327:Q328"/>
    <mergeCell ref="K246:K247"/>
    <mergeCell ref="L552:L560"/>
    <mergeCell ref="M552:M560"/>
    <mergeCell ref="N607:N611"/>
    <mergeCell ref="M597:M601"/>
    <mergeCell ref="N597:N601"/>
    <mergeCell ref="K585:K590"/>
    <mergeCell ref="L585:L590"/>
    <mergeCell ref="B578:B584"/>
    <mergeCell ref="B561:B568"/>
    <mergeCell ref="F597:F601"/>
    <mergeCell ref="F308:F310"/>
    <mergeCell ref="F327:F328"/>
    <mergeCell ref="F578:F584"/>
    <mergeCell ref="F569:F577"/>
    <mergeCell ref="F561:F568"/>
    <mergeCell ref="J327:J328"/>
    <mergeCell ref="G578:G584"/>
    <mergeCell ref="D585:D590"/>
    <mergeCell ref="D251:D257"/>
    <mergeCell ref="E585:E590"/>
    <mergeCell ref="G585:G590"/>
    <mergeCell ref="C308:C310"/>
    <mergeCell ref="C561:C568"/>
    <mergeCell ref="D561:D568"/>
    <mergeCell ref="E561:E568"/>
    <mergeCell ref="K327:K328"/>
    <mergeCell ref="B569:B577"/>
    <mergeCell ref="C569:C577"/>
    <mergeCell ref="I246:I247"/>
    <mergeCell ref="L288:L289"/>
    <mergeCell ref="H202:H205"/>
    <mergeCell ref="A183:A187"/>
    <mergeCell ref="B251:B257"/>
    <mergeCell ref="C251:C257"/>
    <mergeCell ref="B242:B244"/>
    <mergeCell ref="B261:B262"/>
    <mergeCell ref="C261:C262"/>
    <mergeCell ref="D261:D262"/>
    <mergeCell ref="E261:E262"/>
    <mergeCell ref="I209:I210"/>
    <mergeCell ref="J261:J262"/>
    <mergeCell ref="N308:N310"/>
    <mergeCell ref="K214:K215"/>
    <mergeCell ref="L214:L215"/>
    <mergeCell ref="N211:N212"/>
    <mergeCell ref="L202:L205"/>
    <mergeCell ref="M202:M205"/>
    <mergeCell ref="H211:H212"/>
    <mergeCell ref="H261:H262"/>
    <mergeCell ref="I261:I262"/>
    <mergeCell ref="L246:L247"/>
    <mergeCell ref="I242:I244"/>
    <mergeCell ref="J242:J244"/>
    <mergeCell ref="K242:K244"/>
    <mergeCell ref="I206:I208"/>
    <mergeCell ref="J206:J208"/>
    <mergeCell ref="K206:K208"/>
    <mergeCell ref="D211:D212"/>
    <mergeCell ref="L242:L244"/>
    <mergeCell ref="M242:M244"/>
    <mergeCell ref="A209:A210"/>
    <mergeCell ref="C242:C244"/>
    <mergeCell ref="A202:A205"/>
    <mergeCell ref="B202:B205"/>
    <mergeCell ref="C202:C205"/>
    <mergeCell ref="D202:D205"/>
    <mergeCell ref="E202:E205"/>
    <mergeCell ref="I155:I159"/>
    <mergeCell ref="E160:E165"/>
    <mergeCell ref="E166:E173"/>
    <mergeCell ref="F166:F173"/>
    <mergeCell ref="C160:C165"/>
    <mergeCell ref="E206:E208"/>
    <mergeCell ref="F206:F208"/>
    <mergeCell ref="G206:G208"/>
    <mergeCell ref="A112:A122"/>
    <mergeCell ref="I214:I215"/>
    <mergeCell ref="A211:A212"/>
    <mergeCell ref="F202:F205"/>
    <mergeCell ref="A178:A180"/>
    <mergeCell ref="B178:B180"/>
    <mergeCell ref="C178:C180"/>
    <mergeCell ref="D178:D180"/>
    <mergeCell ref="E178:E180"/>
    <mergeCell ref="F178:F180"/>
    <mergeCell ref="C211:C212"/>
    <mergeCell ref="E174:E175"/>
    <mergeCell ref="F174:F175"/>
    <mergeCell ref="D188:D191"/>
    <mergeCell ref="E188:E191"/>
    <mergeCell ref="G166:G173"/>
    <mergeCell ref="G176:G177"/>
    <mergeCell ref="B155:B159"/>
    <mergeCell ref="I188:I191"/>
    <mergeCell ref="N79:N81"/>
    <mergeCell ref="I79:I81"/>
    <mergeCell ref="A86:A89"/>
    <mergeCell ref="B86:B89"/>
    <mergeCell ref="A123:A134"/>
    <mergeCell ref="B123:B134"/>
    <mergeCell ref="E123:E134"/>
    <mergeCell ref="A79:A81"/>
    <mergeCell ref="B79:B81"/>
    <mergeCell ref="C79:C81"/>
    <mergeCell ref="D79:D81"/>
    <mergeCell ref="B112:B122"/>
    <mergeCell ref="C112:C122"/>
    <mergeCell ref="D112:D122"/>
    <mergeCell ref="G82:G85"/>
    <mergeCell ref="H82:H85"/>
    <mergeCell ref="E112:E122"/>
    <mergeCell ref="F112:F122"/>
    <mergeCell ref="G112:G122"/>
    <mergeCell ref="K90:K92"/>
    <mergeCell ref="H79:H81"/>
    <mergeCell ref="B82:B85"/>
    <mergeCell ref="J130:J131"/>
    <mergeCell ref="I130:I131"/>
    <mergeCell ref="F86:F89"/>
    <mergeCell ref="D123:D134"/>
    <mergeCell ref="I82:I85"/>
    <mergeCell ref="J82:J85"/>
    <mergeCell ref="K82:K85"/>
    <mergeCell ref="J112:J122"/>
    <mergeCell ref="K112:K122"/>
    <mergeCell ref="G123:G134"/>
    <mergeCell ref="P93:P96"/>
    <mergeCell ref="J90:J92"/>
    <mergeCell ref="D160:D165"/>
    <mergeCell ref="F181:F182"/>
    <mergeCell ref="J86:J89"/>
    <mergeCell ref="P181:P182"/>
    <mergeCell ref="L112:L122"/>
    <mergeCell ref="M112:M122"/>
    <mergeCell ref="E101:E111"/>
    <mergeCell ref="F101:F111"/>
    <mergeCell ref="F123:F134"/>
    <mergeCell ref="E155:E159"/>
    <mergeCell ref="K178:K180"/>
    <mergeCell ref="M166:M173"/>
    <mergeCell ref="M90:M92"/>
    <mergeCell ref="N160:N165"/>
    <mergeCell ref="J155:J159"/>
    <mergeCell ref="K155:K159"/>
    <mergeCell ref="O160:O165"/>
    <mergeCell ref="P160:P165"/>
    <mergeCell ref="F155:F159"/>
    <mergeCell ref="G155:G159"/>
    <mergeCell ref="H155:H159"/>
    <mergeCell ref="D155:D159"/>
    <mergeCell ref="K123:K134"/>
    <mergeCell ref="D181:D182"/>
    <mergeCell ref="H112:H122"/>
    <mergeCell ref="I112:I122"/>
    <mergeCell ref="I181:I182"/>
    <mergeCell ref="E181:E182"/>
    <mergeCell ref="G101:G111"/>
    <mergeCell ref="H130:H131"/>
    <mergeCell ref="G209:G210"/>
    <mergeCell ref="H209:H210"/>
    <mergeCell ref="D220:D221"/>
    <mergeCell ref="F223:F229"/>
    <mergeCell ref="G223:G229"/>
    <mergeCell ref="A236:A238"/>
    <mergeCell ref="B236:B238"/>
    <mergeCell ref="C236:C238"/>
    <mergeCell ref="D236:D238"/>
    <mergeCell ref="E236:E238"/>
    <mergeCell ref="F236:F238"/>
    <mergeCell ref="C218:C219"/>
    <mergeCell ref="B218:B219"/>
    <mergeCell ref="B220:B221"/>
    <mergeCell ref="O166:O173"/>
    <mergeCell ref="J181:J182"/>
    <mergeCell ref="K86:K89"/>
    <mergeCell ref="L86:L89"/>
    <mergeCell ref="M86:M89"/>
    <mergeCell ref="N86:N89"/>
    <mergeCell ref="C188:C191"/>
    <mergeCell ref="B174:B175"/>
    <mergeCell ref="H188:H191"/>
    <mergeCell ref="C155:C159"/>
    <mergeCell ref="C86:C89"/>
    <mergeCell ref="C181:C182"/>
    <mergeCell ref="C123:C134"/>
    <mergeCell ref="K188:K191"/>
    <mergeCell ref="B166:B173"/>
    <mergeCell ref="C166:C173"/>
    <mergeCell ref="E135:E145"/>
    <mergeCell ref="J144:J145"/>
    <mergeCell ref="X164:X165"/>
    <mergeCell ref="O181:O182"/>
    <mergeCell ref="B199:B201"/>
    <mergeCell ref="C199:C201"/>
    <mergeCell ref="D206:D208"/>
    <mergeCell ref="Q181:Q182"/>
    <mergeCell ref="K176:K177"/>
    <mergeCell ref="N178:N180"/>
    <mergeCell ref="M174:M175"/>
    <mergeCell ref="O199:O201"/>
    <mergeCell ref="O192:O198"/>
    <mergeCell ref="N192:N198"/>
    <mergeCell ref="Q202:Q205"/>
    <mergeCell ref="D174:D175"/>
    <mergeCell ref="P199:P201"/>
    <mergeCell ref="Q199:Q201"/>
    <mergeCell ref="H174:H175"/>
    <mergeCell ref="I202:I205"/>
    <mergeCell ref="J202:J205"/>
    <mergeCell ref="K202:K205"/>
    <mergeCell ref="Q183:Q187"/>
    <mergeCell ref="Q188:Q191"/>
    <mergeCell ref="N174:N175"/>
    <mergeCell ref="D192:D198"/>
    <mergeCell ref="E192:E198"/>
    <mergeCell ref="F192:F198"/>
    <mergeCell ref="G192:G198"/>
    <mergeCell ref="M192:M198"/>
    <mergeCell ref="O188:O191"/>
    <mergeCell ref="P188:P191"/>
    <mergeCell ref="U192:U197"/>
    <mergeCell ref="Q160:Q165"/>
    <mergeCell ref="E218:E219"/>
    <mergeCell ref="B288:B289"/>
    <mergeCell ref="A246:A247"/>
    <mergeCell ref="A230:A233"/>
    <mergeCell ref="A234:A235"/>
    <mergeCell ref="B234:B235"/>
    <mergeCell ref="F234:F235"/>
    <mergeCell ref="G234:G235"/>
    <mergeCell ref="E234:E235"/>
    <mergeCell ref="F220:F221"/>
    <mergeCell ref="G220:G221"/>
    <mergeCell ref="G230:G233"/>
    <mergeCell ref="A271:A272"/>
    <mergeCell ref="B271:B272"/>
    <mergeCell ref="C271:C272"/>
    <mergeCell ref="D271:D272"/>
    <mergeCell ref="W160:W165"/>
    <mergeCell ref="R160:R165"/>
    <mergeCell ref="S160:S165"/>
    <mergeCell ref="A160:A165"/>
    <mergeCell ref="B160:B165"/>
    <mergeCell ref="L188:L191"/>
    <mergeCell ref="N188:N191"/>
    <mergeCell ref="N166:N173"/>
    <mergeCell ref="A192:A198"/>
    <mergeCell ref="B192:B198"/>
    <mergeCell ref="A242:A244"/>
    <mergeCell ref="B209:B210"/>
    <mergeCell ref="C209:C210"/>
    <mergeCell ref="D209:D210"/>
    <mergeCell ref="E209:E210"/>
    <mergeCell ref="F209:F210"/>
    <mergeCell ref="A672:N672"/>
    <mergeCell ref="A675:F675"/>
    <mergeCell ref="A677:F677"/>
    <mergeCell ref="A251:A257"/>
    <mergeCell ref="A261:A262"/>
    <mergeCell ref="F261:F262"/>
    <mergeCell ref="G261:G262"/>
    <mergeCell ref="D242:D244"/>
    <mergeCell ref="E242:E244"/>
    <mergeCell ref="F242:F244"/>
    <mergeCell ref="G242:G244"/>
    <mergeCell ref="F246:F247"/>
    <mergeCell ref="G246:G247"/>
    <mergeCell ref="D246:D247"/>
    <mergeCell ref="B246:B247"/>
    <mergeCell ref="A303:A307"/>
    <mergeCell ref="B303:B307"/>
    <mergeCell ref="C303:C307"/>
    <mergeCell ref="D303:D307"/>
    <mergeCell ref="A617:A625"/>
    <mergeCell ref="B617:B625"/>
    <mergeCell ref="C617:C625"/>
    <mergeCell ref="D617:D625"/>
    <mergeCell ref="E617:E625"/>
    <mergeCell ref="F617:F625"/>
    <mergeCell ref="G612:G616"/>
    <mergeCell ref="D578:D584"/>
    <mergeCell ref="E578:E584"/>
    <mergeCell ref="A578:A584"/>
    <mergeCell ref="H290:H291"/>
    <mergeCell ref="G617:G625"/>
    <mergeCell ref="K617:K625"/>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SEMSA-FMS - LICITAÇÕES NOV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cp:lastModifiedBy>
  <cp:lastPrinted>2017-02-02T12:20:58Z</cp:lastPrinted>
  <dcterms:created xsi:type="dcterms:W3CDTF">2013-10-11T22:10:57Z</dcterms:created>
  <dcterms:modified xsi:type="dcterms:W3CDTF">2017-12-13T14:34:51Z</dcterms:modified>
</cp:coreProperties>
</file>