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54"/>
  </bookViews>
  <sheets>
    <sheet name="FMAS LICITAÇÕES MAR 2023" sheetId="1" r:id="rId1"/>
  </sheets>
  <definedNames>
    <definedName name="_xlnm._FilterDatabase" localSheetId="0" hidden="1">'FMAS LICITAÇÕES MAR 2023'!$A$4:$AO$145</definedName>
  </definedNames>
  <calcPr calcId="145621"/>
</workbook>
</file>

<file path=xl/calcChain.xml><?xml version="1.0" encoding="utf-8"?>
<calcChain xmlns="http://schemas.openxmlformats.org/spreadsheetml/2006/main">
  <c r="O141" i="1" l="1"/>
  <c r="AG141" i="1"/>
  <c r="AH141" i="1"/>
  <c r="AL141" i="1"/>
  <c r="AO23" i="1"/>
  <c r="AO27" i="1"/>
  <c r="AO38" i="1"/>
  <c r="AO39" i="1"/>
  <c r="AO40" i="1"/>
  <c r="AO48" i="1"/>
  <c r="AO49" i="1"/>
  <c r="AO50" i="1"/>
  <c r="AO52" i="1"/>
  <c r="AO53" i="1"/>
  <c r="AO54" i="1"/>
  <c r="AO58" i="1"/>
  <c r="AO60" i="1"/>
  <c r="AO61" i="1"/>
  <c r="AO62" i="1"/>
  <c r="AO63" i="1"/>
  <c r="AO65" i="1"/>
  <c r="AO66" i="1"/>
  <c r="AO67" i="1"/>
  <c r="AO70" i="1"/>
  <c r="AO71" i="1"/>
  <c r="AO72" i="1"/>
  <c r="AO73" i="1"/>
  <c r="AO76" i="1"/>
  <c r="AO77" i="1"/>
  <c r="AO78" i="1"/>
  <c r="AO89" i="1"/>
  <c r="AO90" i="1"/>
  <c r="AO100" i="1"/>
  <c r="AO102" i="1"/>
  <c r="AO19" i="1"/>
  <c r="AN36" i="1" l="1"/>
  <c r="AO36" i="1" s="1"/>
  <c r="AN29" i="1"/>
  <c r="AO29" i="1" s="1"/>
  <c r="AN138" i="1"/>
  <c r="AO138" i="1" s="1"/>
  <c r="AN21" i="1"/>
  <c r="AO21" i="1" s="1"/>
  <c r="AN37" i="1"/>
  <c r="AO37" i="1" s="1"/>
  <c r="AN47" i="1"/>
  <c r="AO47" i="1" s="1"/>
  <c r="AN41" i="1"/>
  <c r="AO41" i="1" s="1"/>
  <c r="AN28" i="1"/>
  <c r="AO28" i="1" s="1"/>
  <c r="AN35" i="1"/>
  <c r="AO35" i="1" s="1"/>
  <c r="AN104" i="1"/>
  <c r="AN20" i="1"/>
  <c r="AN74" i="1"/>
  <c r="AN83" i="1"/>
  <c r="AN140" i="1"/>
  <c r="AO140" i="1" s="1"/>
  <c r="AN59" i="1"/>
  <c r="AO59" i="1" s="1"/>
  <c r="AN68" i="1"/>
  <c r="AO68" i="1" s="1"/>
  <c r="AN55" i="1"/>
  <c r="AO55" i="1" s="1"/>
  <c r="AN43" i="1"/>
  <c r="AO43" i="1" s="1"/>
  <c r="AN32" i="1"/>
  <c r="AO32" i="1" s="1"/>
  <c r="AN33" i="1"/>
  <c r="AO33" i="1" s="1"/>
  <c r="AN31" i="1"/>
  <c r="AO31" i="1" s="1"/>
  <c r="AN30" i="1"/>
  <c r="AO30" i="1" s="1"/>
  <c r="AN44" i="1"/>
  <c r="AO44" i="1" s="1"/>
  <c r="AN45" i="1"/>
  <c r="AO45" i="1" s="1"/>
  <c r="AN42" i="1"/>
  <c r="AO42" i="1" s="1"/>
  <c r="AN24" i="1"/>
  <c r="AO24" i="1" s="1"/>
  <c r="AN25" i="1"/>
  <c r="AO25" i="1" s="1"/>
  <c r="AN128" i="1"/>
  <c r="AN139" i="1"/>
  <c r="AO139" i="1" s="1"/>
  <c r="AN108" i="1"/>
  <c r="AN86" i="1"/>
  <c r="AN120" i="1"/>
  <c r="AN137" i="1"/>
  <c r="AO137" i="1" s="1"/>
  <c r="AN132" i="1"/>
  <c r="AN98" i="1"/>
  <c r="AN64" i="1"/>
  <c r="AO64" i="1" s="1"/>
  <c r="AN81" i="1"/>
  <c r="AN56" i="1"/>
  <c r="AO56" i="1" s="1"/>
  <c r="AN119" i="1"/>
  <c r="AN136" i="1"/>
  <c r="AO136" i="1" s="1"/>
  <c r="AN125" i="1"/>
  <c r="AN69" i="1"/>
  <c r="AO69" i="1" s="1"/>
  <c r="AN127" i="1"/>
  <c r="AN79" i="1"/>
  <c r="AN111" i="1"/>
  <c r="AN95" i="1"/>
  <c r="AN93" i="1"/>
  <c r="AN99" i="1"/>
  <c r="AN135" i="1"/>
  <c r="AO135" i="1" s="1"/>
  <c r="AN134" i="1"/>
  <c r="AO134" i="1" s="1"/>
  <c r="AN34" i="1"/>
  <c r="AO34" i="1" s="1"/>
  <c r="AN133" i="1"/>
  <c r="AO133" i="1" s="1"/>
  <c r="AM132" i="1"/>
  <c r="AM131" i="1"/>
  <c r="AO131" i="1" s="1"/>
  <c r="AM130" i="1"/>
  <c r="AO130" i="1" s="1"/>
  <c r="AM129" i="1"/>
  <c r="AO129" i="1" s="1"/>
  <c r="AM128" i="1"/>
  <c r="AO128" i="1" s="1"/>
  <c r="AM127" i="1"/>
  <c r="AM126" i="1"/>
  <c r="AO126" i="1" s="1"/>
  <c r="AM125" i="1"/>
  <c r="AM124" i="1"/>
  <c r="AO124" i="1" s="1"/>
  <c r="AM123" i="1"/>
  <c r="AO123" i="1" s="1"/>
  <c r="AM122" i="1"/>
  <c r="AO122" i="1" s="1"/>
  <c r="AM121" i="1"/>
  <c r="AO121" i="1" s="1"/>
  <c r="AM120" i="1"/>
  <c r="AO120" i="1" s="1"/>
  <c r="AM119" i="1"/>
  <c r="AO119" i="1" s="1"/>
  <c r="AM118" i="1"/>
  <c r="AO118" i="1" s="1"/>
  <c r="AM117" i="1"/>
  <c r="AO117" i="1" s="1"/>
  <c r="AM116" i="1"/>
  <c r="AO116" i="1" s="1"/>
  <c r="AM115" i="1"/>
  <c r="AO115" i="1" s="1"/>
  <c r="AM114" i="1"/>
  <c r="AO114" i="1" s="1"/>
  <c r="AM113" i="1"/>
  <c r="AO113" i="1" s="1"/>
  <c r="AM112" i="1"/>
  <c r="AO112" i="1" s="1"/>
  <c r="AM111" i="1"/>
  <c r="AO111" i="1" s="1"/>
  <c r="AM110" i="1"/>
  <c r="AO110" i="1" s="1"/>
  <c r="AM109" i="1"/>
  <c r="AO109" i="1" s="1"/>
  <c r="AM108" i="1"/>
  <c r="AM107" i="1"/>
  <c r="AO107" i="1" s="1"/>
  <c r="AM106" i="1"/>
  <c r="AO106" i="1" s="1"/>
  <c r="AM105" i="1"/>
  <c r="AO105" i="1" s="1"/>
  <c r="AM104" i="1"/>
  <c r="AO104" i="1" s="1"/>
  <c r="AM103" i="1"/>
  <c r="AO103" i="1" s="1"/>
  <c r="AM101" i="1"/>
  <c r="AO101" i="1" s="1"/>
  <c r="AM99" i="1"/>
  <c r="AO99" i="1" s="1"/>
  <c r="AM98" i="1"/>
  <c r="AM97" i="1"/>
  <c r="AO97" i="1" s="1"/>
  <c r="AM96" i="1"/>
  <c r="AO96" i="1" s="1"/>
  <c r="AM95" i="1"/>
  <c r="AM94" i="1"/>
  <c r="AO94" i="1" s="1"/>
  <c r="AM93" i="1"/>
  <c r="AO93" i="1" s="1"/>
  <c r="AM92" i="1"/>
  <c r="AO92" i="1" s="1"/>
  <c r="AM91" i="1"/>
  <c r="AO91" i="1" s="1"/>
  <c r="AM88" i="1"/>
  <c r="AO88" i="1" s="1"/>
  <c r="AM87" i="1"/>
  <c r="AO87" i="1" s="1"/>
  <c r="AM86" i="1"/>
  <c r="AO86" i="1" s="1"/>
  <c r="AM85" i="1"/>
  <c r="AO85" i="1" s="1"/>
  <c r="AM84" i="1"/>
  <c r="AO84" i="1" s="1"/>
  <c r="AM83" i="1"/>
  <c r="AO83" i="1" s="1"/>
  <c r="AM82" i="1"/>
  <c r="AO82" i="1" s="1"/>
  <c r="AM81" i="1"/>
  <c r="AM80" i="1"/>
  <c r="AO80" i="1" s="1"/>
  <c r="AM79" i="1"/>
  <c r="AO79" i="1" s="1"/>
  <c r="AM75" i="1"/>
  <c r="AO75" i="1" s="1"/>
  <c r="AM74" i="1"/>
  <c r="AO74" i="1" s="1"/>
  <c r="AO127" i="1" l="1"/>
  <c r="AO98" i="1"/>
  <c r="AO108" i="1"/>
  <c r="AO132" i="1"/>
  <c r="AO81" i="1"/>
  <c r="AO95" i="1"/>
  <c r="AO125" i="1"/>
  <c r="AN141" i="1"/>
  <c r="AO20" i="1"/>
  <c r="AM57" i="1"/>
  <c r="AO57" i="1" s="1"/>
  <c r="AM51" i="1"/>
  <c r="AO51" i="1" s="1"/>
  <c r="AM46" i="1"/>
  <c r="AO46" i="1" s="1"/>
  <c r="AM26" i="1"/>
  <c r="AO26" i="1" s="1"/>
  <c r="AM22" i="1"/>
  <c r="AM141" i="1" l="1"/>
  <c r="AO141" i="1" s="1"/>
  <c r="AO22" i="1"/>
</calcChain>
</file>

<file path=xl/sharedStrings.xml><?xml version="1.0" encoding="utf-8"?>
<sst xmlns="http://schemas.openxmlformats.org/spreadsheetml/2006/main" count="3317" uniqueCount="882">
  <si>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</si>
  <si>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</si>
  <si>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</si>
  <si>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</si>
  <si>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</si>
  <si>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</si>
  <si>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</si>
  <si>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</si>
  <si>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</si>
  <si>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</si>
  <si>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</si>
  <si>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</si>
  <si>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</si>
  <si>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</si>
  <si>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</si>
  <si>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</si>
  <si>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</si>
  <si>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</si>
  <si>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</si>
  <si>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</si>
  <si>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</si>
  <si>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</si>
  <si>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</si>
  <si>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</si>
  <si>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</si>
  <si>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</si>
  <si>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</si>
  <si>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</si>
  <si>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</si>
  <si>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</si>
  <si>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</si>
  <si>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</si>
  <si>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</si>
  <si>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</si>
  <si>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</si>
  <si>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</si>
  <si>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</si>
  <si>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</si>
  <si>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</si>
  <si>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</si>
  <si>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</si>
  <si>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</si>
  <si>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</si>
  <si>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</si>
  <si>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</si>
  <si>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</si>
  <si>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</si>
  <si>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</si>
  <si>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</si>
  <si>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</si>
  <si>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</si>
  <si>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</si>
  <si>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</si>
  <si>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</si>
  <si>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</si>
  <si>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</si>
  <si>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</si>
  <si>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</si>
  <si>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</si>
  <si>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</si>
  <si>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</si>
  <si>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</si>
  <si>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</si>
  <si>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Nº do Convênio/Contrato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</si>
  <si>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</si>
  <si>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</si>
  <si>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</si>
  <si>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</si>
  <si>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</si>
  <si>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</si>
  <si>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</si>
  <si>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</si>
  <si>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</si>
  <si>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</si>
  <si>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</si>
  <si>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</si>
  <si>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</si>
  <si>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</si>
  <si>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</si>
  <si>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</si>
  <si>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</si>
  <si>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</si>
  <si>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</si>
  <si>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</si>
  <si>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</si>
  <si>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</si>
  <si>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</si>
  <si>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</si>
  <si>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</si>
  <si>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</si>
  <si>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</si>
  <si>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</si>
  <si>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</si>
  <si>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</si>
  <si>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</si>
  <si>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</si>
  <si>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</si>
  <si>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</si>
  <si>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</si>
  <si>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</si>
  <si>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</si>
  <si>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</si>
  <si>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</si>
  <si>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</si>
  <si>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</si>
  <si>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</si>
  <si>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</si>
  <si>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</si>
  <si>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</si>
  <si>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</si>
  <si>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</si>
  <si>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</si>
  <si>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</si>
  <si>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</si>
  <si>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</si>
  <si>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</si>
  <si>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</si>
  <si>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</si>
  <si>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</si>
  <si>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</si>
  <si>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</si>
  <si>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</si>
  <si>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</si>
  <si>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</si>
  <si>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</si>
  <si>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</si>
  <si>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</si>
  <si>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</si>
  <si>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</si>
  <si>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</si>
  <si>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</si>
  <si>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</si>
  <si>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</si>
  <si>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</si>
  <si>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</si>
  <si>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</si>
  <si>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</si>
  <si>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</si>
  <si>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</si>
  <si>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</si>
  <si>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</si>
  <si>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</si>
  <si>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</si>
  <si>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</si>
  <si>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</si>
  <si>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</si>
  <si>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</si>
  <si>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</si>
  <si>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</si>
  <si>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</si>
  <si>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</si>
  <si>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</si>
  <si>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</si>
  <si>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</si>
  <si>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</si>
  <si>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</si>
  <si>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</si>
  <si>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</si>
  <si>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</si>
  <si>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</si>
  <si>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</si>
  <si>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</si>
  <si>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</si>
  <si>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</si>
  <si>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</si>
  <si>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</si>
  <si>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</si>
  <si>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</si>
  <si>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</si>
  <si>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</si>
  <si>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</si>
  <si>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</si>
  <si>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</si>
  <si>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</si>
  <si>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</si>
  <si>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</si>
  <si>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</si>
  <si>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</si>
  <si>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</si>
  <si>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</si>
  <si>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</si>
  <si>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</si>
  <si>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</si>
  <si>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</si>
  <si>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</si>
  <si>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</si>
  <si>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</si>
  <si>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</si>
  <si>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</si>
  <si>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</si>
  <si>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</si>
  <si>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</si>
  <si>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</si>
  <si>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</si>
  <si>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</si>
  <si>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</si>
  <si>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</si>
  <si>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</si>
  <si>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</si>
  <si>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</si>
  <si>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</si>
  <si>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</si>
  <si>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</si>
  <si>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</si>
  <si>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</si>
  <si>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</si>
  <si>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</si>
  <si>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</si>
  <si>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</si>
  <si>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</si>
  <si>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</si>
  <si>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</si>
  <si>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</si>
  <si>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</si>
  <si>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</si>
  <si>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</si>
  <si>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</si>
  <si>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</si>
  <si>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</si>
  <si>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</si>
  <si>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</si>
  <si>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</si>
  <si>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</si>
  <si>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</si>
  <si>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</si>
  <si>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</si>
  <si>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</si>
  <si>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</si>
  <si>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</si>
  <si>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</si>
  <si>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</si>
  <si>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</si>
  <si>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</si>
  <si>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</si>
  <si>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</si>
  <si>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</si>
  <si>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</si>
  <si>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</si>
  <si>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</si>
  <si>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</si>
  <si>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</si>
  <si>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</si>
  <si>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</si>
  <si>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</si>
  <si>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</si>
  <si>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</si>
  <si>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</si>
  <si>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</si>
  <si>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</si>
  <si>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</si>
  <si>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</si>
  <si>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</si>
  <si>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</si>
  <si>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</si>
  <si>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</si>
  <si>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</si>
  <si>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</si>
  <si>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</si>
  <si>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</si>
  <si>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</si>
  <si>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</si>
  <si>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</si>
  <si>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</si>
  <si>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</si>
  <si>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</si>
  <si>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</si>
  <si>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</si>
  <si>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</si>
  <si>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</si>
  <si>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</si>
  <si>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</si>
  <si>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</si>
  <si>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</si>
  <si>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</si>
  <si>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</si>
  <si>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</si>
  <si>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</si>
  <si>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</si>
  <si>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</si>
  <si>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</si>
  <si>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</si>
  <si>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</si>
  <si>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</si>
  <si>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</si>
  <si>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</si>
  <si>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</si>
  <si>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</si>
  <si>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</si>
  <si>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</si>
  <si>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</si>
  <si>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</si>
  <si>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</si>
  <si>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</si>
  <si>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</si>
  <si>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</si>
  <si>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</si>
  <si>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</si>
  <si>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</si>
  <si>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</si>
  <si>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</si>
  <si>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</si>
  <si>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</si>
  <si>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</si>
  <si>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</si>
  <si>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</si>
  <si>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</si>
  <si>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</si>
  <si>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</si>
  <si>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</si>
  <si>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</si>
  <si>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</si>
  <si>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</si>
  <si>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</si>
  <si>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</si>
  <si>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</si>
  <si>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</si>
  <si>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</si>
  <si>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</si>
  <si>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</si>
  <si>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</si>
  <si>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</si>
  <si>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</si>
  <si>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</si>
  <si>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</si>
  <si>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</si>
  <si>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</si>
  <si>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</si>
  <si>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</si>
  <si>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</si>
  <si>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</si>
  <si>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</si>
  <si>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</si>
  <si>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</si>
  <si>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</si>
  <si>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</si>
  <si>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</si>
  <si>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</si>
  <si>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</si>
  <si>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</si>
  <si>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</si>
  <si>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</si>
  <si>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</si>
  <si>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</si>
  <si>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</si>
  <si>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</si>
  <si>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</si>
  <si>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</si>
  <si>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</si>
  <si>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</si>
  <si>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</si>
  <si>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</si>
  <si>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</si>
  <si>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</si>
  <si>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</si>
  <si>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</si>
  <si>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</si>
  <si>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</si>
  <si>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</si>
  <si>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</si>
  <si>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</si>
  <si>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</si>
  <si>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</si>
  <si>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</si>
  <si>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</si>
  <si>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</si>
  <si>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</si>
  <si>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</si>
  <si>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</si>
  <si>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</si>
  <si>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</si>
  <si>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</si>
  <si>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</si>
  <si>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</si>
  <si>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</si>
  <si>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</si>
  <si>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</si>
  <si>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</si>
  <si>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</si>
  <si>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</si>
  <si>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</si>
  <si>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</si>
  <si>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</si>
  <si>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</si>
  <si>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</si>
  <si>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</si>
  <si>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</si>
  <si>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</si>
  <si>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</si>
  <si>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</si>
  <si>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</si>
  <si>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</si>
  <si>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</si>
  <si>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</si>
  <si>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</si>
  <si>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</si>
  <si>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</si>
  <si>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</si>
  <si>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</si>
  <si>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</si>
  <si>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</si>
  <si>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</si>
  <si>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</si>
  <si>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</si>
  <si>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</si>
  <si>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</si>
  <si>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</si>
  <si>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</si>
  <si>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</si>
  <si>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</si>
  <si>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</si>
  <si>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</si>
  <si>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</si>
  <si>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</si>
  <si>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</si>
  <si>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</si>
  <si>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</si>
  <si>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</si>
  <si>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</si>
  <si>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</si>
  <si>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</si>
  <si>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</si>
  <si>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</si>
  <si>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</si>
  <si>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</si>
  <si>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</si>
  <si>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</si>
  <si>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</si>
  <si>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</si>
  <si>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</si>
  <si>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</si>
  <si>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</si>
  <si>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</si>
  <si>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</si>
  <si>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</si>
  <si>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</si>
  <si>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</si>
  <si>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</si>
  <si>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</si>
  <si>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</si>
  <si>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</si>
  <si>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</si>
  <si>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</si>
  <si>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</si>
  <si>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</si>
  <si>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</si>
  <si>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</si>
  <si>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</si>
  <si>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</si>
  <si>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</si>
  <si>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</si>
  <si>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</si>
  <si>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</si>
  <si>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</si>
  <si>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</si>
  <si>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</si>
  <si>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</si>
  <si>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</si>
  <si>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</si>
  <si>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</si>
  <si>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</si>
  <si>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</si>
  <si>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</si>
  <si>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</si>
  <si>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</si>
  <si>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</si>
  <si>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</si>
  <si>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</si>
  <si>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</si>
  <si>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</si>
  <si>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</si>
  <si>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</si>
  <si>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</si>
  <si>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</si>
  <si>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</si>
  <si>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</si>
  <si>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</si>
  <si>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</si>
  <si>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</si>
  <si>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</si>
  <si>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</si>
  <si>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</si>
  <si>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</si>
  <si>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</si>
  <si>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</si>
  <si>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</si>
  <si>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</si>
  <si>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</si>
  <si>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</si>
  <si>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</si>
  <si>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</si>
  <si>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</si>
  <si>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</si>
  <si>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</si>
  <si>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</si>
  <si>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</si>
  <si>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</si>
  <si>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</si>
  <si>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</si>
  <si>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</si>
  <si>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</si>
  <si>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</si>
  <si>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</si>
  <si>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</si>
  <si>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</si>
  <si>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</si>
  <si>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</si>
  <si>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</si>
  <si>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</si>
  <si>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</si>
  <si>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</si>
  <si>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</si>
  <si>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</si>
  <si>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</si>
  <si>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</si>
  <si>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</si>
  <si>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</si>
  <si>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</si>
  <si>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</si>
  <si>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</si>
  <si>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</si>
  <si>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</si>
  <si>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</si>
  <si>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</si>
  <si>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</si>
  <si>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</si>
  <si>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</si>
  <si>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</si>
  <si>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</si>
  <si>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</si>
  <si>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</si>
  <si>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</si>
  <si>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</si>
  <si>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</si>
  <si>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</si>
  <si>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</si>
  <si>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</si>
  <si>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</si>
  <si>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</si>
  <si>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</si>
  <si>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</si>
  <si>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</si>
  <si>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</si>
  <si>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</si>
  <si>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</si>
  <si>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</si>
  <si>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</si>
  <si>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</si>
  <si>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</si>
  <si>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</si>
  <si>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</si>
  <si>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</si>
  <si>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</si>
  <si>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</si>
  <si>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</si>
  <si>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</si>
  <si>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</si>
  <si>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</si>
  <si>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</si>
  <si>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</si>
  <si>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</si>
  <si>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</si>
  <si>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</si>
  <si>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</si>
  <si>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</si>
  <si>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</si>
  <si>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</si>
  <si>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</si>
  <si>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</si>
  <si>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</si>
  <si>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</si>
  <si>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</si>
  <si>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</si>
  <si>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</si>
  <si>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</si>
  <si>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</si>
  <si>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</si>
  <si>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</si>
  <si>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</si>
  <si>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</si>
  <si>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</si>
  <si>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</si>
  <si>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</si>
  <si>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</si>
  <si>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</si>
  <si>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</si>
  <si>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</si>
  <si>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</si>
  <si>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</si>
  <si>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</si>
  <si>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</si>
  <si>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</si>
  <si>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</si>
  <si>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</si>
  <si>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</si>
  <si>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</si>
  <si>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</si>
  <si>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</si>
  <si>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</si>
  <si>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</si>
  <si>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</si>
  <si>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</si>
  <si>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</si>
  <si>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</si>
  <si>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</si>
  <si>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</si>
  <si>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</si>
  <si>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</si>
  <si>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</si>
  <si>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</si>
  <si>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</si>
  <si>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</si>
  <si>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</si>
  <si>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</si>
  <si>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</si>
  <si>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</si>
  <si>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</si>
  <si>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</si>
  <si>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</si>
  <si>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</si>
  <si>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</si>
  <si>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</si>
  <si>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</si>
  <si>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</si>
  <si>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</si>
  <si>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</si>
  <si>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</si>
  <si>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</si>
  <si>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</si>
  <si>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</si>
  <si>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</si>
  <si>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</si>
  <si>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</si>
  <si>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</si>
  <si>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</si>
  <si>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</si>
  <si>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</si>
  <si>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</si>
  <si>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</si>
  <si>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</si>
  <si>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</si>
  <si>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</si>
  <si>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</si>
  <si>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</si>
  <si>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</si>
  <si>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</si>
  <si>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</si>
  <si>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</si>
  <si>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</si>
  <si>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</si>
  <si>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</si>
  <si>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</si>
  <si>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</si>
  <si>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</si>
  <si>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</si>
  <si>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</si>
  <si>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</si>
  <si>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</si>
  <si>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</si>
  <si>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</si>
  <si>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</si>
  <si>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</si>
  <si>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</si>
  <si>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</si>
  <si>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</si>
  <si>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</si>
  <si>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</si>
  <si>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</si>
  <si>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</si>
  <si>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</si>
  <si>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</si>
  <si>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</si>
  <si>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</si>
  <si>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</si>
  <si>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</si>
  <si>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</si>
  <si>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</si>
  <si>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</si>
  <si>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</si>
  <si>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</si>
  <si>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</si>
  <si>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</si>
  <si>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</si>
  <si>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</si>
  <si>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</si>
  <si>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</si>
  <si>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</si>
  <si>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</si>
  <si>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</si>
  <si>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</si>
  <si>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</si>
  <si>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</si>
  <si>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</si>
  <si>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</si>
  <si>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</si>
  <si>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</si>
  <si>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</si>
  <si>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</si>
  <si>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</si>
  <si>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</si>
  <si>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</si>
  <si>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</si>
  <si>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</si>
  <si>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</si>
  <si>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</si>
  <si>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</si>
  <si>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</si>
  <si>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</si>
  <si>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</si>
  <si>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</si>
  <si>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</si>
  <si>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</si>
  <si>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</si>
  <si>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</si>
  <si>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</si>
  <si>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</si>
  <si>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</si>
  <si>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</si>
  <si>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</si>
  <si>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</si>
  <si>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</si>
  <si>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</si>
  <si>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</si>
  <si>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</si>
  <si>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</si>
  <si>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</si>
  <si>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</si>
  <si>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</si>
  <si>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</si>
  <si>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</si>
  <si>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</si>
  <si>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</si>
  <si>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</si>
  <si>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</si>
  <si>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</si>
  <si>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</si>
  <si>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</si>
  <si>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</si>
  <si>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</si>
  <si>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</si>
  <si>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</si>
  <si>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</si>
  <si>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</si>
  <si>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</si>
  <si>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</si>
  <si>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</si>
  <si>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</si>
  <si>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</si>
  <si>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</si>
  <si>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</si>
  <si>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</si>
  <si>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</si>
  <si>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</si>
  <si>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</si>
  <si>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</si>
  <si>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</si>
  <si>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</si>
  <si>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</si>
  <si>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</si>
  <si>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</si>
  <si>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</si>
  <si>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</si>
  <si>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</si>
  <si>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</si>
  <si>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</si>
  <si>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</si>
  <si>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</si>
  <si>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</si>
  <si>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</si>
  <si>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</si>
  <si>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</si>
  <si>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</si>
  <si>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</si>
  <si>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</si>
  <si>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</si>
  <si>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</si>
  <si>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</si>
  <si>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</si>
  <si>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</si>
  <si>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</si>
  <si>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</si>
  <si>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</si>
  <si>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</si>
  <si>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</si>
  <si>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</si>
  <si>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</si>
  <si>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</si>
  <si>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</si>
  <si>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</si>
  <si>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</si>
  <si>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</si>
  <si>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</si>
  <si>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</si>
  <si>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</si>
  <si>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</si>
  <si>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</si>
  <si>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</si>
  <si>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</si>
  <si>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</si>
  <si>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</si>
  <si>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</si>
  <si>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</si>
  <si>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</si>
  <si>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</si>
  <si>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</si>
  <si>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</si>
  <si>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</si>
  <si>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</si>
  <si>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</si>
  <si>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</si>
  <si>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</si>
  <si>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</si>
  <si>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</si>
  <si>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</si>
  <si>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</si>
  <si>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</si>
  <si>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</si>
  <si>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</si>
  <si>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</si>
  <si>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</si>
  <si>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</si>
  <si>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</si>
  <si>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</si>
  <si>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</si>
  <si>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</si>
  <si>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</si>
  <si>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</si>
  <si>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</si>
  <si>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</si>
  <si>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</si>
  <si>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</si>
  <si>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</si>
  <si>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</si>
  <si>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</si>
  <si>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</si>
  <si>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</si>
  <si>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13.13.452</t>
  </si>
  <si>
    <t xml:space="preserve"> Executado no Exercício 2023</t>
  </si>
  <si>
    <t>Executado até o exercício anterior 2022</t>
  </si>
  <si>
    <t>PRAZO/REAJUSTE</t>
  </si>
  <si>
    <t>.116</t>
  </si>
  <si>
    <t>ATA N° 045/2021</t>
  </si>
  <si>
    <t>060/2022</t>
  </si>
  <si>
    <t>GABBY MALHARIA LTDA</t>
  </si>
  <si>
    <t>03.978.576/0001-16</t>
  </si>
  <si>
    <t>.117</t>
  </si>
  <si>
    <t>045/2022</t>
  </si>
  <si>
    <t>ATA N° 024/2021</t>
  </si>
  <si>
    <t>PREGÃO Nº 034/2021</t>
  </si>
  <si>
    <t>PROCESSO N ° 017/2022</t>
  </si>
  <si>
    <t>05.340.639/0001-30</t>
  </si>
  <si>
    <t>101,106 e 118</t>
  </si>
  <si>
    <t>.118</t>
  </si>
  <si>
    <t>092/2022</t>
  </si>
  <si>
    <t>ATA N° 018/2022</t>
  </si>
  <si>
    <t>PROCESSO N ° 102/2022</t>
  </si>
  <si>
    <t>H. J. RODRIGUES</t>
  </si>
  <si>
    <t>00.531.615/0001-44</t>
  </si>
  <si>
    <t>.119</t>
  </si>
  <si>
    <t>014/2022</t>
  </si>
  <si>
    <t>ATA N° 020/2021</t>
  </si>
  <si>
    <t>.120</t>
  </si>
  <si>
    <t>084/2022</t>
  </si>
  <si>
    <t>ATA N° 011/2021</t>
  </si>
  <si>
    <t>.121</t>
  </si>
  <si>
    <t>071/2022</t>
  </si>
  <si>
    <t>PROCESSO N ° 189/2022</t>
  </si>
  <si>
    <t>047/2020</t>
  </si>
  <si>
    <t>ATA N° 003/2020</t>
  </si>
  <si>
    <t>PROCESSO N ° 292/2019</t>
  </si>
  <si>
    <t>PARAISO AMBIENTES IMPORTAÇÃO E EXPORTAÇÃO LTDA</t>
  </si>
  <si>
    <t>05.493.311/0001-53</t>
  </si>
  <si>
    <t>101,106,110 e 117</t>
  </si>
  <si>
    <t>101,106 e 127</t>
  </si>
  <si>
    <t>3.3.90.32.00 3.3.90.30.00</t>
  </si>
  <si>
    <t>Data da emissão 04/04/2023</t>
  </si>
  <si>
    <t>PRESTAÇÃO DE CONTAS MENSAL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</si>
  <si>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ASSISTENCIA SOCIAL  - FMAS</t>
    </r>
  </si>
  <si>
    <r>
      <t xml:space="preserve">DATA DA ÚLTIMA ATUALIZAÇÃO:  </t>
    </r>
    <r>
      <rPr>
        <b/>
        <sz val="11"/>
        <rFont val="Calibri"/>
        <family val="2"/>
        <scheme val="minor"/>
      </rPr>
      <t>JANEIRO A MARÇO/2023</t>
    </r>
  </si>
  <si>
    <t>Seq.</t>
  </si>
  <si>
    <t>TOTAL</t>
  </si>
  <si>
    <t>Nome do responsável pela elaboração: Ailton José Blazute Braga - Gerente Financeiro - SASDH</t>
  </si>
  <si>
    <t>Nome do responsável pelo Órgão: Marfisa de Lima Galvão  - Secretaria Munícipal de Assistencia Social e Direitos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</si>
</sst>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5" formatCode="_(* #,##0.00_);_(* \(#,##0.00\);_(* &quot;-&quot;??_);_(@_)"/>
    <numFmt numFmtId="168" formatCode="0.0000%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44" fontId="1" fillId="0" borderId="0" xfId="2" applyFont="1" applyFill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5" fillId="0" borderId="4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 wrapText="1"/>
    </xf>
    <xf numFmtId="3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44" fontId="4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 wrapText="1"/>
    </xf>
    <xf numFmtId="44" fontId="4" fillId="0" borderId="2" xfId="2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44" fontId="5" fillId="0" borderId="18" xfId="2" applyFont="1" applyFill="1" applyBorder="1" applyAlignment="1">
      <alignment horizontal="right" vertical="center" wrapText="1"/>
    </xf>
    <xf numFmtId="44" fontId="5" fillId="0" borderId="18" xfId="2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vertical="center" wrapText="1"/>
    </xf>
    <xf numFmtId="44" fontId="5" fillId="0" borderId="19" xfId="2" applyFont="1" applyFill="1" applyBorder="1" applyAlignment="1">
      <alignment vertical="center" wrapText="1"/>
    </xf>
    <xf numFmtId="44" fontId="5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4" fontId="1" fillId="0" borderId="0" xfId="2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4" fontId="5" fillId="0" borderId="29" xfId="2" applyFont="1" applyFill="1" applyBorder="1" applyAlignment="1">
      <alignment horizontal="center" vertical="center" wrapText="1"/>
    </xf>
    <xf numFmtId="44" fontId="5" fillId="0" borderId="30" xfId="2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4" fontId="5" fillId="0" borderId="32" xfId="2" applyFont="1" applyFill="1" applyBorder="1" applyAlignment="1">
      <alignment horizontal="center" vertical="center" wrapText="1"/>
    </xf>
    <xf numFmtId="44" fontId="5" fillId="0" borderId="33" xfId="2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318105</xdr:colOff>
      <xdr:row>0</xdr:row>
      <xdr:rowOff>52387</xdr:rowOff>
    </xdr:from>
    <xdr:to>
      <xdr:col>1</xdr:col>
      <xdr:colOff>828674</xdr:colOff>
      <xdr:row>2</xdr:row>
      <xdr:rowOff>161924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30" y="52387"/>
          <a:ext cx="510569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1"/>
  <sheetViews>
    <sheetView tabSelected="1" zoomScaleNormal="100" zoomScaleSheetLayoutView="50" workbookViewId="0">
      <selection activeCell="B149" sqref="B149"/>
    </sheetView>
  </sheetViews>
  <sheetFormatPr defaultRowHeight="12.75" x14ac:dyDescent="0.25"/>
  <cols>
    <col min="1" max="1" width="7" style="2" customWidth="1"/>
    <col min="2" max="2" width="30.42578125" style="2" bestFit="1" customWidth="1"/>
    <col min="3" max="3" width="42.140625" style="2" bestFit="1" customWidth="1"/>
    <col min="4" max="4" width="10.140625" style="2" bestFit="1" customWidth="1"/>
    <col min="5" max="5" width="4.28515625" style="2" bestFit="1" customWidth="1"/>
    <col min="6" max="6" width="55.7109375" style="2" customWidth="1"/>
    <col min="7" max="7" width="13.7109375" style="2" customWidth="1"/>
    <col min="8" max="8" width="19.28515625" style="2" customWidth="1"/>
    <col min="9" max="9" width="10.42578125" style="2" bestFit="1" customWidth="1"/>
    <col min="10" max="10" width="13.140625" style="2" bestFit="1" customWidth="1"/>
    <col min="11" max="11" width="10.5703125" style="51" bestFit="1" customWidth="1"/>
    <col min="12" max="12" width="44.7109375" style="57" customWidth="1"/>
    <col min="13" max="13" width="17.7109375" style="3" customWidth="1"/>
    <col min="14" max="14" width="15.28515625" style="2" bestFit="1" customWidth="1"/>
    <col min="15" max="15" width="15.7109375" style="69" bestFit="1" customWidth="1"/>
    <col min="16" max="16" width="15" style="2" customWidth="1"/>
    <col min="17" max="17" width="17" style="2" customWidth="1"/>
    <col min="18" max="18" width="18.140625" style="2" customWidth="1"/>
    <col min="19" max="19" width="15.5703125" style="2" customWidth="1"/>
    <col min="20" max="20" width="12" style="2" customWidth="1"/>
    <col min="21" max="21" width="10.5703125" style="2" customWidth="1"/>
    <col min="22" max="22" width="11.85546875" style="69" bestFit="1" customWidth="1"/>
    <col min="23" max="23" width="14.7109375" style="2" customWidth="1"/>
    <col min="24" max="24" width="4.28515625" style="2" bestFit="1" customWidth="1"/>
    <col min="25" max="25" width="9" style="2" customWidth="1"/>
    <col min="26" max="26" width="14.28515625" style="2" customWidth="1"/>
    <col min="27" max="27" width="13.7109375" style="2" customWidth="1"/>
    <col min="28" max="28" width="16.5703125" style="2" bestFit="1" customWidth="1"/>
    <col min="29" max="30" width="10.42578125" style="2" bestFit="1" customWidth="1"/>
    <col min="31" max="31" width="14.28515625" style="2" customWidth="1"/>
    <col min="32" max="32" width="10.5703125" style="2" customWidth="1"/>
    <col min="33" max="33" width="9.7109375" style="69" bestFit="1" customWidth="1"/>
    <col min="34" max="34" width="8.7109375" style="69" bestFit="1" customWidth="1"/>
    <col min="35" max="35" width="11.85546875" style="2" customWidth="1"/>
    <col min="36" max="36" width="7.42578125" style="2" bestFit="1" customWidth="1"/>
    <col min="37" max="37" width="8" style="69" bestFit="1" customWidth="1"/>
    <col min="38" max="38" width="23.5703125" style="69" customWidth="1"/>
    <col min="39" max="39" width="16.7109375" style="69" customWidth="1"/>
    <col min="40" max="40" width="14.7109375" style="69" bestFit="1" customWidth="1"/>
    <col min="41" max="41" width="15.7109375" style="69" bestFit="1" customWidth="1"/>
    <col min="42" max="42" width="9.140625" style="2"/>
    <col min="43" max="43" width="9.140625" style="2" customWidth="1"/>
    <col min="44" max="16384" width="9.140625" style="2"/>
  </cols>
  <sheetData>
    <row r="1" spans="1:41" s="53" customFormat="1" ht="15" x14ac:dyDescent="0.25">
      <c r="F1" s="55"/>
      <c r="K1" s="54"/>
      <c r="L1" s="60"/>
      <c r="O1" s="64"/>
      <c r="V1" s="64"/>
      <c r="AG1" s="64"/>
      <c r="AH1" s="64"/>
      <c r="AK1" s="64"/>
      <c r="AL1" s="64"/>
      <c r="AM1" s="64"/>
      <c r="AN1" s="64"/>
      <c r="AO1" s="64"/>
    </row>
    <row r="2" spans="1:41" s="53" customFormat="1" ht="15" x14ac:dyDescent="0.25">
      <c r="F2" s="55"/>
      <c r="K2" s="54"/>
      <c r="L2" s="60"/>
      <c r="O2" s="64"/>
      <c r="V2" s="64"/>
      <c r="AG2" s="64"/>
      <c r="AH2" s="64"/>
      <c r="AK2" s="64"/>
      <c r="AL2" s="64"/>
      <c r="AM2" s="64"/>
      <c r="AN2" s="64"/>
      <c r="AO2" s="64"/>
    </row>
    <row r="3" spans="1:41" s="53" customFormat="1" ht="15" x14ac:dyDescent="0.25">
      <c r="F3" s="55"/>
      <c r="K3" s="54"/>
      <c r="L3" s="60"/>
      <c r="O3" s="64"/>
      <c r="V3" s="64"/>
      <c r="AG3" s="64"/>
      <c r="AH3" s="64"/>
      <c r="AK3" s="64"/>
      <c r="AL3" s="64"/>
      <c r="AM3" s="64"/>
      <c r="AN3" s="64"/>
      <c r="AO3" s="64"/>
    </row>
    <row r="4" spans="1:41" s="53" customFormat="1" ht="15" x14ac:dyDescent="0.25">
      <c r="A4" s="54" t="s">
        <v>50</v>
      </c>
      <c r="F4" s="55"/>
      <c r="K4" s="54"/>
      <c r="L4" s="60"/>
      <c r="O4" s="64"/>
      <c r="V4" s="64"/>
      <c r="AG4" s="64"/>
      <c r="AH4" s="64"/>
      <c r="AK4" s="64"/>
      <c r="AL4" s="64"/>
      <c r="AM4" s="64"/>
      <c r="AN4" s="64"/>
      <c r="AO4" s="64"/>
    </row>
    <row r="5" spans="1:41" s="53" customFormat="1" ht="15" x14ac:dyDescent="0.25">
      <c r="A5" s="54"/>
      <c r="F5" s="55"/>
      <c r="K5" s="54"/>
      <c r="L5" s="60"/>
      <c r="O5" s="64"/>
      <c r="V5" s="64"/>
      <c r="AG5" s="64"/>
      <c r="AH5" s="64"/>
      <c r="AK5" s="64"/>
      <c r="AL5" s="64"/>
      <c r="AM5" s="64"/>
      <c r="AN5" s="64"/>
      <c r="AO5" s="64"/>
    </row>
    <row r="6" spans="1:41" s="53" customFormat="1" ht="15" x14ac:dyDescent="0.25">
      <c r="A6" s="54" t="s">
        <v>875</v>
      </c>
      <c r="F6" s="55"/>
      <c r="K6" s="54"/>
      <c r="L6" s="60"/>
      <c r="O6" s="64"/>
      <c r="V6" s="64"/>
      <c r="AG6" s="64"/>
      <c r="AH6" s="64"/>
      <c r="AK6" s="64"/>
      <c r="AL6" s="64"/>
      <c r="AM6" s="64"/>
      <c r="AN6" s="64"/>
      <c r="AO6" s="64"/>
    </row>
    <row r="7" spans="1:41" s="53" customFormat="1" ht="15" x14ac:dyDescent="0.25">
      <c r="A7" s="53" t="s">
        <v>64</v>
      </c>
      <c r="F7" s="55"/>
      <c r="K7" s="54"/>
      <c r="L7" s="60"/>
      <c r="O7" s="64"/>
      <c r="V7" s="64"/>
      <c r="AG7" s="64"/>
      <c r="AH7" s="64"/>
      <c r="AK7" s="64"/>
      <c r="AL7" s="64"/>
      <c r="AM7" s="64"/>
      <c r="AN7" s="64"/>
      <c r="AO7" s="64"/>
    </row>
    <row r="8" spans="1:41" s="53" customFormat="1" ht="15" x14ac:dyDescent="0.25">
      <c r="A8" s="53" t="s">
        <v>85</v>
      </c>
      <c r="F8" s="55"/>
      <c r="K8" s="54"/>
      <c r="L8" s="60"/>
      <c r="O8" s="64"/>
      <c r="V8" s="64"/>
      <c r="AG8" s="64"/>
      <c r="AH8" s="64"/>
      <c r="AK8" s="64"/>
      <c r="AL8" s="64"/>
      <c r="AM8" s="64"/>
      <c r="AN8" s="64"/>
      <c r="AO8" s="64"/>
    </row>
    <row r="9" spans="1:41" s="53" customFormat="1" ht="15" x14ac:dyDescent="0.25">
      <c r="F9" s="55"/>
      <c r="K9" s="54"/>
      <c r="L9" s="60"/>
      <c r="O9" s="64"/>
      <c r="V9" s="64"/>
      <c r="AG9" s="64"/>
      <c r="AH9" s="64"/>
      <c r="AK9" s="64"/>
      <c r="AL9" s="64"/>
      <c r="AM9" s="64"/>
      <c r="AN9" s="64"/>
      <c r="AO9" s="64"/>
    </row>
    <row r="10" spans="1:41" s="53" customFormat="1" ht="15" x14ac:dyDescent="0.25">
      <c r="A10" s="53" t="s">
        <v>876</v>
      </c>
      <c r="F10" s="55"/>
      <c r="K10" s="54"/>
      <c r="L10" s="60"/>
      <c r="O10" s="64"/>
      <c r="V10" s="64"/>
      <c r="AG10" s="64"/>
      <c r="AH10" s="64"/>
      <c r="AK10" s="64"/>
      <c r="AL10" s="64"/>
      <c r="AM10" s="64"/>
      <c r="AN10" s="64"/>
      <c r="AO10" s="64"/>
    </row>
    <row r="11" spans="1:41" s="53" customFormat="1" ht="15" x14ac:dyDescent="0.25">
      <c r="A11" s="53" t="s">
        <v>877</v>
      </c>
      <c r="F11" s="55"/>
      <c r="K11" s="54"/>
      <c r="L11" s="60"/>
      <c r="O11" s="64"/>
      <c r="V11" s="64"/>
      <c r="AG11" s="64"/>
      <c r="AH11" s="64"/>
      <c r="AK11" s="64"/>
      <c r="AL11" s="64"/>
      <c r="AM11" s="64"/>
      <c r="AN11" s="64"/>
      <c r="AO11" s="64"/>
    </row>
    <row r="12" spans="1:41" s="53" customFormat="1" ht="15" x14ac:dyDescent="0.25">
      <c r="F12" s="55"/>
      <c r="K12" s="54"/>
      <c r="L12" s="60"/>
      <c r="O12" s="64"/>
      <c r="V12" s="64"/>
      <c r="AG12" s="64"/>
      <c r="AH12" s="64"/>
      <c r="AK12" s="64"/>
      <c r="AL12" s="64"/>
      <c r="AM12" s="64"/>
      <c r="AN12" s="64"/>
      <c r="AO12" s="64"/>
    </row>
    <row r="13" spans="1:41" s="53" customFormat="1" ht="15.75" thickBot="1" x14ac:dyDescent="0.3">
      <c r="A13" s="96" t="s">
        <v>62</v>
      </c>
      <c r="B13" s="97"/>
      <c r="C13" s="97"/>
      <c r="D13" s="97"/>
      <c r="E13" s="97"/>
      <c r="F13" s="98"/>
      <c r="G13" s="97"/>
      <c r="H13" s="97"/>
      <c r="I13" s="97"/>
      <c r="J13" s="97"/>
      <c r="K13" s="96"/>
      <c r="L13" s="99"/>
      <c r="M13" s="97"/>
      <c r="N13" s="97"/>
      <c r="O13" s="100"/>
      <c r="P13" s="97"/>
      <c r="Q13" s="97"/>
      <c r="R13" s="97"/>
      <c r="S13" s="97"/>
      <c r="T13" s="97"/>
      <c r="U13" s="97"/>
      <c r="V13" s="100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100"/>
      <c r="AH13" s="100"/>
      <c r="AI13" s="97"/>
      <c r="AJ13" s="97"/>
      <c r="AK13" s="100"/>
      <c r="AL13" s="100"/>
      <c r="AM13" s="100"/>
      <c r="AN13" s="100"/>
      <c r="AO13" s="100"/>
    </row>
    <row r="14" spans="1:41" x14ac:dyDescent="0.25">
      <c r="A14" s="112" t="s">
        <v>878</v>
      </c>
      <c r="B14" s="113" t="s">
        <v>21</v>
      </c>
      <c r="C14" s="114"/>
      <c r="D14" s="114"/>
      <c r="E14" s="114"/>
      <c r="F14" s="114"/>
      <c r="G14" s="115"/>
      <c r="H14" s="116"/>
      <c r="I14" s="116"/>
      <c r="J14" s="116"/>
      <c r="K14" s="117" t="s">
        <v>128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9"/>
    </row>
    <row r="15" spans="1:41" x14ac:dyDescent="0.25">
      <c r="A15" s="120"/>
      <c r="B15" s="12"/>
      <c r="C15" s="121"/>
      <c r="D15" s="121"/>
      <c r="E15" s="121"/>
      <c r="F15" s="121"/>
      <c r="G15" s="13"/>
      <c r="H15" s="9" t="s">
        <v>82</v>
      </c>
      <c r="I15" s="10"/>
      <c r="J15" s="11"/>
      <c r="K15" s="5" t="s">
        <v>51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  <c r="X15" s="9" t="s">
        <v>74</v>
      </c>
      <c r="Y15" s="10"/>
      <c r="Z15" s="10"/>
      <c r="AA15" s="10"/>
      <c r="AB15" s="10"/>
      <c r="AC15" s="10"/>
      <c r="AD15" s="10"/>
      <c r="AE15" s="10"/>
      <c r="AF15" s="10"/>
      <c r="AG15" s="10"/>
      <c r="AH15" s="11"/>
      <c r="AI15" s="9" t="s">
        <v>66</v>
      </c>
      <c r="AJ15" s="10"/>
      <c r="AK15" s="11"/>
      <c r="AL15" s="70" t="s">
        <v>52</v>
      </c>
      <c r="AM15" s="71"/>
      <c r="AN15" s="71"/>
      <c r="AO15" s="122"/>
    </row>
    <row r="16" spans="1:41" x14ac:dyDescent="0.25">
      <c r="A16" s="120"/>
      <c r="B16" s="14"/>
      <c r="C16" s="15"/>
      <c r="D16" s="15"/>
      <c r="E16" s="15"/>
      <c r="F16" s="15"/>
      <c r="G16" s="16"/>
      <c r="H16" s="17" t="s">
        <v>80</v>
      </c>
      <c r="I16" s="9" t="s">
        <v>81</v>
      </c>
      <c r="J16" s="11"/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9"/>
      <c r="Y16" s="10"/>
      <c r="Z16" s="10"/>
      <c r="AA16" s="10"/>
      <c r="AB16" s="11"/>
      <c r="AC16" s="9" t="s">
        <v>65</v>
      </c>
      <c r="AD16" s="11"/>
      <c r="AE16" s="9" t="s">
        <v>68</v>
      </c>
      <c r="AF16" s="10"/>
      <c r="AG16" s="10"/>
      <c r="AH16" s="11"/>
      <c r="AI16" s="9" t="s">
        <v>67</v>
      </c>
      <c r="AJ16" s="10"/>
      <c r="AK16" s="11"/>
      <c r="AL16" s="65"/>
      <c r="AM16" s="70" t="s">
        <v>75</v>
      </c>
      <c r="AN16" s="71"/>
      <c r="AO16" s="122"/>
    </row>
    <row r="17" spans="1:41" ht="38.25" x14ac:dyDescent="0.25">
      <c r="A17" s="120"/>
      <c r="B17" s="8" t="s">
        <v>6</v>
      </c>
      <c r="C17" s="8" t="s">
        <v>7</v>
      </c>
      <c r="D17" s="8" t="s">
        <v>0</v>
      </c>
      <c r="E17" s="8" t="s">
        <v>1</v>
      </c>
      <c r="F17" s="8" t="s">
        <v>2</v>
      </c>
      <c r="G17" s="8" t="s">
        <v>8</v>
      </c>
      <c r="H17" s="18"/>
      <c r="I17" s="8" t="s">
        <v>133</v>
      </c>
      <c r="J17" s="8" t="s">
        <v>134</v>
      </c>
      <c r="K17" s="19" t="s">
        <v>9</v>
      </c>
      <c r="L17" s="8" t="s">
        <v>3</v>
      </c>
      <c r="M17" s="8" t="s">
        <v>19</v>
      </c>
      <c r="N17" s="8" t="s">
        <v>10</v>
      </c>
      <c r="O17" s="65" t="s">
        <v>48</v>
      </c>
      <c r="P17" s="8" t="s">
        <v>14</v>
      </c>
      <c r="Q17" s="8" t="s">
        <v>135</v>
      </c>
      <c r="R17" s="8" t="s">
        <v>136</v>
      </c>
      <c r="S17" s="8" t="s">
        <v>4</v>
      </c>
      <c r="T17" s="8" t="s">
        <v>63</v>
      </c>
      <c r="U17" s="8" t="s">
        <v>53</v>
      </c>
      <c r="V17" s="65" t="s">
        <v>54</v>
      </c>
      <c r="W17" s="8" t="s">
        <v>5</v>
      </c>
      <c r="X17" s="8" t="s">
        <v>1</v>
      </c>
      <c r="Y17" s="8" t="s">
        <v>77</v>
      </c>
      <c r="Z17" s="8" t="s">
        <v>137</v>
      </c>
      <c r="AA17" s="8" t="s">
        <v>14</v>
      </c>
      <c r="AB17" s="8" t="s">
        <v>11</v>
      </c>
      <c r="AC17" s="8" t="s">
        <v>13</v>
      </c>
      <c r="AD17" s="8" t="s">
        <v>12</v>
      </c>
      <c r="AE17" s="8" t="s">
        <v>15</v>
      </c>
      <c r="AF17" s="8" t="s">
        <v>16</v>
      </c>
      <c r="AG17" s="65" t="s">
        <v>17</v>
      </c>
      <c r="AH17" s="65" t="s">
        <v>18</v>
      </c>
      <c r="AI17" s="8" t="s">
        <v>73</v>
      </c>
      <c r="AJ17" s="8" t="s">
        <v>72</v>
      </c>
      <c r="AK17" s="65" t="s">
        <v>71</v>
      </c>
      <c r="AL17" s="65" t="s">
        <v>22</v>
      </c>
      <c r="AM17" s="65" t="s">
        <v>837</v>
      </c>
      <c r="AN17" s="65" t="s">
        <v>836</v>
      </c>
      <c r="AO17" s="123" t="s">
        <v>20</v>
      </c>
    </row>
    <row r="18" spans="1:41" ht="13.5" thickBot="1" x14ac:dyDescent="0.3">
      <c r="A18" s="124"/>
      <c r="B18" s="125" t="s">
        <v>23</v>
      </c>
      <c r="C18" s="125" t="s">
        <v>24</v>
      </c>
      <c r="D18" s="126" t="s">
        <v>47</v>
      </c>
      <c r="E18" s="125" t="s">
        <v>25</v>
      </c>
      <c r="F18" s="125" t="s">
        <v>26</v>
      </c>
      <c r="G18" s="125" t="s">
        <v>27</v>
      </c>
      <c r="H18" s="125" t="s">
        <v>28</v>
      </c>
      <c r="I18" s="125" t="s">
        <v>29</v>
      </c>
      <c r="J18" s="125" t="s">
        <v>30</v>
      </c>
      <c r="K18" s="126" t="s">
        <v>31</v>
      </c>
      <c r="L18" s="125" t="s">
        <v>32</v>
      </c>
      <c r="M18" s="125" t="s">
        <v>33</v>
      </c>
      <c r="N18" s="125" t="s">
        <v>34</v>
      </c>
      <c r="O18" s="127" t="s">
        <v>35</v>
      </c>
      <c r="P18" s="125" t="s">
        <v>36</v>
      </c>
      <c r="Q18" s="125" t="s">
        <v>37</v>
      </c>
      <c r="R18" s="125" t="s">
        <v>38</v>
      </c>
      <c r="S18" s="125" t="s">
        <v>49</v>
      </c>
      <c r="T18" s="125" t="s">
        <v>39</v>
      </c>
      <c r="U18" s="125" t="s">
        <v>76</v>
      </c>
      <c r="V18" s="127" t="s">
        <v>40</v>
      </c>
      <c r="W18" s="125" t="s">
        <v>41</v>
      </c>
      <c r="X18" s="125" t="s">
        <v>42</v>
      </c>
      <c r="Y18" s="125" t="s">
        <v>43</v>
      </c>
      <c r="Z18" s="125" t="s">
        <v>44</v>
      </c>
      <c r="AA18" s="125" t="s">
        <v>45</v>
      </c>
      <c r="AB18" s="125" t="s">
        <v>55</v>
      </c>
      <c r="AC18" s="125" t="s">
        <v>46</v>
      </c>
      <c r="AD18" s="125" t="s">
        <v>78</v>
      </c>
      <c r="AE18" s="125" t="s">
        <v>69</v>
      </c>
      <c r="AF18" s="125" t="s">
        <v>56</v>
      </c>
      <c r="AG18" s="127" t="s">
        <v>70</v>
      </c>
      <c r="AH18" s="127" t="s">
        <v>79</v>
      </c>
      <c r="AI18" s="125" t="s">
        <v>57</v>
      </c>
      <c r="AJ18" s="125" t="s">
        <v>58</v>
      </c>
      <c r="AK18" s="127" t="s">
        <v>59</v>
      </c>
      <c r="AL18" s="127" t="s">
        <v>84</v>
      </c>
      <c r="AM18" s="127" t="s">
        <v>60</v>
      </c>
      <c r="AN18" s="127" t="s">
        <v>61</v>
      </c>
      <c r="AO18" s="128" t="s">
        <v>83</v>
      </c>
    </row>
    <row r="19" spans="1:41" ht="25.5" x14ac:dyDescent="0.25">
      <c r="A19" s="101" t="s">
        <v>324</v>
      </c>
      <c r="B19" s="101" t="s">
        <v>89</v>
      </c>
      <c r="C19" s="101" t="s">
        <v>90</v>
      </c>
      <c r="D19" s="102" t="s">
        <v>88</v>
      </c>
      <c r="E19" s="102" t="s">
        <v>87</v>
      </c>
      <c r="F19" s="103" t="s">
        <v>179</v>
      </c>
      <c r="G19" s="101" t="s">
        <v>132</v>
      </c>
      <c r="H19" s="101" t="s">
        <v>132</v>
      </c>
      <c r="I19" s="101" t="s">
        <v>132</v>
      </c>
      <c r="J19" s="101" t="s">
        <v>132</v>
      </c>
      <c r="K19" s="104" t="s">
        <v>95</v>
      </c>
      <c r="L19" s="105" t="s">
        <v>96</v>
      </c>
      <c r="M19" s="101" t="s">
        <v>97</v>
      </c>
      <c r="N19" s="106">
        <v>41334</v>
      </c>
      <c r="O19" s="107">
        <v>7459.55</v>
      </c>
      <c r="P19" s="108">
        <v>11014</v>
      </c>
      <c r="Q19" s="106">
        <v>41334</v>
      </c>
      <c r="R19" s="106">
        <v>41699</v>
      </c>
      <c r="S19" s="102">
        <v>117</v>
      </c>
      <c r="T19" s="101" t="s">
        <v>95</v>
      </c>
      <c r="U19" s="102" t="s">
        <v>109</v>
      </c>
      <c r="V19" s="107" t="s">
        <v>132</v>
      </c>
      <c r="W19" s="101" t="s">
        <v>111</v>
      </c>
      <c r="X19" s="101" t="s">
        <v>132</v>
      </c>
      <c r="Y19" s="101">
        <v>7</v>
      </c>
      <c r="Z19" s="106">
        <v>43710</v>
      </c>
      <c r="AA19" s="108">
        <v>12625</v>
      </c>
      <c r="AB19" s="109" t="s">
        <v>115</v>
      </c>
      <c r="AC19" s="106">
        <v>43922</v>
      </c>
      <c r="AD19" s="106">
        <v>44286</v>
      </c>
      <c r="AE19" s="101">
        <v>5.04</v>
      </c>
      <c r="AF19" s="110" t="s">
        <v>132</v>
      </c>
      <c r="AG19" s="107"/>
      <c r="AH19" s="107" t="s">
        <v>132</v>
      </c>
      <c r="AI19" s="101" t="s">
        <v>132</v>
      </c>
      <c r="AJ19" s="101" t="s">
        <v>132</v>
      </c>
      <c r="AK19" s="107" t="s">
        <v>132</v>
      </c>
      <c r="AL19" s="107" t="s">
        <v>132</v>
      </c>
      <c r="AM19" s="107">
        <v>0</v>
      </c>
      <c r="AN19" s="107">
        <v>0</v>
      </c>
      <c r="AO19" s="111">
        <f>AM19+AN19</f>
        <v>0</v>
      </c>
    </row>
    <row r="20" spans="1:41" ht="25.5" x14ac:dyDescent="0.25">
      <c r="A20" s="20" t="s">
        <v>325</v>
      </c>
      <c r="B20" s="20" t="s">
        <v>91</v>
      </c>
      <c r="C20" s="20" t="s">
        <v>92</v>
      </c>
      <c r="D20" s="21" t="s">
        <v>86</v>
      </c>
      <c r="E20" s="21" t="s">
        <v>93</v>
      </c>
      <c r="F20" s="48" t="s">
        <v>94</v>
      </c>
      <c r="G20" s="20" t="s">
        <v>132</v>
      </c>
      <c r="H20" s="20" t="s">
        <v>132</v>
      </c>
      <c r="I20" s="20" t="s">
        <v>132</v>
      </c>
      <c r="J20" s="20" t="s">
        <v>132</v>
      </c>
      <c r="K20" s="19" t="s">
        <v>103</v>
      </c>
      <c r="L20" s="47" t="s">
        <v>129</v>
      </c>
      <c r="M20" s="20" t="s">
        <v>104</v>
      </c>
      <c r="N20" s="23">
        <v>42097</v>
      </c>
      <c r="O20" s="46">
        <v>15984</v>
      </c>
      <c r="P20" s="24">
        <v>11541</v>
      </c>
      <c r="Q20" s="23">
        <v>42097</v>
      </c>
      <c r="R20" s="23">
        <v>42462</v>
      </c>
      <c r="S20" s="21">
        <v>117</v>
      </c>
      <c r="T20" s="20" t="s">
        <v>103</v>
      </c>
      <c r="U20" s="21" t="s">
        <v>109</v>
      </c>
      <c r="V20" s="46" t="s">
        <v>132</v>
      </c>
      <c r="W20" s="20" t="s">
        <v>112</v>
      </c>
      <c r="X20" s="20" t="s">
        <v>132</v>
      </c>
      <c r="Y20" s="20">
        <v>6</v>
      </c>
      <c r="Z20" s="23">
        <v>44286</v>
      </c>
      <c r="AA20" s="24">
        <v>13014</v>
      </c>
      <c r="AB20" s="20" t="s">
        <v>116</v>
      </c>
      <c r="AC20" s="23">
        <v>44286</v>
      </c>
      <c r="AD20" s="23">
        <v>44652</v>
      </c>
      <c r="AE20" s="20" t="s">
        <v>132</v>
      </c>
      <c r="AF20" s="26" t="s">
        <v>132</v>
      </c>
      <c r="AG20" s="46" t="s">
        <v>132</v>
      </c>
      <c r="AH20" s="46" t="s">
        <v>132</v>
      </c>
      <c r="AI20" s="20" t="s">
        <v>132</v>
      </c>
      <c r="AJ20" s="20" t="s">
        <v>132</v>
      </c>
      <c r="AK20" s="46" t="s">
        <v>132</v>
      </c>
      <c r="AL20" s="46" t="s">
        <v>132</v>
      </c>
      <c r="AM20" s="72">
        <v>31738</v>
      </c>
      <c r="AN20" s="72">
        <f>1586.9+1586.9+1586.9</f>
        <v>4760.7000000000007</v>
      </c>
      <c r="AO20" s="72">
        <f t="shared" ref="AO20:AO83" si="0">AM20+AN20</f>
        <v>36498.699999999997</v>
      </c>
    </row>
    <row r="21" spans="1:41" ht="25.5" x14ac:dyDescent="0.25">
      <c r="A21" s="20" t="s">
        <v>516</v>
      </c>
      <c r="B21" s="20" t="s">
        <v>120</v>
      </c>
      <c r="C21" s="20" t="s">
        <v>118</v>
      </c>
      <c r="D21" s="21" t="s">
        <v>86</v>
      </c>
      <c r="E21" s="21" t="s">
        <v>87</v>
      </c>
      <c r="F21" s="48" t="s">
        <v>138</v>
      </c>
      <c r="G21" s="24">
        <v>12321</v>
      </c>
      <c r="H21" s="22" t="s">
        <v>117</v>
      </c>
      <c r="I21" s="23">
        <v>43252</v>
      </c>
      <c r="J21" s="23">
        <v>43617</v>
      </c>
      <c r="K21" s="58" t="s">
        <v>119</v>
      </c>
      <c r="L21" s="47" t="s">
        <v>105</v>
      </c>
      <c r="M21" s="20" t="s">
        <v>106</v>
      </c>
      <c r="N21" s="23">
        <v>43252</v>
      </c>
      <c r="O21" s="46">
        <v>35964</v>
      </c>
      <c r="P21" s="24">
        <v>12321</v>
      </c>
      <c r="Q21" s="23">
        <v>43252</v>
      </c>
      <c r="R21" s="23">
        <v>43617</v>
      </c>
      <c r="S21" s="21">
        <v>117</v>
      </c>
      <c r="T21" s="20" t="s">
        <v>119</v>
      </c>
      <c r="U21" s="21" t="s">
        <v>109</v>
      </c>
      <c r="V21" s="46" t="s">
        <v>132</v>
      </c>
      <c r="W21" s="20" t="s">
        <v>110</v>
      </c>
      <c r="X21" s="20" t="s">
        <v>132</v>
      </c>
      <c r="Y21" s="20">
        <v>4</v>
      </c>
      <c r="Z21" s="23">
        <v>44719</v>
      </c>
      <c r="AA21" s="24">
        <v>13314</v>
      </c>
      <c r="AB21" s="20" t="s">
        <v>114</v>
      </c>
      <c r="AC21" s="23">
        <v>44720</v>
      </c>
      <c r="AD21" s="23">
        <v>45084</v>
      </c>
      <c r="AE21" s="20" t="s">
        <v>132</v>
      </c>
      <c r="AF21" s="26">
        <v>4.7699999999999999E-2</v>
      </c>
      <c r="AG21" s="46">
        <v>149.78</v>
      </c>
      <c r="AH21" s="46" t="s">
        <v>132</v>
      </c>
      <c r="AI21" s="20" t="s">
        <v>132</v>
      </c>
      <c r="AJ21" s="20" t="s">
        <v>132</v>
      </c>
      <c r="AK21" s="46" t="s">
        <v>132</v>
      </c>
      <c r="AL21" s="46" t="s">
        <v>132</v>
      </c>
      <c r="AM21" s="73">
        <v>59663.42</v>
      </c>
      <c r="AN21" s="73">
        <f>3140.18+3140.18+3140.18</f>
        <v>9420.5399999999991</v>
      </c>
      <c r="AO21" s="72">
        <f t="shared" si="0"/>
        <v>69083.959999999992</v>
      </c>
    </row>
    <row r="22" spans="1:41" ht="25.5" x14ac:dyDescent="0.25">
      <c r="A22" s="20" t="s">
        <v>517</v>
      </c>
      <c r="B22" s="20" t="s">
        <v>125</v>
      </c>
      <c r="C22" s="20" t="s">
        <v>121</v>
      </c>
      <c r="D22" s="21" t="s">
        <v>88</v>
      </c>
      <c r="E22" s="21" t="s">
        <v>87</v>
      </c>
      <c r="F22" s="48" t="s">
        <v>138</v>
      </c>
      <c r="G22" s="24">
        <v>12311</v>
      </c>
      <c r="H22" s="22" t="s">
        <v>127</v>
      </c>
      <c r="I22" s="23">
        <v>43241</v>
      </c>
      <c r="J22" s="23">
        <v>43606</v>
      </c>
      <c r="K22" s="58" t="s">
        <v>126</v>
      </c>
      <c r="L22" s="47" t="s">
        <v>289</v>
      </c>
      <c r="M22" s="20" t="s">
        <v>107</v>
      </c>
      <c r="N22" s="23">
        <v>43412</v>
      </c>
      <c r="O22" s="46">
        <v>18000</v>
      </c>
      <c r="P22" s="24">
        <v>12429</v>
      </c>
      <c r="Q22" s="23">
        <v>43412</v>
      </c>
      <c r="R22" s="23">
        <v>43412</v>
      </c>
      <c r="S22" s="21">
        <v>117</v>
      </c>
      <c r="T22" s="20" t="s">
        <v>126</v>
      </c>
      <c r="U22" s="21" t="s">
        <v>124</v>
      </c>
      <c r="V22" s="46" t="s">
        <v>132</v>
      </c>
      <c r="W22" s="20" t="s">
        <v>111</v>
      </c>
      <c r="X22" s="20" t="s">
        <v>132</v>
      </c>
      <c r="Y22" s="20">
        <v>3</v>
      </c>
      <c r="Z22" s="23">
        <v>44505</v>
      </c>
      <c r="AA22" s="24">
        <v>13163</v>
      </c>
      <c r="AB22" s="20" t="s">
        <v>114</v>
      </c>
      <c r="AC22" s="23">
        <v>44509</v>
      </c>
      <c r="AD22" s="23">
        <v>44873</v>
      </c>
      <c r="AE22" s="20" t="s">
        <v>132</v>
      </c>
      <c r="AF22" s="20" t="s">
        <v>132</v>
      </c>
      <c r="AG22" s="46" t="s">
        <v>132</v>
      </c>
      <c r="AH22" s="46" t="s">
        <v>132</v>
      </c>
      <c r="AI22" s="20" t="s">
        <v>132</v>
      </c>
      <c r="AJ22" s="20" t="s">
        <v>132</v>
      </c>
      <c r="AK22" s="46" t="s">
        <v>132</v>
      </c>
      <c r="AL22" s="46" t="s">
        <v>132</v>
      </c>
      <c r="AM22" s="73">
        <f>1800.69+1800.69+1800.69+1800.69+1800.69+1800.69+1800.69+1800.69+1800.69</f>
        <v>16206.210000000003</v>
      </c>
      <c r="AN22" s="73"/>
      <c r="AO22" s="72">
        <f t="shared" si="0"/>
        <v>16206.210000000003</v>
      </c>
    </row>
    <row r="23" spans="1:41" ht="63.75" x14ac:dyDescent="0.25">
      <c r="A23" s="20" t="s">
        <v>518</v>
      </c>
      <c r="B23" s="20" t="s">
        <v>141</v>
      </c>
      <c r="C23" s="25" t="s">
        <v>142</v>
      </c>
      <c r="D23" s="21" t="s">
        <v>88</v>
      </c>
      <c r="E23" s="21" t="s">
        <v>87</v>
      </c>
      <c r="F23" s="48" t="s">
        <v>144</v>
      </c>
      <c r="G23" s="24" t="s">
        <v>132</v>
      </c>
      <c r="H23" s="22" t="s">
        <v>143</v>
      </c>
      <c r="I23" s="23" t="s">
        <v>132</v>
      </c>
      <c r="J23" s="23" t="s">
        <v>132</v>
      </c>
      <c r="K23" s="58" t="s">
        <v>140</v>
      </c>
      <c r="L23" s="47" t="s">
        <v>130</v>
      </c>
      <c r="M23" s="20" t="s">
        <v>131</v>
      </c>
      <c r="N23" s="23">
        <v>43551</v>
      </c>
      <c r="O23" s="46">
        <v>400256.4</v>
      </c>
      <c r="P23" s="24">
        <v>12784</v>
      </c>
      <c r="Q23" s="23">
        <v>43928</v>
      </c>
      <c r="R23" s="23">
        <v>44292</v>
      </c>
      <c r="S23" s="21">
        <v>101</v>
      </c>
      <c r="T23" s="27" t="s">
        <v>140</v>
      </c>
      <c r="U23" s="21" t="s">
        <v>124</v>
      </c>
      <c r="V23" s="46" t="s">
        <v>132</v>
      </c>
      <c r="W23" s="20" t="s">
        <v>111</v>
      </c>
      <c r="X23" s="20" t="s">
        <v>132</v>
      </c>
      <c r="Y23" s="20">
        <v>2</v>
      </c>
      <c r="Z23" s="23">
        <v>44285</v>
      </c>
      <c r="AA23" s="24">
        <v>13013</v>
      </c>
      <c r="AB23" s="20" t="s">
        <v>114</v>
      </c>
      <c r="AC23" s="28">
        <v>44293</v>
      </c>
      <c r="AD23" s="28">
        <v>44657</v>
      </c>
      <c r="AE23" s="20" t="s">
        <v>132</v>
      </c>
      <c r="AF23" s="20"/>
      <c r="AG23" s="46" t="s">
        <v>132</v>
      </c>
      <c r="AH23" s="46" t="s">
        <v>132</v>
      </c>
      <c r="AI23" s="20" t="s">
        <v>132</v>
      </c>
      <c r="AJ23" s="20" t="s">
        <v>132</v>
      </c>
      <c r="AK23" s="46" t="s">
        <v>132</v>
      </c>
      <c r="AL23" s="46" t="s">
        <v>132</v>
      </c>
      <c r="AM23" s="73">
        <v>497732.7</v>
      </c>
      <c r="AN23" s="73"/>
      <c r="AO23" s="72">
        <f t="shared" si="0"/>
        <v>497732.7</v>
      </c>
    </row>
    <row r="24" spans="1:41" ht="25.5" x14ac:dyDescent="0.25">
      <c r="A24" s="20" t="s">
        <v>519</v>
      </c>
      <c r="B24" s="20" t="s">
        <v>150</v>
      </c>
      <c r="C24" s="20" t="s">
        <v>154</v>
      </c>
      <c r="D24" s="21" t="s">
        <v>88</v>
      </c>
      <c r="E24" s="21" t="s">
        <v>93</v>
      </c>
      <c r="F24" s="48" t="s">
        <v>153</v>
      </c>
      <c r="G24" s="24">
        <v>12375</v>
      </c>
      <c r="H24" s="22" t="s">
        <v>156</v>
      </c>
      <c r="I24" s="23">
        <v>43301</v>
      </c>
      <c r="J24" s="23">
        <v>43666</v>
      </c>
      <c r="K24" s="58" t="s">
        <v>151</v>
      </c>
      <c r="L24" s="47" t="s">
        <v>148</v>
      </c>
      <c r="M24" s="20" t="s">
        <v>149</v>
      </c>
      <c r="N24" s="23">
        <v>43301</v>
      </c>
      <c r="O24" s="46">
        <v>235600.8</v>
      </c>
      <c r="P24" s="24">
        <v>12375</v>
      </c>
      <c r="Q24" s="23">
        <v>43305</v>
      </c>
      <c r="R24" s="23">
        <v>43670</v>
      </c>
      <c r="S24" s="21">
        <v>101</v>
      </c>
      <c r="T24" s="27" t="s">
        <v>151</v>
      </c>
      <c r="U24" s="21" t="s">
        <v>124</v>
      </c>
      <c r="V24" s="46" t="s">
        <v>132</v>
      </c>
      <c r="W24" s="20" t="s">
        <v>111</v>
      </c>
      <c r="X24" s="20" t="s">
        <v>132</v>
      </c>
      <c r="Y24" s="20">
        <v>5</v>
      </c>
      <c r="Z24" s="23">
        <v>44764</v>
      </c>
      <c r="AA24" s="24">
        <v>13343</v>
      </c>
      <c r="AB24" s="20" t="s">
        <v>114</v>
      </c>
      <c r="AC24" s="23">
        <v>44767</v>
      </c>
      <c r="AD24" s="23">
        <v>45131</v>
      </c>
      <c r="AE24" s="20" t="s">
        <v>132</v>
      </c>
      <c r="AF24" s="20" t="s">
        <v>132</v>
      </c>
      <c r="AG24" s="46" t="s">
        <v>132</v>
      </c>
      <c r="AH24" s="46" t="s">
        <v>132</v>
      </c>
      <c r="AI24" s="20" t="s">
        <v>132</v>
      </c>
      <c r="AJ24" s="20" t="s">
        <v>132</v>
      </c>
      <c r="AK24" s="46" t="s">
        <v>132</v>
      </c>
      <c r="AL24" s="46" t="s">
        <v>132</v>
      </c>
      <c r="AM24" s="73">
        <v>254636.04</v>
      </c>
      <c r="AN24" s="73">
        <f>6885.62+6885.62+3667.3+6356.64+6885.62</f>
        <v>30680.799999999999</v>
      </c>
      <c r="AO24" s="72">
        <f t="shared" si="0"/>
        <v>285316.84000000003</v>
      </c>
    </row>
    <row r="25" spans="1:41" ht="25.5" x14ac:dyDescent="0.25">
      <c r="A25" s="20" t="s">
        <v>520</v>
      </c>
      <c r="B25" s="20" t="s">
        <v>309</v>
      </c>
      <c r="C25" s="20" t="s">
        <v>237</v>
      </c>
      <c r="D25" s="21" t="s">
        <v>88</v>
      </c>
      <c r="E25" s="21" t="s">
        <v>93</v>
      </c>
      <c r="F25" s="48" t="s">
        <v>153</v>
      </c>
      <c r="G25" s="24">
        <v>12376</v>
      </c>
      <c r="H25" s="22" t="s">
        <v>231</v>
      </c>
      <c r="I25" s="23"/>
      <c r="J25" s="23"/>
      <c r="K25" s="58" t="s">
        <v>308</v>
      </c>
      <c r="L25" s="47" t="s">
        <v>148</v>
      </c>
      <c r="M25" s="20" t="s">
        <v>322</v>
      </c>
      <c r="N25" s="23">
        <v>44237</v>
      </c>
      <c r="O25" s="46">
        <v>1995152.04</v>
      </c>
      <c r="P25" s="24">
        <v>12983</v>
      </c>
      <c r="Q25" s="23">
        <v>44237</v>
      </c>
      <c r="R25" s="23">
        <v>44601</v>
      </c>
      <c r="S25" s="21" t="s">
        <v>198</v>
      </c>
      <c r="T25" s="27" t="s">
        <v>308</v>
      </c>
      <c r="U25" s="21" t="s">
        <v>124</v>
      </c>
      <c r="V25" s="46" t="s">
        <v>132</v>
      </c>
      <c r="W25" s="20" t="s">
        <v>323</v>
      </c>
      <c r="X25" s="20" t="s">
        <v>132</v>
      </c>
      <c r="Y25" s="20">
        <v>4</v>
      </c>
      <c r="Z25" s="23">
        <v>44967</v>
      </c>
      <c r="AA25" s="24">
        <v>13473</v>
      </c>
      <c r="AB25" s="20" t="s">
        <v>838</v>
      </c>
      <c r="AC25" s="23">
        <v>44968</v>
      </c>
      <c r="AD25" s="23">
        <v>45332</v>
      </c>
      <c r="AE25" s="29">
        <v>0.05</v>
      </c>
      <c r="AF25" s="20" t="s">
        <v>132</v>
      </c>
      <c r="AG25" s="46" t="s">
        <v>132</v>
      </c>
      <c r="AH25" s="46" t="s">
        <v>132</v>
      </c>
      <c r="AI25" s="20" t="s">
        <v>132</v>
      </c>
      <c r="AJ25" s="20" t="s">
        <v>132</v>
      </c>
      <c r="AK25" s="46" t="s">
        <v>132</v>
      </c>
      <c r="AL25" s="46" t="s">
        <v>132</v>
      </c>
      <c r="AM25" s="73">
        <v>1946460.57</v>
      </c>
      <c r="AN25" s="73">
        <f>81094.66+33188.77+80775.1+33188.77+54438.92+16762.98+48676.12</f>
        <v>348125.31999999995</v>
      </c>
      <c r="AO25" s="72">
        <f t="shared" si="0"/>
        <v>2294585.89</v>
      </c>
    </row>
    <row r="26" spans="1:41" ht="25.5" x14ac:dyDescent="0.25">
      <c r="A26" s="20" t="s">
        <v>521</v>
      </c>
      <c r="B26" s="20" t="s">
        <v>150</v>
      </c>
      <c r="C26" s="20" t="s">
        <v>154</v>
      </c>
      <c r="D26" s="21" t="s">
        <v>88</v>
      </c>
      <c r="E26" s="21" t="s">
        <v>87</v>
      </c>
      <c r="F26" s="48" t="s">
        <v>153</v>
      </c>
      <c r="G26" s="22" t="s">
        <v>157</v>
      </c>
      <c r="H26" s="22" t="s">
        <v>158</v>
      </c>
      <c r="I26" s="30">
        <v>43301</v>
      </c>
      <c r="J26" s="31">
        <v>43666</v>
      </c>
      <c r="K26" s="8" t="s">
        <v>147</v>
      </c>
      <c r="L26" s="61" t="s">
        <v>279</v>
      </c>
      <c r="M26" s="23" t="s">
        <v>152</v>
      </c>
      <c r="N26" s="23">
        <v>43305</v>
      </c>
      <c r="O26" s="66">
        <v>174322.08</v>
      </c>
      <c r="P26" s="24">
        <v>12602</v>
      </c>
      <c r="Q26" s="23">
        <v>43306</v>
      </c>
      <c r="R26" s="23">
        <v>43671</v>
      </c>
      <c r="S26" s="21">
        <v>101</v>
      </c>
      <c r="T26" s="27" t="s">
        <v>147</v>
      </c>
      <c r="U26" s="21" t="s">
        <v>124</v>
      </c>
      <c r="V26" s="46" t="s">
        <v>132</v>
      </c>
      <c r="W26" s="20" t="s">
        <v>111</v>
      </c>
      <c r="X26" s="20" t="s">
        <v>132</v>
      </c>
      <c r="Y26" s="20">
        <v>3</v>
      </c>
      <c r="Z26" s="23">
        <v>44370</v>
      </c>
      <c r="AA26" s="24">
        <v>13099</v>
      </c>
      <c r="AB26" s="20" t="s">
        <v>114</v>
      </c>
      <c r="AC26" s="23">
        <v>44372</v>
      </c>
      <c r="AD26" s="23">
        <v>44736</v>
      </c>
      <c r="AE26" s="20" t="s">
        <v>132</v>
      </c>
      <c r="AF26" s="20" t="s">
        <v>132</v>
      </c>
      <c r="AG26" s="46" t="s">
        <v>132</v>
      </c>
      <c r="AH26" s="46" t="s">
        <v>132</v>
      </c>
      <c r="AI26" s="20" t="s">
        <v>132</v>
      </c>
      <c r="AJ26" s="20" t="s">
        <v>132</v>
      </c>
      <c r="AK26" s="46" t="s">
        <v>132</v>
      </c>
      <c r="AL26" s="46" t="s">
        <v>132</v>
      </c>
      <c r="AM26" s="46">
        <f>2421.14+2986.07+14526.84+14526.84+12912.75+12105.68+13639.09+2421.14+2421.14+2421.14+2421.14+2421.14+2501.84</f>
        <v>87725.95</v>
      </c>
      <c r="AN26" s="46"/>
      <c r="AO26" s="72">
        <f t="shared" si="0"/>
        <v>87725.95</v>
      </c>
    </row>
    <row r="27" spans="1:41" ht="63.75" x14ac:dyDescent="0.25">
      <c r="A27" s="20" t="s">
        <v>522</v>
      </c>
      <c r="B27" s="20" t="s">
        <v>164</v>
      </c>
      <c r="C27" s="25" t="s">
        <v>160</v>
      </c>
      <c r="D27" s="21" t="s">
        <v>88</v>
      </c>
      <c r="E27" s="21" t="s">
        <v>87</v>
      </c>
      <c r="F27" s="48" t="s">
        <v>163</v>
      </c>
      <c r="G27" s="24" t="s">
        <v>132</v>
      </c>
      <c r="H27" s="22" t="s">
        <v>161</v>
      </c>
      <c r="I27" s="23" t="s">
        <v>132</v>
      </c>
      <c r="J27" s="23" t="s">
        <v>132</v>
      </c>
      <c r="K27" s="58" t="s">
        <v>165</v>
      </c>
      <c r="L27" s="47" t="s">
        <v>159</v>
      </c>
      <c r="M27" s="20" t="s">
        <v>162</v>
      </c>
      <c r="N27" s="23">
        <v>43644</v>
      </c>
      <c r="O27" s="46">
        <v>250000</v>
      </c>
      <c r="P27" s="24">
        <v>12587</v>
      </c>
      <c r="Q27" s="23">
        <v>43644</v>
      </c>
      <c r="R27" s="32">
        <v>44010</v>
      </c>
      <c r="S27" s="21">
        <v>101</v>
      </c>
      <c r="T27" s="33" t="s">
        <v>165</v>
      </c>
      <c r="U27" s="21" t="s">
        <v>124</v>
      </c>
      <c r="V27" s="46" t="s">
        <v>132</v>
      </c>
      <c r="W27" s="20" t="s">
        <v>111</v>
      </c>
      <c r="X27" s="20" t="s">
        <v>132</v>
      </c>
      <c r="Y27" s="20">
        <v>3</v>
      </c>
      <c r="Z27" s="23">
        <v>44739</v>
      </c>
      <c r="AA27" s="24">
        <v>13322</v>
      </c>
      <c r="AB27" s="20" t="s">
        <v>114</v>
      </c>
      <c r="AC27" s="23">
        <v>44741</v>
      </c>
      <c r="AD27" s="23">
        <v>44801</v>
      </c>
      <c r="AE27" s="20" t="s">
        <v>132</v>
      </c>
      <c r="AF27" s="20" t="s">
        <v>132</v>
      </c>
      <c r="AG27" s="46" t="s">
        <v>132</v>
      </c>
      <c r="AH27" s="46" t="s">
        <v>132</v>
      </c>
      <c r="AI27" s="20" t="s">
        <v>132</v>
      </c>
      <c r="AJ27" s="20" t="s">
        <v>132</v>
      </c>
      <c r="AK27" s="46" t="s">
        <v>132</v>
      </c>
      <c r="AL27" s="46" t="s">
        <v>132</v>
      </c>
      <c r="AM27" s="46">
        <v>80476.02</v>
      </c>
      <c r="AN27" s="46"/>
      <c r="AO27" s="72">
        <f t="shared" si="0"/>
        <v>80476.02</v>
      </c>
    </row>
    <row r="28" spans="1:41" ht="25.5" x14ac:dyDescent="0.25">
      <c r="A28" s="20" t="s">
        <v>523</v>
      </c>
      <c r="B28" s="20" t="s">
        <v>169</v>
      </c>
      <c r="C28" s="25" t="s">
        <v>170</v>
      </c>
      <c r="D28" s="21" t="s">
        <v>88</v>
      </c>
      <c r="E28" s="21" t="s">
        <v>87</v>
      </c>
      <c r="F28" s="48" t="s">
        <v>171</v>
      </c>
      <c r="G28" s="24" t="s">
        <v>132</v>
      </c>
      <c r="H28" s="22" t="s">
        <v>155</v>
      </c>
      <c r="I28" s="23" t="s">
        <v>132</v>
      </c>
      <c r="J28" s="23" t="s">
        <v>132</v>
      </c>
      <c r="K28" s="58" t="s">
        <v>167</v>
      </c>
      <c r="L28" s="47" t="s">
        <v>168</v>
      </c>
      <c r="M28" s="20" t="s">
        <v>172</v>
      </c>
      <c r="N28" s="23">
        <v>43662</v>
      </c>
      <c r="O28" s="46">
        <v>31104.04</v>
      </c>
      <c r="P28" s="24">
        <v>12596</v>
      </c>
      <c r="Q28" s="23">
        <v>43663</v>
      </c>
      <c r="R28" s="34">
        <v>44029</v>
      </c>
      <c r="S28" s="20">
        <v>117</v>
      </c>
      <c r="T28" s="35" t="s">
        <v>167</v>
      </c>
      <c r="U28" s="21" t="s">
        <v>124</v>
      </c>
      <c r="V28" s="46" t="s">
        <v>132</v>
      </c>
      <c r="W28" s="20" t="s">
        <v>111</v>
      </c>
      <c r="X28" s="20" t="s">
        <v>132</v>
      </c>
      <c r="Y28" s="20">
        <v>4</v>
      </c>
      <c r="Z28" s="23">
        <v>44841</v>
      </c>
      <c r="AA28" s="24">
        <v>13388</v>
      </c>
      <c r="AB28" s="23" t="s">
        <v>145</v>
      </c>
      <c r="AC28" s="23">
        <v>44760</v>
      </c>
      <c r="AD28" s="23">
        <v>45124</v>
      </c>
      <c r="AE28" s="29">
        <v>0.05</v>
      </c>
      <c r="AF28" s="20" t="s">
        <v>132</v>
      </c>
      <c r="AG28" s="46" t="s">
        <v>132</v>
      </c>
      <c r="AH28" s="46" t="s">
        <v>132</v>
      </c>
      <c r="AI28" s="20" t="s">
        <v>132</v>
      </c>
      <c r="AJ28" s="20" t="s">
        <v>132</v>
      </c>
      <c r="AK28" s="46" t="s">
        <v>132</v>
      </c>
      <c r="AL28" s="46" t="s">
        <v>132</v>
      </c>
      <c r="AM28" s="73">
        <v>1517117.99</v>
      </c>
      <c r="AN28" s="73">
        <f>25739.72+6434.93+25739.72+6434.93+25739.72+6434.93</f>
        <v>96523.950000000012</v>
      </c>
      <c r="AO28" s="72">
        <f t="shared" si="0"/>
        <v>1613641.94</v>
      </c>
    </row>
    <row r="29" spans="1:41" ht="25.5" x14ac:dyDescent="0.25">
      <c r="A29" s="20" t="s">
        <v>524</v>
      </c>
      <c r="B29" s="20" t="s">
        <v>175</v>
      </c>
      <c r="C29" s="25" t="s">
        <v>90</v>
      </c>
      <c r="D29" s="21" t="s">
        <v>88</v>
      </c>
      <c r="E29" s="21" t="s">
        <v>87</v>
      </c>
      <c r="F29" s="48" t="s">
        <v>178</v>
      </c>
      <c r="G29" s="24" t="s">
        <v>132</v>
      </c>
      <c r="H29" s="22" t="s">
        <v>132</v>
      </c>
      <c r="I29" s="23" t="s">
        <v>132</v>
      </c>
      <c r="J29" s="23" t="s">
        <v>132</v>
      </c>
      <c r="K29" s="59" t="s">
        <v>173</v>
      </c>
      <c r="L29" s="62" t="s">
        <v>314</v>
      </c>
      <c r="M29" s="20" t="s">
        <v>176</v>
      </c>
      <c r="N29" s="23">
        <v>42368</v>
      </c>
      <c r="O29" s="46">
        <v>36000</v>
      </c>
      <c r="P29" s="24" t="s">
        <v>132</v>
      </c>
      <c r="Q29" s="23">
        <v>42368</v>
      </c>
      <c r="R29" s="23">
        <v>42733</v>
      </c>
      <c r="S29" s="20">
        <v>101</v>
      </c>
      <c r="T29" s="35" t="s">
        <v>173</v>
      </c>
      <c r="U29" s="21" t="s">
        <v>124</v>
      </c>
      <c r="V29" s="46" t="s">
        <v>132</v>
      </c>
      <c r="W29" s="20" t="s">
        <v>111</v>
      </c>
      <c r="X29" s="20" t="s">
        <v>132</v>
      </c>
      <c r="Y29" s="20">
        <v>8</v>
      </c>
      <c r="Z29" s="23">
        <v>44923</v>
      </c>
      <c r="AA29" s="24" t="s">
        <v>835</v>
      </c>
      <c r="AB29" s="20" t="s">
        <v>114</v>
      </c>
      <c r="AC29" s="23">
        <v>44924</v>
      </c>
      <c r="AD29" s="23">
        <v>45288</v>
      </c>
      <c r="AE29" s="20" t="s">
        <v>132</v>
      </c>
      <c r="AF29" s="20" t="s">
        <v>132</v>
      </c>
      <c r="AG29" s="46" t="s">
        <v>132</v>
      </c>
      <c r="AH29" s="46" t="s">
        <v>132</v>
      </c>
      <c r="AI29" s="20" t="s">
        <v>132</v>
      </c>
      <c r="AJ29" s="20" t="s">
        <v>132</v>
      </c>
      <c r="AK29" s="46" t="s">
        <v>132</v>
      </c>
      <c r="AL29" s="46" t="s">
        <v>132</v>
      </c>
      <c r="AM29" s="73">
        <v>75104.160000000003</v>
      </c>
      <c r="AN29" s="73">
        <f>3129.34+3129.34+3129.34</f>
        <v>9388.02</v>
      </c>
      <c r="AO29" s="72">
        <f t="shared" si="0"/>
        <v>84492.180000000008</v>
      </c>
    </row>
    <row r="30" spans="1:41" ht="25.5" x14ac:dyDescent="0.25">
      <c r="A30" s="20" t="s">
        <v>326</v>
      </c>
      <c r="B30" s="20" t="s">
        <v>194</v>
      </c>
      <c r="C30" s="20" t="s">
        <v>195</v>
      </c>
      <c r="D30" s="38" t="s">
        <v>88</v>
      </c>
      <c r="E30" s="38" t="s">
        <v>87</v>
      </c>
      <c r="F30" s="48" t="s">
        <v>189</v>
      </c>
      <c r="G30" s="39">
        <v>12654</v>
      </c>
      <c r="H30" s="40" t="s">
        <v>200</v>
      </c>
      <c r="I30" s="28" t="s">
        <v>132</v>
      </c>
      <c r="J30" s="28" t="s">
        <v>132</v>
      </c>
      <c r="K30" s="59" t="s">
        <v>184</v>
      </c>
      <c r="L30" s="63" t="s">
        <v>185</v>
      </c>
      <c r="M30" s="25" t="s">
        <v>186</v>
      </c>
      <c r="N30" s="28">
        <v>43747</v>
      </c>
      <c r="O30" s="67">
        <v>762648</v>
      </c>
      <c r="P30" s="39">
        <v>12654</v>
      </c>
      <c r="Q30" s="28">
        <v>43747</v>
      </c>
      <c r="R30" s="28">
        <v>44113</v>
      </c>
      <c r="S30" s="38">
        <v>101</v>
      </c>
      <c r="T30" s="41" t="s">
        <v>184</v>
      </c>
      <c r="U30" s="41" t="s">
        <v>190</v>
      </c>
      <c r="V30" s="67" t="s">
        <v>132</v>
      </c>
      <c r="W30" s="25" t="s">
        <v>111</v>
      </c>
      <c r="X30" s="25" t="s">
        <v>132</v>
      </c>
      <c r="Y30" s="25">
        <v>4</v>
      </c>
      <c r="Z30" s="28">
        <v>44832</v>
      </c>
      <c r="AA30" s="39">
        <v>13381</v>
      </c>
      <c r="AB30" s="28" t="s">
        <v>139</v>
      </c>
      <c r="AC30" s="28">
        <v>44843</v>
      </c>
      <c r="AD30" s="28">
        <v>45207</v>
      </c>
      <c r="AE30" s="25" t="s">
        <v>132</v>
      </c>
      <c r="AF30" s="25" t="s">
        <v>132</v>
      </c>
      <c r="AG30" s="67" t="s">
        <v>132</v>
      </c>
      <c r="AH30" s="67" t="s">
        <v>132</v>
      </c>
      <c r="AI30" s="25" t="s">
        <v>132</v>
      </c>
      <c r="AJ30" s="25" t="s">
        <v>132</v>
      </c>
      <c r="AK30" s="67" t="s">
        <v>132</v>
      </c>
      <c r="AL30" s="67" t="s">
        <v>132</v>
      </c>
      <c r="AM30" s="73">
        <v>1081217.6299999999</v>
      </c>
      <c r="AN30" s="73">
        <f>12473.52+29104.88+8315.68+12473.52+8315.68+29104.88+12473.52+16631.36+16631.36</f>
        <v>145524.40000000002</v>
      </c>
      <c r="AO30" s="72">
        <f t="shared" si="0"/>
        <v>1226742.0299999998</v>
      </c>
    </row>
    <row r="31" spans="1:41" ht="25.5" x14ac:dyDescent="0.25">
      <c r="A31" s="20" t="s">
        <v>327</v>
      </c>
      <c r="B31" s="20" t="s">
        <v>187</v>
      </c>
      <c r="C31" s="20" t="s">
        <v>188</v>
      </c>
      <c r="D31" s="38" t="s">
        <v>88</v>
      </c>
      <c r="E31" s="38" t="s">
        <v>87</v>
      </c>
      <c r="F31" s="48" t="s">
        <v>189</v>
      </c>
      <c r="G31" s="39" t="s">
        <v>132</v>
      </c>
      <c r="H31" s="40" t="s">
        <v>199</v>
      </c>
      <c r="I31" s="28" t="s">
        <v>132</v>
      </c>
      <c r="J31" s="28" t="s">
        <v>132</v>
      </c>
      <c r="K31" s="59" t="s">
        <v>180</v>
      </c>
      <c r="L31" s="63" t="s">
        <v>146</v>
      </c>
      <c r="M31" s="25" t="s">
        <v>181</v>
      </c>
      <c r="N31" s="28">
        <v>44344</v>
      </c>
      <c r="O31" s="67">
        <v>1098144.57</v>
      </c>
      <c r="P31" s="39">
        <v>12568</v>
      </c>
      <c r="Q31" s="28">
        <v>44348</v>
      </c>
      <c r="R31" s="28">
        <v>44712</v>
      </c>
      <c r="S31" s="38">
        <v>101</v>
      </c>
      <c r="T31" s="41" t="s">
        <v>180</v>
      </c>
      <c r="U31" s="41" t="s">
        <v>190</v>
      </c>
      <c r="V31" s="67" t="s">
        <v>132</v>
      </c>
      <c r="W31" s="25" t="s">
        <v>111</v>
      </c>
      <c r="X31" s="25" t="s">
        <v>132</v>
      </c>
      <c r="Y31" s="25">
        <v>5</v>
      </c>
      <c r="Z31" s="28">
        <v>44712</v>
      </c>
      <c r="AA31" s="39">
        <v>13303</v>
      </c>
      <c r="AB31" s="25" t="s">
        <v>114</v>
      </c>
      <c r="AC31" s="28">
        <v>44713</v>
      </c>
      <c r="AD31" s="28">
        <v>45077</v>
      </c>
      <c r="AE31" s="42">
        <v>0.05</v>
      </c>
      <c r="AF31" s="25" t="s">
        <v>132</v>
      </c>
      <c r="AG31" s="67" t="s">
        <v>132</v>
      </c>
      <c r="AH31" s="67" t="s">
        <v>132</v>
      </c>
      <c r="AI31" s="25" t="s">
        <v>132</v>
      </c>
      <c r="AJ31" s="25" t="s">
        <v>132</v>
      </c>
      <c r="AK31" s="67" t="s">
        <v>132</v>
      </c>
      <c r="AL31" s="67" t="s">
        <v>132</v>
      </c>
      <c r="AM31" s="73">
        <v>2291340.19</v>
      </c>
      <c r="AN31" s="73">
        <f>19956.72+9978.36+49891.8+19956.72+49891.8+9978.36+19956.72+19956.72+19956.72+43239.56+13304.48+19956.72</f>
        <v>296024.67999999993</v>
      </c>
      <c r="AO31" s="72">
        <f t="shared" si="0"/>
        <v>2587364.87</v>
      </c>
    </row>
    <row r="32" spans="1:41" ht="25.5" x14ac:dyDescent="0.25">
      <c r="A32" s="20" t="s">
        <v>525</v>
      </c>
      <c r="B32" s="25" t="s">
        <v>132</v>
      </c>
      <c r="C32" s="20" t="s">
        <v>191</v>
      </c>
      <c r="D32" s="38" t="s">
        <v>88</v>
      </c>
      <c r="E32" s="38" t="s">
        <v>87</v>
      </c>
      <c r="F32" s="48" t="s">
        <v>189</v>
      </c>
      <c r="G32" s="39" t="s">
        <v>132</v>
      </c>
      <c r="H32" s="40" t="s">
        <v>196</v>
      </c>
      <c r="I32" s="28" t="s">
        <v>132</v>
      </c>
      <c r="J32" s="28" t="s">
        <v>132</v>
      </c>
      <c r="K32" s="59" t="s">
        <v>183</v>
      </c>
      <c r="L32" s="63" t="s">
        <v>146</v>
      </c>
      <c r="M32" s="25" t="s">
        <v>181</v>
      </c>
      <c r="N32" s="28">
        <v>43616</v>
      </c>
      <c r="O32" s="68">
        <v>325884</v>
      </c>
      <c r="P32" s="24">
        <v>12602</v>
      </c>
      <c r="Q32" s="23">
        <v>43661</v>
      </c>
      <c r="R32" s="23">
        <v>43997</v>
      </c>
      <c r="S32" s="21">
        <v>101</v>
      </c>
      <c r="T32" s="41" t="s">
        <v>183</v>
      </c>
      <c r="U32" s="41" t="s">
        <v>190</v>
      </c>
      <c r="V32" s="67" t="s">
        <v>132</v>
      </c>
      <c r="W32" s="25" t="s">
        <v>111</v>
      </c>
      <c r="X32" s="25" t="s">
        <v>132</v>
      </c>
      <c r="Y32" s="25">
        <v>5</v>
      </c>
      <c r="Z32" s="28">
        <v>44902</v>
      </c>
      <c r="AA32" s="39">
        <v>13427</v>
      </c>
      <c r="AB32" s="25" t="s">
        <v>145</v>
      </c>
      <c r="AC32" s="28">
        <v>44758</v>
      </c>
      <c r="AD32" s="28">
        <v>45122</v>
      </c>
      <c r="AE32" s="25" t="s">
        <v>132</v>
      </c>
      <c r="AF32" s="25" t="s">
        <v>132</v>
      </c>
      <c r="AG32" s="67" t="s">
        <v>132</v>
      </c>
      <c r="AH32" s="67" t="s">
        <v>132</v>
      </c>
      <c r="AI32" s="25" t="s">
        <v>132</v>
      </c>
      <c r="AJ32" s="25" t="s">
        <v>132</v>
      </c>
      <c r="AK32" s="67" t="s">
        <v>132</v>
      </c>
      <c r="AL32" s="67" t="s">
        <v>132</v>
      </c>
      <c r="AM32" s="73">
        <v>450025.07</v>
      </c>
      <c r="AN32" s="73">
        <f>13570.72+10178.04+10178.04+13570.72+10178.04+13570.72</f>
        <v>71246.28</v>
      </c>
      <c r="AO32" s="72">
        <f t="shared" si="0"/>
        <v>521271.35</v>
      </c>
    </row>
    <row r="33" spans="1:41" ht="38.25" x14ac:dyDescent="0.25">
      <c r="A33" s="20" t="s">
        <v>526</v>
      </c>
      <c r="B33" s="20" t="s">
        <v>192</v>
      </c>
      <c r="C33" s="20" t="s">
        <v>193</v>
      </c>
      <c r="D33" s="38" t="s">
        <v>88</v>
      </c>
      <c r="E33" s="38" t="s">
        <v>87</v>
      </c>
      <c r="F33" s="48" t="s">
        <v>108</v>
      </c>
      <c r="G33" s="39" t="s">
        <v>132</v>
      </c>
      <c r="H33" s="40" t="s">
        <v>197</v>
      </c>
      <c r="I33" s="28" t="s">
        <v>132</v>
      </c>
      <c r="J33" s="28">
        <v>0</v>
      </c>
      <c r="K33" s="59" t="s">
        <v>182</v>
      </c>
      <c r="L33" s="63" t="s">
        <v>146</v>
      </c>
      <c r="M33" s="25" t="s">
        <v>181</v>
      </c>
      <c r="N33" s="28" t="s">
        <v>132</v>
      </c>
      <c r="O33" s="67">
        <v>239468.98</v>
      </c>
      <c r="P33" s="39">
        <v>12632</v>
      </c>
      <c r="Q33" s="28" t="s">
        <v>132</v>
      </c>
      <c r="R33" s="28" t="s">
        <v>132</v>
      </c>
      <c r="S33" s="38" t="s">
        <v>198</v>
      </c>
      <c r="T33" s="41" t="s">
        <v>182</v>
      </c>
      <c r="U33" s="41" t="s">
        <v>190</v>
      </c>
      <c r="V33" s="67" t="s">
        <v>132</v>
      </c>
      <c r="W33" s="25" t="s">
        <v>111</v>
      </c>
      <c r="X33" s="25" t="s">
        <v>132</v>
      </c>
      <c r="Y33" s="25">
        <v>5</v>
      </c>
      <c r="Z33" s="28">
        <v>44803</v>
      </c>
      <c r="AA33" s="39">
        <v>13366</v>
      </c>
      <c r="AB33" s="25" t="s">
        <v>114</v>
      </c>
      <c r="AC33" s="28">
        <v>44804</v>
      </c>
      <c r="AD33" s="28">
        <v>45168</v>
      </c>
      <c r="AE33" s="25"/>
      <c r="AF33" s="25" t="s">
        <v>132</v>
      </c>
      <c r="AG33" s="67" t="s">
        <v>132</v>
      </c>
      <c r="AH33" s="67" t="s">
        <v>132</v>
      </c>
      <c r="AI33" s="25" t="s">
        <v>132</v>
      </c>
      <c r="AJ33" s="25" t="s">
        <v>132</v>
      </c>
      <c r="AK33" s="67" t="s">
        <v>132</v>
      </c>
      <c r="AL33" s="67" t="s">
        <v>132</v>
      </c>
      <c r="AM33" s="73">
        <v>364987.07</v>
      </c>
      <c r="AN33" s="73">
        <f>16663.35+16663.35+16663.35</f>
        <v>49990.049999999996</v>
      </c>
      <c r="AO33" s="72">
        <f t="shared" si="0"/>
        <v>414977.12</v>
      </c>
    </row>
    <row r="34" spans="1:41" ht="38.25" x14ac:dyDescent="0.25">
      <c r="A34" s="20" t="s">
        <v>328</v>
      </c>
      <c r="B34" s="20" t="s">
        <v>202</v>
      </c>
      <c r="C34" s="20" t="s">
        <v>132</v>
      </c>
      <c r="D34" s="38" t="s">
        <v>88</v>
      </c>
      <c r="E34" s="38" t="s">
        <v>87</v>
      </c>
      <c r="F34" s="48" t="s">
        <v>203</v>
      </c>
      <c r="G34" s="39" t="s">
        <v>132</v>
      </c>
      <c r="H34" s="39" t="s">
        <v>132</v>
      </c>
      <c r="I34" s="39" t="s">
        <v>132</v>
      </c>
      <c r="J34" s="39" t="s">
        <v>132</v>
      </c>
      <c r="K34" s="59" t="s">
        <v>201</v>
      </c>
      <c r="L34" s="63" t="s">
        <v>99</v>
      </c>
      <c r="M34" s="25" t="s">
        <v>100</v>
      </c>
      <c r="N34" s="28">
        <v>43739</v>
      </c>
      <c r="O34" s="67">
        <v>144000</v>
      </c>
      <c r="P34" s="39">
        <v>12653</v>
      </c>
      <c r="Q34" s="28">
        <v>43739</v>
      </c>
      <c r="R34" s="28">
        <v>44105</v>
      </c>
      <c r="S34" s="38">
        <v>117</v>
      </c>
      <c r="T34" s="41" t="s">
        <v>201</v>
      </c>
      <c r="U34" s="41" t="s">
        <v>190</v>
      </c>
      <c r="V34" s="67" t="s">
        <v>132</v>
      </c>
      <c r="W34" s="25" t="s">
        <v>110</v>
      </c>
      <c r="X34" s="25" t="s">
        <v>132</v>
      </c>
      <c r="Y34" s="25">
        <v>3</v>
      </c>
      <c r="Z34" s="28">
        <v>44832</v>
      </c>
      <c r="AA34" s="39">
        <v>13382</v>
      </c>
      <c r="AB34" s="25" t="s">
        <v>493</v>
      </c>
      <c r="AC34" s="28">
        <v>44836</v>
      </c>
      <c r="AD34" s="28">
        <v>45200</v>
      </c>
      <c r="AE34" s="43">
        <v>0.107</v>
      </c>
      <c r="AF34" s="25" t="s">
        <v>132</v>
      </c>
      <c r="AG34" s="67" t="s">
        <v>132</v>
      </c>
      <c r="AH34" s="67" t="s">
        <v>132</v>
      </c>
      <c r="AI34" s="25" t="s">
        <v>132</v>
      </c>
      <c r="AJ34" s="25" t="s">
        <v>132</v>
      </c>
      <c r="AK34" s="67" t="s">
        <v>132</v>
      </c>
      <c r="AL34" s="67" t="s">
        <v>132</v>
      </c>
      <c r="AM34" s="73">
        <v>207852.3</v>
      </c>
      <c r="AN34" s="73">
        <f>13284.1+13284.1</f>
        <v>26568.2</v>
      </c>
      <c r="AO34" s="72">
        <f t="shared" si="0"/>
        <v>234420.5</v>
      </c>
    </row>
    <row r="35" spans="1:41" ht="25.5" x14ac:dyDescent="0.25">
      <c r="A35" s="20" t="s">
        <v>329</v>
      </c>
      <c r="B35" s="20" t="s">
        <v>210</v>
      </c>
      <c r="C35" s="20" t="s">
        <v>211</v>
      </c>
      <c r="D35" s="38" t="s">
        <v>88</v>
      </c>
      <c r="E35" s="38" t="s">
        <v>87</v>
      </c>
      <c r="F35" s="48" t="s">
        <v>212</v>
      </c>
      <c r="G35" s="39">
        <v>12780</v>
      </c>
      <c r="H35" s="39" t="s">
        <v>132</v>
      </c>
      <c r="I35" s="39" t="s">
        <v>132</v>
      </c>
      <c r="J35" s="39" t="s">
        <v>132</v>
      </c>
      <c r="K35" s="59" t="s">
        <v>206</v>
      </c>
      <c r="L35" s="63" t="s">
        <v>205</v>
      </c>
      <c r="M35" s="25" t="s">
        <v>101</v>
      </c>
      <c r="N35" s="28">
        <v>43909</v>
      </c>
      <c r="O35" s="67">
        <v>1445904</v>
      </c>
      <c r="P35" s="39">
        <v>12777</v>
      </c>
      <c r="Q35" s="28">
        <v>43909</v>
      </c>
      <c r="R35" s="28">
        <v>44273</v>
      </c>
      <c r="S35" s="38" t="s">
        <v>198</v>
      </c>
      <c r="T35" s="41" t="s">
        <v>206</v>
      </c>
      <c r="U35" s="41" t="s">
        <v>190</v>
      </c>
      <c r="V35" s="67" t="s">
        <v>132</v>
      </c>
      <c r="W35" s="25" t="s">
        <v>111</v>
      </c>
      <c r="X35" s="25" t="s">
        <v>132</v>
      </c>
      <c r="Y35" s="25">
        <v>3</v>
      </c>
      <c r="Z35" s="28">
        <v>45002</v>
      </c>
      <c r="AA35" s="39">
        <v>13498</v>
      </c>
      <c r="AB35" s="25" t="s">
        <v>114</v>
      </c>
      <c r="AC35" s="28">
        <v>45004</v>
      </c>
      <c r="AD35" s="28">
        <v>45369</v>
      </c>
      <c r="AE35" s="25" t="s">
        <v>132</v>
      </c>
      <c r="AF35" s="25" t="s">
        <v>132</v>
      </c>
      <c r="AG35" s="67" t="s">
        <v>132</v>
      </c>
      <c r="AH35" s="67" t="s">
        <v>132</v>
      </c>
      <c r="AI35" s="25" t="s">
        <v>132</v>
      </c>
      <c r="AJ35" s="25" t="s">
        <v>132</v>
      </c>
      <c r="AK35" s="67" t="s">
        <v>132</v>
      </c>
      <c r="AL35" s="67" t="s">
        <v>132</v>
      </c>
      <c r="AM35" s="73">
        <v>142712.44</v>
      </c>
      <c r="AN35" s="73">
        <f>3510.6+756+2947.2+741.6+1327.2+2688</f>
        <v>11970.6</v>
      </c>
      <c r="AO35" s="72">
        <f t="shared" si="0"/>
        <v>154683.04</v>
      </c>
    </row>
    <row r="36" spans="1:41" ht="25.5" x14ac:dyDescent="0.25">
      <c r="A36" s="20" t="s">
        <v>330</v>
      </c>
      <c r="B36" s="20" t="s">
        <v>210</v>
      </c>
      <c r="C36" s="20" t="s">
        <v>211</v>
      </c>
      <c r="D36" s="38" t="s">
        <v>88</v>
      </c>
      <c r="E36" s="38" t="s">
        <v>87</v>
      </c>
      <c r="F36" s="48" t="s">
        <v>212</v>
      </c>
      <c r="G36" s="39">
        <v>12798</v>
      </c>
      <c r="H36" s="39" t="s">
        <v>132</v>
      </c>
      <c r="I36" s="39" t="s">
        <v>132</v>
      </c>
      <c r="J36" s="39" t="s">
        <v>132</v>
      </c>
      <c r="K36" s="59" t="s">
        <v>208</v>
      </c>
      <c r="L36" s="63" t="s">
        <v>207</v>
      </c>
      <c r="M36" s="25" t="s">
        <v>102</v>
      </c>
      <c r="N36" s="28">
        <v>43910</v>
      </c>
      <c r="O36" s="67">
        <v>1445904</v>
      </c>
      <c r="P36" s="39">
        <v>12798</v>
      </c>
      <c r="Q36" s="28">
        <v>43910</v>
      </c>
      <c r="R36" s="28">
        <v>44275</v>
      </c>
      <c r="S36" s="38" t="s">
        <v>198</v>
      </c>
      <c r="T36" s="41" t="s">
        <v>208</v>
      </c>
      <c r="U36" s="41" t="s">
        <v>190</v>
      </c>
      <c r="V36" s="67" t="s">
        <v>132</v>
      </c>
      <c r="W36" s="25" t="s">
        <v>111</v>
      </c>
      <c r="X36" s="25" t="s">
        <v>132</v>
      </c>
      <c r="Y36" s="25">
        <v>3</v>
      </c>
      <c r="Z36" s="28">
        <v>45004</v>
      </c>
      <c r="AA36" s="39">
        <v>13498</v>
      </c>
      <c r="AB36" s="25" t="s">
        <v>114</v>
      </c>
      <c r="AC36" s="28">
        <v>45006</v>
      </c>
      <c r="AD36" s="28">
        <v>45371</v>
      </c>
      <c r="AE36" s="25" t="s">
        <v>132</v>
      </c>
      <c r="AF36" s="25" t="s">
        <v>132</v>
      </c>
      <c r="AG36" s="67" t="s">
        <v>132</v>
      </c>
      <c r="AH36" s="67" t="s">
        <v>132</v>
      </c>
      <c r="AI36" s="25" t="s">
        <v>132</v>
      </c>
      <c r="AJ36" s="25" t="s">
        <v>132</v>
      </c>
      <c r="AK36" s="67" t="s">
        <v>132</v>
      </c>
      <c r="AL36" s="67" t="s">
        <v>132</v>
      </c>
      <c r="AM36" s="73">
        <v>316874.92</v>
      </c>
      <c r="AN36" s="73">
        <f>3808+8268+3827.87+3707.2+3881.27+8011.2+6310.64+3750.87+7304.4</f>
        <v>48869.450000000004</v>
      </c>
      <c r="AO36" s="72">
        <f t="shared" si="0"/>
        <v>365744.37</v>
      </c>
    </row>
    <row r="37" spans="1:41" x14ac:dyDescent="0.25">
      <c r="A37" s="20" t="s">
        <v>331</v>
      </c>
      <c r="B37" s="20" t="s">
        <v>213</v>
      </c>
      <c r="C37" s="20" t="s">
        <v>214</v>
      </c>
      <c r="D37" s="38" t="s">
        <v>88</v>
      </c>
      <c r="E37" s="38" t="s">
        <v>87</v>
      </c>
      <c r="F37" s="48" t="s">
        <v>138</v>
      </c>
      <c r="G37" s="39">
        <v>12750</v>
      </c>
      <c r="H37" s="39" t="s">
        <v>215</v>
      </c>
      <c r="I37" s="28">
        <v>43888</v>
      </c>
      <c r="J37" s="28">
        <v>44254</v>
      </c>
      <c r="K37" s="59" t="s">
        <v>209</v>
      </c>
      <c r="L37" s="63" t="s">
        <v>278</v>
      </c>
      <c r="M37" s="25" t="s">
        <v>122</v>
      </c>
      <c r="N37" s="28">
        <v>43955</v>
      </c>
      <c r="O37" s="67">
        <v>222912</v>
      </c>
      <c r="P37" s="39">
        <v>12798</v>
      </c>
      <c r="Q37" s="28">
        <v>43955</v>
      </c>
      <c r="R37" s="28">
        <v>44196</v>
      </c>
      <c r="S37" s="38">
        <v>117</v>
      </c>
      <c r="T37" s="41" t="s">
        <v>209</v>
      </c>
      <c r="U37" s="41" t="s">
        <v>190</v>
      </c>
      <c r="V37" s="67" t="s">
        <v>132</v>
      </c>
      <c r="W37" s="25" t="s">
        <v>111</v>
      </c>
      <c r="X37" s="25" t="s">
        <v>132</v>
      </c>
      <c r="Y37" s="25">
        <v>7</v>
      </c>
      <c r="Z37" s="28">
        <v>44967</v>
      </c>
      <c r="AA37" s="39">
        <v>13473</v>
      </c>
      <c r="AB37" s="25" t="s">
        <v>493</v>
      </c>
      <c r="AC37" s="28">
        <v>44936</v>
      </c>
      <c r="AD37" s="28">
        <v>45291</v>
      </c>
      <c r="AE37" s="44">
        <v>6.5343999999999999E-2</v>
      </c>
      <c r="AF37" s="25" t="s">
        <v>132</v>
      </c>
      <c r="AG37" s="67" t="s">
        <v>132</v>
      </c>
      <c r="AH37" s="67" t="s">
        <v>132</v>
      </c>
      <c r="AI37" s="25" t="s">
        <v>132</v>
      </c>
      <c r="AJ37" s="25" t="s">
        <v>132</v>
      </c>
      <c r="AK37" s="67" t="s">
        <v>132</v>
      </c>
      <c r="AL37" s="67" t="s">
        <v>132</v>
      </c>
      <c r="AM37" s="73">
        <v>531562.55000000005</v>
      </c>
      <c r="AN37" s="73">
        <f>15782.64+2630.44+5260.88+5604.64+19616.24+16813.92+8406.96</f>
        <v>74115.72</v>
      </c>
      <c r="AO37" s="72">
        <f t="shared" si="0"/>
        <v>605678.27</v>
      </c>
    </row>
    <row r="38" spans="1:41" x14ac:dyDescent="0.25">
      <c r="A38" s="20" t="s">
        <v>332</v>
      </c>
      <c r="B38" s="20" t="s">
        <v>213</v>
      </c>
      <c r="C38" s="20" t="s">
        <v>214</v>
      </c>
      <c r="D38" s="38" t="s">
        <v>88</v>
      </c>
      <c r="E38" s="38" t="s">
        <v>87</v>
      </c>
      <c r="F38" s="48" t="s">
        <v>138</v>
      </c>
      <c r="G38" s="39"/>
      <c r="H38" s="39" t="s">
        <v>215</v>
      </c>
      <c r="I38" s="28"/>
      <c r="J38" s="28"/>
      <c r="K38" s="59" t="s">
        <v>307</v>
      </c>
      <c r="L38" s="63" t="s">
        <v>278</v>
      </c>
      <c r="M38" s="25" t="s">
        <v>315</v>
      </c>
      <c r="N38" s="28">
        <v>44239</v>
      </c>
      <c r="O38" s="67">
        <v>90960</v>
      </c>
      <c r="P38" s="39">
        <v>12989</v>
      </c>
      <c r="Q38" s="28">
        <v>44239</v>
      </c>
      <c r="R38" s="28">
        <v>44604</v>
      </c>
      <c r="S38" s="25" t="s">
        <v>198</v>
      </c>
      <c r="T38" s="41"/>
      <c r="U38" s="41" t="s">
        <v>190</v>
      </c>
      <c r="V38" s="67" t="s">
        <v>132</v>
      </c>
      <c r="W38" s="25" t="s">
        <v>111</v>
      </c>
      <c r="X38" s="25" t="s">
        <v>132</v>
      </c>
      <c r="Y38" s="25">
        <v>4</v>
      </c>
      <c r="Z38" s="28">
        <v>44967</v>
      </c>
      <c r="AA38" s="39">
        <v>13473</v>
      </c>
      <c r="AB38" s="25" t="s">
        <v>116</v>
      </c>
      <c r="AC38" s="28">
        <v>44969</v>
      </c>
      <c r="AD38" s="28">
        <v>45333</v>
      </c>
      <c r="AE38" s="43">
        <v>0.14627899999999999</v>
      </c>
      <c r="AF38" s="25" t="s">
        <v>132</v>
      </c>
      <c r="AG38" s="67" t="s">
        <v>132</v>
      </c>
      <c r="AH38" s="67" t="s">
        <v>132</v>
      </c>
      <c r="AI38" s="25" t="s">
        <v>132</v>
      </c>
      <c r="AJ38" s="25" t="s">
        <v>132</v>
      </c>
      <c r="AK38" s="67" t="s">
        <v>132</v>
      </c>
      <c r="AL38" s="67" t="s">
        <v>132</v>
      </c>
      <c r="AM38" s="73">
        <v>38405.32</v>
      </c>
      <c r="AN38" s="73"/>
      <c r="AO38" s="72">
        <f t="shared" si="0"/>
        <v>38405.32</v>
      </c>
    </row>
    <row r="39" spans="1:41" ht="51" x14ac:dyDescent="0.25">
      <c r="A39" s="20" t="s">
        <v>333</v>
      </c>
      <c r="B39" s="20" t="s">
        <v>305</v>
      </c>
      <c r="C39" s="20" t="s">
        <v>318</v>
      </c>
      <c r="D39" s="38" t="s">
        <v>88</v>
      </c>
      <c r="E39" s="38" t="s">
        <v>87</v>
      </c>
      <c r="F39" s="48" t="s">
        <v>217</v>
      </c>
      <c r="G39" s="39" t="s">
        <v>132</v>
      </c>
      <c r="H39" s="39" t="s">
        <v>303</v>
      </c>
      <c r="I39" s="28"/>
      <c r="J39" s="28"/>
      <c r="K39" s="59" t="s">
        <v>319</v>
      </c>
      <c r="L39" s="63" t="s">
        <v>177</v>
      </c>
      <c r="M39" s="25" t="s">
        <v>216</v>
      </c>
      <c r="N39" s="28">
        <v>44238</v>
      </c>
      <c r="O39" s="67">
        <v>184073</v>
      </c>
      <c r="P39" s="39"/>
      <c r="Q39" s="28">
        <v>44238</v>
      </c>
      <c r="R39" s="28">
        <v>44561</v>
      </c>
      <c r="S39" s="38" t="s">
        <v>198</v>
      </c>
      <c r="T39" s="41"/>
      <c r="U39" s="41" t="s">
        <v>190</v>
      </c>
      <c r="V39" s="67"/>
      <c r="W39" s="25" t="s">
        <v>112</v>
      </c>
      <c r="X39" s="25"/>
      <c r="Y39" s="25"/>
      <c r="Z39" s="25"/>
      <c r="AA39" s="25"/>
      <c r="AB39" s="25"/>
      <c r="AC39" s="25"/>
      <c r="AD39" s="25"/>
      <c r="AE39" s="25"/>
      <c r="AF39" s="25"/>
      <c r="AG39" s="67"/>
      <c r="AH39" s="67"/>
      <c r="AI39" s="25"/>
      <c r="AJ39" s="25"/>
      <c r="AK39" s="67"/>
      <c r="AL39" s="67"/>
      <c r="AM39" s="73">
        <v>37102.019999999997</v>
      </c>
      <c r="AN39" s="73"/>
      <c r="AO39" s="72">
        <f t="shared" si="0"/>
        <v>37102.019999999997</v>
      </c>
    </row>
    <row r="40" spans="1:41" ht="38.25" x14ac:dyDescent="0.25">
      <c r="A40" s="20" t="s">
        <v>527</v>
      </c>
      <c r="B40" s="20" t="s">
        <v>220</v>
      </c>
      <c r="C40" s="20" t="s">
        <v>221</v>
      </c>
      <c r="D40" s="38" t="s">
        <v>88</v>
      </c>
      <c r="E40" s="38" t="s">
        <v>87</v>
      </c>
      <c r="F40" s="48" t="s">
        <v>222</v>
      </c>
      <c r="G40" s="45" t="s">
        <v>132</v>
      </c>
      <c r="H40" s="39" t="s">
        <v>223</v>
      </c>
      <c r="I40" s="28" t="s">
        <v>132</v>
      </c>
      <c r="J40" s="28" t="s">
        <v>132</v>
      </c>
      <c r="K40" s="59" t="s">
        <v>219</v>
      </c>
      <c r="L40" s="63" t="s">
        <v>218</v>
      </c>
      <c r="M40" s="28" t="s">
        <v>224</v>
      </c>
      <c r="N40" s="28">
        <v>44022</v>
      </c>
      <c r="O40" s="67">
        <v>25000</v>
      </c>
      <c r="P40" s="39">
        <v>12847</v>
      </c>
      <c r="Q40" s="28">
        <v>44022</v>
      </c>
      <c r="R40" s="28">
        <v>44387</v>
      </c>
      <c r="S40" s="38" t="s">
        <v>198</v>
      </c>
      <c r="T40" s="41" t="s">
        <v>219</v>
      </c>
      <c r="U40" s="41" t="s">
        <v>190</v>
      </c>
      <c r="V40" s="67" t="s">
        <v>132</v>
      </c>
      <c r="W40" s="25" t="s">
        <v>166</v>
      </c>
      <c r="X40" s="25" t="s">
        <v>132</v>
      </c>
      <c r="Y40" s="25">
        <v>1</v>
      </c>
      <c r="Z40" s="28">
        <v>44413</v>
      </c>
      <c r="AA40" s="25" t="s">
        <v>132</v>
      </c>
      <c r="AB40" s="25" t="s">
        <v>139</v>
      </c>
      <c r="AC40" s="28">
        <v>44414</v>
      </c>
      <c r="AD40" s="28">
        <v>44778</v>
      </c>
      <c r="AE40" s="25" t="s">
        <v>132</v>
      </c>
      <c r="AF40" s="25" t="s">
        <v>132</v>
      </c>
      <c r="AG40" s="67" t="s">
        <v>132</v>
      </c>
      <c r="AH40" s="67" t="s">
        <v>132</v>
      </c>
      <c r="AI40" s="25" t="s">
        <v>132</v>
      </c>
      <c r="AJ40" s="25" t="s">
        <v>132</v>
      </c>
      <c r="AK40" s="67" t="s">
        <v>132</v>
      </c>
      <c r="AL40" s="67" t="s">
        <v>132</v>
      </c>
      <c r="AM40" s="73"/>
      <c r="AN40" s="73"/>
      <c r="AO40" s="72">
        <f t="shared" si="0"/>
        <v>0</v>
      </c>
    </row>
    <row r="41" spans="1:41" ht="38.25" x14ac:dyDescent="0.25">
      <c r="A41" s="20" t="s">
        <v>334</v>
      </c>
      <c r="B41" s="20" t="s">
        <v>174</v>
      </c>
      <c r="C41" s="20" t="s">
        <v>204</v>
      </c>
      <c r="D41" s="38" t="s">
        <v>88</v>
      </c>
      <c r="E41" s="38" t="s">
        <v>87</v>
      </c>
      <c r="F41" s="48" t="s">
        <v>226</v>
      </c>
      <c r="G41" s="45">
        <v>12886</v>
      </c>
      <c r="H41" s="39" t="s">
        <v>215</v>
      </c>
      <c r="I41" s="28">
        <v>44088</v>
      </c>
      <c r="J41" s="28">
        <v>44196</v>
      </c>
      <c r="K41" s="59" t="s">
        <v>227</v>
      </c>
      <c r="L41" s="63" t="s">
        <v>225</v>
      </c>
      <c r="M41" s="20" t="s">
        <v>98</v>
      </c>
      <c r="N41" s="28">
        <v>44088</v>
      </c>
      <c r="O41" s="67">
        <v>86352</v>
      </c>
      <c r="P41" s="39">
        <v>12886</v>
      </c>
      <c r="Q41" s="28">
        <v>44088</v>
      </c>
      <c r="R41" s="28">
        <v>44453</v>
      </c>
      <c r="S41" s="38" t="s">
        <v>198</v>
      </c>
      <c r="T41" s="41" t="s">
        <v>227</v>
      </c>
      <c r="U41" s="41" t="s">
        <v>190</v>
      </c>
      <c r="V41" s="67" t="s">
        <v>132</v>
      </c>
      <c r="W41" s="25" t="s">
        <v>112</v>
      </c>
      <c r="X41" s="25" t="s">
        <v>132</v>
      </c>
      <c r="Y41" s="25">
        <v>2</v>
      </c>
      <c r="Z41" s="28">
        <v>44799</v>
      </c>
      <c r="AA41" s="39">
        <v>13367</v>
      </c>
      <c r="AB41" s="25" t="s">
        <v>139</v>
      </c>
      <c r="AC41" s="28">
        <v>44818</v>
      </c>
      <c r="AD41" s="28">
        <v>45182</v>
      </c>
      <c r="AE41" s="25" t="s">
        <v>132</v>
      </c>
      <c r="AF41" s="25" t="s">
        <v>132</v>
      </c>
      <c r="AG41" s="67" t="s">
        <v>132</v>
      </c>
      <c r="AH41" s="67" t="s">
        <v>132</v>
      </c>
      <c r="AI41" s="25" t="s">
        <v>132</v>
      </c>
      <c r="AJ41" s="25" t="s">
        <v>132</v>
      </c>
      <c r="AK41" s="67" t="s">
        <v>132</v>
      </c>
      <c r="AL41" s="67" t="s">
        <v>132</v>
      </c>
      <c r="AM41" s="73">
        <v>143920</v>
      </c>
      <c r="AN41" s="73">
        <f>3598+3598+3598</f>
        <v>10794</v>
      </c>
      <c r="AO41" s="72">
        <f t="shared" si="0"/>
        <v>154714</v>
      </c>
    </row>
    <row r="42" spans="1:41" ht="25.5" x14ac:dyDescent="0.25">
      <c r="A42" s="20" t="s">
        <v>335</v>
      </c>
      <c r="B42" s="20" t="s">
        <v>229</v>
      </c>
      <c r="C42" s="20" t="s">
        <v>230</v>
      </c>
      <c r="D42" s="38" t="s">
        <v>88</v>
      </c>
      <c r="E42" s="38" t="s">
        <v>87</v>
      </c>
      <c r="F42" s="48" t="s">
        <v>153</v>
      </c>
      <c r="G42" s="45">
        <v>12855</v>
      </c>
      <c r="H42" s="39" t="s">
        <v>231</v>
      </c>
      <c r="I42" s="28">
        <v>44048</v>
      </c>
      <c r="J42" s="28">
        <v>44413</v>
      </c>
      <c r="K42" s="59" t="s">
        <v>228</v>
      </c>
      <c r="L42" s="63" t="s">
        <v>148</v>
      </c>
      <c r="M42" s="20" t="s">
        <v>149</v>
      </c>
      <c r="N42" s="28">
        <v>44053</v>
      </c>
      <c r="O42" s="67">
        <v>1076549.76</v>
      </c>
      <c r="P42" s="39">
        <v>12863</v>
      </c>
      <c r="Q42" s="28">
        <v>44053</v>
      </c>
      <c r="R42" s="28">
        <v>44418</v>
      </c>
      <c r="S42" s="38" t="s">
        <v>232</v>
      </c>
      <c r="T42" s="41" t="s">
        <v>228</v>
      </c>
      <c r="U42" s="41" t="s">
        <v>190</v>
      </c>
      <c r="V42" s="67" t="s">
        <v>132</v>
      </c>
      <c r="W42" s="25" t="s">
        <v>111</v>
      </c>
      <c r="X42" s="25" t="s">
        <v>132</v>
      </c>
      <c r="Y42" s="25">
        <v>2</v>
      </c>
      <c r="Z42" s="28">
        <v>44546</v>
      </c>
      <c r="AA42" s="39">
        <v>13189</v>
      </c>
      <c r="AB42" s="25" t="s">
        <v>457</v>
      </c>
      <c r="AC42" s="28">
        <v>44546</v>
      </c>
      <c r="AD42" s="28">
        <v>44910</v>
      </c>
      <c r="AE42" s="25">
        <v>25</v>
      </c>
      <c r="AF42" s="25" t="s">
        <v>132</v>
      </c>
      <c r="AG42" s="67" t="s">
        <v>132</v>
      </c>
      <c r="AH42" s="67" t="s">
        <v>132</v>
      </c>
      <c r="AI42" s="25" t="s">
        <v>132</v>
      </c>
      <c r="AJ42" s="25" t="s">
        <v>132</v>
      </c>
      <c r="AK42" s="67" t="s">
        <v>132</v>
      </c>
      <c r="AL42" s="67" t="s">
        <v>132</v>
      </c>
      <c r="AM42" s="73">
        <v>1155152.58</v>
      </c>
      <c r="AN42" s="73">
        <f>42465.41+11659.69+45555.28+11659.69+29445.6+13019.81+19886.19</f>
        <v>173691.67</v>
      </c>
      <c r="AO42" s="72">
        <f t="shared" si="0"/>
        <v>1328844.25</v>
      </c>
    </row>
    <row r="43" spans="1:41" ht="51" x14ac:dyDescent="0.25">
      <c r="A43" s="20" t="s">
        <v>336</v>
      </c>
      <c r="B43" s="20" t="s">
        <v>311</v>
      </c>
      <c r="C43" s="20" t="s">
        <v>237</v>
      </c>
      <c r="D43" s="38" t="s">
        <v>88</v>
      </c>
      <c r="E43" s="38" t="s">
        <v>87</v>
      </c>
      <c r="F43" s="48" t="s">
        <v>241</v>
      </c>
      <c r="G43" s="45">
        <v>12855</v>
      </c>
      <c r="H43" s="39" t="s">
        <v>238</v>
      </c>
      <c r="I43" s="28">
        <v>44053</v>
      </c>
      <c r="J43" s="28">
        <v>44418</v>
      </c>
      <c r="K43" s="59" t="s">
        <v>233</v>
      </c>
      <c r="L43" s="63" t="s">
        <v>242</v>
      </c>
      <c r="M43" s="20" t="s">
        <v>234</v>
      </c>
      <c r="N43" s="28">
        <v>44053</v>
      </c>
      <c r="O43" s="67">
        <v>1125464.3999999999</v>
      </c>
      <c r="P43" s="39">
        <v>12863</v>
      </c>
      <c r="Q43" s="28">
        <v>44053</v>
      </c>
      <c r="R43" s="28">
        <v>44418</v>
      </c>
      <c r="S43" s="38">
        <v>126</v>
      </c>
      <c r="T43" s="41" t="s">
        <v>233</v>
      </c>
      <c r="U43" s="41" t="s">
        <v>190</v>
      </c>
      <c r="V43" s="67" t="s">
        <v>132</v>
      </c>
      <c r="W43" s="25" t="s">
        <v>111</v>
      </c>
      <c r="X43" s="25" t="s">
        <v>132</v>
      </c>
      <c r="Y43" s="25">
        <v>1</v>
      </c>
      <c r="Z43" s="28">
        <v>44414</v>
      </c>
      <c r="AA43" s="25" t="s">
        <v>132</v>
      </c>
      <c r="AB43" s="25" t="s">
        <v>116</v>
      </c>
      <c r="AC43" s="28">
        <v>44418</v>
      </c>
      <c r="AD43" s="28">
        <v>44782</v>
      </c>
      <c r="AE43" s="42">
        <v>0.05</v>
      </c>
      <c r="AF43" s="25" t="s">
        <v>132</v>
      </c>
      <c r="AG43" s="67" t="s">
        <v>132</v>
      </c>
      <c r="AH43" s="67" t="s">
        <v>132</v>
      </c>
      <c r="AI43" s="25" t="s">
        <v>132</v>
      </c>
      <c r="AJ43" s="25" t="s">
        <v>132</v>
      </c>
      <c r="AK43" s="67" t="s">
        <v>132</v>
      </c>
      <c r="AL43" s="67" t="s">
        <v>132</v>
      </c>
      <c r="AM43" s="73">
        <v>1953179.09</v>
      </c>
      <c r="AN43" s="73">
        <f>53996.55+37797.58+51296.72+41654.48+50396.78+43197.24</f>
        <v>278339.35000000003</v>
      </c>
      <c r="AO43" s="72">
        <f t="shared" si="0"/>
        <v>2231518.44</v>
      </c>
    </row>
    <row r="44" spans="1:41" ht="38.25" x14ac:dyDescent="0.25">
      <c r="A44" s="20" t="s">
        <v>337</v>
      </c>
      <c r="B44" s="20" t="s">
        <v>239</v>
      </c>
      <c r="C44" s="20" t="s">
        <v>240</v>
      </c>
      <c r="D44" s="38" t="s">
        <v>88</v>
      </c>
      <c r="E44" s="38" t="s">
        <v>87</v>
      </c>
      <c r="F44" s="48" t="s">
        <v>236</v>
      </c>
      <c r="G44" s="45">
        <v>12855</v>
      </c>
      <c r="H44" s="39" t="s">
        <v>238</v>
      </c>
      <c r="I44" s="28">
        <v>44053</v>
      </c>
      <c r="J44" s="28">
        <v>44418</v>
      </c>
      <c r="K44" s="59" t="s">
        <v>244</v>
      </c>
      <c r="L44" s="63" t="s">
        <v>243</v>
      </c>
      <c r="M44" s="20" t="s">
        <v>235</v>
      </c>
      <c r="N44" s="28">
        <v>44053</v>
      </c>
      <c r="O44" s="67">
        <v>285426</v>
      </c>
      <c r="P44" s="39">
        <v>12863</v>
      </c>
      <c r="Q44" s="28">
        <v>44053</v>
      </c>
      <c r="R44" s="28">
        <v>44053</v>
      </c>
      <c r="S44" s="38" t="s">
        <v>245</v>
      </c>
      <c r="T44" s="41" t="s">
        <v>244</v>
      </c>
      <c r="U44" s="41" t="s">
        <v>190</v>
      </c>
      <c r="V44" s="67" t="s">
        <v>132</v>
      </c>
      <c r="W44" s="25" t="s">
        <v>246</v>
      </c>
      <c r="X44" s="25" t="s">
        <v>132</v>
      </c>
      <c r="Y44" s="25">
        <v>4</v>
      </c>
      <c r="Z44" s="28">
        <v>44967</v>
      </c>
      <c r="AA44" s="39">
        <v>13473</v>
      </c>
      <c r="AB44" s="25" t="s">
        <v>116</v>
      </c>
      <c r="AC44" s="28">
        <v>44783</v>
      </c>
      <c r="AD44" s="28">
        <v>45147</v>
      </c>
      <c r="AE44" s="25"/>
      <c r="AF44" s="25" t="s">
        <v>132</v>
      </c>
      <c r="AG44" s="67" t="s">
        <v>132</v>
      </c>
      <c r="AH44" s="67" t="s">
        <v>132</v>
      </c>
      <c r="AI44" s="25" t="s">
        <v>132</v>
      </c>
      <c r="AJ44" s="25" t="s">
        <v>132</v>
      </c>
      <c r="AK44" s="67" t="s">
        <v>132</v>
      </c>
      <c r="AL44" s="67" t="s">
        <v>132</v>
      </c>
      <c r="AM44" s="73">
        <v>273374.68</v>
      </c>
      <c r="AN44" s="73">
        <f>9514.2+13521.14+6760.57</f>
        <v>29795.91</v>
      </c>
      <c r="AO44" s="72">
        <f t="shared" si="0"/>
        <v>303170.58999999997</v>
      </c>
    </row>
    <row r="45" spans="1:41" ht="38.25" x14ac:dyDescent="0.25">
      <c r="A45" s="20" t="s">
        <v>338</v>
      </c>
      <c r="B45" s="20" t="s">
        <v>367</v>
      </c>
      <c r="C45" s="20" t="s">
        <v>368</v>
      </c>
      <c r="D45" s="38" t="s">
        <v>88</v>
      </c>
      <c r="E45" s="38" t="s">
        <v>87</v>
      </c>
      <c r="F45" s="48" t="s">
        <v>236</v>
      </c>
      <c r="G45" s="45">
        <v>12856</v>
      </c>
      <c r="H45" s="39" t="s">
        <v>310</v>
      </c>
      <c r="I45" s="25" t="s">
        <v>132</v>
      </c>
      <c r="J45" s="25" t="s">
        <v>132</v>
      </c>
      <c r="K45" s="59" t="s">
        <v>369</v>
      </c>
      <c r="L45" s="63" t="s">
        <v>243</v>
      </c>
      <c r="M45" s="20" t="s">
        <v>370</v>
      </c>
      <c r="N45" s="28">
        <v>44237</v>
      </c>
      <c r="O45" s="67">
        <v>285426</v>
      </c>
      <c r="P45" s="39">
        <v>12983</v>
      </c>
      <c r="Q45" s="28">
        <v>44237</v>
      </c>
      <c r="R45" s="28">
        <v>44532</v>
      </c>
      <c r="S45" s="38" t="s">
        <v>198</v>
      </c>
      <c r="T45" s="41"/>
      <c r="U45" s="41" t="s">
        <v>190</v>
      </c>
      <c r="V45" s="67"/>
      <c r="W45" s="25" t="s">
        <v>246</v>
      </c>
      <c r="X45" s="25"/>
      <c r="Y45" s="25">
        <v>2</v>
      </c>
      <c r="Z45" s="28">
        <v>44839</v>
      </c>
      <c r="AA45" s="39">
        <v>13387</v>
      </c>
      <c r="AB45" s="25" t="s">
        <v>116</v>
      </c>
      <c r="AC45" s="28">
        <v>44603</v>
      </c>
      <c r="AD45" s="28">
        <v>44967</v>
      </c>
      <c r="AE45" s="42">
        <v>0.05</v>
      </c>
      <c r="AF45" s="25"/>
      <c r="AG45" s="67"/>
      <c r="AH45" s="67"/>
      <c r="AI45" s="25"/>
      <c r="AJ45" s="25"/>
      <c r="AK45" s="67"/>
      <c r="AL45" s="67"/>
      <c r="AM45" s="73">
        <v>244569.82</v>
      </c>
      <c r="AN45" s="73">
        <f>20281.71+6760.57+20281.71+6760.57+13521.14+6760.57</f>
        <v>74366.26999999999</v>
      </c>
      <c r="AO45" s="72">
        <f t="shared" si="0"/>
        <v>318936.08999999997</v>
      </c>
    </row>
    <row r="46" spans="1:41" x14ac:dyDescent="0.25">
      <c r="A46" s="20" t="s">
        <v>528</v>
      </c>
      <c r="B46" s="20" t="s">
        <v>252</v>
      </c>
      <c r="C46" s="20" t="s">
        <v>253</v>
      </c>
      <c r="D46" s="38" t="s">
        <v>88</v>
      </c>
      <c r="E46" s="38" t="s">
        <v>87</v>
      </c>
      <c r="F46" s="48" t="s">
        <v>254</v>
      </c>
      <c r="G46" s="45" t="s">
        <v>132</v>
      </c>
      <c r="H46" s="39" t="s">
        <v>248</v>
      </c>
      <c r="I46" s="28">
        <v>44088</v>
      </c>
      <c r="J46" s="28">
        <v>44196</v>
      </c>
      <c r="K46" s="59" t="s">
        <v>249</v>
      </c>
      <c r="L46" s="63" t="s">
        <v>250</v>
      </c>
      <c r="M46" s="20" t="s">
        <v>255</v>
      </c>
      <c r="N46" s="28">
        <v>44174</v>
      </c>
      <c r="O46" s="67">
        <v>64788</v>
      </c>
      <c r="P46" s="39">
        <v>12927</v>
      </c>
      <c r="Q46" s="28" t="s">
        <v>132</v>
      </c>
      <c r="R46" s="28" t="s">
        <v>132</v>
      </c>
      <c r="S46" s="38">
        <v>117</v>
      </c>
      <c r="T46" s="41" t="s">
        <v>249</v>
      </c>
      <c r="U46" s="41" t="s">
        <v>190</v>
      </c>
      <c r="V46" s="67" t="s">
        <v>132</v>
      </c>
      <c r="W46" s="25" t="s">
        <v>111</v>
      </c>
      <c r="X46" s="25" t="s">
        <v>132</v>
      </c>
      <c r="Y46" s="25">
        <v>3</v>
      </c>
      <c r="Z46" s="28">
        <v>44874</v>
      </c>
      <c r="AA46" s="39">
        <v>13457</v>
      </c>
      <c r="AB46" s="25" t="s">
        <v>145</v>
      </c>
      <c r="AC46" s="28">
        <v>44875</v>
      </c>
      <c r="AD46" s="28">
        <v>45239</v>
      </c>
      <c r="AE46" s="44">
        <v>7.0113999999999996E-2</v>
      </c>
      <c r="AF46" s="25" t="s">
        <v>132</v>
      </c>
      <c r="AG46" s="67" t="s">
        <v>132</v>
      </c>
      <c r="AH46" s="67" t="s">
        <v>132</v>
      </c>
      <c r="AI46" s="25" t="s">
        <v>132</v>
      </c>
      <c r="AJ46" s="25" t="s">
        <v>132</v>
      </c>
      <c r="AK46" s="67" t="s">
        <v>132</v>
      </c>
      <c r="AL46" s="67" t="s">
        <v>132</v>
      </c>
      <c r="AM46" s="73">
        <f>5399+5399+5399+5399+5399+5399+5399</f>
        <v>37793</v>
      </c>
      <c r="AN46" s="73"/>
      <c r="AO46" s="72">
        <f t="shared" si="0"/>
        <v>37793</v>
      </c>
    </row>
    <row r="47" spans="1:41" ht="51" x14ac:dyDescent="0.25">
      <c r="A47" s="20" t="s">
        <v>339</v>
      </c>
      <c r="B47" s="20" t="s">
        <v>213</v>
      </c>
      <c r="C47" s="20" t="s">
        <v>253</v>
      </c>
      <c r="D47" s="38" t="s">
        <v>88</v>
      </c>
      <c r="E47" s="38" t="s">
        <v>87</v>
      </c>
      <c r="F47" s="48" t="s">
        <v>257</v>
      </c>
      <c r="G47" s="45" t="s">
        <v>132</v>
      </c>
      <c r="H47" s="39" t="s">
        <v>248</v>
      </c>
      <c r="I47" s="28">
        <v>44088</v>
      </c>
      <c r="J47" s="28">
        <v>44196</v>
      </c>
      <c r="K47" s="59" t="s">
        <v>251</v>
      </c>
      <c r="L47" s="63" t="s">
        <v>278</v>
      </c>
      <c r="M47" s="20" t="s">
        <v>256</v>
      </c>
      <c r="N47" s="28">
        <v>44138</v>
      </c>
      <c r="O47" s="67">
        <v>149608</v>
      </c>
      <c r="P47" s="39">
        <v>12927</v>
      </c>
      <c r="Q47" s="28">
        <v>44138</v>
      </c>
      <c r="R47" s="28">
        <v>44503</v>
      </c>
      <c r="S47" s="38" t="s">
        <v>232</v>
      </c>
      <c r="T47" s="41" t="s">
        <v>251</v>
      </c>
      <c r="U47" s="41" t="s">
        <v>190</v>
      </c>
      <c r="V47" s="67" t="s">
        <v>132</v>
      </c>
      <c r="W47" s="25" t="s">
        <v>111</v>
      </c>
      <c r="X47" s="25" t="s">
        <v>132</v>
      </c>
      <c r="Y47" s="25">
        <v>6</v>
      </c>
      <c r="Z47" s="28">
        <v>44910</v>
      </c>
      <c r="AA47" s="39">
        <v>13440</v>
      </c>
      <c r="AB47" s="25" t="s">
        <v>300</v>
      </c>
      <c r="AC47" s="28">
        <v>44504</v>
      </c>
      <c r="AD47" s="28">
        <v>44868</v>
      </c>
      <c r="AE47" s="43">
        <v>9.2297599999999994E-2</v>
      </c>
      <c r="AF47" s="25" t="s">
        <v>132</v>
      </c>
      <c r="AG47" s="67" t="s">
        <v>132</v>
      </c>
      <c r="AH47" s="67" t="s">
        <v>132</v>
      </c>
      <c r="AI47" s="25" t="s">
        <v>132</v>
      </c>
      <c r="AJ47" s="25" t="s">
        <v>132</v>
      </c>
      <c r="AK47" s="67" t="s">
        <v>132</v>
      </c>
      <c r="AL47" s="67" t="s">
        <v>132</v>
      </c>
      <c r="AM47" s="73">
        <v>292820.59999999998</v>
      </c>
      <c r="AN47" s="73">
        <f>14521.86+2420.31+14521.86+2420.31+2420.31+14521.86</f>
        <v>50826.51</v>
      </c>
      <c r="AO47" s="72">
        <f t="shared" si="0"/>
        <v>343647.11</v>
      </c>
    </row>
    <row r="48" spans="1:41" ht="38.25" x14ac:dyDescent="0.25">
      <c r="A48" s="20" t="s">
        <v>529</v>
      </c>
      <c r="B48" s="20" t="s">
        <v>273</v>
      </c>
      <c r="C48" s="20" t="s">
        <v>274</v>
      </c>
      <c r="D48" s="38" t="s">
        <v>88</v>
      </c>
      <c r="E48" s="38" t="s">
        <v>87</v>
      </c>
      <c r="F48" s="48" t="s">
        <v>272</v>
      </c>
      <c r="G48" s="45" t="s">
        <v>132</v>
      </c>
      <c r="H48" s="39" t="s">
        <v>275</v>
      </c>
      <c r="I48" s="28" t="s">
        <v>132</v>
      </c>
      <c r="J48" s="28" t="s">
        <v>132</v>
      </c>
      <c r="K48" s="59" t="s">
        <v>259</v>
      </c>
      <c r="L48" s="63" t="s">
        <v>260</v>
      </c>
      <c r="M48" s="20" t="s">
        <v>261</v>
      </c>
      <c r="N48" s="28">
        <v>43888</v>
      </c>
      <c r="O48" s="67">
        <v>24150</v>
      </c>
      <c r="P48" s="39">
        <v>12750</v>
      </c>
      <c r="Q48" s="28">
        <v>43888</v>
      </c>
      <c r="R48" s="28">
        <v>44196</v>
      </c>
      <c r="S48" s="38" t="s">
        <v>258</v>
      </c>
      <c r="T48" s="36" t="s">
        <v>259</v>
      </c>
      <c r="U48" s="41" t="s">
        <v>190</v>
      </c>
      <c r="V48" s="67" t="s">
        <v>132</v>
      </c>
      <c r="W48" s="25" t="s">
        <v>113</v>
      </c>
      <c r="X48" s="25" t="s">
        <v>132</v>
      </c>
      <c r="Y48" s="25">
        <v>2</v>
      </c>
      <c r="Z48" s="28">
        <v>44560</v>
      </c>
      <c r="AA48" s="39">
        <v>13199</v>
      </c>
      <c r="AB48" s="25" t="s">
        <v>139</v>
      </c>
      <c r="AC48" s="28">
        <v>44783</v>
      </c>
      <c r="AD48" s="28">
        <v>45024</v>
      </c>
      <c r="AE48" s="25" t="s">
        <v>132</v>
      </c>
      <c r="AF48" s="25" t="s">
        <v>132</v>
      </c>
      <c r="AG48" s="67" t="s">
        <v>132</v>
      </c>
      <c r="AH48" s="67" t="s">
        <v>132</v>
      </c>
      <c r="AI48" s="25" t="s">
        <v>132</v>
      </c>
      <c r="AJ48" s="25" t="s">
        <v>132</v>
      </c>
      <c r="AK48" s="67" t="s">
        <v>132</v>
      </c>
      <c r="AL48" s="67" t="s">
        <v>132</v>
      </c>
      <c r="AM48" s="73"/>
      <c r="AN48" s="73"/>
      <c r="AO48" s="72">
        <f t="shared" si="0"/>
        <v>0</v>
      </c>
    </row>
    <row r="49" spans="1:41" ht="38.25" x14ac:dyDescent="0.25">
      <c r="A49" s="20" t="s">
        <v>530</v>
      </c>
      <c r="B49" s="20" t="s">
        <v>268</v>
      </c>
      <c r="C49" s="20" t="s">
        <v>269</v>
      </c>
      <c r="D49" s="38" t="s">
        <v>88</v>
      </c>
      <c r="E49" s="38" t="s">
        <v>87</v>
      </c>
      <c r="F49" s="48" t="s">
        <v>270</v>
      </c>
      <c r="G49" s="45" t="s">
        <v>132</v>
      </c>
      <c r="H49" s="39" t="s">
        <v>132</v>
      </c>
      <c r="I49" s="28" t="s">
        <v>132</v>
      </c>
      <c r="J49" s="28" t="s">
        <v>132</v>
      </c>
      <c r="K49" s="59" t="s">
        <v>262</v>
      </c>
      <c r="L49" s="63" t="s">
        <v>263</v>
      </c>
      <c r="M49" s="20" t="s">
        <v>265</v>
      </c>
      <c r="N49" s="28">
        <v>44117</v>
      </c>
      <c r="O49" s="67">
        <v>105760</v>
      </c>
      <c r="P49" s="39">
        <v>12909</v>
      </c>
      <c r="Q49" s="28">
        <v>44117</v>
      </c>
      <c r="R49" s="28">
        <v>44299</v>
      </c>
      <c r="S49" s="38" t="s">
        <v>258</v>
      </c>
      <c r="T49" s="36" t="s">
        <v>262</v>
      </c>
      <c r="U49" s="41" t="s">
        <v>190</v>
      </c>
      <c r="V49" s="67" t="s">
        <v>132</v>
      </c>
      <c r="W49" s="25" t="s">
        <v>113</v>
      </c>
      <c r="X49" s="25" t="s">
        <v>132</v>
      </c>
      <c r="Y49" s="25">
        <v>4</v>
      </c>
      <c r="Z49" s="28">
        <v>44779</v>
      </c>
      <c r="AA49" s="39">
        <v>13386</v>
      </c>
      <c r="AB49" s="25" t="s">
        <v>139</v>
      </c>
      <c r="AC49" s="28">
        <v>44661</v>
      </c>
      <c r="AD49" s="28">
        <v>44843</v>
      </c>
      <c r="AE49" s="25"/>
      <c r="AF49" s="25" t="s">
        <v>132</v>
      </c>
      <c r="AG49" s="67" t="s">
        <v>132</v>
      </c>
      <c r="AH49" s="67" t="s">
        <v>132</v>
      </c>
      <c r="AI49" s="25" t="s">
        <v>132</v>
      </c>
      <c r="AJ49" s="25" t="s">
        <v>132</v>
      </c>
      <c r="AK49" s="67" t="s">
        <v>132</v>
      </c>
      <c r="AL49" s="67" t="s">
        <v>132</v>
      </c>
      <c r="AM49" s="73">
        <v>178050</v>
      </c>
      <c r="AN49" s="73"/>
      <c r="AO49" s="72">
        <f t="shared" si="0"/>
        <v>178050</v>
      </c>
    </row>
    <row r="50" spans="1:41" ht="38.25" x14ac:dyDescent="0.25">
      <c r="A50" s="20" t="s">
        <v>340</v>
      </c>
      <c r="B50" s="20" t="s">
        <v>299</v>
      </c>
      <c r="C50" s="20" t="s">
        <v>132</v>
      </c>
      <c r="D50" s="38" t="s">
        <v>88</v>
      </c>
      <c r="E50" s="38" t="s">
        <v>87</v>
      </c>
      <c r="F50" s="48" t="s">
        <v>271</v>
      </c>
      <c r="G50" s="45" t="s">
        <v>132</v>
      </c>
      <c r="H50" s="39" t="s">
        <v>132</v>
      </c>
      <c r="I50" s="28" t="s">
        <v>132</v>
      </c>
      <c r="J50" s="28" t="s">
        <v>132</v>
      </c>
      <c r="K50" s="58" t="s">
        <v>264</v>
      </c>
      <c r="L50" s="63" t="s">
        <v>267</v>
      </c>
      <c r="M50" s="20" t="s">
        <v>266</v>
      </c>
      <c r="N50" s="28">
        <v>44117</v>
      </c>
      <c r="O50" s="67">
        <v>99115</v>
      </c>
      <c r="P50" s="39">
        <v>12909</v>
      </c>
      <c r="Q50" s="28">
        <v>44117</v>
      </c>
      <c r="R50" s="28" t="s">
        <v>276</v>
      </c>
      <c r="S50" s="38" t="s">
        <v>258</v>
      </c>
      <c r="T50" s="25" t="s">
        <v>264</v>
      </c>
      <c r="U50" s="41" t="s">
        <v>190</v>
      </c>
      <c r="V50" s="67" t="s">
        <v>132</v>
      </c>
      <c r="W50" s="25" t="s">
        <v>113</v>
      </c>
      <c r="X50" s="25" t="s">
        <v>132</v>
      </c>
      <c r="Y50" s="25">
        <v>4</v>
      </c>
      <c r="Z50" s="28">
        <v>44779</v>
      </c>
      <c r="AA50" s="39">
        <v>13386</v>
      </c>
      <c r="AB50" s="25" t="s">
        <v>114</v>
      </c>
      <c r="AC50" s="28">
        <v>44783</v>
      </c>
      <c r="AD50" s="28">
        <v>45024</v>
      </c>
      <c r="AE50" s="25" t="s">
        <v>132</v>
      </c>
      <c r="AF50" s="25" t="s">
        <v>132</v>
      </c>
      <c r="AG50" s="67" t="s">
        <v>132</v>
      </c>
      <c r="AH50" s="67" t="s">
        <v>132</v>
      </c>
      <c r="AI50" s="25" t="s">
        <v>132</v>
      </c>
      <c r="AJ50" s="25" t="s">
        <v>132</v>
      </c>
      <c r="AK50" s="67" t="s">
        <v>132</v>
      </c>
      <c r="AL50" s="67" t="s">
        <v>132</v>
      </c>
      <c r="AM50" s="73">
        <v>129283.25</v>
      </c>
      <c r="AN50" s="73"/>
      <c r="AO50" s="72">
        <f t="shared" si="0"/>
        <v>129283.25</v>
      </c>
    </row>
    <row r="51" spans="1:41" ht="38.25" x14ac:dyDescent="0.25">
      <c r="A51" s="20" t="s">
        <v>341</v>
      </c>
      <c r="B51" s="20" t="s">
        <v>284</v>
      </c>
      <c r="C51" s="20" t="s">
        <v>290</v>
      </c>
      <c r="D51" s="38" t="s">
        <v>88</v>
      </c>
      <c r="E51" s="38" t="s">
        <v>87</v>
      </c>
      <c r="F51" s="48" t="s">
        <v>291</v>
      </c>
      <c r="G51" s="45">
        <v>12952</v>
      </c>
      <c r="H51" s="39" t="s">
        <v>283</v>
      </c>
      <c r="I51" s="28">
        <v>44183</v>
      </c>
      <c r="J51" s="28">
        <v>44548</v>
      </c>
      <c r="K51" s="58" t="s">
        <v>282</v>
      </c>
      <c r="L51" s="63" t="s">
        <v>280</v>
      </c>
      <c r="M51" s="20" t="s">
        <v>281</v>
      </c>
      <c r="N51" s="28">
        <v>44238</v>
      </c>
      <c r="O51" s="67">
        <v>160000</v>
      </c>
      <c r="P51" s="39">
        <v>12984</v>
      </c>
      <c r="Q51" s="28">
        <v>44238</v>
      </c>
      <c r="R51" s="28">
        <v>44561</v>
      </c>
      <c r="S51" s="38" t="s">
        <v>258</v>
      </c>
      <c r="T51" s="25" t="s">
        <v>282</v>
      </c>
      <c r="U51" s="41" t="s">
        <v>190</v>
      </c>
      <c r="V51" s="67" t="s">
        <v>132</v>
      </c>
      <c r="W51" s="25" t="s">
        <v>112</v>
      </c>
      <c r="X51" s="25" t="s">
        <v>132</v>
      </c>
      <c r="Y51" s="25">
        <v>1</v>
      </c>
      <c r="Z51" s="28">
        <v>44547</v>
      </c>
      <c r="AA51" s="39">
        <v>13189</v>
      </c>
      <c r="AB51" s="25" t="s">
        <v>300</v>
      </c>
      <c r="AC51" s="25" t="s">
        <v>132</v>
      </c>
      <c r="AD51" s="25" t="s">
        <v>132</v>
      </c>
      <c r="AE51" s="42">
        <v>0.25</v>
      </c>
      <c r="AF51" s="25" t="s">
        <v>132</v>
      </c>
      <c r="AG51" s="67" t="s">
        <v>132</v>
      </c>
      <c r="AH51" s="67" t="s">
        <v>132</v>
      </c>
      <c r="AI51" s="25" t="s">
        <v>132</v>
      </c>
      <c r="AJ51" s="25" t="s">
        <v>132</v>
      </c>
      <c r="AK51" s="67" t="s">
        <v>132</v>
      </c>
      <c r="AL51" s="67" t="s">
        <v>132</v>
      </c>
      <c r="AM51" s="73">
        <f>1550+1750+7750+1232+1400+7000+16606+7750+1364+12696+7500+3774+4568+7750+7816+4948+13960+8536+9334+18382+1050+5180+13086+2000+4914+14820</f>
        <v>186716</v>
      </c>
      <c r="AN51" s="73"/>
      <c r="AO51" s="72">
        <f t="shared" si="0"/>
        <v>186716</v>
      </c>
    </row>
    <row r="52" spans="1:41" ht="38.25" x14ac:dyDescent="0.25">
      <c r="A52" s="20" t="s">
        <v>342</v>
      </c>
      <c r="B52" s="20" t="s">
        <v>292</v>
      </c>
      <c r="C52" s="20" t="s">
        <v>293</v>
      </c>
      <c r="D52" s="38" t="s">
        <v>88</v>
      </c>
      <c r="E52" s="38" t="s">
        <v>87</v>
      </c>
      <c r="F52" s="48" t="s">
        <v>294</v>
      </c>
      <c r="G52" s="45">
        <v>12923</v>
      </c>
      <c r="H52" s="39" t="s">
        <v>409</v>
      </c>
      <c r="I52" s="25" t="s">
        <v>132</v>
      </c>
      <c r="J52" s="25" t="s">
        <v>132</v>
      </c>
      <c r="K52" s="58" t="s">
        <v>408</v>
      </c>
      <c r="L52" s="63" t="s">
        <v>285</v>
      </c>
      <c r="M52" s="20" t="s">
        <v>286</v>
      </c>
      <c r="N52" s="28">
        <v>44245</v>
      </c>
      <c r="O52" s="67">
        <v>471580</v>
      </c>
      <c r="P52" s="39"/>
      <c r="Q52" s="28">
        <v>44245</v>
      </c>
      <c r="R52" s="28">
        <v>44561</v>
      </c>
      <c r="S52" s="25" t="s">
        <v>198</v>
      </c>
      <c r="T52" s="41"/>
      <c r="U52" s="41" t="s">
        <v>190</v>
      </c>
      <c r="V52" s="67" t="s">
        <v>132</v>
      </c>
      <c r="W52" s="25" t="s">
        <v>112</v>
      </c>
      <c r="X52" s="25" t="s">
        <v>132</v>
      </c>
      <c r="Y52" s="25" t="s">
        <v>132</v>
      </c>
      <c r="Z52" s="25" t="s">
        <v>132</v>
      </c>
      <c r="AA52" s="25" t="s">
        <v>132</v>
      </c>
      <c r="AB52" s="25" t="s">
        <v>132</v>
      </c>
      <c r="AC52" s="25" t="s">
        <v>132</v>
      </c>
      <c r="AD52" s="25" t="s">
        <v>132</v>
      </c>
      <c r="AE52" s="25" t="s">
        <v>132</v>
      </c>
      <c r="AF52" s="25" t="s">
        <v>132</v>
      </c>
      <c r="AG52" s="67" t="s">
        <v>132</v>
      </c>
      <c r="AH52" s="67" t="s">
        <v>132</v>
      </c>
      <c r="AI52" s="25" t="s">
        <v>132</v>
      </c>
      <c r="AJ52" s="25" t="s">
        <v>132</v>
      </c>
      <c r="AK52" s="67" t="s">
        <v>132</v>
      </c>
      <c r="AL52" s="67" t="s">
        <v>132</v>
      </c>
      <c r="AM52" s="73">
        <v>28314</v>
      </c>
      <c r="AN52" s="73"/>
      <c r="AO52" s="72">
        <f t="shared" si="0"/>
        <v>28314</v>
      </c>
    </row>
    <row r="53" spans="1:41" ht="38.25" x14ac:dyDescent="0.25">
      <c r="A53" s="20" t="s">
        <v>343</v>
      </c>
      <c r="B53" s="20" t="s">
        <v>297</v>
      </c>
      <c r="C53" s="20" t="s">
        <v>298</v>
      </c>
      <c r="D53" s="38" t="s">
        <v>88</v>
      </c>
      <c r="E53" s="38" t="s">
        <v>87</v>
      </c>
      <c r="F53" s="48" t="s">
        <v>295</v>
      </c>
      <c r="G53" s="45">
        <v>12944</v>
      </c>
      <c r="H53" s="39" t="s">
        <v>296</v>
      </c>
      <c r="I53" s="28">
        <v>44175</v>
      </c>
      <c r="J53" s="28">
        <v>44540</v>
      </c>
      <c r="K53" s="58" t="s">
        <v>287</v>
      </c>
      <c r="L53" s="63" t="s">
        <v>288</v>
      </c>
      <c r="M53" s="20" t="s">
        <v>123</v>
      </c>
      <c r="N53" s="28">
        <v>44231</v>
      </c>
      <c r="O53" s="67">
        <v>45800</v>
      </c>
      <c r="P53" s="39">
        <v>12977</v>
      </c>
      <c r="Q53" s="28">
        <v>44231</v>
      </c>
      <c r="R53" s="28">
        <v>44561</v>
      </c>
      <c r="S53" s="25">
        <v>101.117</v>
      </c>
      <c r="T53" s="41" t="s">
        <v>287</v>
      </c>
      <c r="U53" s="41" t="s">
        <v>190</v>
      </c>
      <c r="V53" s="67" t="s">
        <v>132</v>
      </c>
      <c r="W53" s="25" t="s">
        <v>112</v>
      </c>
      <c r="X53" s="25" t="s">
        <v>132</v>
      </c>
      <c r="Y53" s="25" t="s">
        <v>132</v>
      </c>
      <c r="Z53" s="25" t="s">
        <v>132</v>
      </c>
      <c r="AA53" s="25" t="s">
        <v>132</v>
      </c>
      <c r="AB53" s="25" t="s">
        <v>132</v>
      </c>
      <c r="AC53" s="25" t="s">
        <v>132</v>
      </c>
      <c r="AD53" s="25" t="s">
        <v>132</v>
      </c>
      <c r="AE53" s="25" t="s">
        <v>132</v>
      </c>
      <c r="AF53" s="25" t="s">
        <v>132</v>
      </c>
      <c r="AG53" s="67" t="s">
        <v>132</v>
      </c>
      <c r="AH53" s="67" t="s">
        <v>132</v>
      </c>
      <c r="AI53" s="25" t="s">
        <v>132</v>
      </c>
      <c r="AJ53" s="25" t="s">
        <v>132</v>
      </c>
      <c r="AK53" s="67" t="s">
        <v>132</v>
      </c>
      <c r="AL53" s="67" t="s">
        <v>132</v>
      </c>
      <c r="AM53" s="73">
        <v>25740</v>
      </c>
      <c r="AN53" s="73"/>
      <c r="AO53" s="72">
        <f t="shared" si="0"/>
        <v>25740</v>
      </c>
    </row>
    <row r="54" spans="1:41" ht="38.25" x14ac:dyDescent="0.25">
      <c r="A54" s="20" t="s">
        <v>531</v>
      </c>
      <c r="B54" s="20" t="s">
        <v>302</v>
      </c>
      <c r="C54" s="20" t="s">
        <v>306</v>
      </c>
      <c r="D54" s="38" t="s">
        <v>88</v>
      </c>
      <c r="E54" s="38" t="s">
        <v>87</v>
      </c>
      <c r="F54" s="48" t="s">
        <v>417</v>
      </c>
      <c r="G54" s="45">
        <v>12902</v>
      </c>
      <c r="H54" s="39" t="s">
        <v>303</v>
      </c>
      <c r="I54" s="25" t="s">
        <v>132</v>
      </c>
      <c r="J54" s="25" t="s">
        <v>132</v>
      </c>
      <c r="K54" s="58" t="s">
        <v>304</v>
      </c>
      <c r="L54" s="63" t="s">
        <v>301</v>
      </c>
      <c r="M54" s="20" t="s">
        <v>316</v>
      </c>
      <c r="N54" s="28" t="s">
        <v>317</v>
      </c>
      <c r="O54" s="67">
        <v>157840.78</v>
      </c>
      <c r="P54" s="25" t="s">
        <v>132</v>
      </c>
      <c r="Q54" s="28">
        <v>44238</v>
      </c>
      <c r="R54" s="28">
        <v>44561</v>
      </c>
      <c r="S54" s="25" t="s">
        <v>198</v>
      </c>
      <c r="T54" s="41" t="s">
        <v>304</v>
      </c>
      <c r="U54" s="41" t="s">
        <v>190</v>
      </c>
      <c r="V54" s="67" t="s">
        <v>132</v>
      </c>
      <c r="W54" s="25" t="s">
        <v>112</v>
      </c>
      <c r="X54" s="25" t="s">
        <v>132</v>
      </c>
      <c r="Y54" s="25" t="s">
        <v>132</v>
      </c>
      <c r="Z54" s="25" t="s">
        <v>132</v>
      </c>
      <c r="AA54" s="25" t="s">
        <v>132</v>
      </c>
      <c r="AB54" s="25" t="s">
        <v>132</v>
      </c>
      <c r="AC54" s="25" t="s">
        <v>132</v>
      </c>
      <c r="AD54" s="25" t="s">
        <v>132</v>
      </c>
      <c r="AE54" s="25" t="s">
        <v>132</v>
      </c>
      <c r="AF54" s="25" t="s">
        <v>132</v>
      </c>
      <c r="AG54" s="67" t="s">
        <v>132</v>
      </c>
      <c r="AH54" s="67" t="s">
        <v>132</v>
      </c>
      <c r="AI54" s="25" t="s">
        <v>132</v>
      </c>
      <c r="AJ54" s="25" t="s">
        <v>132</v>
      </c>
      <c r="AK54" s="67" t="s">
        <v>132</v>
      </c>
      <c r="AL54" s="67" t="s">
        <v>132</v>
      </c>
      <c r="AM54" s="73">
        <v>123772.92</v>
      </c>
      <c r="AN54" s="73"/>
      <c r="AO54" s="72">
        <f t="shared" si="0"/>
        <v>123772.92</v>
      </c>
    </row>
    <row r="55" spans="1:41" ht="38.25" x14ac:dyDescent="0.25">
      <c r="A55" s="20" t="s">
        <v>344</v>
      </c>
      <c r="B55" s="20" t="s">
        <v>363</v>
      </c>
      <c r="C55" s="20" t="s">
        <v>364</v>
      </c>
      <c r="D55" s="38" t="s">
        <v>88</v>
      </c>
      <c r="E55" s="38" t="s">
        <v>87</v>
      </c>
      <c r="F55" s="48" t="s">
        <v>416</v>
      </c>
      <c r="G55" s="45">
        <v>12904</v>
      </c>
      <c r="H55" s="39" t="s">
        <v>365</v>
      </c>
      <c r="I55" s="25" t="s">
        <v>132</v>
      </c>
      <c r="J55" s="25" t="s">
        <v>132</v>
      </c>
      <c r="K55" s="58" t="s">
        <v>734</v>
      </c>
      <c r="L55" s="63" t="s">
        <v>361</v>
      </c>
      <c r="M55" s="20" t="s">
        <v>366</v>
      </c>
      <c r="N55" s="28">
        <v>44166</v>
      </c>
      <c r="O55" s="67">
        <v>817437.48</v>
      </c>
      <c r="P55" s="39">
        <v>12933</v>
      </c>
      <c r="Q55" s="28">
        <v>44166</v>
      </c>
      <c r="R55" s="28">
        <v>44531</v>
      </c>
      <c r="S55" s="25" t="s">
        <v>198</v>
      </c>
      <c r="T55" s="41" t="s">
        <v>362</v>
      </c>
      <c r="U55" s="41" t="s">
        <v>190</v>
      </c>
      <c r="V55" s="67"/>
      <c r="W55" s="25" t="s">
        <v>111</v>
      </c>
      <c r="X55" s="25" t="s">
        <v>132</v>
      </c>
      <c r="Y55" s="25">
        <v>3</v>
      </c>
      <c r="Z55" s="28">
        <v>44863</v>
      </c>
      <c r="AA55" s="39">
        <v>13421</v>
      </c>
      <c r="AB55" s="25" t="s">
        <v>114</v>
      </c>
      <c r="AC55" s="28">
        <v>44896</v>
      </c>
      <c r="AD55" s="28">
        <v>45260</v>
      </c>
      <c r="AE55" s="25" t="s">
        <v>132</v>
      </c>
      <c r="AF55" s="25" t="s">
        <v>132</v>
      </c>
      <c r="AG55" s="67" t="s">
        <v>132</v>
      </c>
      <c r="AH55" s="67" t="s">
        <v>132</v>
      </c>
      <c r="AI55" s="25" t="s">
        <v>132</v>
      </c>
      <c r="AJ55" s="25" t="s">
        <v>132</v>
      </c>
      <c r="AK55" s="67" t="s">
        <v>132</v>
      </c>
      <c r="AL55" s="67" t="s">
        <v>132</v>
      </c>
      <c r="AM55" s="73">
        <v>882544.35</v>
      </c>
      <c r="AN55" s="73">
        <f>23693.84+17770.38+23693.84+20633.38+17770.38+20732.11</f>
        <v>124293.93000000001</v>
      </c>
      <c r="AO55" s="72">
        <f t="shared" si="0"/>
        <v>1006838.28</v>
      </c>
    </row>
    <row r="56" spans="1:41" ht="38.25" x14ac:dyDescent="0.25">
      <c r="A56" s="20" t="s">
        <v>532</v>
      </c>
      <c r="B56" s="20" t="s">
        <v>373</v>
      </c>
      <c r="C56" s="20" t="s">
        <v>374</v>
      </c>
      <c r="D56" s="38" t="s">
        <v>88</v>
      </c>
      <c r="E56" s="38" t="s">
        <v>87</v>
      </c>
      <c r="F56" s="48" t="s">
        <v>415</v>
      </c>
      <c r="G56" s="45">
        <v>12905</v>
      </c>
      <c r="H56" s="39" t="s">
        <v>372</v>
      </c>
      <c r="I56" s="25" t="s">
        <v>132</v>
      </c>
      <c r="J56" s="25" t="s">
        <v>132</v>
      </c>
      <c r="K56" s="58" t="s">
        <v>371</v>
      </c>
      <c r="L56" s="63" t="s">
        <v>458</v>
      </c>
      <c r="M56" s="20" t="s">
        <v>375</v>
      </c>
      <c r="N56" s="28">
        <v>44239</v>
      </c>
      <c r="O56" s="67">
        <v>517333.92</v>
      </c>
      <c r="P56" s="39">
        <v>12994</v>
      </c>
      <c r="Q56" s="28">
        <v>44239</v>
      </c>
      <c r="R56" s="28">
        <v>44604</v>
      </c>
      <c r="S56" s="25" t="s">
        <v>198</v>
      </c>
      <c r="T56" s="41" t="s">
        <v>371</v>
      </c>
      <c r="U56" s="41" t="s">
        <v>190</v>
      </c>
      <c r="V56" s="67" t="s">
        <v>132</v>
      </c>
      <c r="W56" s="25" t="s">
        <v>111</v>
      </c>
      <c r="X56" s="25" t="s">
        <v>132</v>
      </c>
      <c r="Y56" s="25">
        <v>4</v>
      </c>
      <c r="Z56" s="28">
        <v>44967</v>
      </c>
      <c r="AA56" s="39">
        <v>13477</v>
      </c>
      <c r="AB56" s="25" t="s">
        <v>114</v>
      </c>
      <c r="AC56" s="28">
        <v>44970</v>
      </c>
      <c r="AD56" s="28">
        <v>45334</v>
      </c>
      <c r="AE56" s="25" t="s">
        <v>132</v>
      </c>
      <c r="AF56" s="25" t="s">
        <v>132</v>
      </c>
      <c r="AG56" s="67" t="s">
        <v>132</v>
      </c>
      <c r="AH56" s="67" t="s">
        <v>132</v>
      </c>
      <c r="AI56" s="25" t="s">
        <v>132</v>
      </c>
      <c r="AJ56" s="25" t="s">
        <v>132</v>
      </c>
      <c r="AK56" s="67" t="s">
        <v>132</v>
      </c>
      <c r="AL56" s="67" t="s">
        <v>132</v>
      </c>
      <c r="AM56" s="73">
        <v>400499.39</v>
      </c>
      <c r="AN56" s="73">
        <f>6849.03+13116.23+5449.46+7026.42+13455.94+5590.6</f>
        <v>51487.68</v>
      </c>
      <c r="AO56" s="72">
        <f t="shared" si="0"/>
        <v>451987.07</v>
      </c>
    </row>
    <row r="57" spans="1:41" ht="38.25" x14ac:dyDescent="0.25">
      <c r="A57" s="20" t="s">
        <v>345</v>
      </c>
      <c r="B57" s="20" t="s">
        <v>379</v>
      </c>
      <c r="C57" s="20" t="s">
        <v>381</v>
      </c>
      <c r="D57" s="38" t="s">
        <v>88</v>
      </c>
      <c r="E57" s="38" t="s">
        <v>87</v>
      </c>
      <c r="F57" s="48" t="s">
        <v>414</v>
      </c>
      <c r="G57" s="45">
        <v>12906</v>
      </c>
      <c r="H57" s="39" t="s">
        <v>380</v>
      </c>
      <c r="I57" s="25" t="s">
        <v>132</v>
      </c>
      <c r="J57" s="25" t="s">
        <v>132</v>
      </c>
      <c r="K57" s="58" t="s">
        <v>376</v>
      </c>
      <c r="L57" s="63" t="s">
        <v>377</v>
      </c>
      <c r="M57" s="20" t="s">
        <v>378</v>
      </c>
      <c r="N57" s="28">
        <v>44279</v>
      </c>
      <c r="O57" s="67">
        <v>56250</v>
      </c>
      <c r="P57" s="39">
        <v>13025</v>
      </c>
      <c r="Q57" s="28">
        <v>44279</v>
      </c>
      <c r="R57" s="28">
        <v>44644</v>
      </c>
      <c r="S57" s="25" t="s">
        <v>198</v>
      </c>
      <c r="T57" s="41" t="s">
        <v>376</v>
      </c>
      <c r="U57" s="41" t="s">
        <v>190</v>
      </c>
      <c r="V57" s="67" t="s">
        <v>132</v>
      </c>
      <c r="W57" s="25" t="s">
        <v>111</v>
      </c>
      <c r="X57" s="25" t="s">
        <v>132</v>
      </c>
      <c r="Y57" s="25">
        <v>1</v>
      </c>
      <c r="Z57" s="28">
        <v>44546</v>
      </c>
      <c r="AA57" s="39">
        <v>13188</v>
      </c>
      <c r="AB57" s="25" t="s">
        <v>300</v>
      </c>
      <c r="AC57" s="25" t="s">
        <v>132</v>
      </c>
      <c r="AD57" s="25" t="s">
        <v>132</v>
      </c>
      <c r="AE57" s="42">
        <v>0.25</v>
      </c>
      <c r="AF57" s="25" t="s">
        <v>132</v>
      </c>
      <c r="AG57" s="67" t="s">
        <v>132</v>
      </c>
      <c r="AH57" s="67" t="s">
        <v>132</v>
      </c>
      <c r="AI57" s="25" t="s">
        <v>132</v>
      </c>
      <c r="AJ57" s="25" t="s">
        <v>132</v>
      </c>
      <c r="AK57" s="67" t="s">
        <v>132</v>
      </c>
      <c r="AL57" s="67" t="s">
        <v>132</v>
      </c>
      <c r="AM57" s="73">
        <f>1725+2925+675+1237.5+3975+6525+3187.5+1575+3075+525+4912.5+487.5+3300+975+2325+6862.5+487.5+1650+6075+7012.5+7050</f>
        <v>66562.5</v>
      </c>
      <c r="AN57" s="73"/>
      <c r="AO57" s="72">
        <f t="shared" si="0"/>
        <v>66562.5</v>
      </c>
    </row>
    <row r="58" spans="1:41" ht="38.25" x14ac:dyDescent="0.25">
      <c r="A58" s="20" t="s">
        <v>346</v>
      </c>
      <c r="B58" s="20" t="s">
        <v>386</v>
      </c>
      <c r="C58" s="20" t="s">
        <v>293</v>
      </c>
      <c r="D58" s="38" t="s">
        <v>88</v>
      </c>
      <c r="E58" s="38" t="s">
        <v>87</v>
      </c>
      <c r="F58" s="48" t="s">
        <v>413</v>
      </c>
      <c r="G58" s="45">
        <v>12908</v>
      </c>
      <c r="H58" s="39" t="s">
        <v>385</v>
      </c>
      <c r="I58" s="25" t="s">
        <v>132</v>
      </c>
      <c r="J58" s="25" t="s">
        <v>132</v>
      </c>
      <c r="K58" s="58" t="s">
        <v>382</v>
      </c>
      <c r="L58" s="63" t="s">
        <v>383</v>
      </c>
      <c r="M58" s="20" t="s">
        <v>384</v>
      </c>
      <c r="N58" s="28">
        <v>44245</v>
      </c>
      <c r="O58" s="67">
        <v>2325</v>
      </c>
      <c r="P58" s="39" t="s">
        <v>132</v>
      </c>
      <c r="Q58" s="28" t="s">
        <v>132</v>
      </c>
      <c r="R58" s="28"/>
      <c r="S58" s="25" t="s">
        <v>198</v>
      </c>
      <c r="T58" s="41" t="s">
        <v>382</v>
      </c>
      <c r="U58" s="41" t="s">
        <v>190</v>
      </c>
      <c r="V58" s="67" t="s">
        <v>132</v>
      </c>
      <c r="W58" s="25" t="s">
        <v>112</v>
      </c>
      <c r="X58" s="25" t="s">
        <v>132</v>
      </c>
      <c r="Y58" s="25" t="s">
        <v>132</v>
      </c>
      <c r="Z58" s="25" t="s">
        <v>132</v>
      </c>
      <c r="AA58" s="25" t="s">
        <v>132</v>
      </c>
      <c r="AB58" s="25" t="s">
        <v>132</v>
      </c>
      <c r="AC58" s="25" t="s">
        <v>132</v>
      </c>
      <c r="AD58" s="25" t="s">
        <v>132</v>
      </c>
      <c r="AE58" s="25" t="s">
        <v>132</v>
      </c>
      <c r="AF58" s="25" t="s">
        <v>132</v>
      </c>
      <c r="AG58" s="67" t="s">
        <v>132</v>
      </c>
      <c r="AH58" s="67" t="s">
        <v>132</v>
      </c>
      <c r="AI58" s="25" t="s">
        <v>132</v>
      </c>
      <c r="AJ58" s="25" t="s">
        <v>132</v>
      </c>
      <c r="AK58" s="67" t="s">
        <v>132</v>
      </c>
      <c r="AL58" s="67" t="s">
        <v>132</v>
      </c>
      <c r="AM58" s="73">
        <v>1806.5</v>
      </c>
      <c r="AN58" s="73"/>
      <c r="AO58" s="72">
        <f t="shared" si="0"/>
        <v>1806.5</v>
      </c>
    </row>
    <row r="59" spans="1:41" ht="38.25" x14ac:dyDescent="0.25">
      <c r="A59" s="20" t="s">
        <v>533</v>
      </c>
      <c r="B59" s="20" t="s">
        <v>390</v>
      </c>
      <c r="C59" s="20" t="s">
        <v>391</v>
      </c>
      <c r="D59" s="38" t="s">
        <v>88</v>
      </c>
      <c r="E59" s="38" t="s">
        <v>87</v>
      </c>
      <c r="F59" s="48" t="s">
        <v>412</v>
      </c>
      <c r="G59" s="45">
        <v>12909</v>
      </c>
      <c r="H59" s="39" t="s">
        <v>392</v>
      </c>
      <c r="I59" s="25" t="s">
        <v>132</v>
      </c>
      <c r="J59" s="25" t="s">
        <v>132</v>
      </c>
      <c r="K59" s="58" t="s">
        <v>389</v>
      </c>
      <c r="L59" s="62" t="s">
        <v>387</v>
      </c>
      <c r="M59" s="20" t="s">
        <v>388</v>
      </c>
      <c r="N59" s="28">
        <v>44319</v>
      </c>
      <c r="O59" s="67">
        <v>2521757.4</v>
      </c>
      <c r="P59" s="39" t="s">
        <v>132</v>
      </c>
      <c r="Q59" s="28">
        <v>44319</v>
      </c>
      <c r="R59" s="28">
        <v>44684</v>
      </c>
      <c r="S59" s="25" t="s">
        <v>198</v>
      </c>
      <c r="T59" s="41" t="s">
        <v>389</v>
      </c>
      <c r="U59" s="41" t="s">
        <v>190</v>
      </c>
      <c r="V59" s="67" t="s">
        <v>132</v>
      </c>
      <c r="W59" s="25" t="s">
        <v>111</v>
      </c>
      <c r="X59" s="25" t="s">
        <v>132</v>
      </c>
      <c r="Y59" s="25">
        <v>1</v>
      </c>
      <c r="Z59" s="28">
        <v>44683</v>
      </c>
      <c r="AA59" s="39">
        <v>13286</v>
      </c>
      <c r="AB59" s="25" t="s">
        <v>145</v>
      </c>
      <c r="AC59" s="28">
        <v>44685</v>
      </c>
      <c r="AD59" s="28">
        <v>45049</v>
      </c>
      <c r="AE59" s="25" t="s">
        <v>132</v>
      </c>
      <c r="AF59" s="42">
        <v>0.05</v>
      </c>
      <c r="AG59" s="67" t="s">
        <v>132</v>
      </c>
      <c r="AH59" s="67" t="s">
        <v>132</v>
      </c>
      <c r="AI59" s="25" t="s">
        <v>132</v>
      </c>
      <c r="AJ59" s="25" t="s">
        <v>132</v>
      </c>
      <c r="AK59" s="67" t="s">
        <v>132</v>
      </c>
      <c r="AL59" s="67" t="s">
        <v>132</v>
      </c>
      <c r="AM59" s="73">
        <v>1229594.3799999999</v>
      </c>
      <c r="AN59" s="73">
        <f>48648.76+20424.8+59049.68+20424.8+10096.51+48648.76+20424.8</f>
        <v>227718.11</v>
      </c>
      <c r="AO59" s="72">
        <f t="shared" si="0"/>
        <v>1457312.4899999998</v>
      </c>
    </row>
    <row r="60" spans="1:41" ht="38.25" x14ac:dyDescent="0.25">
      <c r="A60" s="20" t="s">
        <v>347</v>
      </c>
      <c r="B60" s="20" t="s">
        <v>399</v>
      </c>
      <c r="C60" s="20" t="s">
        <v>398</v>
      </c>
      <c r="D60" s="38" t="s">
        <v>88</v>
      </c>
      <c r="E60" s="38" t="s">
        <v>87</v>
      </c>
      <c r="F60" s="48" t="s">
        <v>411</v>
      </c>
      <c r="G60" s="45">
        <v>12911</v>
      </c>
      <c r="H60" s="39" t="s">
        <v>397</v>
      </c>
      <c r="I60" s="25" t="s">
        <v>132</v>
      </c>
      <c r="J60" s="25" t="s">
        <v>132</v>
      </c>
      <c r="K60" s="58" t="s">
        <v>394</v>
      </c>
      <c r="L60" s="62" t="s">
        <v>395</v>
      </c>
      <c r="M60" s="20" t="s">
        <v>396</v>
      </c>
      <c r="N60" s="28">
        <v>44379</v>
      </c>
      <c r="O60" s="67">
        <v>794250</v>
      </c>
      <c r="P60" s="39" t="s">
        <v>132</v>
      </c>
      <c r="Q60" s="28">
        <v>44379</v>
      </c>
      <c r="R60" s="28">
        <v>44744</v>
      </c>
      <c r="S60" s="25" t="s">
        <v>400</v>
      </c>
      <c r="T60" s="25" t="s">
        <v>394</v>
      </c>
      <c r="U60" s="41" t="s">
        <v>190</v>
      </c>
      <c r="V60" s="67" t="s">
        <v>132</v>
      </c>
      <c r="W60" s="25" t="s">
        <v>113</v>
      </c>
      <c r="X60" s="25" t="s">
        <v>132</v>
      </c>
      <c r="Y60" s="25" t="s">
        <v>132</v>
      </c>
      <c r="Z60" s="25" t="s">
        <v>132</v>
      </c>
      <c r="AA60" s="25" t="s">
        <v>132</v>
      </c>
      <c r="AB60" s="25" t="s">
        <v>132</v>
      </c>
      <c r="AC60" s="25" t="s">
        <v>132</v>
      </c>
      <c r="AD60" s="25" t="s">
        <v>132</v>
      </c>
      <c r="AE60" s="25" t="s">
        <v>132</v>
      </c>
      <c r="AF60" s="25" t="s">
        <v>132</v>
      </c>
      <c r="AG60" s="67" t="s">
        <v>132</v>
      </c>
      <c r="AH60" s="67" t="s">
        <v>132</v>
      </c>
      <c r="AI60" s="25" t="s">
        <v>132</v>
      </c>
      <c r="AJ60" s="25" t="s">
        <v>132</v>
      </c>
      <c r="AK60" s="67" t="s">
        <v>132</v>
      </c>
      <c r="AL60" s="67" t="s">
        <v>132</v>
      </c>
      <c r="AM60" s="73">
        <v>548540.81999999995</v>
      </c>
      <c r="AN60" s="73"/>
      <c r="AO60" s="72">
        <f t="shared" si="0"/>
        <v>548540.81999999995</v>
      </c>
    </row>
    <row r="61" spans="1:41" ht="38.25" x14ac:dyDescent="0.25">
      <c r="A61" s="20" t="s">
        <v>348</v>
      </c>
      <c r="B61" s="20" t="s">
        <v>406</v>
      </c>
      <c r="C61" s="20" t="s">
        <v>247</v>
      </c>
      <c r="D61" s="38" t="s">
        <v>88</v>
      </c>
      <c r="E61" s="38" t="s">
        <v>87</v>
      </c>
      <c r="F61" s="48" t="s">
        <v>418</v>
      </c>
      <c r="G61" s="25" t="s">
        <v>132</v>
      </c>
      <c r="H61" s="39" t="s">
        <v>407</v>
      </c>
      <c r="I61" s="25" t="s">
        <v>132</v>
      </c>
      <c r="J61" s="25" t="s">
        <v>132</v>
      </c>
      <c r="K61" s="58" t="s">
        <v>403</v>
      </c>
      <c r="L61" s="62" t="s">
        <v>404</v>
      </c>
      <c r="M61" s="20" t="s">
        <v>405</v>
      </c>
      <c r="N61" s="28">
        <v>44237</v>
      </c>
      <c r="O61" s="67">
        <v>9151.5</v>
      </c>
      <c r="P61" s="39" t="s">
        <v>132</v>
      </c>
      <c r="Q61" s="28">
        <v>44237</v>
      </c>
      <c r="R61" s="28">
        <v>44561</v>
      </c>
      <c r="S61" s="25" t="s">
        <v>198</v>
      </c>
      <c r="T61" s="25" t="s">
        <v>403</v>
      </c>
      <c r="U61" s="41" t="s">
        <v>190</v>
      </c>
      <c r="V61" s="67" t="s">
        <v>132</v>
      </c>
      <c r="W61" s="25" t="s">
        <v>112</v>
      </c>
      <c r="X61" s="25" t="s">
        <v>132</v>
      </c>
      <c r="Y61" s="25" t="s">
        <v>132</v>
      </c>
      <c r="Z61" s="25" t="s">
        <v>132</v>
      </c>
      <c r="AA61" s="25" t="s">
        <v>132</v>
      </c>
      <c r="AB61" s="25" t="s">
        <v>132</v>
      </c>
      <c r="AC61" s="25" t="s">
        <v>132</v>
      </c>
      <c r="AD61" s="25" t="s">
        <v>132</v>
      </c>
      <c r="AE61" s="25" t="s">
        <v>132</v>
      </c>
      <c r="AF61" s="25" t="s">
        <v>132</v>
      </c>
      <c r="AG61" s="67" t="s">
        <v>132</v>
      </c>
      <c r="AH61" s="67" t="s">
        <v>132</v>
      </c>
      <c r="AI61" s="25" t="s">
        <v>132</v>
      </c>
      <c r="AJ61" s="25" t="s">
        <v>132</v>
      </c>
      <c r="AK61" s="67" t="s">
        <v>132</v>
      </c>
      <c r="AL61" s="67" t="s">
        <v>132</v>
      </c>
      <c r="AM61" s="73">
        <v>4436.08</v>
      </c>
      <c r="AN61" s="73"/>
      <c r="AO61" s="72">
        <f t="shared" si="0"/>
        <v>4436.08</v>
      </c>
    </row>
    <row r="62" spans="1:41" ht="38.25" x14ac:dyDescent="0.25">
      <c r="A62" s="20" t="s">
        <v>349</v>
      </c>
      <c r="B62" s="20" t="s">
        <v>393</v>
      </c>
      <c r="C62" s="20" t="s">
        <v>420</v>
      </c>
      <c r="D62" s="38" t="s">
        <v>88</v>
      </c>
      <c r="E62" s="38" t="s">
        <v>87</v>
      </c>
      <c r="F62" s="48" t="s">
        <v>419</v>
      </c>
      <c r="G62" s="25" t="s">
        <v>132</v>
      </c>
      <c r="H62" s="39" t="s">
        <v>421</v>
      </c>
      <c r="I62" s="25" t="s">
        <v>132</v>
      </c>
      <c r="J62" s="25" t="s">
        <v>132</v>
      </c>
      <c r="K62" s="58" t="s">
        <v>422</v>
      </c>
      <c r="L62" s="62" t="s">
        <v>423</v>
      </c>
      <c r="M62" s="20" t="s">
        <v>441</v>
      </c>
      <c r="N62" s="28">
        <v>44237</v>
      </c>
      <c r="O62" s="67">
        <v>8404</v>
      </c>
      <c r="P62" s="39" t="s">
        <v>132</v>
      </c>
      <c r="Q62" s="28">
        <v>44237</v>
      </c>
      <c r="R62" s="28">
        <v>44561</v>
      </c>
      <c r="S62" s="39" t="s">
        <v>198</v>
      </c>
      <c r="T62" s="39" t="s">
        <v>132</v>
      </c>
      <c r="U62" s="41" t="s">
        <v>190</v>
      </c>
      <c r="V62" s="67" t="s">
        <v>132</v>
      </c>
      <c r="W62" s="25" t="s">
        <v>111</v>
      </c>
      <c r="X62" s="25" t="s">
        <v>132</v>
      </c>
      <c r="Y62" s="25" t="s">
        <v>132</v>
      </c>
      <c r="Z62" s="25" t="s">
        <v>132</v>
      </c>
      <c r="AA62" s="25" t="s">
        <v>132</v>
      </c>
      <c r="AB62" s="25" t="s">
        <v>132</v>
      </c>
      <c r="AC62" s="25" t="s">
        <v>132</v>
      </c>
      <c r="AD62" s="25" t="s">
        <v>132</v>
      </c>
      <c r="AE62" s="25" t="s">
        <v>132</v>
      </c>
      <c r="AF62" s="25" t="s">
        <v>132</v>
      </c>
      <c r="AG62" s="67" t="s">
        <v>132</v>
      </c>
      <c r="AH62" s="67" t="s">
        <v>132</v>
      </c>
      <c r="AI62" s="25" t="s">
        <v>132</v>
      </c>
      <c r="AJ62" s="25" t="s">
        <v>132</v>
      </c>
      <c r="AK62" s="67" t="s">
        <v>132</v>
      </c>
      <c r="AL62" s="67" t="s">
        <v>132</v>
      </c>
      <c r="AM62" s="73">
        <v>4208</v>
      </c>
      <c r="AN62" s="73"/>
      <c r="AO62" s="72">
        <f t="shared" si="0"/>
        <v>4208</v>
      </c>
    </row>
    <row r="63" spans="1:41" ht="38.25" x14ac:dyDescent="0.25">
      <c r="A63" s="20" t="s">
        <v>350</v>
      </c>
      <c r="B63" s="20" t="s">
        <v>297</v>
      </c>
      <c r="C63" s="20" t="s">
        <v>424</v>
      </c>
      <c r="D63" s="38" t="s">
        <v>88</v>
      </c>
      <c r="E63" s="38"/>
      <c r="F63" s="48" t="s">
        <v>427</v>
      </c>
      <c r="G63" s="25" t="s">
        <v>132</v>
      </c>
      <c r="H63" s="39" t="s">
        <v>425</v>
      </c>
      <c r="I63" s="25" t="s">
        <v>132</v>
      </c>
      <c r="J63" s="25" t="s">
        <v>132</v>
      </c>
      <c r="K63" s="58" t="s">
        <v>426</v>
      </c>
      <c r="L63" s="62" t="s">
        <v>312</v>
      </c>
      <c r="M63" s="20" t="s">
        <v>313</v>
      </c>
      <c r="N63" s="28">
        <v>44412</v>
      </c>
      <c r="O63" s="67">
        <v>29950</v>
      </c>
      <c r="P63" s="39" t="s">
        <v>132</v>
      </c>
      <c r="Q63" s="28">
        <v>44412</v>
      </c>
      <c r="R63" s="28">
        <v>44561</v>
      </c>
      <c r="S63" s="25" t="s">
        <v>198</v>
      </c>
      <c r="T63" s="39" t="s">
        <v>132</v>
      </c>
      <c r="U63" s="41" t="s">
        <v>190</v>
      </c>
      <c r="V63" s="67" t="s">
        <v>132</v>
      </c>
      <c r="W63" s="25" t="s">
        <v>112</v>
      </c>
      <c r="X63" s="25" t="s">
        <v>132</v>
      </c>
      <c r="Y63" s="25" t="s">
        <v>132</v>
      </c>
      <c r="Z63" s="25" t="s">
        <v>132</v>
      </c>
      <c r="AA63" s="25" t="s">
        <v>132</v>
      </c>
      <c r="AB63" s="25" t="s">
        <v>132</v>
      </c>
      <c r="AC63" s="25" t="s">
        <v>132</v>
      </c>
      <c r="AD63" s="25" t="s">
        <v>132</v>
      </c>
      <c r="AE63" s="25" t="s">
        <v>132</v>
      </c>
      <c r="AF63" s="25" t="s">
        <v>132</v>
      </c>
      <c r="AG63" s="67" t="s">
        <v>132</v>
      </c>
      <c r="AH63" s="67" t="s">
        <v>132</v>
      </c>
      <c r="AI63" s="25" t="s">
        <v>132</v>
      </c>
      <c r="AJ63" s="25" t="s">
        <v>132</v>
      </c>
      <c r="AK63" s="67" t="s">
        <v>132</v>
      </c>
      <c r="AL63" s="67" t="s">
        <v>132</v>
      </c>
      <c r="AM63" s="73">
        <v>20875.150000000001</v>
      </c>
      <c r="AN63" s="73"/>
      <c r="AO63" s="72">
        <f t="shared" si="0"/>
        <v>20875.150000000001</v>
      </c>
    </row>
    <row r="64" spans="1:41" ht="38.25" x14ac:dyDescent="0.25">
      <c r="A64" s="20" t="s">
        <v>351</v>
      </c>
      <c r="B64" s="20" t="s">
        <v>428</v>
      </c>
      <c r="C64" s="20" t="s">
        <v>429</v>
      </c>
      <c r="D64" s="38" t="s">
        <v>88</v>
      </c>
      <c r="E64" s="38"/>
      <c r="F64" s="48" t="s">
        <v>430</v>
      </c>
      <c r="G64" s="25" t="s">
        <v>132</v>
      </c>
      <c r="H64" s="39" t="s">
        <v>431</v>
      </c>
      <c r="I64" s="25" t="s">
        <v>132</v>
      </c>
      <c r="J64" s="25" t="s">
        <v>132</v>
      </c>
      <c r="K64" s="58" t="s">
        <v>432</v>
      </c>
      <c r="L64" s="62" t="s">
        <v>439</v>
      </c>
      <c r="M64" s="20" t="s">
        <v>440</v>
      </c>
      <c r="N64" s="28">
        <v>44144</v>
      </c>
      <c r="O64" s="67">
        <v>349653.68</v>
      </c>
      <c r="P64" s="39">
        <v>12927</v>
      </c>
      <c r="Q64" s="28">
        <v>44144</v>
      </c>
      <c r="R64" s="28">
        <v>44508</v>
      </c>
      <c r="S64" s="38" t="s">
        <v>232</v>
      </c>
      <c r="T64" s="39" t="s">
        <v>132</v>
      </c>
      <c r="U64" s="41" t="s">
        <v>190</v>
      </c>
      <c r="V64" s="67" t="s">
        <v>132</v>
      </c>
      <c r="W64" s="25" t="s">
        <v>166</v>
      </c>
      <c r="X64" s="25" t="s">
        <v>132</v>
      </c>
      <c r="Y64" s="25">
        <v>1</v>
      </c>
      <c r="Z64" s="28">
        <v>44505</v>
      </c>
      <c r="AA64" s="39">
        <v>13163</v>
      </c>
      <c r="AB64" s="25" t="s">
        <v>114</v>
      </c>
      <c r="AC64" s="28">
        <v>44509</v>
      </c>
      <c r="AD64" s="28">
        <v>44873</v>
      </c>
      <c r="AE64" s="25" t="s">
        <v>132</v>
      </c>
      <c r="AF64" s="25" t="s">
        <v>132</v>
      </c>
      <c r="AG64" s="67" t="s">
        <v>132</v>
      </c>
      <c r="AH64" s="67" t="s">
        <v>132</v>
      </c>
      <c r="AI64" s="25" t="s">
        <v>132</v>
      </c>
      <c r="AJ64" s="25" t="s">
        <v>132</v>
      </c>
      <c r="AK64" s="67" t="s">
        <v>132</v>
      </c>
      <c r="AL64" s="67" t="s">
        <v>132</v>
      </c>
      <c r="AM64" s="73">
        <v>138882.37</v>
      </c>
      <c r="AN64" s="73">
        <f>598+4588.71+24190.63</f>
        <v>29377.34</v>
      </c>
      <c r="AO64" s="72">
        <f t="shared" si="0"/>
        <v>168259.71</v>
      </c>
    </row>
    <row r="65" spans="1:41" ht="38.25" x14ac:dyDescent="0.25">
      <c r="A65" s="20" t="s">
        <v>534</v>
      </c>
      <c r="B65" s="20" t="s">
        <v>433</v>
      </c>
      <c r="C65" s="20" t="s">
        <v>434</v>
      </c>
      <c r="D65" s="38" t="s">
        <v>88</v>
      </c>
      <c r="E65" s="38"/>
      <c r="F65" s="48" t="s">
        <v>410</v>
      </c>
      <c r="G65" s="25" t="s">
        <v>132</v>
      </c>
      <c r="H65" s="39" t="s">
        <v>435</v>
      </c>
      <c r="I65" s="25" t="s">
        <v>132</v>
      </c>
      <c r="J65" s="25" t="s">
        <v>132</v>
      </c>
      <c r="K65" s="58" t="s">
        <v>436</v>
      </c>
      <c r="L65" s="62" t="s">
        <v>401</v>
      </c>
      <c r="M65" s="20" t="s">
        <v>402</v>
      </c>
      <c r="N65" s="28">
        <v>44405</v>
      </c>
      <c r="O65" s="67">
        <v>85000</v>
      </c>
      <c r="P65" s="39">
        <v>13076</v>
      </c>
      <c r="Q65" s="28">
        <v>44405</v>
      </c>
      <c r="R65" s="28">
        <v>44561</v>
      </c>
      <c r="S65" s="38" t="s">
        <v>232</v>
      </c>
      <c r="T65" s="39" t="s">
        <v>132</v>
      </c>
      <c r="U65" s="41" t="s">
        <v>190</v>
      </c>
      <c r="V65" s="67" t="s">
        <v>132</v>
      </c>
      <c r="W65" s="25" t="s">
        <v>112</v>
      </c>
      <c r="X65" s="25" t="s">
        <v>132</v>
      </c>
      <c r="Y65" s="25" t="s">
        <v>132</v>
      </c>
      <c r="Z65" s="25" t="s">
        <v>132</v>
      </c>
      <c r="AA65" s="25" t="s">
        <v>132</v>
      </c>
      <c r="AB65" s="25" t="s">
        <v>132</v>
      </c>
      <c r="AC65" s="25" t="s">
        <v>132</v>
      </c>
      <c r="AD65" s="25" t="s">
        <v>132</v>
      </c>
      <c r="AE65" s="25" t="s">
        <v>132</v>
      </c>
      <c r="AF65" s="25" t="s">
        <v>132</v>
      </c>
      <c r="AG65" s="67" t="s">
        <v>132</v>
      </c>
      <c r="AH65" s="67" t="s">
        <v>132</v>
      </c>
      <c r="AI65" s="25" t="s">
        <v>132</v>
      </c>
      <c r="AJ65" s="25" t="s">
        <v>132</v>
      </c>
      <c r="AK65" s="67" t="s">
        <v>132</v>
      </c>
      <c r="AL65" s="67" t="s">
        <v>132</v>
      </c>
      <c r="AM65" s="73">
        <v>48673.32</v>
      </c>
      <c r="AN65" s="73"/>
      <c r="AO65" s="72">
        <f t="shared" si="0"/>
        <v>48673.32</v>
      </c>
    </row>
    <row r="66" spans="1:41" ht="38.25" x14ac:dyDescent="0.25">
      <c r="A66" s="20" t="s">
        <v>535</v>
      </c>
      <c r="B66" s="20" t="s">
        <v>437</v>
      </c>
      <c r="C66" s="20" t="s">
        <v>230</v>
      </c>
      <c r="D66" s="38" t="s">
        <v>88</v>
      </c>
      <c r="E66" s="38"/>
      <c r="F66" s="48" t="s">
        <v>445</v>
      </c>
      <c r="G66" s="25" t="s">
        <v>132</v>
      </c>
      <c r="H66" s="39" t="s">
        <v>438</v>
      </c>
      <c r="I66" s="25" t="s">
        <v>132</v>
      </c>
      <c r="J66" s="25" t="s">
        <v>132</v>
      </c>
      <c r="K66" s="58" t="s">
        <v>369</v>
      </c>
      <c r="L66" s="62" t="s">
        <v>243</v>
      </c>
      <c r="M66" s="20" t="s">
        <v>321</v>
      </c>
      <c r="N66" s="28">
        <v>44237</v>
      </c>
      <c r="O66" s="67">
        <v>285426</v>
      </c>
      <c r="P66" s="39">
        <v>12983</v>
      </c>
      <c r="Q66" s="28">
        <v>44237</v>
      </c>
      <c r="R66" s="28">
        <v>44601</v>
      </c>
      <c r="S66" s="25" t="s">
        <v>198</v>
      </c>
      <c r="T66" s="39" t="s">
        <v>132</v>
      </c>
      <c r="U66" s="41" t="s">
        <v>190</v>
      </c>
      <c r="V66" s="67" t="s">
        <v>132</v>
      </c>
      <c r="W66" s="25" t="s">
        <v>112</v>
      </c>
      <c r="X66" s="25" t="s">
        <v>132</v>
      </c>
      <c r="Y66" s="25">
        <v>3</v>
      </c>
      <c r="Z66" s="28">
        <v>44966</v>
      </c>
      <c r="AA66" s="39">
        <v>13477</v>
      </c>
      <c r="AB66" s="25" t="s">
        <v>139</v>
      </c>
      <c r="AC66" s="28">
        <v>44967</v>
      </c>
      <c r="AD66" s="28">
        <v>45331</v>
      </c>
      <c r="AE66" s="25" t="s">
        <v>132</v>
      </c>
      <c r="AF66" s="25" t="s">
        <v>132</v>
      </c>
      <c r="AG66" s="67" t="s">
        <v>132</v>
      </c>
      <c r="AH66" s="67" t="s">
        <v>132</v>
      </c>
      <c r="AI66" s="25" t="s">
        <v>132</v>
      </c>
      <c r="AJ66" s="25" t="s">
        <v>132</v>
      </c>
      <c r="AK66" s="67" t="s">
        <v>132</v>
      </c>
      <c r="AL66" s="67" t="s">
        <v>132</v>
      </c>
      <c r="AM66" s="73">
        <v>170013.57</v>
      </c>
      <c r="AN66" s="73"/>
      <c r="AO66" s="72">
        <f t="shared" si="0"/>
        <v>170013.57</v>
      </c>
    </row>
    <row r="67" spans="1:41" ht="38.25" x14ac:dyDescent="0.25">
      <c r="A67" s="20" t="s">
        <v>536</v>
      </c>
      <c r="B67" s="20" t="s">
        <v>443</v>
      </c>
      <c r="C67" s="20" t="s">
        <v>442</v>
      </c>
      <c r="D67" s="38" t="s">
        <v>88</v>
      </c>
      <c r="E67" s="38"/>
      <c r="F67" s="48" t="s">
        <v>444</v>
      </c>
      <c r="G67" s="25" t="s">
        <v>132</v>
      </c>
      <c r="H67" s="39" t="s">
        <v>446</v>
      </c>
      <c r="I67" s="25" t="s">
        <v>132</v>
      </c>
      <c r="J67" s="25" t="s">
        <v>132</v>
      </c>
      <c r="K67" s="58" t="s">
        <v>447</v>
      </c>
      <c r="L67" s="62" t="s">
        <v>448</v>
      </c>
      <c r="M67" s="20" t="s">
        <v>456</v>
      </c>
      <c r="N67" s="28">
        <v>44460</v>
      </c>
      <c r="O67" s="67">
        <v>184500</v>
      </c>
      <c r="P67" s="39">
        <v>13135</v>
      </c>
      <c r="Q67" s="28">
        <v>44460</v>
      </c>
      <c r="R67" s="28">
        <v>44561</v>
      </c>
      <c r="S67" s="25">
        <v>101</v>
      </c>
      <c r="T67" s="39" t="s">
        <v>132</v>
      </c>
      <c r="U67" s="41" t="s">
        <v>190</v>
      </c>
      <c r="V67" s="67" t="s">
        <v>132</v>
      </c>
      <c r="W67" s="25" t="s">
        <v>113</v>
      </c>
      <c r="X67" s="25" t="s">
        <v>132</v>
      </c>
      <c r="Y67" s="25" t="s">
        <v>132</v>
      </c>
      <c r="Z67" s="25" t="s">
        <v>132</v>
      </c>
      <c r="AA67" s="25" t="s">
        <v>132</v>
      </c>
      <c r="AB67" s="25" t="s">
        <v>132</v>
      </c>
      <c r="AC67" s="25" t="s">
        <v>132</v>
      </c>
      <c r="AD67" s="25" t="s">
        <v>132</v>
      </c>
      <c r="AE67" s="25" t="s">
        <v>132</v>
      </c>
      <c r="AF67" s="25" t="s">
        <v>132</v>
      </c>
      <c r="AG67" s="67" t="s">
        <v>132</v>
      </c>
      <c r="AH67" s="67" t="s">
        <v>132</v>
      </c>
      <c r="AI67" s="25" t="s">
        <v>132</v>
      </c>
      <c r="AJ67" s="25" t="s">
        <v>132</v>
      </c>
      <c r="AK67" s="67" t="s">
        <v>132</v>
      </c>
      <c r="AL67" s="67" t="s">
        <v>132</v>
      </c>
      <c r="AM67" s="73">
        <v>184500</v>
      </c>
      <c r="AN67" s="73"/>
      <c r="AO67" s="72">
        <f t="shared" si="0"/>
        <v>184500</v>
      </c>
    </row>
    <row r="68" spans="1:41" ht="51" x14ac:dyDescent="0.25">
      <c r="A68" s="20" t="s">
        <v>352</v>
      </c>
      <c r="B68" s="20" t="s">
        <v>454</v>
      </c>
      <c r="C68" s="20" t="s">
        <v>452</v>
      </c>
      <c r="D68" s="38" t="s">
        <v>88</v>
      </c>
      <c r="E68" s="38"/>
      <c r="F68" s="48" t="s">
        <v>451</v>
      </c>
      <c r="G68" s="25" t="s">
        <v>132</v>
      </c>
      <c r="H68" s="39" t="s">
        <v>450</v>
      </c>
      <c r="I68" s="25" t="s">
        <v>132</v>
      </c>
      <c r="J68" s="25" t="s">
        <v>132</v>
      </c>
      <c r="K68" s="58" t="s">
        <v>449</v>
      </c>
      <c r="L68" s="62" t="s">
        <v>453</v>
      </c>
      <c r="M68" s="20" t="s">
        <v>455</v>
      </c>
      <c r="N68" s="28">
        <v>44468</v>
      </c>
      <c r="O68" s="67">
        <v>2053695.6</v>
      </c>
      <c r="P68" s="39">
        <v>13140</v>
      </c>
      <c r="Q68" s="28">
        <v>44468</v>
      </c>
      <c r="R68" s="28">
        <v>44832</v>
      </c>
      <c r="S68" s="25" t="s">
        <v>198</v>
      </c>
      <c r="T68" s="39" t="s">
        <v>132</v>
      </c>
      <c r="U68" s="41" t="s">
        <v>190</v>
      </c>
      <c r="V68" s="67" t="s">
        <v>132</v>
      </c>
      <c r="W68" s="25" t="s">
        <v>111</v>
      </c>
      <c r="X68" s="25" t="s">
        <v>132</v>
      </c>
      <c r="Y68" s="25">
        <v>2</v>
      </c>
      <c r="Z68" s="28">
        <v>44956</v>
      </c>
      <c r="AA68" s="25">
        <v>13477</v>
      </c>
      <c r="AB68" s="25" t="s">
        <v>838</v>
      </c>
      <c r="AC68" s="28">
        <v>44834</v>
      </c>
      <c r="AD68" s="25" t="s">
        <v>769</v>
      </c>
      <c r="AE68" s="25" t="s">
        <v>132</v>
      </c>
      <c r="AF68" s="25" t="s">
        <v>132</v>
      </c>
      <c r="AG68" s="67" t="s">
        <v>132</v>
      </c>
      <c r="AH68" s="67" t="s">
        <v>132</v>
      </c>
      <c r="AI68" s="25" t="s">
        <v>132</v>
      </c>
      <c r="AJ68" s="25" t="s">
        <v>132</v>
      </c>
      <c r="AK68" s="67" t="s">
        <v>132</v>
      </c>
      <c r="AL68" s="67" t="s">
        <v>132</v>
      </c>
      <c r="AM68" s="73">
        <v>1527310.41</v>
      </c>
      <c r="AN68" s="73">
        <f>17114.13+85570.65+19133.46+89289.48+26149.06+58038.16</f>
        <v>295294.93999999994</v>
      </c>
      <c r="AO68" s="72">
        <f t="shared" si="0"/>
        <v>1822605.3499999999</v>
      </c>
    </row>
    <row r="69" spans="1:41" ht="38.25" x14ac:dyDescent="0.25">
      <c r="A69" s="20" t="s">
        <v>537</v>
      </c>
      <c r="B69" s="20" t="s">
        <v>462</v>
      </c>
      <c r="C69" s="20" t="s">
        <v>463</v>
      </c>
      <c r="D69" s="38" t="s">
        <v>88</v>
      </c>
      <c r="E69" s="38"/>
      <c r="F69" s="48" t="s">
        <v>459</v>
      </c>
      <c r="G69" s="25" t="s">
        <v>132</v>
      </c>
      <c r="H69" s="39" t="s">
        <v>464</v>
      </c>
      <c r="I69" s="25" t="s">
        <v>132</v>
      </c>
      <c r="J69" s="25" t="s">
        <v>132</v>
      </c>
      <c r="K69" s="58" t="s">
        <v>465</v>
      </c>
      <c r="L69" s="62" t="s">
        <v>460</v>
      </c>
      <c r="M69" s="20" t="s">
        <v>461</v>
      </c>
      <c r="N69" s="28">
        <v>44508</v>
      </c>
      <c r="O69" s="67">
        <v>107562.5</v>
      </c>
      <c r="P69" s="39">
        <v>13162</v>
      </c>
      <c r="Q69" s="28">
        <v>44508</v>
      </c>
      <c r="R69" s="28">
        <v>44873</v>
      </c>
      <c r="S69" s="25" t="s">
        <v>400</v>
      </c>
      <c r="T69" s="39" t="s">
        <v>132</v>
      </c>
      <c r="U69" s="41" t="s">
        <v>190</v>
      </c>
      <c r="V69" s="67" t="s">
        <v>132</v>
      </c>
      <c r="W69" s="20" t="s">
        <v>466</v>
      </c>
      <c r="X69" s="25"/>
      <c r="Y69" s="25">
        <v>1</v>
      </c>
      <c r="Z69" s="28">
        <v>44842</v>
      </c>
      <c r="AA69" s="39">
        <v>13413</v>
      </c>
      <c r="AB69" s="25" t="s">
        <v>114</v>
      </c>
      <c r="AC69" s="28">
        <v>44843</v>
      </c>
      <c r="AD69" s="28">
        <v>45207</v>
      </c>
      <c r="AE69" s="25" t="s">
        <v>132</v>
      </c>
      <c r="AF69" s="25" t="s">
        <v>132</v>
      </c>
      <c r="AG69" s="67" t="s">
        <v>132</v>
      </c>
      <c r="AH69" s="67" t="s">
        <v>132</v>
      </c>
      <c r="AI69" s="25" t="s">
        <v>132</v>
      </c>
      <c r="AJ69" s="25" t="s">
        <v>132</v>
      </c>
      <c r="AK69" s="67" t="s">
        <v>132</v>
      </c>
      <c r="AL69" s="67" t="s">
        <v>132</v>
      </c>
      <c r="AM69" s="73">
        <v>51936.5</v>
      </c>
      <c r="AN69" s="73">
        <f>1830+1589+1740+1600</f>
        <v>6759</v>
      </c>
      <c r="AO69" s="72">
        <f t="shared" si="0"/>
        <v>58695.5</v>
      </c>
    </row>
    <row r="70" spans="1:41" ht="38.25" x14ac:dyDescent="0.25">
      <c r="A70" s="20" t="s">
        <v>353</v>
      </c>
      <c r="B70" s="20" t="s">
        <v>468</v>
      </c>
      <c r="C70" s="20" t="s">
        <v>469</v>
      </c>
      <c r="D70" s="38" t="s">
        <v>88</v>
      </c>
      <c r="E70" s="38"/>
      <c r="F70" s="48" t="s">
        <v>467</v>
      </c>
      <c r="G70" s="25" t="s">
        <v>132</v>
      </c>
      <c r="H70" s="39" t="s">
        <v>470</v>
      </c>
      <c r="I70" s="25" t="s">
        <v>132</v>
      </c>
      <c r="J70" s="25" t="s">
        <v>132</v>
      </c>
      <c r="K70" s="58" t="s">
        <v>471</v>
      </c>
      <c r="L70" s="62" t="s">
        <v>472</v>
      </c>
      <c r="M70" s="20" t="s">
        <v>473</v>
      </c>
      <c r="N70" s="28">
        <v>44529</v>
      </c>
      <c r="O70" s="67">
        <v>219.4</v>
      </c>
      <c r="P70" s="39">
        <v>13176</v>
      </c>
      <c r="Q70" s="28">
        <v>44529</v>
      </c>
      <c r="R70" s="28">
        <v>44561</v>
      </c>
      <c r="S70" s="25" t="s">
        <v>400</v>
      </c>
      <c r="T70" s="39" t="s">
        <v>132</v>
      </c>
      <c r="U70" s="41" t="s">
        <v>190</v>
      </c>
      <c r="V70" s="67" t="s">
        <v>132</v>
      </c>
      <c r="W70" s="20" t="s">
        <v>112</v>
      </c>
      <c r="X70" s="25" t="s">
        <v>132</v>
      </c>
      <c r="Y70" s="25" t="s">
        <v>132</v>
      </c>
      <c r="Z70" s="25" t="s">
        <v>132</v>
      </c>
      <c r="AA70" s="25" t="s">
        <v>132</v>
      </c>
      <c r="AB70" s="25" t="s">
        <v>132</v>
      </c>
      <c r="AC70" s="25" t="s">
        <v>132</v>
      </c>
      <c r="AD70" s="25" t="s">
        <v>132</v>
      </c>
      <c r="AE70" s="25" t="s">
        <v>132</v>
      </c>
      <c r="AF70" s="25" t="s">
        <v>132</v>
      </c>
      <c r="AG70" s="67" t="s">
        <v>132</v>
      </c>
      <c r="AH70" s="67" t="s">
        <v>132</v>
      </c>
      <c r="AI70" s="25" t="s">
        <v>132</v>
      </c>
      <c r="AJ70" s="25" t="s">
        <v>132</v>
      </c>
      <c r="AK70" s="67" t="s">
        <v>132</v>
      </c>
      <c r="AL70" s="67" t="s">
        <v>132</v>
      </c>
      <c r="AM70" s="73">
        <v>822.06</v>
      </c>
      <c r="AN70" s="73"/>
      <c r="AO70" s="72">
        <f t="shared" si="0"/>
        <v>822.06</v>
      </c>
    </row>
    <row r="71" spans="1:41" ht="38.25" x14ac:dyDescent="0.25">
      <c r="A71" s="20" t="s">
        <v>354</v>
      </c>
      <c r="B71" s="20" t="s">
        <v>475</v>
      </c>
      <c r="C71" s="20" t="s">
        <v>476</v>
      </c>
      <c r="D71" s="38" t="s">
        <v>88</v>
      </c>
      <c r="E71" s="38"/>
      <c r="F71" s="48" t="s">
        <v>474</v>
      </c>
      <c r="G71" s="25" t="s">
        <v>132</v>
      </c>
      <c r="H71" s="39" t="s">
        <v>477</v>
      </c>
      <c r="I71" s="25" t="s">
        <v>132</v>
      </c>
      <c r="J71" s="25" t="s">
        <v>132</v>
      </c>
      <c r="K71" s="58" t="s">
        <v>478</v>
      </c>
      <c r="L71" s="62" t="s">
        <v>479</v>
      </c>
      <c r="M71" s="20" t="s">
        <v>480</v>
      </c>
      <c r="N71" s="28">
        <v>44533</v>
      </c>
      <c r="O71" s="67">
        <v>52955</v>
      </c>
      <c r="P71" s="39">
        <v>13179</v>
      </c>
      <c r="Q71" s="28">
        <v>44533</v>
      </c>
      <c r="R71" s="28">
        <v>44926</v>
      </c>
      <c r="S71" s="25" t="s">
        <v>400</v>
      </c>
      <c r="T71" s="39" t="s">
        <v>132</v>
      </c>
      <c r="U71" s="41" t="s">
        <v>190</v>
      </c>
      <c r="V71" s="67" t="s">
        <v>132</v>
      </c>
      <c r="W71" s="20" t="s">
        <v>112</v>
      </c>
      <c r="X71" s="25" t="s">
        <v>132</v>
      </c>
      <c r="Y71" s="25" t="s">
        <v>132</v>
      </c>
      <c r="Z71" s="25" t="s">
        <v>132</v>
      </c>
      <c r="AA71" s="25" t="s">
        <v>132</v>
      </c>
      <c r="AB71" s="25" t="s">
        <v>132</v>
      </c>
      <c r="AC71" s="25" t="s">
        <v>132</v>
      </c>
      <c r="AD71" s="25" t="s">
        <v>132</v>
      </c>
      <c r="AE71" s="25" t="s">
        <v>132</v>
      </c>
      <c r="AF71" s="25" t="s">
        <v>132</v>
      </c>
      <c r="AG71" s="67" t="s">
        <v>132</v>
      </c>
      <c r="AH71" s="67" t="s">
        <v>132</v>
      </c>
      <c r="AI71" s="25" t="s">
        <v>132</v>
      </c>
      <c r="AJ71" s="25" t="s">
        <v>132</v>
      </c>
      <c r="AK71" s="67" t="s">
        <v>132</v>
      </c>
      <c r="AL71" s="67" t="s">
        <v>132</v>
      </c>
      <c r="AM71" s="73">
        <v>22695</v>
      </c>
      <c r="AN71" s="73"/>
      <c r="AO71" s="72">
        <f t="shared" si="0"/>
        <v>22695</v>
      </c>
    </row>
    <row r="72" spans="1:41" ht="38.25" x14ac:dyDescent="0.25">
      <c r="A72" s="20" t="s">
        <v>355</v>
      </c>
      <c r="B72" s="20" t="s">
        <v>468</v>
      </c>
      <c r="C72" s="20" t="s">
        <v>482</v>
      </c>
      <c r="D72" s="38" t="s">
        <v>88</v>
      </c>
      <c r="E72" s="38"/>
      <c r="F72" s="48" t="s">
        <v>474</v>
      </c>
      <c r="G72" s="25" t="s">
        <v>132</v>
      </c>
      <c r="H72" s="39" t="s">
        <v>483</v>
      </c>
      <c r="I72" s="25" t="s">
        <v>132</v>
      </c>
      <c r="J72" s="25" t="s">
        <v>132</v>
      </c>
      <c r="K72" s="58" t="s">
        <v>481</v>
      </c>
      <c r="L72" s="62" t="s">
        <v>484</v>
      </c>
      <c r="M72" s="20" t="s">
        <v>485</v>
      </c>
      <c r="N72" s="28">
        <v>44529</v>
      </c>
      <c r="O72" s="67">
        <v>822.06</v>
      </c>
      <c r="P72" s="39">
        <v>13176</v>
      </c>
      <c r="Q72" s="28">
        <v>44529</v>
      </c>
      <c r="R72" s="28">
        <v>44561</v>
      </c>
      <c r="S72" s="25" t="s">
        <v>400</v>
      </c>
      <c r="T72" s="39" t="s">
        <v>132</v>
      </c>
      <c r="U72" s="41" t="s">
        <v>190</v>
      </c>
      <c r="V72" s="67" t="s">
        <v>132</v>
      </c>
      <c r="W72" s="20" t="s">
        <v>112</v>
      </c>
      <c r="X72" s="25" t="s">
        <v>132</v>
      </c>
      <c r="Y72" s="25" t="s">
        <v>132</v>
      </c>
      <c r="Z72" s="25" t="s">
        <v>132</v>
      </c>
      <c r="AA72" s="25" t="s">
        <v>132</v>
      </c>
      <c r="AB72" s="25" t="s">
        <v>132</v>
      </c>
      <c r="AC72" s="25" t="s">
        <v>132</v>
      </c>
      <c r="AD72" s="25" t="s">
        <v>132</v>
      </c>
      <c r="AE72" s="25" t="s">
        <v>132</v>
      </c>
      <c r="AF72" s="25" t="s">
        <v>132</v>
      </c>
      <c r="AG72" s="67" t="s">
        <v>132</v>
      </c>
      <c r="AH72" s="67" t="s">
        <v>132</v>
      </c>
      <c r="AI72" s="25" t="s">
        <v>132</v>
      </c>
      <c r="AJ72" s="25" t="s">
        <v>132</v>
      </c>
      <c r="AK72" s="67" t="s">
        <v>132</v>
      </c>
      <c r="AL72" s="67" t="s">
        <v>132</v>
      </c>
      <c r="AM72" s="73">
        <v>219.4</v>
      </c>
      <c r="AN72" s="73"/>
      <c r="AO72" s="72">
        <f t="shared" si="0"/>
        <v>219.4</v>
      </c>
    </row>
    <row r="73" spans="1:41" ht="38.25" x14ac:dyDescent="0.25">
      <c r="A73" s="20" t="s">
        <v>356</v>
      </c>
      <c r="B73" s="20" t="s">
        <v>468</v>
      </c>
      <c r="C73" s="20" t="s">
        <v>482</v>
      </c>
      <c r="D73" s="38" t="s">
        <v>88</v>
      </c>
      <c r="E73" s="38"/>
      <c r="F73" s="48" t="s">
        <v>467</v>
      </c>
      <c r="G73" s="25" t="s">
        <v>132</v>
      </c>
      <c r="H73" s="39" t="s">
        <v>483</v>
      </c>
      <c r="I73" s="25" t="s">
        <v>132</v>
      </c>
      <c r="J73" s="25" t="s">
        <v>132</v>
      </c>
      <c r="K73" s="58" t="s">
        <v>320</v>
      </c>
      <c r="L73" s="62" t="s">
        <v>486</v>
      </c>
      <c r="M73" s="20" t="s">
        <v>487</v>
      </c>
      <c r="N73" s="28">
        <v>44529</v>
      </c>
      <c r="O73" s="67">
        <v>355</v>
      </c>
      <c r="P73" s="39">
        <v>13177</v>
      </c>
      <c r="Q73" s="28">
        <v>44529</v>
      </c>
      <c r="R73" s="28" t="s">
        <v>491</v>
      </c>
      <c r="S73" s="25" t="s">
        <v>400</v>
      </c>
      <c r="T73" s="39" t="s">
        <v>132</v>
      </c>
      <c r="U73" s="41" t="s">
        <v>190</v>
      </c>
      <c r="V73" s="67" t="s">
        <v>132</v>
      </c>
      <c r="W73" s="20" t="s">
        <v>112</v>
      </c>
      <c r="X73" s="25" t="s">
        <v>132</v>
      </c>
      <c r="Y73" s="25" t="s">
        <v>132</v>
      </c>
      <c r="Z73" s="25" t="s">
        <v>132</v>
      </c>
      <c r="AA73" s="25" t="s">
        <v>132</v>
      </c>
      <c r="AB73" s="25" t="s">
        <v>132</v>
      </c>
      <c r="AC73" s="25" t="s">
        <v>132</v>
      </c>
      <c r="AD73" s="25" t="s">
        <v>132</v>
      </c>
      <c r="AE73" s="25" t="s">
        <v>132</v>
      </c>
      <c r="AF73" s="25" t="s">
        <v>132</v>
      </c>
      <c r="AG73" s="67" t="s">
        <v>132</v>
      </c>
      <c r="AH73" s="67" t="s">
        <v>132</v>
      </c>
      <c r="AI73" s="25" t="s">
        <v>132</v>
      </c>
      <c r="AJ73" s="25" t="s">
        <v>132</v>
      </c>
      <c r="AK73" s="67" t="s">
        <v>132</v>
      </c>
      <c r="AL73" s="67" t="s">
        <v>132</v>
      </c>
      <c r="AM73" s="73">
        <v>355</v>
      </c>
      <c r="AN73" s="73"/>
      <c r="AO73" s="72">
        <f t="shared" si="0"/>
        <v>355</v>
      </c>
    </row>
    <row r="74" spans="1:41" ht="38.25" x14ac:dyDescent="0.25">
      <c r="A74" s="20" t="s">
        <v>357</v>
      </c>
      <c r="B74" s="20" t="s">
        <v>492</v>
      </c>
      <c r="C74" s="25" t="s">
        <v>132</v>
      </c>
      <c r="D74" s="38" t="s">
        <v>88</v>
      </c>
      <c r="E74" s="38"/>
      <c r="F74" s="48" t="s">
        <v>467</v>
      </c>
      <c r="G74" s="25" t="s">
        <v>132</v>
      </c>
      <c r="H74" s="25" t="s">
        <v>132</v>
      </c>
      <c r="I74" s="25" t="s">
        <v>132</v>
      </c>
      <c r="J74" s="25" t="s">
        <v>132</v>
      </c>
      <c r="K74" s="58" t="s">
        <v>488</v>
      </c>
      <c r="L74" s="62" t="s">
        <v>489</v>
      </c>
      <c r="M74" s="20" t="s">
        <v>490</v>
      </c>
      <c r="N74" s="28">
        <v>44539</v>
      </c>
      <c r="O74" s="67">
        <v>36000</v>
      </c>
      <c r="P74" s="39">
        <v>13185</v>
      </c>
      <c r="Q74" s="28">
        <v>44539</v>
      </c>
      <c r="R74" s="28">
        <v>44904</v>
      </c>
      <c r="S74" s="25" t="s">
        <v>198</v>
      </c>
      <c r="T74" s="39" t="s">
        <v>132</v>
      </c>
      <c r="U74" s="41" t="s">
        <v>190</v>
      </c>
      <c r="V74" s="67" t="s">
        <v>132</v>
      </c>
      <c r="W74" s="20" t="s">
        <v>110</v>
      </c>
      <c r="X74" s="25" t="s">
        <v>132</v>
      </c>
      <c r="Y74" s="25" t="s">
        <v>132</v>
      </c>
      <c r="Z74" s="25" t="s">
        <v>132</v>
      </c>
      <c r="AA74" s="25" t="s">
        <v>132</v>
      </c>
      <c r="AB74" s="25" t="s">
        <v>132</v>
      </c>
      <c r="AC74" s="25" t="s">
        <v>132</v>
      </c>
      <c r="AD74" s="25" t="s">
        <v>132</v>
      </c>
      <c r="AE74" s="25" t="s">
        <v>132</v>
      </c>
      <c r="AF74" s="25" t="s">
        <v>132</v>
      </c>
      <c r="AG74" s="67" t="s">
        <v>132</v>
      </c>
      <c r="AH74" s="67" t="s">
        <v>132</v>
      </c>
      <c r="AI74" s="25" t="s">
        <v>132</v>
      </c>
      <c r="AJ74" s="25" t="s">
        <v>132</v>
      </c>
      <c r="AK74" s="67" t="s">
        <v>132</v>
      </c>
      <c r="AL74" s="67" t="s">
        <v>132</v>
      </c>
      <c r="AM74" s="73">
        <f>3000+1900+3000+3000+3000+3000+3000+3000+3000+3000+3000+3000+3257.11</f>
        <v>38157.11</v>
      </c>
      <c r="AN74" s="73">
        <f>3257.11+3257.11+3257.11+3257.11</f>
        <v>13028.44</v>
      </c>
      <c r="AO74" s="72">
        <f t="shared" si="0"/>
        <v>51185.55</v>
      </c>
    </row>
    <row r="75" spans="1:41" ht="38.25" x14ac:dyDescent="0.25">
      <c r="A75" s="20" t="s">
        <v>538</v>
      </c>
      <c r="B75" s="20" t="s">
        <v>499</v>
      </c>
      <c r="C75" s="20" t="s">
        <v>498</v>
      </c>
      <c r="D75" s="38" t="s">
        <v>88</v>
      </c>
      <c r="E75" s="38"/>
      <c r="F75" s="48" t="s">
        <v>494</v>
      </c>
      <c r="G75" s="25" t="s">
        <v>132</v>
      </c>
      <c r="H75" s="39" t="s">
        <v>497</v>
      </c>
      <c r="I75" s="25" t="s">
        <v>132</v>
      </c>
      <c r="J75" s="25" t="s">
        <v>132</v>
      </c>
      <c r="K75" s="58" t="s">
        <v>495</v>
      </c>
      <c r="L75" s="62" t="s">
        <v>496</v>
      </c>
      <c r="M75" s="20" t="s">
        <v>396</v>
      </c>
      <c r="N75" s="28">
        <v>44613</v>
      </c>
      <c r="O75" s="67">
        <v>506000</v>
      </c>
      <c r="P75" s="39">
        <v>13232</v>
      </c>
      <c r="Q75" s="28">
        <v>44613</v>
      </c>
      <c r="R75" s="28">
        <v>44926</v>
      </c>
      <c r="S75" s="25" t="s">
        <v>515</v>
      </c>
      <c r="T75" s="39" t="s">
        <v>132</v>
      </c>
      <c r="U75" s="41" t="s">
        <v>190</v>
      </c>
      <c r="V75" s="67" t="s">
        <v>132</v>
      </c>
      <c r="W75" s="20" t="s">
        <v>112</v>
      </c>
      <c r="X75" s="25" t="s">
        <v>132</v>
      </c>
      <c r="Y75" s="25" t="s">
        <v>132</v>
      </c>
      <c r="Z75" s="25" t="s">
        <v>132</v>
      </c>
      <c r="AA75" s="25" t="s">
        <v>132</v>
      </c>
      <c r="AB75" s="25" t="s">
        <v>132</v>
      </c>
      <c r="AC75" s="25" t="s">
        <v>132</v>
      </c>
      <c r="AD75" s="25" t="s">
        <v>132</v>
      </c>
      <c r="AE75" s="25" t="s">
        <v>132</v>
      </c>
      <c r="AF75" s="25" t="s">
        <v>132</v>
      </c>
      <c r="AG75" s="67" t="s">
        <v>132</v>
      </c>
      <c r="AH75" s="67" t="s">
        <v>132</v>
      </c>
      <c r="AI75" s="25" t="s">
        <v>132</v>
      </c>
      <c r="AJ75" s="25" t="s">
        <v>132</v>
      </c>
      <c r="AK75" s="67" t="s">
        <v>132</v>
      </c>
      <c r="AL75" s="67" t="s">
        <v>132</v>
      </c>
      <c r="AM75" s="73">
        <f>31498.5+22517+11638+74053.1+113.85+23529+3431.98+3719.9+26180.87+71674.9+32257.5+1948.1+22770+253+1808.95+23529+59227.3+33332.75+22390.5</f>
        <v>465874.19999999995</v>
      </c>
      <c r="AN75" s="73"/>
      <c r="AO75" s="72">
        <f t="shared" si="0"/>
        <v>465874.19999999995</v>
      </c>
    </row>
    <row r="76" spans="1:41" ht="38.25" x14ac:dyDescent="0.25">
      <c r="A76" s="20" t="s">
        <v>539</v>
      </c>
      <c r="B76" s="20" t="s">
        <v>503</v>
      </c>
      <c r="C76" s="20" t="s">
        <v>502</v>
      </c>
      <c r="D76" s="38" t="s">
        <v>88</v>
      </c>
      <c r="E76" s="38"/>
      <c r="F76" s="48" t="s">
        <v>494</v>
      </c>
      <c r="G76" s="25" t="s">
        <v>132</v>
      </c>
      <c r="H76" s="39" t="s">
        <v>397</v>
      </c>
      <c r="I76" s="25" t="s">
        <v>132</v>
      </c>
      <c r="J76" s="25" t="s">
        <v>132</v>
      </c>
      <c r="K76" s="58" t="s">
        <v>504</v>
      </c>
      <c r="L76" s="62" t="s">
        <v>500</v>
      </c>
      <c r="M76" s="20" t="s">
        <v>501</v>
      </c>
      <c r="N76" s="20">
        <v>44536</v>
      </c>
      <c r="O76" s="67">
        <v>33112</v>
      </c>
      <c r="P76" s="24">
        <v>13181</v>
      </c>
      <c r="Q76" s="28">
        <v>44536</v>
      </c>
      <c r="R76" s="28">
        <v>44561</v>
      </c>
      <c r="S76" s="20">
        <v>101</v>
      </c>
      <c r="T76" s="20" t="s">
        <v>132</v>
      </c>
      <c r="U76" s="20" t="s">
        <v>190</v>
      </c>
      <c r="V76" s="46" t="s">
        <v>132</v>
      </c>
      <c r="W76" s="20" t="s">
        <v>113</v>
      </c>
      <c r="X76" s="25" t="s">
        <v>132</v>
      </c>
      <c r="Y76" s="25" t="s">
        <v>132</v>
      </c>
      <c r="Z76" s="25" t="s">
        <v>132</v>
      </c>
      <c r="AA76" s="25" t="s">
        <v>132</v>
      </c>
      <c r="AB76" s="25" t="s">
        <v>132</v>
      </c>
      <c r="AC76" s="25" t="s">
        <v>132</v>
      </c>
      <c r="AD76" s="25" t="s">
        <v>132</v>
      </c>
      <c r="AE76" s="25" t="s">
        <v>132</v>
      </c>
      <c r="AF76" s="25" t="s">
        <v>132</v>
      </c>
      <c r="AG76" s="67" t="s">
        <v>132</v>
      </c>
      <c r="AH76" s="67" t="s">
        <v>132</v>
      </c>
      <c r="AI76" s="25" t="s">
        <v>132</v>
      </c>
      <c r="AJ76" s="25" t="s">
        <v>132</v>
      </c>
      <c r="AK76" s="67" t="s">
        <v>132</v>
      </c>
      <c r="AL76" s="67" t="s">
        <v>132</v>
      </c>
      <c r="AM76" s="73">
        <v>33112</v>
      </c>
      <c r="AN76" s="73"/>
      <c r="AO76" s="72">
        <f t="shared" si="0"/>
        <v>33112</v>
      </c>
    </row>
    <row r="77" spans="1:41" ht="38.25" x14ac:dyDescent="0.25">
      <c r="A77" s="20" t="s">
        <v>358</v>
      </c>
      <c r="B77" s="20" t="s">
        <v>505</v>
      </c>
      <c r="C77" s="20" t="s">
        <v>506</v>
      </c>
      <c r="D77" s="38" t="s">
        <v>88</v>
      </c>
      <c r="E77" s="38"/>
      <c r="F77" s="48" t="s">
        <v>494</v>
      </c>
      <c r="G77" s="25" t="s">
        <v>132</v>
      </c>
      <c r="H77" s="39" t="s">
        <v>507</v>
      </c>
      <c r="I77" s="25" t="s">
        <v>132</v>
      </c>
      <c r="J77" s="25" t="s">
        <v>132</v>
      </c>
      <c r="K77" s="58" t="s">
        <v>508</v>
      </c>
      <c r="L77" s="62" t="s">
        <v>509</v>
      </c>
      <c r="M77" s="28" t="s">
        <v>313</v>
      </c>
      <c r="N77" s="28">
        <v>44238</v>
      </c>
      <c r="O77" s="67">
        <v>24798.400000000001</v>
      </c>
      <c r="P77" s="28" t="s">
        <v>132</v>
      </c>
      <c r="Q77" s="28">
        <v>44238</v>
      </c>
      <c r="R77" s="28">
        <v>44561</v>
      </c>
      <c r="S77" s="28" t="s">
        <v>198</v>
      </c>
      <c r="T77" s="28" t="s">
        <v>508</v>
      </c>
      <c r="U77" s="28" t="s">
        <v>190</v>
      </c>
      <c r="V77" s="67" t="s">
        <v>132</v>
      </c>
      <c r="W77" s="28" t="s">
        <v>514</v>
      </c>
      <c r="X77" s="25" t="s">
        <v>132</v>
      </c>
      <c r="Y77" s="25" t="s">
        <v>132</v>
      </c>
      <c r="Z77" s="25" t="s">
        <v>132</v>
      </c>
      <c r="AA77" s="25" t="s">
        <v>132</v>
      </c>
      <c r="AB77" s="25" t="s">
        <v>132</v>
      </c>
      <c r="AC77" s="25" t="s">
        <v>132</v>
      </c>
      <c r="AD77" s="25" t="s">
        <v>132</v>
      </c>
      <c r="AE77" s="25" t="s">
        <v>132</v>
      </c>
      <c r="AF77" s="25" t="s">
        <v>132</v>
      </c>
      <c r="AG77" s="67" t="s">
        <v>132</v>
      </c>
      <c r="AH77" s="67" t="s">
        <v>132</v>
      </c>
      <c r="AI77" s="25" t="s">
        <v>132</v>
      </c>
      <c r="AJ77" s="25" t="s">
        <v>132</v>
      </c>
      <c r="AK77" s="67" t="s">
        <v>132</v>
      </c>
      <c r="AL77" s="67" t="s">
        <v>132</v>
      </c>
      <c r="AM77" s="73">
        <v>6671.44</v>
      </c>
      <c r="AN77" s="73"/>
      <c r="AO77" s="72">
        <f t="shared" si="0"/>
        <v>6671.44</v>
      </c>
    </row>
    <row r="78" spans="1:41" ht="38.25" x14ac:dyDescent="0.25">
      <c r="A78" s="20" t="s">
        <v>359</v>
      </c>
      <c r="B78" s="20" t="s">
        <v>513</v>
      </c>
      <c r="C78" s="20" t="s">
        <v>482</v>
      </c>
      <c r="D78" s="38" t="s">
        <v>88</v>
      </c>
      <c r="E78" s="38"/>
      <c r="F78" s="48" t="s">
        <v>494</v>
      </c>
      <c r="G78" s="25" t="s">
        <v>132</v>
      </c>
      <c r="H78" s="39" t="s">
        <v>483</v>
      </c>
      <c r="I78" s="25" t="s">
        <v>132</v>
      </c>
      <c r="J78" s="25" t="s">
        <v>132</v>
      </c>
      <c r="K78" s="58" t="s">
        <v>510</v>
      </c>
      <c r="L78" s="62" t="s">
        <v>511</v>
      </c>
      <c r="M78" s="20" t="s">
        <v>512</v>
      </c>
      <c r="N78" s="28">
        <v>44498</v>
      </c>
      <c r="O78" s="67">
        <v>519</v>
      </c>
      <c r="P78" s="39">
        <v>13178</v>
      </c>
      <c r="Q78" s="28">
        <v>44498</v>
      </c>
      <c r="R78" s="28">
        <v>44926</v>
      </c>
      <c r="S78" s="25" t="s">
        <v>400</v>
      </c>
      <c r="T78" s="39" t="s">
        <v>132</v>
      </c>
      <c r="U78" s="41" t="s">
        <v>190</v>
      </c>
      <c r="V78" s="67" t="s">
        <v>132</v>
      </c>
      <c r="W78" s="20" t="s">
        <v>112</v>
      </c>
      <c r="X78" s="25" t="s">
        <v>132</v>
      </c>
      <c r="Y78" s="25" t="s">
        <v>132</v>
      </c>
      <c r="Z78" s="25" t="s">
        <v>132</v>
      </c>
      <c r="AA78" s="25" t="s">
        <v>132</v>
      </c>
      <c r="AB78" s="25" t="s">
        <v>132</v>
      </c>
      <c r="AC78" s="25" t="s">
        <v>132</v>
      </c>
      <c r="AD78" s="25" t="s">
        <v>132</v>
      </c>
      <c r="AE78" s="25" t="s">
        <v>132</v>
      </c>
      <c r="AF78" s="25" t="s">
        <v>132</v>
      </c>
      <c r="AG78" s="67" t="s">
        <v>132</v>
      </c>
      <c r="AH78" s="67" t="s">
        <v>132</v>
      </c>
      <c r="AI78" s="25" t="s">
        <v>132</v>
      </c>
      <c r="AJ78" s="25" t="s">
        <v>132</v>
      </c>
      <c r="AK78" s="67" t="s">
        <v>132</v>
      </c>
      <c r="AL78" s="67" t="s">
        <v>132</v>
      </c>
      <c r="AM78" s="73">
        <v>519</v>
      </c>
      <c r="AN78" s="73"/>
      <c r="AO78" s="72">
        <f t="shared" si="0"/>
        <v>519</v>
      </c>
    </row>
    <row r="79" spans="1:41" ht="38.25" x14ac:dyDescent="0.25">
      <c r="A79" s="20" t="s">
        <v>540</v>
      </c>
      <c r="B79" s="20" t="s">
        <v>543</v>
      </c>
      <c r="C79" s="20" t="s">
        <v>544</v>
      </c>
      <c r="D79" s="38" t="s">
        <v>88</v>
      </c>
      <c r="E79" s="38"/>
      <c r="F79" s="48" t="s">
        <v>494</v>
      </c>
      <c r="G79" s="25" t="s">
        <v>132</v>
      </c>
      <c r="H79" s="39" t="s">
        <v>545</v>
      </c>
      <c r="I79" s="25" t="s">
        <v>132</v>
      </c>
      <c r="J79" s="25" t="s">
        <v>132</v>
      </c>
      <c r="K79" s="58" t="s">
        <v>546</v>
      </c>
      <c r="L79" s="62" t="s">
        <v>547</v>
      </c>
      <c r="M79" s="20" t="s">
        <v>586</v>
      </c>
      <c r="N79" s="28">
        <v>44613</v>
      </c>
      <c r="O79" s="67">
        <v>195000</v>
      </c>
      <c r="P79" s="39">
        <v>13245</v>
      </c>
      <c r="Q79" s="28">
        <v>44613</v>
      </c>
      <c r="R79" s="28">
        <v>44926</v>
      </c>
      <c r="S79" s="25" t="s">
        <v>584</v>
      </c>
      <c r="T79" s="39" t="s">
        <v>132</v>
      </c>
      <c r="U79" s="41" t="s">
        <v>190</v>
      </c>
      <c r="V79" s="67" t="s">
        <v>132</v>
      </c>
      <c r="W79" s="20" t="s">
        <v>112</v>
      </c>
      <c r="X79" s="25" t="s">
        <v>132</v>
      </c>
      <c r="Y79" s="25">
        <v>1</v>
      </c>
      <c r="Z79" s="28">
        <v>44910</v>
      </c>
      <c r="AA79" s="39">
        <v>13433</v>
      </c>
      <c r="AB79" s="25" t="s">
        <v>457</v>
      </c>
      <c r="AC79" s="25" t="s">
        <v>132</v>
      </c>
      <c r="AD79" s="25" t="s">
        <v>132</v>
      </c>
      <c r="AE79" s="42">
        <v>0.25</v>
      </c>
      <c r="AF79" s="25" t="s">
        <v>132</v>
      </c>
      <c r="AG79" s="67" t="s">
        <v>132</v>
      </c>
      <c r="AH79" s="67" t="s">
        <v>132</v>
      </c>
      <c r="AI79" s="25" t="s">
        <v>132</v>
      </c>
      <c r="AJ79" s="25" t="s">
        <v>132</v>
      </c>
      <c r="AK79" s="67" t="s">
        <v>132</v>
      </c>
      <c r="AL79" s="67" t="s">
        <v>132</v>
      </c>
      <c r="AM79" s="73">
        <f>4290+2925+14300+4504.5+3071.25+9750+2275+6500+2860+9750+5161+5313.75+5541.25+12593.75+12187.5+9165+5541.25+12593.75+4013.75+22896.25+12051+10237.5+4533.75+5606.25</f>
        <v>187661.5</v>
      </c>
      <c r="AN79" s="73">
        <f>5378.75+16250+13377</f>
        <v>35005.75</v>
      </c>
      <c r="AO79" s="72">
        <f t="shared" si="0"/>
        <v>222667.25</v>
      </c>
    </row>
    <row r="80" spans="1:41" ht="38.25" x14ac:dyDescent="0.25">
      <c r="A80" s="20" t="s">
        <v>360</v>
      </c>
      <c r="B80" s="20" t="s">
        <v>268</v>
      </c>
      <c r="C80" s="20" t="s">
        <v>269</v>
      </c>
      <c r="D80" s="38" t="s">
        <v>88</v>
      </c>
      <c r="E80" s="38"/>
      <c r="F80" s="48" t="s">
        <v>494</v>
      </c>
      <c r="G80" s="25" t="s">
        <v>132</v>
      </c>
      <c r="H80" s="39"/>
      <c r="I80" s="25" t="s">
        <v>132</v>
      </c>
      <c r="J80" s="25" t="s">
        <v>132</v>
      </c>
      <c r="K80" s="58" t="s">
        <v>548</v>
      </c>
      <c r="L80" s="62" t="s">
        <v>549</v>
      </c>
      <c r="M80" s="20" t="s">
        <v>589</v>
      </c>
      <c r="N80" s="28">
        <v>44117</v>
      </c>
      <c r="O80" s="67">
        <v>102762.5</v>
      </c>
      <c r="P80" s="39">
        <v>12909</v>
      </c>
      <c r="Q80" s="28">
        <v>44117</v>
      </c>
      <c r="R80" s="28">
        <v>44664</v>
      </c>
      <c r="S80" s="25">
        <v>126</v>
      </c>
      <c r="T80" s="39" t="s">
        <v>132</v>
      </c>
      <c r="U80" s="41" t="s">
        <v>190</v>
      </c>
      <c r="V80" s="67" t="s">
        <v>132</v>
      </c>
      <c r="W80" s="20" t="s">
        <v>111</v>
      </c>
      <c r="X80" s="25" t="s">
        <v>132</v>
      </c>
      <c r="Y80" s="25">
        <v>4</v>
      </c>
      <c r="Z80" s="28">
        <v>44779</v>
      </c>
      <c r="AA80" s="39">
        <v>13389</v>
      </c>
      <c r="AB80" s="25" t="s">
        <v>114</v>
      </c>
      <c r="AC80" s="28">
        <v>44783</v>
      </c>
      <c r="AD80" s="28">
        <v>45024</v>
      </c>
      <c r="AE80" s="25" t="s">
        <v>132</v>
      </c>
      <c r="AF80" s="25" t="s">
        <v>132</v>
      </c>
      <c r="AG80" s="67" t="s">
        <v>132</v>
      </c>
      <c r="AH80" s="67" t="s">
        <v>132</v>
      </c>
      <c r="AI80" s="25" t="s">
        <v>132</v>
      </c>
      <c r="AJ80" s="25" t="s">
        <v>132</v>
      </c>
      <c r="AK80" s="67" t="s">
        <v>132</v>
      </c>
      <c r="AL80" s="67" t="s">
        <v>132</v>
      </c>
      <c r="AM80" s="73">
        <f>46860+25215.5+30687</f>
        <v>102762.5</v>
      </c>
      <c r="AN80" s="73"/>
      <c r="AO80" s="72">
        <f t="shared" si="0"/>
        <v>102762.5</v>
      </c>
    </row>
    <row r="81" spans="1:41" ht="38.25" x14ac:dyDescent="0.25">
      <c r="A81" s="20" t="s">
        <v>541</v>
      </c>
      <c r="B81" s="20" t="s">
        <v>551</v>
      </c>
      <c r="C81" s="20" t="s">
        <v>552</v>
      </c>
      <c r="D81" s="38" t="s">
        <v>88</v>
      </c>
      <c r="E81" s="38"/>
      <c r="F81" s="48" t="s">
        <v>494</v>
      </c>
      <c r="G81" s="25" t="s">
        <v>132</v>
      </c>
      <c r="H81" s="39" t="s">
        <v>553</v>
      </c>
      <c r="I81" s="25" t="s">
        <v>132</v>
      </c>
      <c r="J81" s="25" t="s">
        <v>132</v>
      </c>
      <c r="K81" s="58" t="s">
        <v>554</v>
      </c>
      <c r="L81" s="62" t="s">
        <v>555</v>
      </c>
      <c r="M81" s="20" t="s">
        <v>590</v>
      </c>
      <c r="N81" s="28">
        <v>43950</v>
      </c>
      <c r="O81" s="67">
        <v>59010</v>
      </c>
      <c r="P81" s="39">
        <v>12797</v>
      </c>
      <c r="Q81" s="28">
        <v>43950</v>
      </c>
      <c r="R81" s="28">
        <v>44196</v>
      </c>
      <c r="S81" s="25" t="s">
        <v>198</v>
      </c>
      <c r="T81" s="39" t="s">
        <v>132</v>
      </c>
      <c r="U81" s="41" t="s">
        <v>190</v>
      </c>
      <c r="V81" s="67" t="s">
        <v>132</v>
      </c>
      <c r="W81" s="20" t="s">
        <v>111</v>
      </c>
      <c r="X81" s="25" t="s">
        <v>132</v>
      </c>
      <c r="Y81" s="25">
        <v>3</v>
      </c>
      <c r="Z81" s="28">
        <v>44925</v>
      </c>
      <c r="AA81" s="39">
        <v>13450</v>
      </c>
      <c r="AB81" s="25" t="s">
        <v>114</v>
      </c>
      <c r="AC81" s="28">
        <v>44927</v>
      </c>
      <c r="AD81" s="28">
        <v>45291</v>
      </c>
      <c r="AE81" s="25" t="s">
        <v>132</v>
      </c>
      <c r="AF81" s="25" t="s">
        <v>132</v>
      </c>
      <c r="AG81" s="67" t="s">
        <v>132</v>
      </c>
      <c r="AH81" s="67" t="s">
        <v>132</v>
      </c>
      <c r="AI81" s="25" t="s">
        <v>132</v>
      </c>
      <c r="AJ81" s="25" t="s">
        <v>132</v>
      </c>
      <c r="AK81" s="67" t="s">
        <v>132</v>
      </c>
      <c r="AL81" s="67" t="s">
        <v>132</v>
      </c>
      <c r="AM81" s="73">
        <f>9760+10971</f>
        <v>20731</v>
      </c>
      <c r="AN81" s="73">
        <f>5677</f>
        <v>5677</v>
      </c>
      <c r="AO81" s="72">
        <f t="shared" si="0"/>
        <v>26408</v>
      </c>
    </row>
    <row r="82" spans="1:41" ht="38.25" x14ac:dyDescent="0.25">
      <c r="A82" s="20" t="s">
        <v>542</v>
      </c>
      <c r="B82" s="20" t="s">
        <v>557</v>
      </c>
      <c r="C82" s="20" t="s">
        <v>558</v>
      </c>
      <c r="D82" s="38" t="s">
        <v>88</v>
      </c>
      <c r="E82" s="38"/>
      <c r="F82" s="48" t="s">
        <v>494</v>
      </c>
      <c r="G82" s="25" t="s">
        <v>132</v>
      </c>
      <c r="H82" s="39" t="s">
        <v>559</v>
      </c>
      <c r="I82" s="25" t="s">
        <v>132</v>
      </c>
      <c r="J82" s="25" t="s">
        <v>132</v>
      </c>
      <c r="K82" s="58" t="s">
        <v>560</v>
      </c>
      <c r="L82" s="62" t="s">
        <v>561</v>
      </c>
      <c r="M82" s="20" t="s">
        <v>440</v>
      </c>
      <c r="N82" s="28">
        <v>43467</v>
      </c>
      <c r="O82" s="67">
        <v>35000</v>
      </c>
      <c r="P82" s="39">
        <v>12472</v>
      </c>
      <c r="Q82" s="28">
        <v>43467</v>
      </c>
      <c r="R82" s="28">
        <v>43830</v>
      </c>
      <c r="S82" s="25">
        <v>117</v>
      </c>
      <c r="T82" s="39" t="s">
        <v>132</v>
      </c>
      <c r="U82" s="41" t="s">
        <v>190</v>
      </c>
      <c r="V82" s="67" t="s">
        <v>132</v>
      </c>
      <c r="W82" s="20" t="s">
        <v>166</v>
      </c>
      <c r="X82" s="25" t="s">
        <v>132</v>
      </c>
      <c r="Y82" s="25">
        <v>5</v>
      </c>
      <c r="Z82" s="28">
        <v>44803</v>
      </c>
      <c r="AA82" s="39">
        <v>13369</v>
      </c>
      <c r="AB82" s="25" t="s">
        <v>300</v>
      </c>
      <c r="AC82" s="28">
        <v>44562</v>
      </c>
      <c r="AD82" s="28">
        <v>44926</v>
      </c>
      <c r="AE82" s="42">
        <v>0.25</v>
      </c>
      <c r="AF82" s="25" t="s">
        <v>132</v>
      </c>
      <c r="AG82" s="67" t="s">
        <v>132</v>
      </c>
      <c r="AH82" s="67" t="s">
        <v>132</v>
      </c>
      <c r="AI82" s="25" t="s">
        <v>132</v>
      </c>
      <c r="AJ82" s="25" t="s">
        <v>132</v>
      </c>
      <c r="AK82" s="67" t="s">
        <v>132</v>
      </c>
      <c r="AL82" s="67" t="s">
        <v>132</v>
      </c>
      <c r="AM82" s="73">
        <f>13128.27+7803.96+11435.16+5754+12276.9</f>
        <v>50398.29</v>
      </c>
      <c r="AN82" s="73"/>
      <c r="AO82" s="72">
        <f t="shared" si="0"/>
        <v>50398.29</v>
      </c>
    </row>
    <row r="83" spans="1:41" ht="38.25" x14ac:dyDescent="0.25">
      <c r="A83" s="20" t="s">
        <v>550</v>
      </c>
      <c r="B83" s="20" t="s">
        <v>565</v>
      </c>
      <c r="C83" s="20" t="s">
        <v>563</v>
      </c>
      <c r="D83" s="38" t="s">
        <v>88</v>
      </c>
      <c r="E83" s="38"/>
      <c r="F83" s="48" t="s">
        <v>494</v>
      </c>
      <c r="G83" s="25" t="s">
        <v>132</v>
      </c>
      <c r="H83" s="39" t="s">
        <v>564</v>
      </c>
      <c r="I83" s="25" t="s">
        <v>132</v>
      </c>
      <c r="J83" s="25" t="s">
        <v>132</v>
      </c>
      <c r="K83" s="58" t="s">
        <v>587</v>
      </c>
      <c r="L83" s="47" t="s">
        <v>566</v>
      </c>
      <c r="M83" s="37" t="s">
        <v>588</v>
      </c>
      <c r="N83" s="28">
        <v>44553</v>
      </c>
      <c r="O83" s="67">
        <v>869000</v>
      </c>
      <c r="P83" s="39">
        <v>13196</v>
      </c>
      <c r="Q83" s="28">
        <v>44553</v>
      </c>
      <c r="R83" s="28">
        <v>44918</v>
      </c>
      <c r="S83" s="25" t="s">
        <v>198</v>
      </c>
      <c r="T83" s="39" t="s">
        <v>132</v>
      </c>
      <c r="U83" s="41" t="s">
        <v>190</v>
      </c>
      <c r="V83" s="67" t="s">
        <v>132</v>
      </c>
      <c r="W83" s="20" t="s">
        <v>111</v>
      </c>
      <c r="X83" s="25" t="s">
        <v>132</v>
      </c>
      <c r="Y83" s="20">
        <v>1</v>
      </c>
      <c r="Z83" s="23">
        <v>44914</v>
      </c>
      <c r="AA83" s="24">
        <v>13435</v>
      </c>
      <c r="AB83" s="20" t="s">
        <v>114</v>
      </c>
      <c r="AC83" s="23">
        <v>44919</v>
      </c>
      <c r="AD83" s="23">
        <v>45283</v>
      </c>
      <c r="AE83" s="25" t="s">
        <v>132</v>
      </c>
      <c r="AF83" s="25" t="s">
        <v>132</v>
      </c>
      <c r="AG83" s="67" t="s">
        <v>132</v>
      </c>
      <c r="AH83" s="67" t="s">
        <v>132</v>
      </c>
      <c r="AI83" s="25" t="s">
        <v>132</v>
      </c>
      <c r="AJ83" s="25" t="s">
        <v>132</v>
      </c>
      <c r="AK83" s="67" t="s">
        <v>132</v>
      </c>
      <c r="AL83" s="67" t="s">
        <v>132</v>
      </c>
      <c r="AM83" s="73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N83" s="73">
        <f>5662.53+12898.52+6729.71+3639.03+4451.77+4315.65+8109.74+9943.21+1802.43</f>
        <v>57552.59</v>
      </c>
      <c r="AO83" s="72">
        <f t="shared" si="0"/>
        <v>284183.81999999995</v>
      </c>
    </row>
    <row r="84" spans="1:41" ht="38.25" x14ac:dyDescent="0.25">
      <c r="A84" s="20" t="s">
        <v>556</v>
      </c>
      <c r="B84" s="20" t="s">
        <v>570</v>
      </c>
      <c r="C84" s="20" t="s">
        <v>476</v>
      </c>
      <c r="D84" s="38" t="s">
        <v>88</v>
      </c>
      <c r="E84" s="38"/>
      <c r="F84" s="48" t="s">
        <v>494</v>
      </c>
      <c r="G84" s="25" t="s">
        <v>132</v>
      </c>
      <c r="H84" s="39" t="s">
        <v>569</v>
      </c>
      <c r="I84" s="25" t="s">
        <v>132</v>
      </c>
      <c r="J84" s="25" t="s">
        <v>132</v>
      </c>
      <c r="K84" s="58" t="s">
        <v>568</v>
      </c>
      <c r="L84" s="62" t="s">
        <v>484</v>
      </c>
      <c r="M84" s="20" t="s">
        <v>485</v>
      </c>
      <c r="N84" s="28">
        <v>44606</v>
      </c>
      <c r="O84" s="67">
        <v>48570</v>
      </c>
      <c r="P84" s="39">
        <v>13229</v>
      </c>
      <c r="Q84" s="28">
        <v>44606</v>
      </c>
      <c r="R84" s="28">
        <v>44926</v>
      </c>
      <c r="S84" s="25" t="s">
        <v>400</v>
      </c>
      <c r="T84" s="39" t="s">
        <v>132</v>
      </c>
      <c r="U84" s="41" t="s">
        <v>190</v>
      </c>
      <c r="V84" s="67" t="s">
        <v>132</v>
      </c>
      <c r="W84" s="20" t="s">
        <v>112</v>
      </c>
      <c r="X84" s="25" t="s">
        <v>132</v>
      </c>
      <c r="Y84" s="25" t="s">
        <v>132</v>
      </c>
      <c r="Z84" s="25" t="s">
        <v>132</v>
      </c>
      <c r="AA84" s="25" t="s">
        <v>132</v>
      </c>
      <c r="AB84" s="25" t="s">
        <v>132</v>
      </c>
      <c r="AC84" s="25" t="s">
        <v>132</v>
      </c>
      <c r="AD84" s="25" t="s">
        <v>132</v>
      </c>
      <c r="AE84" s="25" t="s">
        <v>132</v>
      </c>
      <c r="AF84" s="25" t="s">
        <v>132</v>
      </c>
      <c r="AG84" s="67" t="s">
        <v>132</v>
      </c>
      <c r="AH84" s="67" t="s">
        <v>132</v>
      </c>
      <c r="AI84" s="25" t="s">
        <v>132</v>
      </c>
      <c r="AJ84" s="25" t="s">
        <v>132</v>
      </c>
      <c r="AK84" s="67" t="s">
        <v>132</v>
      </c>
      <c r="AL84" s="67" t="s">
        <v>132</v>
      </c>
      <c r="AM84" s="73">
        <f>6495.4+1500+3146</f>
        <v>11141.4</v>
      </c>
      <c r="AN84" s="73"/>
      <c r="AO84" s="72">
        <f t="shared" ref="AO84:AO140" si="1">AM84+AN84</f>
        <v>11141.4</v>
      </c>
    </row>
    <row r="85" spans="1:41" ht="38.25" x14ac:dyDescent="0.25">
      <c r="A85" s="20" t="s">
        <v>562</v>
      </c>
      <c r="B85" s="20" t="s">
        <v>575</v>
      </c>
      <c r="C85" s="20" t="s">
        <v>573</v>
      </c>
      <c r="D85" s="38" t="s">
        <v>88</v>
      </c>
      <c r="E85" s="38"/>
      <c r="F85" s="48" t="s">
        <v>494</v>
      </c>
      <c r="G85" s="25" t="s">
        <v>132</v>
      </c>
      <c r="H85" s="39" t="s">
        <v>574</v>
      </c>
      <c r="I85" s="25" t="s">
        <v>132</v>
      </c>
      <c r="J85" s="25" t="s">
        <v>132</v>
      </c>
      <c r="K85" s="58" t="s">
        <v>572</v>
      </c>
      <c r="L85" s="62" t="s">
        <v>484</v>
      </c>
      <c r="M85" s="20" t="s">
        <v>485</v>
      </c>
      <c r="N85" s="28">
        <v>44603</v>
      </c>
      <c r="O85" s="67">
        <v>60877.7</v>
      </c>
      <c r="P85" s="39">
        <v>13229</v>
      </c>
      <c r="Q85" s="28">
        <v>44603</v>
      </c>
      <c r="R85" s="28">
        <v>44926</v>
      </c>
      <c r="S85" s="25" t="s">
        <v>584</v>
      </c>
      <c r="T85" s="39" t="s">
        <v>132</v>
      </c>
      <c r="U85" s="41" t="s">
        <v>190</v>
      </c>
      <c r="V85" s="67" t="s">
        <v>132</v>
      </c>
      <c r="W85" s="20" t="s">
        <v>112</v>
      </c>
      <c r="X85" s="25" t="s">
        <v>132</v>
      </c>
      <c r="Y85" s="25" t="s">
        <v>132</v>
      </c>
      <c r="Z85" s="25" t="s">
        <v>132</v>
      </c>
      <c r="AA85" s="25" t="s">
        <v>132</v>
      </c>
      <c r="AB85" s="25" t="s">
        <v>132</v>
      </c>
      <c r="AC85" s="25" t="s">
        <v>132</v>
      </c>
      <c r="AD85" s="25" t="s">
        <v>132</v>
      </c>
      <c r="AE85" s="25" t="s">
        <v>132</v>
      </c>
      <c r="AF85" s="25" t="s">
        <v>132</v>
      </c>
      <c r="AG85" s="67" t="s">
        <v>132</v>
      </c>
      <c r="AH85" s="67" t="s">
        <v>132</v>
      </c>
      <c r="AI85" s="25" t="s">
        <v>132</v>
      </c>
      <c r="AJ85" s="25" t="s">
        <v>132</v>
      </c>
      <c r="AK85" s="67" t="s">
        <v>132</v>
      </c>
      <c r="AL85" s="67" t="s">
        <v>132</v>
      </c>
      <c r="AM85" s="73">
        <f>11167+1579+2444+343.2</f>
        <v>15533.2</v>
      </c>
      <c r="AN85" s="73"/>
      <c r="AO85" s="72">
        <f t="shared" si="1"/>
        <v>15533.2</v>
      </c>
    </row>
    <row r="86" spans="1:41" ht="38.25" x14ac:dyDescent="0.25">
      <c r="A86" s="20" t="s">
        <v>567</v>
      </c>
      <c r="B86" s="20" t="s">
        <v>578</v>
      </c>
      <c r="C86" s="20" t="s">
        <v>580</v>
      </c>
      <c r="D86" s="38" t="s">
        <v>88</v>
      </c>
      <c r="E86" s="38"/>
      <c r="F86" s="48" t="s">
        <v>494</v>
      </c>
      <c r="G86" s="25" t="s">
        <v>132</v>
      </c>
      <c r="H86" s="39" t="s">
        <v>579</v>
      </c>
      <c r="I86" s="25" t="s">
        <v>132</v>
      </c>
      <c r="J86" s="25" t="s">
        <v>132</v>
      </c>
      <c r="K86" s="58" t="s">
        <v>577</v>
      </c>
      <c r="L86" s="62" t="s">
        <v>177</v>
      </c>
      <c r="M86" s="20" t="s">
        <v>216</v>
      </c>
      <c r="N86" s="28">
        <v>44627</v>
      </c>
      <c r="O86" s="67">
        <v>1412720</v>
      </c>
      <c r="P86" s="39">
        <v>13244</v>
      </c>
      <c r="Q86" s="28">
        <v>44627</v>
      </c>
      <c r="R86" s="28">
        <v>44926</v>
      </c>
      <c r="S86" s="25" t="s">
        <v>400</v>
      </c>
      <c r="T86" s="39" t="s">
        <v>132</v>
      </c>
      <c r="U86" s="41" t="s">
        <v>190</v>
      </c>
      <c r="V86" s="67" t="s">
        <v>132</v>
      </c>
      <c r="W86" s="20" t="s">
        <v>112</v>
      </c>
      <c r="X86" s="25" t="s">
        <v>132</v>
      </c>
      <c r="Y86" s="25" t="s">
        <v>132</v>
      </c>
      <c r="Z86" s="25" t="s">
        <v>132</v>
      </c>
      <c r="AA86" s="25" t="s">
        <v>132</v>
      </c>
      <c r="AB86" s="25" t="s">
        <v>132</v>
      </c>
      <c r="AC86" s="25" t="s">
        <v>132</v>
      </c>
      <c r="AD86" s="25" t="s">
        <v>132</v>
      </c>
      <c r="AE86" s="25" t="s">
        <v>132</v>
      </c>
      <c r="AF86" s="25" t="s">
        <v>132</v>
      </c>
      <c r="AG86" s="67" t="s">
        <v>132</v>
      </c>
      <c r="AH86" s="67" t="s">
        <v>132</v>
      </c>
      <c r="AI86" s="25" t="s">
        <v>132</v>
      </c>
      <c r="AJ86" s="25" t="s">
        <v>132</v>
      </c>
      <c r="AK86" s="67" t="s">
        <v>132</v>
      </c>
      <c r="AL86" s="67" t="s">
        <v>132</v>
      </c>
      <c r="AM86" s="73">
        <f>11854.65+13243.2+13489.2+11260+6076.6+5590+12933.4+13843+14074.4+310+14688.64</f>
        <v>117363.09</v>
      </c>
      <c r="AN86" s="73">
        <f>12336.6+7509.8+2566.56</f>
        <v>22412.960000000003</v>
      </c>
      <c r="AO86" s="72">
        <f t="shared" si="1"/>
        <v>139776.04999999999</v>
      </c>
    </row>
    <row r="87" spans="1:41" ht="38.25" x14ac:dyDescent="0.25">
      <c r="A87" s="20" t="s">
        <v>571</v>
      </c>
      <c r="B87" s="20" t="s">
        <v>575</v>
      </c>
      <c r="C87" s="20" t="s">
        <v>573</v>
      </c>
      <c r="D87" s="38" t="s">
        <v>88</v>
      </c>
      <c r="E87" s="38"/>
      <c r="F87" s="48" t="s">
        <v>494</v>
      </c>
      <c r="G87" s="25" t="s">
        <v>132</v>
      </c>
      <c r="H87" s="39" t="s">
        <v>583</v>
      </c>
      <c r="I87" s="25" t="s">
        <v>132</v>
      </c>
      <c r="J87" s="25" t="s">
        <v>132</v>
      </c>
      <c r="K87" s="58" t="s">
        <v>581</v>
      </c>
      <c r="L87" s="62" t="s">
        <v>582</v>
      </c>
      <c r="M87" s="20" t="s">
        <v>585</v>
      </c>
      <c r="N87" s="28">
        <v>44603</v>
      </c>
      <c r="O87" s="67">
        <v>40782.9</v>
      </c>
      <c r="P87" s="39">
        <v>13232</v>
      </c>
      <c r="Q87" s="28">
        <v>44603</v>
      </c>
      <c r="R87" s="28">
        <v>44926</v>
      </c>
      <c r="S87" s="25" t="s">
        <v>400</v>
      </c>
      <c r="T87" s="39" t="s">
        <v>132</v>
      </c>
      <c r="U87" s="41" t="s">
        <v>190</v>
      </c>
      <c r="V87" s="67" t="s">
        <v>132</v>
      </c>
      <c r="W87" s="20" t="s">
        <v>112</v>
      </c>
      <c r="X87" s="25" t="s">
        <v>132</v>
      </c>
      <c r="Y87" s="25" t="s">
        <v>132</v>
      </c>
      <c r="Z87" s="25" t="s">
        <v>132</v>
      </c>
      <c r="AA87" s="25" t="s">
        <v>132</v>
      </c>
      <c r="AB87" s="25" t="s">
        <v>132</v>
      </c>
      <c r="AC87" s="25" t="s">
        <v>132</v>
      </c>
      <c r="AD87" s="25" t="s">
        <v>132</v>
      </c>
      <c r="AE87" s="25" t="s">
        <v>132</v>
      </c>
      <c r="AF87" s="25" t="s">
        <v>132</v>
      </c>
      <c r="AG87" s="67" t="s">
        <v>132</v>
      </c>
      <c r="AH87" s="67" t="s">
        <v>132</v>
      </c>
      <c r="AI87" s="25" t="s">
        <v>132</v>
      </c>
      <c r="AJ87" s="25" t="s">
        <v>132</v>
      </c>
      <c r="AK87" s="67" t="s">
        <v>132</v>
      </c>
      <c r="AL87" s="67" t="s">
        <v>132</v>
      </c>
      <c r="AM87" s="73">
        <f>4794.1+2600</f>
        <v>7394.1</v>
      </c>
      <c r="AN87" s="73"/>
      <c r="AO87" s="72">
        <f t="shared" si="1"/>
        <v>7394.1</v>
      </c>
    </row>
    <row r="88" spans="1:41" ht="38.25" x14ac:dyDescent="0.25">
      <c r="A88" s="20" t="s">
        <v>576</v>
      </c>
      <c r="B88" s="20" t="s">
        <v>592</v>
      </c>
      <c r="C88" s="20" t="s">
        <v>594</v>
      </c>
      <c r="D88" s="38" t="s">
        <v>88</v>
      </c>
      <c r="E88" s="38"/>
      <c r="F88" s="48" t="s">
        <v>494</v>
      </c>
      <c r="G88" s="25" t="s">
        <v>132</v>
      </c>
      <c r="H88" s="39" t="s">
        <v>593</v>
      </c>
      <c r="I88" s="25" t="s">
        <v>132</v>
      </c>
      <c r="J88" s="25" t="s">
        <v>132</v>
      </c>
      <c r="K88" s="58" t="s">
        <v>595</v>
      </c>
      <c r="L88" s="62" t="s">
        <v>596</v>
      </c>
      <c r="M88" s="20" t="s">
        <v>632</v>
      </c>
      <c r="N88" s="28">
        <v>44652</v>
      </c>
      <c r="O88" s="67">
        <v>170184.5</v>
      </c>
      <c r="P88" s="39">
        <v>13260</v>
      </c>
      <c r="Q88" s="28">
        <v>44652</v>
      </c>
      <c r="R88" s="28">
        <v>44926</v>
      </c>
      <c r="S88" s="25" t="s">
        <v>400</v>
      </c>
      <c r="T88" s="39" t="s">
        <v>132</v>
      </c>
      <c r="U88" s="41" t="s">
        <v>190</v>
      </c>
      <c r="V88" s="67" t="s">
        <v>132</v>
      </c>
      <c r="W88" s="20" t="s">
        <v>112</v>
      </c>
      <c r="X88" s="25" t="s">
        <v>132</v>
      </c>
      <c r="Y88" s="25" t="s">
        <v>132</v>
      </c>
      <c r="Z88" s="25" t="s">
        <v>132</v>
      </c>
      <c r="AA88" s="25" t="s">
        <v>132</v>
      </c>
      <c r="AB88" s="25" t="s">
        <v>132</v>
      </c>
      <c r="AC88" s="25" t="s">
        <v>132</v>
      </c>
      <c r="AD88" s="25" t="s">
        <v>132</v>
      </c>
      <c r="AE88" s="25" t="s">
        <v>132</v>
      </c>
      <c r="AF88" s="25" t="s">
        <v>132</v>
      </c>
      <c r="AG88" s="67" t="s">
        <v>132</v>
      </c>
      <c r="AH88" s="67" t="s">
        <v>132</v>
      </c>
      <c r="AI88" s="25" t="s">
        <v>132</v>
      </c>
      <c r="AJ88" s="25" t="s">
        <v>132</v>
      </c>
      <c r="AK88" s="67" t="s">
        <v>132</v>
      </c>
      <c r="AL88" s="67" t="s">
        <v>132</v>
      </c>
      <c r="AM88" s="73">
        <f>6017.5+5488.2</f>
        <v>11505.7</v>
      </c>
      <c r="AN88" s="73"/>
      <c r="AO88" s="72">
        <f t="shared" si="1"/>
        <v>11505.7</v>
      </c>
    </row>
    <row r="89" spans="1:41" ht="38.25" x14ac:dyDescent="0.25">
      <c r="A89" s="20" t="s">
        <v>591</v>
      </c>
      <c r="B89" s="20" t="s">
        <v>602</v>
      </c>
      <c r="C89" s="20" t="s">
        <v>573</v>
      </c>
      <c r="D89" s="38" t="s">
        <v>88</v>
      </c>
      <c r="E89" s="38"/>
      <c r="F89" s="48" t="s">
        <v>494</v>
      </c>
      <c r="G89" s="25" t="s">
        <v>132</v>
      </c>
      <c r="H89" s="39" t="s">
        <v>601</v>
      </c>
      <c r="I89" s="25" t="s">
        <v>132</v>
      </c>
      <c r="J89" s="25" t="s">
        <v>132</v>
      </c>
      <c r="K89" s="58" t="s">
        <v>598</v>
      </c>
      <c r="L89" s="62" t="s">
        <v>599</v>
      </c>
      <c r="M89" s="20" t="s">
        <v>600</v>
      </c>
      <c r="N89" s="28">
        <v>44603</v>
      </c>
      <c r="O89" s="67">
        <v>56125.2</v>
      </c>
      <c r="P89" s="39">
        <v>13229</v>
      </c>
      <c r="Q89" s="28">
        <v>44603</v>
      </c>
      <c r="R89" s="28">
        <v>44926</v>
      </c>
      <c r="S89" s="25" t="s">
        <v>400</v>
      </c>
      <c r="T89" s="39" t="s">
        <v>132</v>
      </c>
      <c r="U89" s="41" t="s">
        <v>190</v>
      </c>
      <c r="V89" s="67" t="s">
        <v>132</v>
      </c>
      <c r="W89" s="20" t="s">
        <v>112</v>
      </c>
      <c r="X89" s="25" t="s">
        <v>132</v>
      </c>
      <c r="Y89" s="25" t="s">
        <v>132</v>
      </c>
      <c r="Z89" s="25" t="s">
        <v>132</v>
      </c>
      <c r="AA89" s="25" t="s">
        <v>132</v>
      </c>
      <c r="AB89" s="25" t="s">
        <v>132</v>
      </c>
      <c r="AC89" s="25" t="s">
        <v>132</v>
      </c>
      <c r="AD89" s="25" t="s">
        <v>132</v>
      </c>
      <c r="AE89" s="25" t="s">
        <v>132</v>
      </c>
      <c r="AF89" s="25" t="s">
        <v>132</v>
      </c>
      <c r="AG89" s="67" t="s">
        <v>132</v>
      </c>
      <c r="AH89" s="67" t="s">
        <v>132</v>
      </c>
      <c r="AI89" s="25" t="s">
        <v>132</v>
      </c>
      <c r="AJ89" s="25" t="s">
        <v>132</v>
      </c>
      <c r="AK89" s="67" t="s">
        <v>132</v>
      </c>
      <c r="AL89" s="67" t="s">
        <v>132</v>
      </c>
      <c r="AM89" s="73">
        <v>30935</v>
      </c>
      <c r="AN89" s="73"/>
      <c r="AO89" s="72">
        <f t="shared" si="1"/>
        <v>30935</v>
      </c>
    </row>
    <row r="90" spans="1:41" ht="38.25" x14ac:dyDescent="0.25">
      <c r="A90" s="20" t="s">
        <v>597</v>
      </c>
      <c r="B90" s="20" t="s">
        <v>513</v>
      </c>
      <c r="C90" s="20" t="s">
        <v>482</v>
      </c>
      <c r="D90" s="38" t="s">
        <v>88</v>
      </c>
      <c r="E90" s="38"/>
      <c r="F90" s="48" t="s">
        <v>494</v>
      </c>
      <c r="G90" s="25" t="s">
        <v>132</v>
      </c>
      <c r="H90" s="39" t="s">
        <v>483</v>
      </c>
      <c r="I90" s="25" t="s">
        <v>132</v>
      </c>
      <c r="J90" s="25" t="s">
        <v>132</v>
      </c>
      <c r="K90" s="58" t="s">
        <v>604</v>
      </c>
      <c r="L90" s="62" t="s">
        <v>605</v>
      </c>
      <c r="M90" s="20" t="s">
        <v>606</v>
      </c>
      <c r="N90" s="28">
        <v>44498</v>
      </c>
      <c r="O90" s="67">
        <v>420</v>
      </c>
      <c r="P90" s="39">
        <v>13176</v>
      </c>
      <c r="Q90" s="28">
        <v>44498</v>
      </c>
      <c r="R90" s="28">
        <v>44561</v>
      </c>
      <c r="S90" s="25" t="s">
        <v>400</v>
      </c>
      <c r="T90" s="39" t="s">
        <v>132</v>
      </c>
      <c r="U90" s="41" t="s">
        <v>190</v>
      </c>
      <c r="V90" s="67" t="s">
        <v>132</v>
      </c>
      <c r="W90" s="20" t="s">
        <v>112</v>
      </c>
      <c r="X90" s="25" t="s">
        <v>132</v>
      </c>
      <c r="Y90" s="25" t="s">
        <v>132</v>
      </c>
      <c r="Z90" s="25" t="s">
        <v>132</v>
      </c>
      <c r="AA90" s="25" t="s">
        <v>132</v>
      </c>
      <c r="AB90" s="25" t="s">
        <v>132</v>
      </c>
      <c r="AC90" s="25" t="s">
        <v>132</v>
      </c>
      <c r="AD90" s="25" t="s">
        <v>132</v>
      </c>
      <c r="AE90" s="25" t="s">
        <v>132</v>
      </c>
      <c r="AF90" s="25" t="s">
        <v>132</v>
      </c>
      <c r="AG90" s="67" t="s">
        <v>132</v>
      </c>
      <c r="AH90" s="67" t="s">
        <v>132</v>
      </c>
      <c r="AI90" s="25" t="s">
        <v>132</v>
      </c>
      <c r="AJ90" s="25" t="s">
        <v>132</v>
      </c>
      <c r="AK90" s="67" t="s">
        <v>132</v>
      </c>
      <c r="AL90" s="67" t="s">
        <v>132</v>
      </c>
      <c r="AM90" s="73">
        <v>420</v>
      </c>
      <c r="AN90" s="73"/>
      <c r="AO90" s="72">
        <f t="shared" si="1"/>
        <v>420</v>
      </c>
    </row>
    <row r="91" spans="1:41" ht="38.25" x14ac:dyDescent="0.25">
      <c r="A91" s="20" t="s">
        <v>603</v>
      </c>
      <c r="B91" s="20" t="s">
        <v>608</v>
      </c>
      <c r="C91" s="20" t="s">
        <v>609</v>
      </c>
      <c r="D91" s="38" t="s">
        <v>88</v>
      </c>
      <c r="E91" s="38"/>
      <c r="F91" s="48" t="s">
        <v>494</v>
      </c>
      <c r="G91" s="25" t="s">
        <v>132</v>
      </c>
      <c r="H91" s="39" t="s">
        <v>593</v>
      </c>
      <c r="I91" s="25" t="s">
        <v>132</v>
      </c>
      <c r="J91" s="25" t="s">
        <v>132</v>
      </c>
      <c r="K91" s="58" t="s">
        <v>610</v>
      </c>
      <c r="L91" s="62" t="s">
        <v>611</v>
      </c>
      <c r="M91" s="20" t="s">
        <v>633</v>
      </c>
      <c r="N91" s="28">
        <v>44650</v>
      </c>
      <c r="O91" s="67">
        <v>539064.9</v>
      </c>
      <c r="P91" s="39">
        <v>13260</v>
      </c>
      <c r="Q91" s="28">
        <v>44651</v>
      </c>
      <c r="R91" s="28">
        <v>44926</v>
      </c>
      <c r="S91" s="25" t="s">
        <v>400</v>
      </c>
      <c r="T91" s="39" t="s">
        <v>132</v>
      </c>
      <c r="U91" s="41" t="s">
        <v>190</v>
      </c>
      <c r="V91" s="67" t="s">
        <v>132</v>
      </c>
      <c r="W91" s="20" t="s">
        <v>112</v>
      </c>
      <c r="X91" s="25" t="s">
        <v>132</v>
      </c>
      <c r="Y91" s="25" t="s">
        <v>132</v>
      </c>
      <c r="Z91" s="25" t="s">
        <v>132</v>
      </c>
      <c r="AA91" s="25" t="s">
        <v>132</v>
      </c>
      <c r="AB91" s="25" t="s">
        <v>132</v>
      </c>
      <c r="AC91" s="25" t="s">
        <v>132</v>
      </c>
      <c r="AD91" s="25" t="s">
        <v>132</v>
      </c>
      <c r="AE91" s="25" t="s">
        <v>132</v>
      </c>
      <c r="AF91" s="25" t="s">
        <v>132</v>
      </c>
      <c r="AG91" s="67" t="s">
        <v>132</v>
      </c>
      <c r="AH91" s="67" t="s">
        <v>132</v>
      </c>
      <c r="AI91" s="25" t="s">
        <v>132</v>
      </c>
      <c r="AJ91" s="25" t="s">
        <v>132</v>
      </c>
      <c r="AK91" s="67" t="s">
        <v>132</v>
      </c>
      <c r="AL91" s="67" t="s">
        <v>132</v>
      </c>
      <c r="AM91" s="73">
        <f>19915.6+383.2+7083+2344+7858.7+12060+3810+3810+17533.92</f>
        <v>74798.42</v>
      </c>
      <c r="AN91" s="73"/>
      <c r="AO91" s="72">
        <f t="shared" si="1"/>
        <v>74798.42</v>
      </c>
    </row>
    <row r="92" spans="1:41" ht="38.25" x14ac:dyDescent="0.25">
      <c r="A92" s="20" t="s">
        <v>607</v>
      </c>
      <c r="B92" s="20" t="s">
        <v>613</v>
      </c>
      <c r="C92" s="20" t="s">
        <v>609</v>
      </c>
      <c r="D92" s="38" t="s">
        <v>88</v>
      </c>
      <c r="E92" s="38"/>
      <c r="F92" s="48" t="s">
        <v>494</v>
      </c>
      <c r="G92" s="25" t="s">
        <v>132</v>
      </c>
      <c r="H92" s="39" t="s">
        <v>593</v>
      </c>
      <c r="I92" s="25" t="s">
        <v>132</v>
      </c>
      <c r="J92" s="25" t="s">
        <v>132</v>
      </c>
      <c r="K92" s="58" t="s">
        <v>614</v>
      </c>
      <c r="L92" s="62" t="s">
        <v>615</v>
      </c>
      <c r="M92" s="20" t="s">
        <v>216</v>
      </c>
      <c r="N92" s="28">
        <v>44655</v>
      </c>
      <c r="O92" s="67">
        <v>138500</v>
      </c>
      <c r="P92" s="39">
        <v>13260</v>
      </c>
      <c r="Q92" s="28">
        <v>44655</v>
      </c>
      <c r="R92" s="28">
        <v>44926</v>
      </c>
      <c r="S92" s="25" t="s">
        <v>400</v>
      </c>
      <c r="T92" s="39" t="s">
        <v>132</v>
      </c>
      <c r="U92" s="41" t="s">
        <v>190</v>
      </c>
      <c r="V92" s="67" t="s">
        <v>132</v>
      </c>
      <c r="W92" s="20" t="s">
        <v>112</v>
      </c>
      <c r="X92" s="25" t="s">
        <v>132</v>
      </c>
      <c r="Y92" s="25" t="s">
        <v>132</v>
      </c>
      <c r="Z92" s="25" t="s">
        <v>132</v>
      </c>
      <c r="AA92" s="25" t="s">
        <v>132</v>
      </c>
      <c r="AB92" s="25" t="s">
        <v>132</v>
      </c>
      <c r="AC92" s="25" t="s">
        <v>132</v>
      </c>
      <c r="AD92" s="25" t="s">
        <v>132</v>
      </c>
      <c r="AE92" s="25" t="s">
        <v>132</v>
      </c>
      <c r="AF92" s="25" t="s">
        <v>132</v>
      </c>
      <c r="AG92" s="67" t="s">
        <v>132</v>
      </c>
      <c r="AH92" s="67" t="s">
        <v>132</v>
      </c>
      <c r="AI92" s="25" t="s">
        <v>132</v>
      </c>
      <c r="AJ92" s="25" t="s">
        <v>132</v>
      </c>
      <c r="AK92" s="67" t="s">
        <v>132</v>
      </c>
      <c r="AL92" s="67" t="s">
        <v>132</v>
      </c>
      <c r="AM92" s="73">
        <f>4732.4+11038+1584+2292+5940+2116+980</f>
        <v>28682.400000000001</v>
      </c>
      <c r="AN92" s="73"/>
      <c r="AO92" s="72">
        <f t="shared" si="1"/>
        <v>28682.400000000001</v>
      </c>
    </row>
    <row r="93" spans="1:41" ht="38.25" x14ac:dyDescent="0.25">
      <c r="A93" s="20" t="s">
        <v>612</v>
      </c>
      <c r="B93" s="20" t="s">
        <v>617</v>
      </c>
      <c r="C93" s="20" t="s">
        <v>609</v>
      </c>
      <c r="D93" s="38" t="s">
        <v>88</v>
      </c>
      <c r="E93" s="38"/>
      <c r="F93" s="48" t="s">
        <v>494</v>
      </c>
      <c r="G93" s="25" t="s">
        <v>132</v>
      </c>
      <c r="H93" s="39" t="s">
        <v>593</v>
      </c>
      <c r="I93" s="25" t="s">
        <v>132</v>
      </c>
      <c r="J93" s="25" t="s">
        <v>132</v>
      </c>
      <c r="K93" s="58" t="s">
        <v>618</v>
      </c>
      <c r="L93" s="62" t="s">
        <v>404</v>
      </c>
      <c r="M93" s="20" t="s">
        <v>405</v>
      </c>
      <c r="N93" s="28">
        <v>44655</v>
      </c>
      <c r="O93" s="67">
        <v>265028</v>
      </c>
      <c r="P93" s="39">
        <v>13260</v>
      </c>
      <c r="Q93" s="28">
        <v>44655</v>
      </c>
      <c r="R93" s="28">
        <v>44926</v>
      </c>
      <c r="S93" s="25" t="s">
        <v>400</v>
      </c>
      <c r="T93" s="39" t="s">
        <v>132</v>
      </c>
      <c r="U93" s="41" t="s">
        <v>190</v>
      </c>
      <c r="V93" s="67" t="s">
        <v>132</v>
      </c>
      <c r="W93" s="20" t="s">
        <v>112</v>
      </c>
      <c r="X93" s="25" t="s">
        <v>132</v>
      </c>
      <c r="Y93" s="25" t="s">
        <v>132</v>
      </c>
      <c r="Z93" s="25" t="s">
        <v>132</v>
      </c>
      <c r="AA93" s="25" t="s">
        <v>132</v>
      </c>
      <c r="AB93" s="25" t="s">
        <v>132</v>
      </c>
      <c r="AC93" s="25" t="s">
        <v>132</v>
      </c>
      <c r="AD93" s="25" t="s">
        <v>132</v>
      </c>
      <c r="AE93" s="25" t="s">
        <v>132</v>
      </c>
      <c r="AF93" s="25" t="s">
        <v>132</v>
      </c>
      <c r="AG93" s="67" t="s">
        <v>132</v>
      </c>
      <c r="AH93" s="67" t="s">
        <v>132</v>
      </c>
      <c r="AI93" s="25" t="s">
        <v>132</v>
      </c>
      <c r="AJ93" s="25" t="s">
        <v>132</v>
      </c>
      <c r="AK93" s="67" t="s">
        <v>132</v>
      </c>
      <c r="AL93" s="67" t="s">
        <v>132</v>
      </c>
      <c r="AM93" s="73">
        <f>9647.5+4697.85+5765.66+1364+10962.35+14347.4</f>
        <v>46784.76</v>
      </c>
      <c r="AN93" s="73">
        <f>5779.2</f>
        <v>5779.2</v>
      </c>
      <c r="AO93" s="72">
        <f t="shared" si="1"/>
        <v>52563.96</v>
      </c>
    </row>
    <row r="94" spans="1:41" ht="38.25" x14ac:dyDescent="0.25">
      <c r="A94" s="20" t="s">
        <v>616</v>
      </c>
      <c r="B94" s="20" t="s">
        <v>621</v>
      </c>
      <c r="C94" s="20" t="s">
        <v>620</v>
      </c>
      <c r="D94" s="38" t="s">
        <v>88</v>
      </c>
      <c r="E94" s="38"/>
      <c r="F94" s="48" t="s">
        <v>494</v>
      </c>
      <c r="G94" s="25" t="s">
        <v>132</v>
      </c>
      <c r="H94" s="39" t="s">
        <v>397</v>
      </c>
      <c r="I94" s="25" t="s">
        <v>132</v>
      </c>
      <c r="J94" s="25" t="s">
        <v>132</v>
      </c>
      <c r="K94" s="58" t="s">
        <v>622</v>
      </c>
      <c r="L94" s="62" t="s">
        <v>623</v>
      </c>
      <c r="M94" s="20" t="s">
        <v>456</v>
      </c>
      <c r="N94" s="28">
        <v>44648</v>
      </c>
      <c r="O94" s="67">
        <v>369000</v>
      </c>
      <c r="P94" s="39">
        <v>13256</v>
      </c>
      <c r="Q94" s="28">
        <v>44648</v>
      </c>
      <c r="R94" s="28">
        <v>44926</v>
      </c>
      <c r="S94" s="25">
        <v>101</v>
      </c>
      <c r="T94" s="39" t="s">
        <v>132</v>
      </c>
      <c r="U94" s="41" t="s">
        <v>190</v>
      </c>
      <c r="V94" s="67" t="s">
        <v>132</v>
      </c>
      <c r="W94" s="20" t="s">
        <v>113</v>
      </c>
      <c r="X94" s="25" t="s">
        <v>132</v>
      </c>
      <c r="Y94" s="25" t="s">
        <v>132</v>
      </c>
      <c r="Z94" s="25" t="s">
        <v>132</v>
      </c>
      <c r="AA94" s="25" t="s">
        <v>132</v>
      </c>
      <c r="AB94" s="25" t="s">
        <v>132</v>
      </c>
      <c r="AC94" s="25" t="s">
        <v>132</v>
      </c>
      <c r="AD94" s="25" t="s">
        <v>132</v>
      </c>
      <c r="AE94" s="25" t="s">
        <v>132</v>
      </c>
      <c r="AF94" s="25" t="s">
        <v>132</v>
      </c>
      <c r="AG94" s="67" t="s">
        <v>132</v>
      </c>
      <c r="AH94" s="67" t="s">
        <v>132</v>
      </c>
      <c r="AI94" s="25" t="s">
        <v>132</v>
      </c>
      <c r="AJ94" s="25" t="s">
        <v>132</v>
      </c>
      <c r="AK94" s="67" t="s">
        <v>132</v>
      </c>
      <c r="AL94" s="67" t="s">
        <v>132</v>
      </c>
      <c r="AM94" s="73">
        <f>57656.25+46125+55350+46125</f>
        <v>205256.25</v>
      </c>
      <c r="AN94" s="73"/>
      <c r="AO94" s="72">
        <f t="shared" si="1"/>
        <v>205256.25</v>
      </c>
    </row>
    <row r="95" spans="1:41" ht="38.25" x14ac:dyDescent="0.25">
      <c r="A95" s="20" t="s">
        <v>619</v>
      </c>
      <c r="B95" s="20" t="s">
        <v>613</v>
      </c>
      <c r="C95" s="20" t="s">
        <v>609</v>
      </c>
      <c r="D95" s="38" t="s">
        <v>88</v>
      </c>
      <c r="E95" s="38"/>
      <c r="F95" s="48" t="s">
        <v>494</v>
      </c>
      <c r="G95" s="25" t="s">
        <v>132</v>
      </c>
      <c r="H95" s="39" t="s">
        <v>593</v>
      </c>
      <c r="I95" s="25" t="s">
        <v>132</v>
      </c>
      <c r="J95" s="25" t="s">
        <v>132</v>
      </c>
      <c r="K95" s="58" t="s">
        <v>625</v>
      </c>
      <c r="L95" s="62" t="s">
        <v>626</v>
      </c>
      <c r="M95" s="20" t="s">
        <v>634</v>
      </c>
      <c r="N95" s="28">
        <v>44655</v>
      </c>
      <c r="O95" s="67">
        <v>261965</v>
      </c>
      <c r="P95" s="39">
        <v>13260</v>
      </c>
      <c r="Q95" s="28">
        <v>44655</v>
      </c>
      <c r="R95" s="28">
        <v>44926</v>
      </c>
      <c r="S95" s="25" t="s">
        <v>400</v>
      </c>
      <c r="T95" s="39" t="s">
        <v>132</v>
      </c>
      <c r="U95" s="41" t="s">
        <v>190</v>
      </c>
      <c r="V95" s="67" t="s">
        <v>132</v>
      </c>
      <c r="W95" s="20" t="s">
        <v>112</v>
      </c>
      <c r="X95" s="25" t="s">
        <v>132</v>
      </c>
      <c r="Y95" s="25" t="s">
        <v>132</v>
      </c>
      <c r="Z95" s="25" t="s">
        <v>132</v>
      </c>
      <c r="AA95" s="25" t="s">
        <v>132</v>
      </c>
      <c r="AB95" s="25" t="s">
        <v>132</v>
      </c>
      <c r="AC95" s="25" t="s">
        <v>132</v>
      </c>
      <c r="AD95" s="25" t="s">
        <v>132</v>
      </c>
      <c r="AE95" s="25" t="s">
        <v>132</v>
      </c>
      <c r="AF95" s="25" t="s">
        <v>132</v>
      </c>
      <c r="AG95" s="67" t="s">
        <v>132</v>
      </c>
      <c r="AH95" s="67" t="s">
        <v>132</v>
      </c>
      <c r="AI95" s="25" t="s">
        <v>132</v>
      </c>
      <c r="AJ95" s="25" t="s">
        <v>132</v>
      </c>
      <c r="AK95" s="67" t="s">
        <v>132</v>
      </c>
      <c r="AL95" s="67" t="s">
        <v>132</v>
      </c>
      <c r="AM95" s="73">
        <f>25850+7954+15502+7250</f>
        <v>56556</v>
      </c>
      <c r="AN95" s="73">
        <f>42030+27190</f>
        <v>69220</v>
      </c>
      <c r="AO95" s="72">
        <f t="shared" si="1"/>
        <v>125776</v>
      </c>
    </row>
    <row r="96" spans="1:41" ht="38.25" x14ac:dyDescent="0.25">
      <c r="A96" s="20" t="s">
        <v>624</v>
      </c>
      <c r="B96" s="20" t="s">
        <v>631</v>
      </c>
      <c r="C96" s="20" t="s">
        <v>573</v>
      </c>
      <c r="D96" s="38" t="s">
        <v>88</v>
      </c>
      <c r="E96" s="38"/>
      <c r="F96" s="48" t="s">
        <v>494</v>
      </c>
      <c r="G96" s="25" t="s">
        <v>132</v>
      </c>
      <c r="H96" s="39" t="s">
        <v>630</v>
      </c>
      <c r="I96" s="25" t="s">
        <v>132</v>
      </c>
      <c r="J96" s="25" t="s">
        <v>132</v>
      </c>
      <c r="K96" s="58" t="s">
        <v>628</v>
      </c>
      <c r="L96" s="62" t="s">
        <v>629</v>
      </c>
      <c r="M96" s="20" t="s">
        <v>635</v>
      </c>
      <c r="N96" s="28">
        <v>44603</v>
      </c>
      <c r="O96" s="67">
        <v>45082.1</v>
      </c>
      <c r="P96" s="39">
        <v>13235</v>
      </c>
      <c r="Q96" s="28">
        <v>44603</v>
      </c>
      <c r="R96" s="28">
        <v>44926</v>
      </c>
      <c r="S96" s="25" t="s">
        <v>400</v>
      </c>
      <c r="T96" s="39" t="s">
        <v>132</v>
      </c>
      <c r="U96" s="41" t="s">
        <v>190</v>
      </c>
      <c r="V96" s="67" t="s">
        <v>132</v>
      </c>
      <c r="W96" s="20" t="s">
        <v>112</v>
      </c>
      <c r="X96" s="25" t="s">
        <v>132</v>
      </c>
      <c r="Y96" s="25" t="s">
        <v>132</v>
      </c>
      <c r="Z96" s="25" t="s">
        <v>132</v>
      </c>
      <c r="AA96" s="25" t="s">
        <v>132</v>
      </c>
      <c r="AB96" s="25" t="s">
        <v>132</v>
      </c>
      <c r="AC96" s="25" t="s">
        <v>132</v>
      </c>
      <c r="AD96" s="25" t="s">
        <v>132</v>
      </c>
      <c r="AE96" s="25" t="s">
        <v>132</v>
      </c>
      <c r="AF96" s="25" t="s">
        <v>132</v>
      </c>
      <c r="AG96" s="67" t="s">
        <v>132</v>
      </c>
      <c r="AH96" s="67" t="s">
        <v>132</v>
      </c>
      <c r="AI96" s="25" t="s">
        <v>132</v>
      </c>
      <c r="AJ96" s="25" t="s">
        <v>132</v>
      </c>
      <c r="AK96" s="67" t="s">
        <v>132</v>
      </c>
      <c r="AL96" s="67" t="s">
        <v>132</v>
      </c>
      <c r="AM96" s="73">
        <f>12852+2440</f>
        <v>15292</v>
      </c>
      <c r="AN96" s="73"/>
      <c r="AO96" s="72">
        <f t="shared" si="1"/>
        <v>15292</v>
      </c>
    </row>
    <row r="97" spans="1:41" ht="38.25" x14ac:dyDescent="0.25">
      <c r="A97" s="20" t="s">
        <v>627</v>
      </c>
      <c r="B97" s="20" t="s">
        <v>639</v>
      </c>
      <c r="C97" s="20" t="s">
        <v>638</v>
      </c>
      <c r="D97" s="38" t="s">
        <v>88</v>
      </c>
      <c r="E97" s="38"/>
      <c r="F97" s="48" t="s">
        <v>494</v>
      </c>
      <c r="G97" s="25" t="s">
        <v>132</v>
      </c>
      <c r="H97" s="39" t="s">
        <v>637</v>
      </c>
      <c r="I97" s="25" t="s">
        <v>132</v>
      </c>
      <c r="J97" s="25" t="s">
        <v>132</v>
      </c>
      <c r="K97" s="58" t="s">
        <v>640</v>
      </c>
      <c r="L97" s="62" t="s">
        <v>643</v>
      </c>
      <c r="M97" s="20" t="s">
        <v>641</v>
      </c>
      <c r="N97" s="28">
        <v>44609</v>
      </c>
      <c r="O97" s="67">
        <v>136600</v>
      </c>
      <c r="P97" s="39">
        <v>13232</v>
      </c>
      <c r="Q97" s="28">
        <v>44609</v>
      </c>
      <c r="R97" s="28">
        <v>44926</v>
      </c>
      <c r="S97" s="25" t="s">
        <v>400</v>
      </c>
      <c r="T97" s="39" t="s">
        <v>132</v>
      </c>
      <c r="U97" s="41" t="s">
        <v>190</v>
      </c>
      <c r="V97" s="67" t="s">
        <v>132</v>
      </c>
      <c r="W97" s="20" t="s">
        <v>112</v>
      </c>
      <c r="X97" s="25" t="s">
        <v>132</v>
      </c>
      <c r="Y97" s="25" t="s">
        <v>132</v>
      </c>
      <c r="Z97" s="25" t="s">
        <v>132</v>
      </c>
      <c r="AA97" s="25" t="s">
        <v>132</v>
      </c>
      <c r="AB97" s="25" t="s">
        <v>132</v>
      </c>
      <c r="AC97" s="25" t="s">
        <v>132</v>
      </c>
      <c r="AD97" s="25" t="s">
        <v>132</v>
      </c>
      <c r="AE97" s="25" t="s">
        <v>132</v>
      </c>
      <c r="AF97" s="25" t="s">
        <v>132</v>
      </c>
      <c r="AG97" s="67" t="s">
        <v>132</v>
      </c>
      <c r="AH97" s="67" t="s">
        <v>132</v>
      </c>
      <c r="AI97" s="25" t="s">
        <v>132</v>
      </c>
      <c r="AJ97" s="25" t="s">
        <v>132</v>
      </c>
      <c r="AK97" s="67" t="s">
        <v>132</v>
      </c>
      <c r="AL97" s="67" t="s">
        <v>132</v>
      </c>
      <c r="AM97" s="73">
        <f>17312.8+5389.71+4570+12172.99+7500+7500+7500+7500+8324.18+15000</f>
        <v>92769.68</v>
      </c>
      <c r="AN97" s="73"/>
      <c r="AO97" s="72">
        <f t="shared" si="1"/>
        <v>92769.68</v>
      </c>
    </row>
    <row r="98" spans="1:41" ht="38.25" x14ac:dyDescent="0.25">
      <c r="A98" s="20" t="s">
        <v>636</v>
      </c>
      <c r="B98" s="20" t="s">
        <v>644</v>
      </c>
      <c r="C98" s="20" t="s">
        <v>580</v>
      </c>
      <c r="D98" s="38" t="s">
        <v>88</v>
      </c>
      <c r="E98" s="38"/>
      <c r="F98" s="48" t="s">
        <v>494</v>
      </c>
      <c r="G98" s="25" t="s">
        <v>132</v>
      </c>
      <c r="H98" s="39" t="s">
        <v>645</v>
      </c>
      <c r="I98" s="25" t="s">
        <v>132</v>
      </c>
      <c r="J98" s="25" t="s">
        <v>132</v>
      </c>
      <c r="K98" s="58" t="s">
        <v>646</v>
      </c>
      <c r="L98" s="62" t="s">
        <v>301</v>
      </c>
      <c r="M98" s="20" t="s">
        <v>316</v>
      </c>
      <c r="N98" s="28">
        <v>44262</v>
      </c>
      <c r="O98" s="67">
        <v>689400</v>
      </c>
      <c r="P98" s="39">
        <v>13244</v>
      </c>
      <c r="Q98" s="28"/>
      <c r="R98" s="28"/>
      <c r="S98" s="25"/>
      <c r="T98" s="39" t="s">
        <v>132</v>
      </c>
      <c r="U98" s="41" t="s">
        <v>190</v>
      </c>
      <c r="V98" s="67" t="s">
        <v>132</v>
      </c>
      <c r="W98" s="20"/>
      <c r="X98" s="25" t="s">
        <v>132</v>
      </c>
      <c r="Y98" s="25" t="s">
        <v>132</v>
      </c>
      <c r="Z98" s="25" t="s">
        <v>132</v>
      </c>
      <c r="AA98" s="25" t="s">
        <v>132</v>
      </c>
      <c r="AB98" s="25" t="s">
        <v>132</v>
      </c>
      <c r="AC98" s="25" t="s">
        <v>132</v>
      </c>
      <c r="AD98" s="25" t="s">
        <v>132</v>
      </c>
      <c r="AE98" s="25" t="s">
        <v>132</v>
      </c>
      <c r="AF98" s="25" t="s">
        <v>132</v>
      </c>
      <c r="AG98" s="67" t="s">
        <v>132</v>
      </c>
      <c r="AH98" s="67" t="s">
        <v>132</v>
      </c>
      <c r="AI98" s="25" t="s">
        <v>132</v>
      </c>
      <c r="AJ98" s="25" t="s">
        <v>132</v>
      </c>
      <c r="AK98" s="67" t="s">
        <v>132</v>
      </c>
      <c r="AL98" s="67" t="s">
        <v>132</v>
      </c>
      <c r="AM98" s="73">
        <f>17327.4+6493.5+6225.7+119+24192.4</f>
        <v>54358</v>
      </c>
      <c r="AN98" s="73">
        <f>11922</f>
        <v>11922</v>
      </c>
      <c r="AO98" s="72">
        <f t="shared" si="1"/>
        <v>66280</v>
      </c>
    </row>
    <row r="99" spans="1:41" ht="38.25" x14ac:dyDescent="0.25">
      <c r="A99" s="20" t="s">
        <v>642</v>
      </c>
      <c r="B99" s="20" t="s">
        <v>649</v>
      </c>
      <c r="C99" s="20" t="s">
        <v>620</v>
      </c>
      <c r="D99" s="38" t="s">
        <v>88</v>
      </c>
      <c r="E99" s="38"/>
      <c r="F99" s="48" t="s">
        <v>494</v>
      </c>
      <c r="G99" s="25" t="s">
        <v>132</v>
      </c>
      <c r="H99" s="39" t="s">
        <v>507</v>
      </c>
      <c r="I99" s="25" t="s">
        <v>132</v>
      </c>
      <c r="J99" s="25" t="s">
        <v>132</v>
      </c>
      <c r="K99" s="58" t="s">
        <v>647</v>
      </c>
      <c r="L99" s="62" t="s">
        <v>648</v>
      </c>
      <c r="M99" s="20" t="s">
        <v>650</v>
      </c>
      <c r="N99" s="28">
        <v>44664</v>
      </c>
      <c r="O99" s="67">
        <v>180000</v>
      </c>
      <c r="P99" s="39">
        <v>13271</v>
      </c>
      <c r="Q99" s="28">
        <v>44664</v>
      </c>
      <c r="R99" s="28">
        <v>44926</v>
      </c>
      <c r="S99" s="25" t="s">
        <v>198</v>
      </c>
      <c r="T99" s="39" t="s">
        <v>132</v>
      </c>
      <c r="U99" s="41" t="s">
        <v>190</v>
      </c>
      <c r="V99" s="67" t="s">
        <v>132</v>
      </c>
      <c r="W99" s="20" t="s">
        <v>111</v>
      </c>
      <c r="X99" s="25" t="s">
        <v>132</v>
      </c>
      <c r="Y99" s="25" t="s">
        <v>132</v>
      </c>
      <c r="Z99" s="25" t="s">
        <v>132</v>
      </c>
      <c r="AA99" s="25" t="s">
        <v>132</v>
      </c>
      <c r="AB99" s="25" t="s">
        <v>132</v>
      </c>
      <c r="AC99" s="25" t="s">
        <v>132</v>
      </c>
      <c r="AD99" s="25" t="s">
        <v>132</v>
      </c>
      <c r="AE99" s="25" t="s">
        <v>132</v>
      </c>
      <c r="AF99" s="25" t="s">
        <v>132</v>
      </c>
      <c r="AG99" s="67" t="s">
        <v>132</v>
      </c>
      <c r="AH99" s="67" t="s">
        <v>132</v>
      </c>
      <c r="AI99" s="25" t="s">
        <v>132</v>
      </c>
      <c r="AJ99" s="25" t="s">
        <v>132</v>
      </c>
      <c r="AK99" s="67" t="s">
        <v>132</v>
      </c>
      <c r="AL99" s="67" t="s">
        <v>132</v>
      </c>
      <c r="AM99" s="73">
        <f>2000+1000+1000+2000+2000+1000+2000+1000+1000+2000+2000+1000+1000+2000+1000+2000+1000+5000</f>
        <v>30000</v>
      </c>
      <c r="AN99" s="73">
        <f>2000+1000+1000+2000</f>
        <v>6000</v>
      </c>
      <c r="AO99" s="72">
        <f t="shared" si="1"/>
        <v>36000</v>
      </c>
    </row>
    <row r="100" spans="1:41" ht="38.25" x14ac:dyDescent="0.25">
      <c r="A100" s="20" t="s">
        <v>651</v>
      </c>
      <c r="B100" s="20" t="s">
        <v>654</v>
      </c>
      <c r="C100" s="20" t="s">
        <v>306</v>
      </c>
      <c r="D100" s="38" t="s">
        <v>88</v>
      </c>
      <c r="E100" s="38"/>
      <c r="F100" s="48" t="s">
        <v>494</v>
      </c>
      <c r="G100" s="25" t="s">
        <v>132</v>
      </c>
      <c r="H100" s="39" t="s">
        <v>653</v>
      </c>
      <c r="I100" s="25" t="s">
        <v>132</v>
      </c>
      <c r="J100" s="25" t="s">
        <v>132</v>
      </c>
      <c r="K100" s="58" t="s">
        <v>655</v>
      </c>
      <c r="L100" s="62" t="s">
        <v>656</v>
      </c>
      <c r="M100" s="20" t="s">
        <v>688</v>
      </c>
      <c r="N100" s="28">
        <v>44637</v>
      </c>
      <c r="O100" s="67">
        <v>11600</v>
      </c>
      <c r="P100" s="39">
        <v>13245</v>
      </c>
      <c r="Q100" s="28">
        <v>44637</v>
      </c>
      <c r="R100" s="28">
        <v>44926</v>
      </c>
      <c r="S100" s="25" t="s">
        <v>400</v>
      </c>
      <c r="T100" s="39" t="s">
        <v>132</v>
      </c>
      <c r="U100" s="41" t="s">
        <v>190</v>
      </c>
      <c r="V100" s="67" t="s">
        <v>132</v>
      </c>
      <c r="W100" s="20" t="s">
        <v>112</v>
      </c>
      <c r="X100" s="25" t="s">
        <v>132</v>
      </c>
      <c r="Y100" s="25" t="s">
        <v>132</v>
      </c>
      <c r="Z100" s="25" t="s">
        <v>132</v>
      </c>
      <c r="AA100" s="25" t="s">
        <v>132</v>
      </c>
      <c r="AB100" s="25" t="s">
        <v>132</v>
      </c>
      <c r="AC100" s="25" t="s">
        <v>132</v>
      </c>
      <c r="AD100" s="25" t="s">
        <v>132</v>
      </c>
      <c r="AE100" s="25" t="s">
        <v>132</v>
      </c>
      <c r="AF100" s="25" t="s">
        <v>132</v>
      </c>
      <c r="AG100" s="67" t="s">
        <v>132</v>
      </c>
      <c r="AH100" s="67" t="s">
        <v>132</v>
      </c>
      <c r="AI100" s="25" t="s">
        <v>132</v>
      </c>
      <c r="AJ100" s="25" t="s">
        <v>132</v>
      </c>
      <c r="AK100" s="67" t="s">
        <v>132</v>
      </c>
      <c r="AL100" s="67" t="s">
        <v>132</v>
      </c>
      <c r="AM100" s="73">
        <v>48</v>
      </c>
      <c r="AN100" s="73"/>
      <c r="AO100" s="72">
        <f t="shared" si="1"/>
        <v>48</v>
      </c>
    </row>
    <row r="101" spans="1:41" ht="38.25" x14ac:dyDescent="0.25">
      <c r="A101" s="20" t="s">
        <v>652</v>
      </c>
      <c r="B101" s="20" t="s">
        <v>663</v>
      </c>
      <c r="C101" s="20" t="s">
        <v>662</v>
      </c>
      <c r="D101" s="38" t="s">
        <v>88</v>
      </c>
      <c r="E101" s="38"/>
      <c r="F101" s="48" t="s">
        <v>494</v>
      </c>
      <c r="G101" s="25" t="s">
        <v>132</v>
      </c>
      <c r="H101" s="39" t="s">
        <v>661</v>
      </c>
      <c r="I101" s="25" t="s">
        <v>132</v>
      </c>
      <c r="J101" s="25" t="s">
        <v>132</v>
      </c>
      <c r="K101" s="58" t="s">
        <v>658</v>
      </c>
      <c r="L101" s="62" t="s">
        <v>659</v>
      </c>
      <c r="M101" s="20" t="s">
        <v>660</v>
      </c>
      <c r="N101" s="28">
        <v>44656</v>
      </c>
      <c r="O101" s="67">
        <v>124990</v>
      </c>
      <c r="P101" s="39">
        <v>13274</v>
      </c>
      <c r="Q101" s="28">
        <v>44656</v>
      </c>
      <c r="R101" s="28">
        <v>44926</v>
      </c>
      <c r="S101" s="25" t="s">
        <v>400</v>
      </c>
      <c r="T101" s="39" t="s">
        <v>132</v>
      </c>
      <c r="U101" s="41" t="s">
        <v>190</v>
      </c>
      <c r="V101" s="67" t="s">
        <v>132</v>
      </c>
      <c r="W101" s="20" t="s">
        <v>112</v>
      </c>
      <c r="X101" s="25" t="s">
        <v>132</v>
      </c>
      <c r="Y101" s="25" t="s">
        <v>132</v>
      </c>
      <c r="Z101" s="25" t="s">
        <v>132</v>
      </c>
      <c r="AA101" s="25" t="s">
        <v>132</v>
      </c>
      <c r="AB101" s="25" t="s">
        <v>132</v>
      </c>
      <c r="AC101" s="25" t="s">
        <v>132</v>
      </c>
      <c r="AD101" s="25" t="s">
        <v>132</v>
      </c>
      <c r="AE101" s="25" t="s">
        <v>132</v>
      </c>
      <c r="AF101" s="25" t="s">
        <v>132</v>
      </c>
      <c r="AG101" s="67" t="s">
        <v>132</v>
      </c>
      <c r="AH101" s="67" t="s">
        <v>132</v>
      </c>
      <c r="AI101" s="25" t="s">
        <v>132</v>
      </c>
      <c r="AJ101" s="25" t="s">
        <v>132</v>
      </c>
      <c r="AK101" s="67" t="s">
        <v>132</v>
      </c>
      <c r="AL101" s="67" t="s">
        <v>132</v>
      </c>
      <c r="AM101" s="73">
        <f>624.95+4499.64+2999.76</f>
        <v>8124.35</v>
      </c>
      <c r="AN101" s="73"/>
      <c r="AO101" s="72">
        <f t="shared" si="1"/>
        <v>8124.35</v>
      </c>
    </row>
    <row r="102" spans="1:41" ht="38.25" x14ac:dyDescent="0.25">
      <c r="A102" s="20" t="s">
        <v>657</v>
      </c>
      <c r="B102" s="20" t="s">
        <v>665</v>
      </c>
      <c r="C102" s="20" t="s">
        <v>666</v>
      </c>
      <c r="D102" s="38" t="s">
        <v>88</v>
      </c>
      <c r="E102" s="38"/>
      <c r="F102" s="48" t="s">
        <v>494</v>
      </c>
      <c r="G102" s="25" t="s">
        <v>132</v>
      </c>
      <c r="H102" s="39" t="s">
        <v>667</v>
      </c>
      <c r="I102" s="25" t="s">
        <v>132</v>
      </c>
      <c r="J102" s="25" t="s">
        <v>132</v>
      </c>
      <c r="K102" s="58" t="s">
        <v>668</v>
      </c>
      <c r="L102" s="62" t="s">
        <v>669</v>
      </c>
      <c r="M102" s="20" t="s">
        <v>670</v>
      </c>
      <c r="N102" s="28" t="s">
        <v>689</v>
      </c>
      <c r="O102" s="67">
        <v>69057</v>
      </c>
      <c r="P102" s="39">
        <v>13274</v>
      </c>
      <c r="Q102" s="28">
        <v>44676</v>
      </c>
      <c r="R102" s="28">
        <v>44926</v>
      </c>
      <c r="S102" s="25" t="s">
        <v>400</v>
      </c>
      <c r="T102" s="39" t="s">
        <v>132</v>
      </c>
      <c r="U102" s="41" t="s">
        <v>190</v>
      </c>
      <c r="V102" s="67" t="s">
        <v>132</v>
      </c>
      <c r="W102" s="20" t="s">
        <v>112</v>
      </c>
      <c r="X102" s="25" t="s">
        <v>132</v>
      </c>
      <c r="Y102" s="25" t="s">
        <v>132</v>
      </c>
      <c r="Z102" s="25" t="s">
        <v>132</v>
      </c>
      <c r="AA102" s="25" t="s">
        <v>132</v>
      </c>
      <c r="AB102" s="25" t="s">
        <v>132</v>
      </c>
      <c r="AC102" s="25" t="s">
        <v>132</v>
      </c>
      <c r="AD102" s="25" t="s">
        <v>132</v>
      </c>
      <c r="AE102" s="25" t="s">
        <v>132</v>
      </c>
      <c r="AF102" s="25" t="s">
        <v>132</v>
      </c>
      <c r="AG102" s="67" t="s">
        <v>132</v>
      </c>
      <c r="AH102" s="67" t="s">
        <v>132</v>
      </c>
      <c r="AI102" s="25" t="s">
        <v>132</v>
      </c>
      <c r="AJ102" s="25" t="s">
        <v>132</v>
      </c>
      <c r="AK102" s="67" t="s">
        <v>132</v>
      </c>
      <c r="AL102" s="67" t="s">
        <v>132</v>
      </c>
      <c r="AM102" s="73">
        <v>1430</v>
      </c>
      <c r="AN102" s="73"/>
      <c r="AO102" s="72">
        <f t="shared" si="1"/>
        <v>1430</v>
      </c>
    </row>
    <row r="103" spans="1:41" ht="38.25" x14ac:dyDescent="0.25">
      <c r="A103" s="20" t="s">
        <v>664</v>
      </c>
      <c r="B103" s="20" t="s">
        <v>672</v>
      </c>
      <c r="C103" s="20" t="s">
        <v>673</v>
      </c>
      <c r="D103" s="38" t="s">
        <v>88</v>
      </c>
      <c r="E103" s="38"/>
      <c r="F103" s="56" t="s">
        <v>494</v>
      </c>
      <c r="G103" s="25" t="s">
        <v>132</v>
      </c>
      <c r="H103" s="39" t="s">
        <v>674</v>
      </c>
      <c r="I103" s="25" t="s">
        <v>132</v>
      </c>
      <c r="J103" s="25" t="s">
        <v>132</v>
      </c>
      <c r="K103" s="58" t="s">
        <v>675</v>
      </c>
      <c r="L103" s="62" t="s">
        <v>676</v>
      </c>
      <c r="M103" s="20" t="s">
        <v>677</v>
      </c>
      <c r="N103" s="28">
        <v>44627</v>
      </c>
      <c r="O103" s="67">
        <v>33309</v>
      </c>
      <c r="P103" s="39">
        <v>13247</v>
      </c>
      <c r="Q103" s="28">
        <v>44627</v>
      </c>
      <c r="R103" s="28">
        <v>44926</v>
      </c>
      <c r="S103" s="25" t="s">
        <v>400</v>
      </c>
      <c r="T103" s="39" t="s">
        <v>132</v>
      </c>
      <c r="U103" s="41" t="s">
        <v>190</v>
      </c>
      <c r="V103" s="67" t="s">
        <v>132</v>
      </c>
      <c r="W103" s="20" t="s">
        <v>112</v>
      </c>
      <c r="X103" s="25" t="s">
        <v>132</v>
      </c>
      <c r="Y103" s="25">
        <v>1</v>
      </c>
      <c r="Z103" s="28">
        <v>44902</v>
      </c>
      <c r="AA103" s="39">
        <v>13427</v>
      </c>
      <c r="AB103" s="25" t="s">
        <v>457</v>
      </c>
      <c r="AC103" s="25" t="s">
        <v>132</v>
      </c>
      <c r="AD103" s="25" t="s">
        <v>132</v>
      </c>
      <c r="AE103" s="25" t="s">
        <v>132</v>
      </c>
      <c r="AF103" s="25" t="s">
        <v>132</v>
      </c>
      <c r="AG103" s="67" t="s">
        <v>132</v>
      </c>
      <c r="AH103" s="67" t="s">
        <v>132</v>
      </c>
      <c r="AI103" s="25" t="s">
        <v>132</v>
      </c>
      <c r="AJ103" s="25" t="s">
        <v>132</v>
      </c>
      <c r="AK103" s="67" t="s">
        <v>132</v>
      </c>
      <c r="AL103" s="67" t="s">
        <v>132</v>
      </c>
      <c r="AM103" s="73">
        <f>2880</f>
        <v>2880</v>
      </c>
      <c r="AN103" s="73"/>
      <c r="AO103" s="72">
        <f t="shared" si="1"/>
        <v>2880</v>
      </c>
    </row>
    <row r="104" spans="1:41" ht="38.25" x14ac:dyDescent="0.25">
      <c r="A104" s="20" t="s">
        <v>671</v>
      </c>
      <c r="B104" s="20" t="s">
        <v>654</v>
      </c>
      <c r="C104" s="20" t="s">
        <v>306</v>
      </c>
      <c r="D104" s="38" t="s">
        <v>88</v>
      </c>
      <c r="E104" s="38"/>
      <c r="F104" s="48" t="s">
        <v>494</v>
      </c>
      <c r="G104" s="25" t="s">
        <v>132</v>
      </c>
      <c r="H104" s="39" t="s">
        <v>653</v>
      </c>
      <c r="I104" s="25" t="s">
        <v>132</v>
      </c>
      <c r="J104" s="25" t="s">
        <v>132</v>
      </c>
      <c r="K104" s="58" t="s">
        <v>679</v>
      </c>
      <c r="L104" s="62" t="s">
        <v>314</v>
      </c>
      <c r="M104" s="20" t="s">
        <v>680</v>
      </c>
      <c r="N104" s="28">
        <v>44722</v>
      </c>
      <c r="O104" s="67">
        <v>36408</v>
      </c>
      <c r="P104" s="39">
        <v>13306</v>
      </c>
      <c r="Q104" s="28">
        <v>44722</v>
      </c>
      <c r="R104" s="28">
        <v>45086</v>
      </c>
      <c r="S104" s="25" t="s">
        <v>198</v>
      </c>
      <c r="T104" s="39" t="s">
        <v>132</v>
      </c>
      <c r="U104" s="41" t="s">
        <v>190</v>
      </c>
      <c r="V104" s="67" t="s">
        <v>132</v>
      </c>
      <c r="W104" s="20" t="s">
        <v>111</v>
      </c>
      <c r="X104" s="25" t="s">
        <v>132</v>
      </c>
      <c r="Y104" s="25" t="s">
        <v>132</v>
      </c>
      <c r="Z104" s="25" t="s">
        <v>132</v>
      </c>
      <c r="AA104" s="25" t="s">
        <v>132</v>
      </c>
      <c r="AB104" s="25" t="s">
        <v>132</v>
      </c>
      <c r="AC104" s="25" t="s">
        <v>132</v>
      </c>
      <c r="AD104" s="25" t="s">
        <v>132</v>
      </c>
      <c r="AE104" s="25" t="s">
        <v>132</v>
      </c>
      <c r="AF104" s="25" t="s">
        <v>132</v>
      </c>
      <c r="AG104" s="67" t="s">
        <v>132</v>
      </c>
      <c r="AH104" s="67" t="s">
        <v>132</v>
      </c>
      <c r="AI104" s="25" t="s">
        <v>132</v>
      </c>
      <c r="AJ104" s="25" t="s">
        <v>132</v>
      </c>
      <c r="AK104" s="67" t="s">
        <v>132</v>
      </c>
      <c r="AL104" s="67" t="s">
        <v>132</v>
      </c>
      <c r="AM104" s="73">
        <f>2123.8+3034+3034+3034+3034+3034+3034</f>
        <v>20327.8</v>
      </c>
      <c r="AN104" s="73">
        <f>3034+3034+3034</f>
        <v>9102</v>
      </c>
      <c r="AO104" s="72">
        <f t="shared" si="1"/>
        <v>29429.8</v>
      </c>
    </row>
    <row r="105" spans="1:41" ht="38.25" x14ac:dyDescent="0.25">
      <c r="A105" s="20" t="s">
        <v>678</v>
      </c>
      <c r="B105" s="20" t="s">
        <v>685</v>
      </c>
      <c r="C105" s="20" t="s">
        <v>686</v>
      </c>
      <c r="D105" s="38" t="s">
        <v>88</v>
      </c>
      <c r="E105" s="38"/>
      <c r="F105" s="48" t="s">
        <v>494</v>
      </c>
      <c r="G105" s="25" t="s">
        <v>132</v>
      </c>
      <c r="H105" s="39" t="s">
        <v>687</v>
      </c>
      <c r="I105" s="25" t="s">
        <v>132</v>
      </c>
      <c r="J105" s="25" t="s">
        <v>132</v>
      </c>
      <c r="K105" s="58" t="s">
        <v>682</v>
      </c>
      <c r="L105" s="62" t="s">
        <v>683</v>
      </c>
      <c r="M105" s="20" t="s">
        <v>684</v>
      </c>
      <c r="N105" s="28">
        <v>44167</v>
      </c>
      <c r="O105" s="67">
        <v>39200</v>
      </c>
      <c r="P105" s="39">
        <v>12944</v>
      </c>
      <c r="Q105" s="28">
        <v>44167</v>
      </c>
      <c r="R105" s="28">
        <v>44531</v>
      </c>
      <c r="S105" s="25">
        <v>117</v>
      </c>
      <c r="T105" s="39" t="s">
        <v>132</v>
      </c>
      <c r="U105" s="41" t="s">
        <v>190</v>
      </c>
      <c r="V105" s="67" t="s">
        <v>132</v>
      </c>
      <c r="W105" s="20" t="s">
        <v>690</v>
      </c>
      <c r="X105" s="25" t="s">
        <v>132</v>
      </c>
      <c r="Y105" s="25">
        <v>2</v>
      </c>
      <c r="Z105" s="28">
        <v>44863</v>
      </c>
      <c r="AA105" s="39">
        <v>13421</v>
      </c>
      <c r="AB105" s="25" t="s">
        <v>114</v>
      </c>
      <c r="AC105" s="28">
        <v>44897</v>
      </c>
      <c r="AD105" s="28">
        <v>45261</v>
      </c>
      <c r="AE105" s="25" t="s">
        <v>132</v>
      </c>
      <c r="AF105" s="25" t="s">
        <v>132</v>
      </c>
      <c r="AG105" s="67" t="s">
        <v>132</v>
      </c>
      <c r="AH105" s="67" t="s">
        <v>132</v>
      </c>
      <c r="AI105" s="25" t="s">
        <v>132</v>
      </c>
      <c r="AJ105" s="25" t="s">
        <v>132</v>
      </c>
      <c r="AK105" s="67" t="s">
        <v>132</v>
      </c>
      <c r="AL105" s="67" t="s">
        <v>132</v>
      </c>
      <c r="AM105" s="73">
        <f>240+160</f>
        <v>400</v>
      </c>
      <c r="AN105" s="73"/>
      <c r="AO105" s="72">
        <f t="shared" si="1"/>
        <v>400</v>
      </c>
    </row>
    <row r="106" spans="1:41" ht="38.25" x14ac:dyDescent="0.25">
      <c r="A106" s="20" t="s">
        <v>681</v>
      </c>
      <c r="B106" s="20" t="s">
        <v>695</v>
      </c>
      <c r="C106" s="20" t="s">
        <v>573</v>
      </c>
      <c r="D106" s="38" t="s">
        <v>88</v>
      </c>
      <c r="E106" s="38"/>
      <c r="F106" s="48" t="s">
        <v>494</v>
      </c>
      <c r="G106" s="25" t="s">
        <v>132</v>
      </c>
      <c r="H106" s="39" t="s">
        <v>694</v>
      </c>
      <c r="I106" s="25" t="s">
        <v>132</v>
      </c>
      <c r="J106" s="25" t="s">
        <v>132</v>
      </c>
      <c r="K106" s="58" t="s">
        <v>692</v>
      </c>
      <c r="L106" s="62" t="s">
        <v>693</v>
      </c>
      <c r="M106" s="20" t="s">
        <v>696</v>
      </c>
      <c r="N106" s="28">
        <v>44603</v>
      </c>
      <c r="O106" s="67">
        <v>30701</v>
      </c>
      <c r="P106" s="39">
        <v>13229</v>
      </c>
      <c r="Q106" s="28">
        <v>44603</v>
      </c>
      <c r="R106" s="28">
        <v>44926</v>
      </c>
      <c r="S106" s="25" t="s">
        <v>400</v>
      </c>
      <c r="T106" s="39" t="s">
        <v>132</v>
      </c>
      <c r="U106" s="41" t="s">
        <v>190</v>
      </c>
      <c r="V106" s="67" t="s">
        <v>132</v>
      </c>
      <c r="W106" s="25" t="s">
        <v>112</v>
      </c>
      <c r="X106" s="25" t="s">
        <v>132</v>
      </c>
      <c r="Y106" s="25" t="s">
        <v>132</v>
      </c>
      <c r="Z106" s="25" t="s">
        <v>132</v>
      </c>
      <c r="AA106" s="25" t="s">
        <v>132</v>
      </c>
      <c r="AB106" s="25" t="s">
        <v>132</v>
      </c>
      <c r="AC106" s="25" t="s">
        <v>132</v>
      </c>
      <c r="AD106" s="25" t="s">
        <v>132</v>
      </c>
      <c r="AE106" s="25" t="s">
        <v>132</v>
      </c>
      <c r="AF106" s="25" t="s">
        <v>132</v>
      </c>
      <c r="AG106" s="67" t="s">
        <v>132</v>
      </c>
      <c r="AH106" s="67" t="s">
        <v>132</v>
      </c>
      <c r="AI106" s="25" t="s">
        <v>132</v>
      </c>
      <c r="AJ106" s="25" t="s">
        <v>132</v>
      </c>
      <c r="AK106" s="67" t="s">
        <v>132</v>
      </c>
      <c r="AL106" s="67" t="s">
        <v>132</v>
      </c>
      <c r="AM106" s="73">
        <f>9536+5348</f>
        <v>14884</v>
      </c>
      <c r="AN106" s="73"/>
      <c r="AO106" s="72">
        <f t="shared" si="1"/>
        <v>14884</v>
      </c>
    </row>
    <row r="107" spans="1:41" ht="38.25" x14ac:dyDescent="0.25">
      <c r="A107" s="20" t="s">
        <v>691</v>
      </c>
      <c r="B107" s="20" t="s">
        <v>695</v>
      </c>
      <c r="C107" s="20" t="s">
        <v>573</v>
      </c>
      <c r="D107" s="38" t="s">
        <v>88</v>
      </c>
      <c r="E107" s="38"/>
      <c r="F107" s="48" t="s">
        <v>494</v>
      </c>
      <c r="G107" s="25" t="s">
        <v>132</v>
      </c>
      <c r="H107" s="39" t="s">
        <v>701</v>
      </c>
      <c r="I107" s="25" t="s">
        <v>132</v>
      </c>
      <c r="J107" s="25" t="s">
        <v>132</v>
      </c>
      <c r="K107" s="58" t="s">
        <v>698</v>
      </c>
      <c r="L107" s="62" t="s">
        <v>699</v>
      </c>
      <c r="M107" s="20" t="s">
        <v>700</v>
      </c>
      <c r="N107" s="28">
        <v>44603</v>
      </c>
      <c r="O107" s="67">
        <v>25002.400000000001</v>
      </c>
      <c r="P107" s="39">
        <v>13229</v>
      </c>
      <c r="Q107" s="28">
        <v>44603</v>
      </c>
      <c r="R107" s="28">
        <v>44926</v>
      </c>
      <c r="S107" s="25" t="s">
        <v>400</v>
      </c>
      <c r="T107" s="39" t="s">
        <v>132</v>
      </c>
      <c r="U107" s="41" t="s">
        <v>190</v>
      </c>
      <c r="V107" s="67" t="s">
        <v>132</v>
      </c>
      <c r="W107" s="25" t="s">
        <v>112</v>
      </c>
      <c r="X107" s="25" t="s">
        <v>132</v>
      </c>
      <c r="Y107" s="25" t="s">
        <v>132</v>
      </c>
      <c r="Z107" s="25" t="s">
        <v>132</v>
      </c>
      <c r="AA107" s="25" t="s">
        <v>132</v>
      </c>
      <c r="AB107" s="25" t="s">
        <v>132</v>
      </c>
      <c r="AC107" s="25" t="s">
        <v>132</v>
      </c>
      <c r="AD107" s="25" t="s">
        <v>132</v>
      </c>
      <c r="AE107" s="25" t="s">
        <v>132</v>
      </c>
      <c r="AF107" s="25" t="s">
        <v>132</v>
      </c>
      <c r="AG107" s="67" t="s">
        <v>132</v>
      </c>
      <c r="AH107" s="67" t="s">
        <v>132</v>
      </c>
      <c r="AI107" s="25" t="s">
        <v>132</v>
      </c>
      <c r="AJ107" s="25" t="s">
        <v>132</v>
      </c>
      <c r="AK107" s="67" t="s">
        <v>132</v>
      </c>
      <c r="AL107" s="67" t="s">
        <v>132</v>
      </c>
      <c r="AM107" s="73">
        <f>8495</f>
        <v>8495</v>
      </c>
      <c r="AN107" s="73"/>
      <c r="AO107" s="72">
        <f t="shared" si="1"/>
        <v>8495</v>
      </c>
    </row>
    <row r="108" spans="1:41" ht="38.25" x14ac:dyDescent="0.25">
      <c r="A108" s="20" t="s">
        <v>697</v>
      </c>
      <c r="B108" s="20" t="s">
        <v>703</v>
      </c>
      <c r="C108" s="20" t="s">
        <v>544</v>
      </c>
      <c r="D108" s="38" t="s">
        <v>88</v>
      </c>
      <c r="E108" s="38"/>
      <c r="F108" s="48" t="s">
        <v>494</v>
      </c>
      <c r="G108" s="25" t="s">
        <v>132</v>
      </c>
      <c r="H108" s="39" t="s">
        <v>545</v>
      </c>
      <c r="I108" s="25" t="s">
        <v>132</v>
      </c>
      <c r="J108" s="25" t="s">
        <v>132</v>
      </c>
      <c r="K108" s="58" t="s">
        <v>702</v>
      </c>
      <c r="L108" s="62" t="s">
        <v>496</v>
      </c>
      <c r="M108" s="20" t="s">
        <v>396</v>
      </c>
      <c r="N108" s="28">
        <v>44757</v>
      </c>
      <c r="O108" s="67">
        <v>506000</v>
      </c>
      <c r="P108" s="39">
        <v>13331</v>
      </c>
      <c r="Q108" s="28" t="s">
        <v>704</v>
      </c>
      <c r="R108" s="28">
        <v>44926</v>
      </c>
      <c r="S108" s="20" t="s">
        <v>705</v>
      </c>
      <c r="T108" s="39" t="s">
        <v>132</v>
      </c>
      <c r="U108" s="41" t="s">
        <v>190</v>
      </c>
      <c r="V108" s="67" t="s">
        <v>132</v>
      </c>
      <c r="W108" s="25" t="s">
        <v>112</v>
      </c>
      <c r="X108" s="25" t="s">
        <v>132</v>
      </c>
      <c r="Y108" s="25" t="s">
        <v>132</v>
      </c>
      <c r="Z108" s="25" t="s">
        <v>132</v>
      </c>
      <c r="AA108" s="25" t="s">
        <v>132</v>
      </c>
      <c r="AB108" s="25" t="s">
        <v>132</v>
      </c>
      <c r="AC108" s="25" t="s">
        <v>132</v>
      </c>
      <c r="AD108" s="25" t="s">
        <v>132</v>
      </c>
      <c r="AE108" s="25" t="s">
        <v>132</v>
      </c>
      <c r="AF108" s="25" t="s">
        <v>132</v>
      </c>
      <c r="AG108" s="67" t="s">
        <v>132</v>
      </c>
      <c r="AH108" s="67" t="s">
        <v>132</v>
      </c>
      <c r="AI108" s="25" t="s">
        <v>132</v>
      </c>
      <c r="AJ108" s="25" t="s">
        <v>132</v>
      </c>
      <c r="AK108" s="67" t="s">
        <v>132</v>
      </c>
      <c r="AL108" s="67" t="s">
        <v>132</v>
      </c>
      <c r="AM108" s="73">
        <f>20088.2+47437.5+44275+42491.35+35812.15+30739.5+13042.15+12789.15+14623.4+18975+15040.85+18975+12346.4+14168+14737.25+18975</f>
        <v>374515.89999999997</v>
      </c>
      <c r="AN108" s="73">
        <f>11068.75+12270.5+14092.1+6325+15610.1+31625</f>
        <v>90991.45</v>
      </c>
      <c r="AO108" s="72">
        <f t="shared" si="1"/>
        <v>465507.35</v>
      </c>
    </row>
    <row r="109" spans="1:41" ht="38.25" x14ac:dyDescent="0.25">
      <c r="A109" s="20" t="s">
        <v>706</v>
      </c>
      <c r="B109" s="20" t="s">
        <v>663</v>
      </c>
      <c r="C109" s="20" t="s">
        <v>662</v>
      </c>
      <c r="D109" s="38" t="s">
        <v>88</v>
      </c>
      <c r="E109" s="38"/>
      <c r="F109" s="48" t="s">
        <v>494</v>
      </c>
      <c r="G109" s="25" t="s">
        <v>132</v>
      </c>
      <c r="H109" s="39" t="s">
        <v>710</v>
      </c>
      <c r="I109" s="25" t="s">
        <v>132</v>
      </c>
      <c r="J109" s="25" t="s">
        <v>132</v>
      </c>
      <c r="K109" s="58" t="s">
        <v>708</v>
      </c>
      <c r="L109" s="62" t="s">
        <v>709</v>
      </c>
      <c r="M109" s="20" t="s">
        <v>711</v>
      </c>
      <c r="N109" s="28">
        <v>44656</v>
      </c>
      <c r="O109" s="67">
        <v>121100</v>
      </c>
      <c r="P109" s="39">
        <v>13272</v>
      </c>
      <c r="Q109" s="28">
        <v>44656</v>
      </c>
      <c r="R109" s="28">
        <v>44926</v>
      </c>
      <c r="S109" s="25" t="s">
        <v>400</v>
      </c>
      <c r="T109" s="39" t="s">
        <v>132</v>
      </c>
      <c r="U109" s="41" t="s">
        <v>190</v>
      </c>
      <c r="V109" s="67" t="s">
        <v>132</v>
      </c>
      <c r="W109" s="25" t="s">
        <v>112</v>
      </c>
      <c r="X109" s="25" t="s">
        <v>132</v>
      </c>
      <c r="Y109" s="25" t="s">
        <v>132</v>
      </c>
      <c r="Z109" s="25" t="s">
        <v>132</v>
      </c>
      <c r="AA109" s="25" t="s">
        <v>132</v>
      </c>
      <c r="AB109" s="25" t="s">
        <v>132</v>
      </c>
      <c r="AC109" s="25" t="s">
        <v>132</v>
      </c>
      <c r="AD109" s="25" t="s">
        <v>132</v>
      </c>
      <c r="AE109" s="25" t="s">
        <v>132</v>
      </c>
      <c r="AF109" s="25" t="s">
        <v>132</v>
      </c>
      <c r="AG109" s="67" t="s">
        <v>132</v>
      </c>
      <c r="AH109" s="67" t="s">
        <v>132</v>
      </c>
      <c r="AI109" s="25" t="s">
        <v>132</v>
      </c>
      <c r="AJ109" s="25" t="s">
        <v>132</v>
      </c>
      <c r="AK109" s="67" t="s">
        <v>132</v>
      </c>
      <c r="AL109" s="67" t="s">
        <v>132</v>
      </c>
      <c r="AM109" s="73">
        <f>4537.5+6465</f>
        <v>11002.5</v>
      </c>
      <c r="AN109" s="73"/>
      <c r="AO109" s="72">
        <f t="shared" si="1"/>
        <v>11002.5</v>
      </c>
    </row>
    <row r="110" spans="1:41" ht="38.25" x14ac:dyDescent="0.25">
      <c r="A110" s="20" t="s">
        <v>707</v>
      </c>
      <c r="B110" s="20" t="s">
        <v>716</v>
      </c>
      <c r="C110" s="20" t="s">
        <v>476</v>
      </c>
      <c r="D110" s="38" t="s">
        <v>88</v>
      </c>
      <c r="E110" s="38"/>
      <c r="F110" s="48" t="s">
        <v>494</v>
      </c>
      <c r="G110" s="25" t="s">
        <v>132</v>
      </c>
      <c r="H110" s="39" t="s">
        <v>717</v>
      </c>
      <c r="I110" s="25" t="s">
        <v>132</v>
      </c>
      <c r="J110" s="25" t="s">
        <v>132</v>
      </c>
      <c r="K110" s="58" t="s">
        <v>713</v>
      </c>
      <c r="L110" s="62" t="s">
        <v>714</v>
      </c>
      <c r="M110" s="20" t="s">
        <v>715</v>
      </c>
      <c r="N110" s="28">
        <v>44606</v>
      </c>
      <c r="O110" s="67">
        <v>72957.25</v>
      </c>
      <c r="P110" s="39">
        <v>13229</v>
      </c>
      <c r="Q110" s="28">
        <v>44606</v>
      </c>
      <c r="R110" s="28">
        <v>44926</v>
      </c>
      <c r="S110" s="25" t="s">
        <v>400</v>
      </c>
      <c r="T110" s="39" t="s">
        <v>132</v>
      </c>
      <c r="U110" s="41" t="s">
        <v>190</v>
      </c>
      <c r="V110" s="67" t="s">
        <v>132</v>
      </c>
      <c r="W110" s="25" t="s">
        <v>112</v>
      </c>
      <c r="X110" s="25" t="s">
        <v>132</v>
      </c>
      <c r="Y110" s="25" t="s">
        <v>132</v>
      </c>
      <c r="Z110" s="25" t="s">
        <v>132</v>
      </c>
      <c r="AA110" s="25" t="s">
        <v>132</v>
      </c>
      <c r="AB110" s="25" t="s">
        <v>132</v>
      </c>
      <c r="AC110" s="25" t="s">
        <v>132</v>
      </c>
      <c r="AD110" s="25" t="s">
        <v>132</v>
      </c>
      <c r="AE110" s="25" t="s">
        <v>132</v>
      </c>
      <c r="AF110" s="25" t="s">
        <v>132</v>
      </c>
      <c r="AG110" s="67" t="s">
        <v>132</v>
      </c>
      <c r="AH110" s="67" t="s">
        <v>132</v>
      </c>
      <c r="AI110" s="25" t="s">
        <v>132</v>
      </c>
      <c r="AJ110" s="25" t="s">
        <v>132</v>
      </c>
      <c r="AK110" s="67" t="s">
        <v>132</v>
      </c>
      <c r="AL110" s="67" t="s">
        <v>132</v>
      </c>
      <c r="AM110" s="73">
        <f>3531.65+1455</f>
        <v>4986.6499999999996</v>
      </c>
      <c r="AN110" s="73"/>
      <c r="AO110" s="72">
        <f t="shared" si="1"/>
        <v>4986.6499999999996</v>
      </c>
    </row>
    <row r="111" spans="1:41" ht="38.25" x14ac:dyDescent="0.25">
      <c r="A111" s="20" t="s">
        <v>712</v>
      </c>
      <c r="B111" s="20" t="s">
        <v>722</v>
      </c>
      <c r="C111" s="20" t="s">
        <v>721</v>
      </c>
      <c r="D111" s="38" t="s">
        <v>88</v>
      </c>
      <c r="E111" s="38"/>
      <c r="F111" s="48" t="s">
        <v>494</v>
      </c>
      <c r="G111" s="25" t="s">
        <v>132</v>
      </c>
      <c r="H111" s="39" t="s">
        <v>720</v>
      </c>
      <c r="I111" s="25" t="s">
        <v>132</v>
      </c>
      <c r="J111" s="25" t="s">
        <v>132</v>
      </c>
      <c r="K111" s="58" t="s">
        <v>719</v>
      </c>
      <c r="L111" s="62" t="s">
        <v>285</v>
      </c>
      <c r="M111" s="20" t="s">
        <v>286</v>
      </c>
      <c r="N111" s="28">
        <v>44671</v>
      </c>
      <c r="O111" s="67">
        <v>299856</v>
      </c>
      <c r="P111" s="39">
        <v>13277</v>
      </c>
      <c r="Q111" s="28">
        <v>44671</v>
      </c>
      <c r="R111" s="28">
        <v>44926</v>
      </c>
      <c r="S111" s="25" t="s">
        <v>400</v>
      </c>
      <c r="T111" s="39" t="s">
        <v>132</v>
      </c>
      <c r="U111" s="41" t="s">
        <v>190</v>
      </c>
      <c r="V111" s="67" t="s">
        <v>132</v>
      </c>
      <c r="W111" s="25" t="s">
        <v>112</v>
      </c>
      <c r="X111" s="25" t="s">
        <v>132</v>
      </c>
      <c r="Y111" s="25" t="s">
        <v>132</v>
      </c>
      <c r="Z111" s="25" t="s">
        <v>132</v>
      </c>
      <c r="AA111" s="25" t="s">
        <v>132</v>
      </c>
      <c r="AB111" s="25" t="s">
        <v>132</v>
      </c>
      <c r="AC111" s="25" t="s">
        <v>132</v>
      </c>
      <c r="AD111" s="25" t="s">
        <v>132</v>
      </c>
      <c r="AE111" s="25" t="s">
        <v>132</v>
      </c>
      <c r="AF111" s="25" t="s">
        <v>132</v>
      </c>
      <c r="AG111" s="67" t="s">
        <v>132</v>
      </c>
      <c r="AH111" s="67" t="s">
        <v>132</v>
      </c>
      <c r="AI111" s="25" t="s">
        <v>132</v>
      </c>
      <c r="AJ111" s="25" t="s">
        <v>132</v>
      </c>
      <c r="AK111" s="67" t="s">
        <v>132</v>
      </c>
      <c r="AL111" s="67" t="s">
        <v>132</v>
      </c>
      <c r="AM111" s="73">
        <f>14992.8+34983.2</f>
        <v>49976</v>
      </c>
      <c r="AN111" s="73">
        <f>2998.56</f>
        <v>2998.56</v>
      </c>
      <c r="AO111" s="72">
        <f t="shared" si="1"/>
        <v>52974.559999999998</v>
      </c>
    </row>
    <row r="112" spans="1:41" ht="38.25" x14ac:dyDescent="0.25">
      <c r="A112" s="20" t="s">
        <v>718</v>
      </c>
      <c r="B112" s="20" t="s">
        <v>729</v>
      </c>
      <c r="C112" s="20" t="s">
        <v>728</v>
      </c>
      <c r="D112" s="38" t="s">
        <v>88</v>
      </c>
      <c r="E112" s="38"/>
      <c r="F112" s="48" t="s">
        <v>494</v>
      </c>
      <c r="G112" s="25" t="s">
        <v>132</v>
      </c>
      <c r="H112" s="39" t="s">
        <v>727</v>
      </c>
      <c r="I112" s="25" t="s">
        <v>132</v>
      </c>
      <c r="J112" s="25" t="s">
        <v>132</v>
      </c>
      <c r="K112" s="58" t="s">
        <v>724</v>
      </c>
      <c r="L112" s="62" t="s">
        <v>725</v>
      </c>
      <c r="M112" s="20" t="s">
        <v>726</v>
      </c>
      <c r="N112" s="28">
        <v>44606</v>
      </c>
      <c r="O112" s="67">
        <v>77330.649999999994</v>
      </c>
      <c r="P112" s="39">
        <v>13247</v>
      </c>
      <c r="Q112" s="28">
        <v>44606</v>
      </c>
      <c r="R112" s="28">
        <v>44926</v>
      </c>
      <c r="S112" s="25" t="s">
        <v>400</v>
      </c>
      <c r="T112" s="39" t="s">
        <v>132</v>
      </c>
      <c r="U112" s="41" t="s">
        <v>190</v>
      </c>
      <c r="V112" s="67" t="s">
        <v>132</v>
      </c>
      <c r="W112" s="25" t="s">
        <v>735</v>
      </c>
      <c r="X112" s="25" t="s">
        <v>132</v>
      </c>
      <c r="Y112" s="25" t="s">
        <v>132</v>
      </c>
      <c r="Z112" s="25" t="s">
        <v>132</v>
      </c>
      <c r="AA112" s="25" t="s">
        <v>132</v>
      </c>
      <c r="AB112" s="25" t="s">
        <v>132</v>
      </c>
      <c r="AC112" s="25" t="s">
        <v>132</v>
      </c>
      <c r="AD112" s="25" t="s">
        <v>132</v>
      </c>
      <c r="AE112" s="25" t="s">
        <v>132</v>
      </c>
      <c r="AF112" s="25" t="s">
        <v>132</v>
      </c>
      <c r="AG112" s="67" t="s">
        <v>132</v>
      </c>
      <c r="AH112" s="67" t="s">
        <v>132</v>
      </c>
      <c r="AI112" s="25" t="s">
        <v>132</v>
      </c>
      <c r="AJ112" s="25" t="s">
        <v>132</v>
      </c>
      <c r="AK112" s="67" t="s">
        <v>132</v>
      </c>
      <c r="AL112" s="67" t="s">
        <v>132</v>
      </c>
      <c r="AM112" s="73">
        <f>1507.98+1418.99</f>
        <v>2926.9700000000003</v>
      </c>
      <c r="AN112" s="73"/>
      <c r="AO112" s="72">
        <f t="shared" si="1"/>
        <v>2926.9700000000003</v>
      </c>
    </row>
    <row r="113" spans="1:41" ht="38.25" x14ac:dyDescent="0.25">
      <c r="A113" s="20" t="s">
        <v>723</v>
      </c>
      <c r="B113" s="20" t="s">
        <v>733</v>
      </c>
      <c r="C113" s="20" t="s">
        <v>482</v>
      </c>
      <c r="D113" s="38" t="s">
        <v>88</v>
      </c>
      <c r="E113" s="38"/>
      <c r="F113" s="48" t="s">
        <v>494</v>
      </c>
      <c r="G113" s="25" t="s">
        <v>132</v>
      </c>
      <c r="H113" s="39" t="s">
        <v>732</v>
      </c>
      <c r="I113" s="25" t="s">
        <v>132</v>
      </c>
      <c r="J113" s="25" t="s">
        <v>132</v>
      </c>
      <c r="K113" s="58" t="s">
        <v>731</v>
      </c>
      <c r="L113" s="62" t="s">
        <v>484</v>
      </c>
      <c r="M113" s="20" t="s">
        <v>485</v>
      </c>
      <c r="N113" s="28">
        <v>44648</v>
      </c>
      <c r="O113" s="67">
        <v>15527.6</v>
      </c>
      <c r="P113" s="39">
        <v>13259</v>
      </c>
      <c r="Q113" s="28">
        <v>44648</v>
      </c>
      <c r="R113" s="28">
        <v>44926</v>
      </c>
      <c r="S113" s="25" t="s">
        <v>400</v>
      </c>
      <c r="T113" s="39" t="s">
        <v>132</v>
      </c>
      <c r="U113" s="41" t="s">
        <v>190</v>
      </c>
      <c r="V113" s="67" t="s">
        <v>132</v>
      </c>
      <c r="W113" s="25" t="s">
        <v>112</v>
      </c>
      <c r="X113" s="25" t="s">
        <v>132</v>
      </c>
      <c r="Y113" s="25" t="s">
        <v>132</v>
      </c>
      <c r="Z113" s="25" t="s">
        <v>132</v>
      </c>
      <c r="AA113" s="25" t="s">
        <v>132</v>
      </c>
      <c r="AB113" s="25" t="s">
        <v>132</v>
      </c>
      <c r="AC113" s="25" t="s">
        <v>132</v>
      </c>
      <c r="AD113" s="25" t="s">
        <v>132</v>
      </c>
      <c r="AE113" s="25" t="s">
        <v>132</v>
      </c>
      <c r="AF113" s="25" t="s">
        <v>132</v>
      </c>
      <c r="AG113" s="67" t="s">
        <v>132</v>
      </c>
      <c r="AH113" s="67" t="s">
        <v>132</v>
      </c>
      <c r="AI113" s="25" t="s">
        <v>132</v>
      </c>
      <c r="AJ113" s="25" t="s">
        <v>132</v>
      </c>
      <c r="AK113" s="67" t="s">
        <v>132</v>
      </c>
      <c r="AL113" s="67" t="s">
        <v>132</v>
      </c>
      <c r="AM113" s="73">
        <f>4046.2</f>
        <v>4046.2</v>
      </c>
      <c r="AN113" s="73"/>
      <c r="AO113" s="72">
        <f t="shared" si="1"/>
        <v>4046.2</v>
      </c>
    </row>
    <row r="114" spans="1:41" ht="38.25" x14ac:dyDescent="0.25">
      <c r="A114" s="20" t="s">
        <v>730</v>
      </c>
      <c r="B114" s="20" t="s">
        <v>737</v>
      </c>
      <c r="C114" s="20" t="s">
        <v>738</v>
      </c>
      <c r="D114" s="38" t="s">
        <v>88</v>
      </c>
      <c r="E114" s="38"/>
      <c r="F114" s="48" t="s">
        <v>494</v>
      </c>
      <c r="G114" s="25" t="s">
        <v>132</v>
      </c>
      <c r="H114" s="39" t="s">
        <v>710</v>
      </c>
      <c r="I114" s="25" t="s">
        <v>132</v>
      </c>
      <c r="J114" s="25" t="s">
        <v>132</v>
      </c>
      <c r="K114" s="58" t="s">
        <v>739</v>
      </c>
      <c r="L114" s="62" t="s">
        <v>404</v>
      </c>
      <c r="M114" s="20" t="s">
        <v>405</v>
      </c>
      <c r="N114" s="28">
        <v>44762</v>
      </c>
      <c r="O114" s="67">
        <v>12498.75</v>
      </c>
      <c r="P114" s="39">
        <v>13341</v>
      </c>
      <c r="Q114" s="28">
        <v>44762</v>
      </c>
      <c r="R114" s="28">
        <v>44926</v>
      </c>
      <c r="S114" s="25" t="s">
        <v>759</v>
      </c>
      <c r="T114" s="39" t="s">
        <v>132</v>
      </c>
      <c r="U114" s="41" t="s">
        <v>190</v>
      </c>
      <c r="V114" s="67" t="s">
        <v>132</v>
      </c>
      <c r="W114" s="25" t="s">
        <v>112</v>
      </c>
      <c r="X114" s="25" t="s">
        <v>132</v>
      </c>
      <c r="Y114" s="25"/>
      <c r="Z114" s="25"/>
      <c r="AA114" s="25"/>
      <c r="AB114" s="25"/>
      <c r="AC114" s="25"/>
      <c r="AD114" s="25"/>
      <c r="AE114" s="25"/>
      <c r="AF114" s="25"/>
      <c r="AG114" s="67"/>
      <c r="AH114" s="67"/>
      <c r="AI114" s="25"/>
      <c r="AJ114" s="25"/>
      <c r="AK114" s="67"/>
      <c r="AL114" s="67"/>
      <c r="AM114" s="73">
        <f>1666.5</f>
        <v>1666.5</v>
      </c>
      <c r="AN114" s="73"/>
      <c r="AO114" s="72">
        <f t="shared" si="1"/>
        <v>1666.5</v>
      </c>
    </row>
    <row r="115" spans="1:41" ht="38.25" x14ac:dyDescent="0.25">
      <c r="A115" s="20" t="s">
        <v>736</v>
      </c>
      <c r="B115" s="20" t="s">
        <v>716</v>
      </c>
      <c r="C115" s="20" t="s">
        <v>476</v>
      </c>
      <c r="D115" s="38" t="s">
        <v>88</v>
      </c>
      <c r="E115" s="38"/>
      <c r="F115" s="48" t="s">
        <v>494</v>
      </c>
      <c r="G115" s="25" t="s">
        <v>132</v>
      </c>
      <c r="H115" s="39" t="s">
        <v>741</v>
      </c>
      <c r="I115" s="25" t="s">
        <v>132</v>
      </c>
      <c r="J115" s="25" t="s">
        <v>132</v>
      </c>
      <c r="K115" s="58" t="s">
        <v>742</v>
      </c>
      <c r="L115" s="62" t="s">
        <v>659</v>
      </c>
      <c r="M115" s="20" t="s">
        <v>743</v>
      </c>
      <c r="N115" s="28">
        <v>44606</v>
      </c>
      <c r="O115" s="67">
        <v>31648.1</v>
      </c>
      <c r="P115" s="39">
        <v>13232</v>
      </c>
      <c r="Q115" s="28">
        <v>44606</v>
      </c>
      <c r="R115" s="28">
        <v>44926</v>
      </c>
      <c r="S115" s="25" t="s">
        <v>759</v>
      </c>
      <c r="T115" s="39" t="s">
        <v>132</v>
      </c>
      <c r="U115" s="41" t="s">
        <v>190</v>
      </c>
      <c r="V115" s="67" t="s">
        <v>132</v>
      </c>
      <c r="W115" s="25" t="s">
        <v>112</v>
      </c>
      <c r="X115" s="25" t="s">
        <v>132</v>
      </c>
      <c r="Y115" s="25"/>
      <c r="Z115" s="25"/>
      <c r="AA115" s="25"/>
      <c r="AB115" s="25"/>
      <c r="AC115" s="25"/>
      <c r="AD115" s="25"/>
      <c r="AE115" s="25"/>
      <c r="AF115" s="25"/>
      <c r="AG115" s="67"/>
      <c r="AH115" s="67"/>
      <c r="AI115" s="25"/>
      <c r="AJ115" s="25"/>
      <c r="AK115" s="67"/>
      <c r="AL115" s="67"/>
      <c r="AM115" s="73">
        <f>3422</f>
        <v>3422</v>
      </c>
      <c r="AN115" s="73"/>
      <c r="AO115" s="72">
        <f t="shared" si="1"/>
        <v>3422</v>
      </c>
    </row>
    <row r="116" spans="1:41" ht="38.25" x14ac:dyDescent="0.25">
      <c r="A116" s="20" t="s">
        <v>740</v>
      </c>
      <c r="B116" s="20" t="s">
        <v>745</v>
      </c>
      <c r="C116" s="20" t="s">
        <v>609</v>
      </c>
      <c r="D116" s="38" t="s">
        <v>88</v>
      </c>
      <c r="E116" s="38"/>
      <c r="F116" s="48" t="s">
        <v>494</v>
      </c>
      <c r="G116" s="25" t="s">
        <v>132</v>
      </c>
      <c r="H116" s="39" t="s">
        <v>593</v>
      </c>
      <c r="I116" s="25" t="s">
        <v>132</v>
      </c>
      <c r="J116" s="25" t="s">
        <v>132</v>
      </c>
      <c r="K116" s="58" t="s">
        <v>746</v>
      </c>
      <c r="L116" s="62" t="s">
        <v>747</v>
      </c>
      <c r="M116" s="20" t="s">
        <v>635</v>
      </c>
      <c r="N116" s="28">
        <v>44655</v>
      </c>
      <c r="O116" s="67">
        <v>17380</v>
      </c>
      <c r="P116" s="39">
        <v>13260</v>
      </c>
      <c r="Q116" s="28">
        <v>44655</v>
      </c>
      <c r="R116" s="28">
        <v>44926</v>
      </c>
      <c r="S116" s="25" t="s">
        <v>759</v>
      </c>
      <c r="T116" s="39" t="s">
        <v>132</v>
      </c>
      <c r="U116" s="41" t="s">
        <v>190</v>
      </c>
      <c r="V116" s="67" t="s">
        <v>132</v>
      </c>
      <c r="W116" s="25" t="s">
        <v>112</v>
      </c>
      <c r="X116" s="25" t="s">
        <v>132</v>
      </c>
      <c r="Y116" s="25"/>
      <c r="Z116" s="25"/>
      <c r="AA116" s="25"/>
      <c r="AB116" s="25"/>
      <c r="AC116" s="25"/>
      <c r="AD116" s="25"/>
      <c r="AE116" s="25"/>
      <c r="AF116" s="25"/>
      <c r="AG116" s="67"/>
      <c r="AH116" s="67"/>
      <c r="AI116" s="25"/>
      <c r="AJ116" s="25"/>
      <c r="AK116" s="67"/>
      <c r="AL116" s="67"/>
      <c r="AM116" s="73">
        <f>2096+2096+1725</f>
        <v>5917</v>
      </c>
      <c r="AN116" s="73"/>
      <c r="AO116" s="72">
        <f t="shared" si="1"/>
        <v>5917</v>
      </c>
    </row>
    <row r="117" spans="1:41" ht="38.25" x14ac:dyDescent="0.25">
      <c r="A117" s="20" t="s">
        <v>744</v>
      </c>
      <c r="B117" s="20" t="s">
        <v>729</v>
      </c>
      <c r="C117" s="20" t="s">
        <v>728</v>
      </c>
      <c r="D117" s="38" t="s">
        <v>88</v>
      </c>
      <c r="E117" s="38"/>
      <c r="F117" s="48" t="s">
        <v>494</v>
      </c>
      <c r="G117" s="25" t="s">
        <v>132</v>
      </c>
      <c r="H117" s="39" t="s">
        <v>727</v>
      </c>
      <c r="I117" s="25" t="s">
        <v>132</v>
      </c>
      <c r="J117" s="25" t="s">
        <v>132</v>
      </c>
      <c r="K117" s="58" t="s">
        <v>749</v>
      </c>
      <c r="L117" s="62" t="s">
        <v>750</v>
      </c>
      <c r="M117" s="20" t="s">
        <v>751</v>
      </c>
      <c r="N117" s="28">
        <v>44606</v>
      </c>
      <c r="O117" s="67">
        <v>73045.600000000006</v>
      </c>
      <c r="P117" s="39">
        <v>13245</v>
      </c>
      <c r="Q117" s="28">
        <v>44606</v>
      </c>
      <c r="R117" s="28">
        <v>44926</v>
      </c>
      <c r="S117" s="25" t="s">
        <v>198</v>
      </c>
      <c r="T117" s="39" t="s">
        <v>132</v>
      </c>
      <c r="U117" s="41" t="s">
        <v>190</v>
      </c>
      <c r="V117" s="67" t="s">
        <v>132</v>
      </c>
      <c r="W117" s="25" t="s">
        <v>735</v>
      </c>
      <c r="X117" s="25" t="s">
        <v>132</v>
      </c>
      <c r="Y117" s="25"/>
      <c r="Z117" s="25"/>
      <c r="AA117" s="25"/>
      <c r="AB117" s="25"/>
      <c r="AC117" s="25"/>
      <c r="AD117" s="25"/>
      <c r="AE117" s="25"/>
      <c r="AF117" s="25"/>
      <c r="AG117" s="67"/>
      <c r="AH117" s="67"/>
      <c r="AI117" s="25"/>
      <c r="AJ117" s="25"/>
      <c r="AK117" s="67"/>
      <c r="AL117" s="67"/>
      <c r="AM117" s="73">
        <f>1431+3068.48</f>
        <v>4499.4799999999996</v>
      </c>
      <c r="AN117" s="73"/>
      <c r="AO117" s="72">
        <f t="shared" si="1"/>
        <v>4499.4799999999996</v>
      </c>
    </row>
    <row r="118" spans="1:41" ht="38.25" x14ac:dyDescent="0.25">
      <c r="A118" s="20" t="s">
        <v>748</v>
      </c>
      <c r="B118" s="20" t="s">
        <v>753</v>
      </c>
      <c r="C118" s="20" t="s">
        <v>754</v>
      </c>
      <c r="D118" s="38" t="s">
        <v>88</v>
      </c>
      <c r="E118" s="38"/>
      <c r="F118" s="48" t="s">
        <v>494</v>
      </c>
      <c r="G118" s="25" t="s">
        <v>132</v>
      </c>
      <c r="H118" s="39" t="s">
        <v>755</v>
      </c>
      <c r="I118" s="25" t="s">
        <v>132</v>
      </c>
      <c r="J118" s="25" t="s">
        <v>132</v>
      </c>
      <c r="K118" s="58" t="s">
        <v>756</v>
      </c>
      <c r="L118" s="62" t="s">
        <v>757</v>
      </c>
      <c r="M118" s="20" t="s">
        <v>758</v>
      </c>
      <c r="N118" s="28">
        <v>44603</v>
      </c>
      <c r="O118" s="67">
        <v>78099.899999999994</v>
      </c>
      <c r="P118" s="39">
        <v>13226</v>
      </c>
      <c r="Q118" s="28">
        <v>44603</v>
      </c>
      <c r="R118" s="28">
        <v>44926</v>
      </c>
      <c r="S118" s="25" t="s">
        <v>198</v>
      </c>
      <c r="T118" s="39" t="s">
        <v>132</v>
      </c>
      <c r="U118" s="41" t="s">
        <v>190</v>
      </c>
      <c r="V118" s="67" t="s">
        <v>132</v>
      </c>
      <c r="W118" s="25" t="s">
        <v>735</v>
      </c>
      <c r="X118" s="25" t="s">
        <v>132</v>
      </c>
      <c r="Y118" s="25"/>
      <c r="Z118" s="25"/>
      <c r="AA118" s="25"/>
      <c r="AB118" s="25"/>
      <c r="AC118" s="25"/>
      <c r="AD118" s="25"/>
      <c r="AE118" s="25"/>
      <c r="AF118" s="25"/>
      <c r="AG118" s="67"/>
      <c r="AH118" s="67"/>
      <c r="AI118" s="25"/>
      <c r="AJ118" s="25"/>
      <c r="AK118" s="67"/>
      <c r="AL118" s="67"/>
      <c r="AM118" s="73">
        <f>4901.66+4901.66+6083.32+3966.66+2116.66</f>
        <v>21969.96</v>
      </c>
      <c r="AN118" s="73"/>
      <c r="AO118" s="72">
        <f t="shared" si="1"/>
        <v>21969.96</v>
      </c>
    </row>
    <row r="119" spans="1:41" ht="38.25" x14ac:dyDescent="0.25">
      <c r="A119" s="20" t="s">
        <v>752</v>
      </c>
      <c r="B119" s="20" t="s">
        <v>761</v>
      </c>
      <c r="C119" s="20" t="s">
        <v>306</v>
      </c>
      <c r="D119" s="38" t="s">
        <v>88</v>
      </c>
      <c r="E119" s="38"/>
      <c r="F119" s="48" t="s">
        <v>494</v>
      </c>
      <c r="G119" s="25" t="s">
        <v>132</v>
      </c>
      <c r="H119" s="39" t="s">
        <v>653</v>
      </c>
      <c r="I119" s="25" t="s">
        <v>132</v>
      </c>
      <c r="J119" s="25" t="s">
        <v>132</v>
      </c>
      <c r="K119" s="58" t="s">
        <v>762</v>
      </c>
      <c r="L119" s="62" t="s">
        <v>314</v>
      </c>
      <c r="M119" s="20" t="s">
        <v>680</v>
      </c>
      <c r="N119" s="28">
        <v>44783</v>
      </c>
      <c r="O119" s="67">
        <v>23791.200000000001</v>
      </c>
      <c r="P119" s="39">
        <v>13348</v>
      </c>
      <c r="Q119" s="28">
        <v>44783</v>
      </c>
      <c r="R119" s="28">
        <v>45147</v>
      </c>
      <c r="S119" s="25" t="s">
        <v>198</v>
      </c>
      <c r="T119" s="39" t="s">
        <v>132</v>
      </c>
      <c r="U119" s="41" t="s">
        <v>190</v>
      </c>
      <c r="V119" s="67" t="s">
        <v>132</v>
      </c>
      <c r="W119" s="25" t="s">
        <v>111</v>
      </c>
      <c r="X119" s="25" t="s">
        <v>132</v>
      </c>
      <c r="Y119" s="25"/>
      <c r="Z119" s="25"/>
      <c r="AA119" s="25"/>
      <c r="AB119" s="25"/>
      <c r="AC119" s="25"/>
      <c r="AD119" s="25"/>
      <c r="AE119" s="25"/>
      <c r="AF119" s="25"/>
      <c r="AG119" s="67"/>
      <c r="AH119" s="67"/>
      <c r="AI119" s="25"/>
      <c r="AJ119" s="25"/>
      <c r="AK119" s="67"/>
      <c r="AL119" s="67"/>
      <c r="AM119" s="73">
        <f>1982.6+1982.6+1982.6+1982.6</f>
        <v>7930.4</v>
      </c>
      <c r="AN119" s="73">
        <f>1982.6+1982.6</f>
        <v>3965.2</v>
      </c>
      <c r="AO119" s="72">
        <f t="shared" si="1"/>
        <v>11895.599999999999</v>
      </c>
    </row>
    <row r="120" spans="1:41" ht="38.25" x14ac:dyDescent="0.25">
      <c r="A120" s="20" t="s">
        <v>760</v>
      </c>
      <c r="B120" s="20" t="s">
        <v>764</v>
      </c>
      <c r="C120" s="20" t="s">
        <v>765</v>
      </c>
      <c r="D120" s="38" t="s">
        <v>88</v>
      </c>
      <c r="E120" s="38"/>
      <c r="F120" s="48" t="s">
        <v>494</v>
      </c>
      <c r="G120" s="25" t="s">
        <v>132</v>
      </c>
      <c r="H120" s="39" t="s">
        <v>766</v>
      </c>
      <c r="I120" s="25" t="s">
        <v>132</v>
      </c>
      <c r="J120" s="25" t="s">
        <v>132</v>
      </c>
      <c r="K120" s="58" t="s">
        <v>767</v>
      </c>
      <c r="L120" s="62" t="s">
        <v>768</v>
      </c>
      <c r="M120" s="20" t="s">
        <v>378</v>
      </c>
      <c r="N120" s="28">
        <v>44784</v>
      </c>
      <c r="O120" s="67">
        <v>133500</v>
      </c>
      <c r="P120" s="39">
        <v>13350</v>
      </c>
      <c r="Q120" s="28">
        <v>44784</v>
      </c>
      <c r="R120" s="28">
        <v>44926</v>
      </c>
      <c r="S120" s="25" t="s">
        <v>198</v>
      </c>
      <c r="T120" s="39" t="s">
        <v>132</v>
      </c>
      <c r="U120" s="41" t="s">
        <v>190</v>
      </c>
      <c r="V120" s="67" t="s">
        <v>132</v>
      </c>
      <c r="W120" s="25" t="s">
        <v>111</v>
      </c>
      <c r="X120" s="25" t="s">
        <v>132</v>
      </c>
      <c r="Y120" s="25"/>
      <c r="Z120" s="25"/>
      <c r="AA120" s="25"/>
      <c r="AB120" s="25"/>
      <c r="AC120" s="25"/>
      <c r="AD120" s="25"/>
      <c r="AE120" s="25"/>
      <c r="AF120" s="25"/>
      <c r="AG120" s="67"/>
      <c r="AH120" s="67"/>
      <c r="AI120" s="25"/>
      <c r="AJ120" s="25"/>
      <c r="AK120" s="67"/>
      <c r="AL120" s="67"/>
      <c r="AM120" s="73">
        <f>22962+2803.5+2002.5+2002.5+4227.5+12638+801+2492+1913.5+8855.5+11169.5+1913.5+1869</f>
        <v>75650</v>
      </c>
      <c r="AN120" s="73">
        <f>1068</f>
        <v>1068</v>
      </c>
      <c r="AO120" s="72">
        <f t="shared" si="1"/>
        <v>76718</v>
      </c>
    </row>
    <row r="121" spans="1:41" ht="38.25" x14ac:dyDescent="0.25">
      <c r="A121" s="20" t="s">
        <v>763</v>
      </c>
      <c r="B121" s="20" t="s">
        <v>771</v>
      </c>
      <c r="C121" s="20" t="s">
        <v>772</v>
      </c>
      <c r="D121" s="38" t="s">
        <v>88</v>
      </c>
      <c r="E121" s="38"/>
      <c r="F121" s="48" t="s">
        <v>494</v>
      </c>
      <c r="G121" s="25" t="s">
        <v>132</v>
      </c>
      <c r="H121" s="39" t="s">
        <v>773</v>
      </c>
      <c r="I121" s="25" t="s">
        <v>132</v>
      </c>
      <c r="J121" s="25" t="s">
        <v>132</v>
      </c>
      <c r="K121" s="58" t="s">
        <v>774</v>
      </c>
      <c r="L121" s="62" t="s">
        <v>775</v>
      </c>
      <c r="M121" s="20" t="s">
        <v>776</v>
      </c>
      <c r="N121" s="28">
        <v>44698</v>
      </c>
      <c r="O121" s="67">
        <v>51500.5</v>
      </c>
      <c r="P121" s="39">
        <v>13393</v>
      </c>
      <c r="Q121" s="28">
        <v>44698</v>
      </c>
      <c r="R121" s="28">
        <v>44926</v>
      </c>
      <c r="S121" s="25" t="s">
        <v>797</v>
      </c>
      <c r="T121" s="39" t="s">
        <v>132</v>
      </c>
      <c r="U121" s="41" t="s">
        <v>190</v>
      </c>
      <c r="V121" s="67" t="s">
        <v>132</v>
      </c>
      <c r="W121" s="25" t="s">
        <v>166</v>
      </c>
      <c r="X121" s="25" t="s">
        <v>132</v>
      </c>
      <c r="Y121" s="25"/>
      <c r="Z121" s="25"/>
      <c r="AA121" s="25"/>
      <c r="AB121" s="25"/>
      <c r="AC121" s="25"/>
      <c r="AD121" s="25"/>
      <c r="AE121" s="25"/>
      <c r="AF121" s="25"/>
      <c r="AG121" s="67"/>
      <c r="AH121" s="67"/>
      <c r="AI121" s="25"/>
      <c r="AJ121" s="25"/>
      <c r="AK121" s="67"/>
      <c r="AL121" s="67"/>
      <c r="AM121" s="73">
        <f>17148.63+3831.06</f>
        <v>20979.690000000002</v>
      </c>
      <c r="AN121" s="73"/>
      <c r="AO121" s="72">
        <f t="shared" si="1"/>
        <v>20979.690000000002</v>
      </c>
    </row>
    <row r="122" spans="1:41" ht="38.25" x14ac:dyDescent="0.25">
      <c r="A122" s="20" t="s">
        <v>770</v>
      </c>
      <c r="B122" s="20" t="s">
        <v>778</v>
      </c>
      <c r="C122" s="20" t="s">
        <v>502</v>
      </c>
      <c r="D122" s="38" t="s">
        <v>88</v>
      </c>
      <c r="E122" s="38"/>
      <c r="F122" s="48" t="s">
        <v>494</v>
      </c>
      <c r="G122" s="25" t="s">
        <v>132</v>
      </c>
      <c r="H122" s="39" t="s">
        <v>779</v>
      </c>
      <c r="I122" s="25" t="s">
        <v>132</v>
      </c>
      <c r="J122" s="25" t="s">
        <v>132</v>
      </c>
      <c r="K122" s="58" t="s">
        <v>780</v>
      </c>
      <c r="L122" s="62" t="s">
        <v>500</v>
      </c>
      <c r="M122" s="20" t="s">
        <v>501</v>
      </c>
      <c r="N122" s="28">
        <v>44603</v>
      </c>
      <c r="O122" s="67">
        <v>66224</v>
      </c>
      <c r="P122" s="39">
        <v>13250</v>
      </c>
      <c r="Q122" s="28">
        <v>44603</v>
      </c>
      <c r="R122" s="28">
        <v>44926</v>
      </c>
      <c r="S122" s="25">
        <v>101</v>
      </c>
      <c r="T122" s="39" t="s">
        <v>132</v>
      </c>
      <c r="U122" s="41" t="s">
        <v>190</v>
      </c>
      <c r="V122" s="67" t="s">
        <v>132</v>
      </c>
      <c r="W122" s="25" t="s">
        <v>113</v>
      </c>
      <c r="X122" s="25" t="s">
        <v>132</v>
      </c>
      <c r="Y122" s="25"/>
      <c r="Z122" s="25"/>
      <c r="AA122" s="25"/>
      <c r="AB122" s="25"/>
      <c r="AC122" s="25"/>
      <c r="AD122" s="25"/>
      <c r="AE122" s="25"/>
      <c r="AF122" s="25"/>
      <c r="AG122" s="67"/>
      <c r="AH122" s="67"/>
      <c r="AI122" s="25"/>
      <c r="AJ122" s="25"/>
      <c r="AK122" s="67"/>
      <c r="AL122" s="67"/>
      <c r="AM122" s="73">
        <f>33112</f>
        <v>33112</v>
      </c>
      <c r="AN122" s="73"/>
      <c r="AO122" s="72">
        <f t="shared" si="1"/>
        <v>33112</v>
      </c>
    </row>
    <row r="123" spans="1:41" ht="38.25" x14ac:dyDescent="0.25">
      <c r="A123" s="20" t="s">
        <v>777</v>
      </c>
      <c r="B123" s="20" t="s">
        <v>695</v>
      </c>
      <c r="C123" s="20" t="s">
        <v>573</v>
      </c>
      <c r="D123" s="38" t="s">
        <v>88</v>
      </c>
      <c r="E123" s="38"/>
      <c r="F123" s="48" t="s">
        <v>494</v>
      </c>
      <c r="G123" s="25" t="s">
        <v>132</v>
      </c>
      <c r="H123" s="39" t="s">
        <v>782</v>
      </c>
      <c r="I123" s="25" t="s">
        <v>132</v>
      </c>
      <c r="J123" s="25" t="s">
        <v>132</v>
      </c>
      <c r="K123" s="58" t="s">
        <v>783</v>
      </c>
      <c r="L123" s="62" t="s">
        <v>784</v>
      </c>
      <c r="M123" s="20" t="s">
        <v>785</v>
      </c>
      <c r="N123" s="28">
        <v>44603</v>
      </c>
      <c r="O123" s="67">
        <v>12107.3</v>
      </c>
      <c r="P123" s="39">
        <v>13247</v>
      </c>
      <c r="Q123" s="28">
        <v>44603</v>
      </c>
      <c r="R123" s="28">
        <v>44926</v>
      </c>
      <c r="S123" s="25" t="s">
        <v>759</v>
      </c>
      <c r="T123" s="39" t="s">
        <v>132</v>
      </c>
      <c r="U123" s="41" t="s">
        <v>190</v>
      </c>
      <c r="V123" s="67" t="s">
        <v>132</v>
      </c>
      <c r="W123" s="25" t="s">
        <v>112</v>
      </c>
      <c r="X123" s="25" t="s">
        <v>132</v>
      </c>
      <c r="Y123" s="25"/>
      <c r="Z123" s="25"/>
      <c r="AA123" s="25"/>
      <c r="AB123" s="25"/>
      <c r="AC123" s="25"/>
      <c r="AD123" s="25"/>
      <c r="AE123" s="25"/>
      <c r="AF123" s="25"/>
      <c r="AG123" s="67"/>
      <c r="AH123" s="67"/>
      <c r="AI123" s="25"/>
      <c r="AJ123" s="25"/>
      <c r="AK123" s="67"/>
      <c r="AL123" s="67"/>
      <c r="AM123" s="73">
        <f>4373</f>
        <v>4373</v>
      </c>
      <c r="AN123" s="73"/>
      <c r="AO123" s="72">
        <f t="shared" si="1"/>
        <v>4373</v>
      </c>
    </row>
    <row r="124" spans="1:41" ht="38.25" x14ac:dyDescent="0.25">
      <c r="A124" s="20" t="s">
        <v>781</v>
      </c>
      <c r="B124" s="20" t="s">
        <v>788</v>
      </c>
      <c r="C124" s="20" t="s">
        <v>787</v>
      </c>
      <c r="D124" s="38" t="s">
        <v>88</v>
      </c>
      <c r="E124" s="38"/>
      <c r="F124" s="48" t="s">
        <v>494</v>
      </c>
      <c r="G124" s="25" t="s">
        <v>132</v>
      </c>
      <c r="H124" s="39" t="s">
        <v>132</v>
      </c>
      <c r="I124" s="25" t="s">
        <v>132</v>
      </c>
      <c r="J124" s="25" t="s">
        <v>132</v>
      </c>
      <c r="K124" s="58" t="s">
        <v>789</v>
      </c>
      <c r="L124" s="62" t="s">
        <v>790</v>
      </c>
      <c r="M124" s="20" t="s">
        <v>791</v>
      </c>
      <c r="N124" s="28">
        <v>44857</v>
      </c>
      <c r="O124" s="67">
        <v>371000</v>
      </c>
      <c r="P124" s="39">
        <v>13184</v>
      </c>
      <c r="Q124" s="28">
        <v>44857</v>
      </c>
      <c r="R124" s="28">
        <v>44926</v>
      </c>
      <c r="S124" s="25" t="s">
        <v>798</v>
      </c>
      <c r="T124" s="39" t="s">
        <v>132</v>
      </c>
      <c r="U124" s="41" t="s">
        <v>190</v>
      </c>
      <c r="V124" s="67" t="s">
        <v>132</v>
      </c>
      <c r="W124" s="25" t="s">
        <v>735</v>
      </c>
      <c r="X124" s="25" t="s">
        <v>132</v>
      </c>
      <c r="Y124" s="25"/>
      <c r="Z124" s="25"/>
      <c r="AA124" s="25"/>
      <c r="AB124" s="25"/>
      <c r="AC124" s="25"/>
      <c r="AD124" s="25"/>
      <c r="AE124" s="25"/>
      <c r="AF124" s="25"/>
      <c r="AG124" s="67"/>
      <c r="AH124" s="67"/>
      <c r="AI124" s="25"/>
      <c r="AJ124" s="25"/>
      <c r="AK124" s="67"/>
      <c r="AL124" s="67"/>
      <c r="AM124" s="73">
        <f>371000</f>
        <v>371000</v>
      </c>
      <c r="AN124" s="73"/>
      <c r="AO124" s="72">
        <f t="shared" si="1"/>
        <v>371000</v>
      </c>
    </row>
    <row r="125" spans="1:41" ht="38.25" x14ac:dyDescent="0.25">
      <c r="A125" s="20" t="s">
        <v>786</v>
      </c>
      <c r="B125" s="20" t="s">
        <v>793</v>
      </c>
      <c r="C125" s="20" t="s">
        <v>794</v>
      </c>
      <c r="D125" s="38" t="s">
        <v>88</v>
      </c>
      <c r="E125" s="38"/>
      <c r="F125" s="48" t="s">
        <v>494</v>
      </c>
      <c r="G125" s="25" t="s">
        <v>132</v>
      </c>
      <c r="H125" s="39" t="s">
        <v>796</v>
      </c>
      <c r="I125" s="25" t="s">
        <v>132</v>
      </c>
      <c r="J125" s="25" t="s">
        <v>132</v>
      </c>
      <c r="K125" s="58" t="s">
        <v>795</v>
      </c>
      <c r="L125" s="62" t="s">
        <v>404</v>
      </c>
      <c r="M125" s="20" t="s">
        <v>405</v>
      </c>
      <c r="N125" s="28">
        <v>44628</v>
      </c>
      <c r="O125" s="67">
        <v>352445</v>
      </c>
      <c r="P125" s="39">
        <v>13244</v>
      </c>
      <c r="Q125" s="28">
        <v>44628</v>
      </c>
      <c r="R125" s="28">
        <v>44926</v>
      </c>
      <c r="S125" s="25" t="s">
        <v>759</v>
      </c>
      <c r="T125" s="39" t="s">
        <v>132</v>
      </c>
      <c r="U125" s="41" t="s">
        <v>190</v>
      </c>
      <c r="V125" s="67" t="s">
        <v>132</v>
      </c>
      <c r="W125" s="25" t="s">
        <v>112</v>
      </c>
      <c r="X125" s="25" t="s">
        <v>132</v>
      </c>
      <c r="Y125" s="25"/>
      <c r="Z125" s="25"/>
      <c r="AA125" s="25"/>
      <c r="AB125" s="25"/>
      <c r="AC125" s="25"/>
      <c r="AD125" s="25"/>
      <c r="AE125" s="25"/>
      <c r="AF125" s="25"/>
      <c r="AG125" s="67"/>
      <c r="AH125" s="67"/>
      <c r="AI125" s="25"/>
      <c r="AJ125" s="25"/>
      <c r="AK125" s="67"/>
      <c r="AL125" s="67"/>
      <c r="AM125" s="73">
        <f>533.63+633.98</f>
        <v>1167.6100000000001</v>
      </c>
      <c r="AN125" s="73">
        <f>517.48+1043.92</f>
        <v>1561.4</v>
      </c>
      <c r="AO125" s="72">
        <f t="shared" si="1"/>
        <v>2729.01</v>
      </c>
    </row>
    <row r="126" spans="1:41" ht="38.25" x14ac:dyDescent="0.25">
      <c r="A126" s="20" t="s">
        <v>792</v>
      </c>
      <c r="B126" s="20" t="s">
        <v>663</v>
      </c>
      <c r="C126" s="20" t="s">
        <v>662</v>
      </c>
      <c r="D126" s="38" t="s">
        <v>88</v>
      </c>
      <c r="E126" s="38"/>
      <c r="F126" s="48" t="s">
        <v>494</v>
      </c>
      <c r="G126" s="25" t="s">
        <v>132</v>
      </c>
      <c r="H126" s="39" t="s">
        <v>800</v>
      </c>
      <c r="I126" s="25" t="s">
        <v>132</v>
      </c>
      <c r="J126" s="25" t="s">
        <v>132</v>
      </c>
      <c r="K126" s="58" t="s">
        <v>801</v>
      </c>
      <c r="L126" s="62" t="s">
        <v>802</v>
      </c>
      <c r="M126" s="20" t="s">
        <v>803</v>
      </c>
      <c r="N126" s="28">
        <v>44656</v>
      </c>
      <c r="O126" s="67">
        <v>8792</v>
      </c>
      <c r="P126" s="39">
        <v>13272</v>
      </c>
      <c r="Q126" s="28">
        <v>44656</v>
      </c>
      <c r="R126" s="28">
        <v>44926</v>
      </c>
      <c r="S126" s="25" t="s">
        <v>759</v>
      </c>
      <c r="T126" s="39" t="s">
        <v>132</v>
      </c>
      <c r="U126" s="41" t="s">
        <v>190</v>
      </c>
      <c r="V126" s="67" t="s">
        <v>132</v>
      </c>
      <c r="W126" s="25" t="s">
        <v>112</v>
      </c>
      <c r="X126" s="25" t="s">
        <v>132</v>
      </c>
      <c r="Y126" s="25"/>
      <c r="Z126" s="25"/>
      <c r="AA126" s="25"/>
      <c r="AB126" s="25"/>
      <c r="AC126" s="25"/>
      <c r="AD126" s="25"/>
      <c r="AE126" s="25"/>
      <c r="AF126" s="25"/>
      <c r="AG126" s="67"/>
      <c r="AH126" s="67"/>
      <c r="AI126" s="25"/>
      <c r="AJ126" s="25"/>
      <c r="AK126" s="67"/>
      <c r="AL126" s="67"/>
      <c r="AM126" s="73">
        <f>6898.9</f>
        <v>6898.9</v>
      </c>
      <c r="AN126" s="73"/>
      <c r="AO126" s="72">
        <f t="shared" si="1"/>
        <v>6898.9</v>
      </c>
    </row>
    <row r="127" spans="1:41" ht="38.25" x14ac:dyDescent="0.25">
      <c r="A127" s="20" t="s">
        <v>799</v>
      </c>
      <c r="B127" s="20" t="s">
        <v>805</v>
      </c>
      <c r="C127" s="20" t="s">
        <v>544</v>
      </c>
      <c r="D127" s="38" t="s">
        <v>88</v>
      </c>
      <c r="E127" s="38"/>
      <c r="F127" s="48" t="s">
        <v>494</v>
      </c>
      <c r="G127" s="25" t="s">
        <v>132</v>
      </c>
      <c r="H127" s="39" t="s">
        <v>806</v>
      </c>
      <c r="I127" s="25" t="s">
        <v>132</v>
      </c>
      <c r="J127" s="25" t="s">
        <v>132</v>
      </c>
      <c r="K127" s="58" t="s">
        <v>807</v>
      </c>
      <c r="L127" s="62" t="s">
        <v>547</v>
      </c>
      <c r="M127" s="20" t="s">
        <v>586</v>
      </c>
      <c r="N127" s="28">
        <v>44900</v>
      </c>
      <c r="O127" s="67">
        <v>65000</v>
      </c>
      <c r="P127" s="39">
        <v>13425</v>
      </c>
      <c r="Q127" s="28">
        <v>44900</v>
      </c>
      <c r="R127" s="28">
        <v>44926</v>
      </c>
      <c r="S127" s="20" t="s">
        <v>832</v>
      </c>
      <c r="T127" s="39" t="s">
        <v>132</v>
      </c>
      <c r="U127" s="41" t="s">
        <v>190</v>
      </c>
      <c r="V127" s="67" t="s">
        <v>132</v>
      </c>
      <c r="W127" s="25" t="s">
        <v>112</v>
      </c>
      <c r="X127" s="25" t="s">
        <v>132</v>
      </c>
      <c r="Y127" s="25"/>
      <c r="Z127" s="25"/>
      <c r="AA127" s="25"/>
      <c r="AB127" s="25"/>
      <c r="AC127" s="25"/>
      <c r="AD127" s="25"/>
      <c r="AE127" s="25"/>
      <c r="AF127" s="25"/>
      <c r="AG127" s="67"/>
      <c r="AH127" s="67"/>
      <c r="AI127" s="25"/>
      <c r="AJ127" s="25"/>
      <c r="AK127" s="67"/>
      <c r="AL127" s="67"/>
      <c r="AM127" s="73">
        <f>3900+12593.75+5850+12187.5</f>
        <v>34531.25</v>
      </c>
      <c r="AN127" s="73">
        <f>8134.75</f>
        <v>8134.75</v>
      </c>
      <c r="AO127" s="72">
        <f t="shared" si="1"/>
        <v>42666</v>
      </c>
    </row>
    <row r="128" spans="1:41" ht="38.25" x14ac:dyDescent="0.25">
      <c r="A128" s="20" t="s">
        <v>804</v>
      </c>
      <c r="B128" s="20" t="s">
        <v>733</v>
      </c>
      <c r="C128" s="20" t="s">
        <v>482</v>
      </c>
      <c r="D128" s="38" t="s">
        <v>88</v>
      </c>
      <c r="E128" s="38"/>
      <c r="F128" s="48" t="s">
        <v>494</v>
      </c>
      <c r="G128" s="25" t="s">
        <v>132</v>
      </c>
      <c r="H128" s="39" t="s">
        <v>809</v>
      </c>
      <c r="I128" s="25" t="s">
        <v>132</v>
      </c>
      <c r="J128" s="25" t="s">
        <v>132</v>
      </c>
      <c r="K128" s="58" t="s">
        <v>810</v>
      </c>
      <c r="L128" s="62" t="s">
        <v>486</v>
      </c>
      <c r="M128" s="20" t="s">
        <v>487</v>
      </c>
      <c r="N128" s="28">
        <v>44648</v>
      </c>
      <c r="O128" s="67">
        <v>28702</v>
      </c>
      <c r="P128" s="39">
        <v>13259</v>
      </c>
      <c r="Q128" s="28">
        <v>44648</v>
      </c>
      <c r="R128" s="28">
        <v>44926</v>
      </c>
      <c r="S128" s="25" t="s">
        <v>759</v>
      </c>
      <c r="T128" s="39" t="s">
        <v>132</v>
      </c>
      <c r="U128" s="41" t="s">
        <v>190</v>
      </c>
      <c r="V128" s="67" t="s">
        <v>132</v>
      </c>
      <c r="W128" s="25" t="s">
        <v>112</v>
      </c>
      <c r="X128" s="25" t="s">
        <v>132</v>
      </c>
      <c r="Y128" s="25"/>
      <c r="Z128" s="25"/>
      <c r="AA128" s="25"/>
      <c r="AB128" s="25"/>
      <c r="AC128" s="25"/>
      <c r="AD128" s="25"/>
      <c r="AE128" s="25"/>
      <c r="AF128" s="25"/>
      <c r="AG128" s="67"/>
      <c r="AH128" s="67"/>
      <c r="AI128" s="25"/>
      <c r="AJ128" s="25"/>
      <c r="AK128" s="67"/>
      <c r="AL128" s="67"/>
      <c r="AM128" s="73">
        <f>7561+1200</f>
        <v>8761</v>
      </c>
      <c r="AN128" s="73">
        <f>3379.6+11456</f>
        <v>14835.6</v>
      </c>
      <c r="AO128" s="72">
        <f t="shared" si="1"/>
        <v>23596.6</v>
      </c>
    </row>
    <row r="129" spans="1:41" ht="38.25" x14ac:dyDescent="0.25">
      <c r="A129" s="20" t="s">
        <v>808</v>
      </c>
      <c r="B129" s="20" t="s">
        <v>813</v>
      </c>
      <c r="C129" s="20" t="s">
        <v>812</v>
      </c>
      <c r="D129" s="38" t="s">
        <v>88</v>
      </c>
      <c r="E129" s="38"/>
      <c r="F129" s="48" t="s">
        <v>494</v>
      </c>
      <c r="G129" s="25" t="s">
        <v>132</v>
      </c>
      <c r="H129" s="39" t="s">
        <v>814</v>
      </c>
      <c r="I129" s="25" t="s">
        <v>132</v>
      </c>
      <c r="J129" s="25" t="s">
        <v>132</v>
      </c>
      <c r="K129" s="58" t="s">
        <v>815</v>
      </c>
      <c r="L129" s="62" t="s">
        <v>816</v>
      </c>
      <c r="M129" s="20" t="s">
        <v>817</v>
      </c>
      <c r="N129" s="28">
        <v>44795</v>
      </c>
      <c r="O129" s="67">
        <v>16790</v>
      </c>
      <c r="P129" s="39">
        <v>13365</v>
      </c>
      <c r="Q129" s="28">
        <v>44795</v>
      </c>
      <c r="R129" s="28">
        <v>44926</v>
      </c>
      <c r="S129" s="20" t="s">
        <v>832</v>
      </c>
      <c r="T129" s="39" t="s">
        <v>132</v>
      </c>
      <c r="U129" s="41" t="s">
        <v>190</v>
      </c>
      <c r="V129" s="67" t="s">
        <v>132</v>
      </c>
      <c r="W129" s="20" t="s">
        <v>833</v>
      </c>
      <c r="X129" s="25" t="s">
        <v>132</v>
      </c>
      <c r="Y129" s="25"/>
      <c r="Z129" s="25"/>
      <c r="AA129" s="25"/>
      <c r="AB129" s="25"/>
      <c r="AC129" s="25"/>
      <c r="AD129" s="25"/>
      <c r="AE129" s="25"/>
      <c r="AF129" s="25"/>
      <c r="AG129" s="67"/>
      <c r="AH129" s="67"/>
      <c r="AI129" s="25"/>
      <c r="AJ129" s="25"/>
      <c r="AK129" s="67"/>
      <c r="AL129" s="67"/>
      <c r="AM129" s="73">
        <f>648</f>
        <v>648</v>
      </c>
      <c r="AN129" s="73"/>
      <c r="AO129" s="72">
        <f t="shared" si="1"/>
        <v>648</v>
      </c>
    </row>
    <row r="130" spans="1:41" ht="38.25" x14ac:dyDescent="0.25">
      <c r="A130" s="20" t="s">
        <v>811</v>
      </c>
      <c r="B130" s="20" t="s">
        <v>821</v>
      </c>
      <c r="C130" s="20" t="s">
        <v>819</v>
      </c>
      <c r="D130" s="38" t="s">
        <v>88</v>
      </c>
      <c r="E130" s="38"/>
      <c r="F130" s="48" t="s">
        <v>494</v>
      </c>
      <c r="G130" s="25" t="s">
        <v>132</v>
      </c>
      <c r="H130" s="39" t="s">
        <v>820</v>
      </c>
      <c r="I130" s="25" t="s">
        <v>132</v>
      </c>
      <c r="J130" s="25" t="s">
        <v>132</v>
      </c>
      <c r="K130" s="58" t="s">
        <v>822</v>
      </c>
      <c r="L130" s="62" t="s">
        <v>750</v>
      </c>
      <c r="M130" s="20" t="s">
        <v>823</v>
      </c>
      <c r="N130" s="28">
        <v>44777</v>
      </c>
      <c r="O130" s="67">
        <v>432.44</v>
      </c>
      <c r="P130" s="39">
        <v>13354</v>
      </c>
      <c r="Q130" s="28">
        <v>44777</v>
      </c>
      <c r="R130" s="28">
        <v>44926</v>
      </c>
      <c r="S130" s="20" t="s">
        <v>198</v>
      </c>
      <c r="T130" s="39" t="s">
        <v>132</v>
      </c>
      <c r="U130" s="41" t="s">
        <v>190</v>
      </c>
      <c r="V130" s="67" t="s">
        <v>132</v>
      </c>
      <c r="W130" s="20" t="s">
        <v>834</v>
      </c>
      <c r="X130" s="25" t="s">
        <v>132</v>
      </c>
      <c r="Y130" s="25"/>
      <c r="Z130" s="25"/>
      <c r="AA130" s="25"/>
      <c r="AB130" s="25"/>
      <c r="AC130" s="25"/>
      <c r="AD130" s="25"/>
      <c r="AE130" s="25"/>
      <c r="AF130" s="25"/>
      <c r="AG130" s="67"/>
      <c r="AH130" s="67"/>
      <c r="AI130" s="25"/>
      <c r="AJ130" s="25"/>
      <c r="AK130" s="67"/>
      <c r="AL130" s="67"/>
      <c r="AM130" s="73">
        <f>432.44</f>
        <v>432.44</v>
      </c>
      <c r="AN130" s="73"/>
      <c r="AO130" s="72">
        <f t="shared" si="1"/>
        <v>432.44</v>
      </c>
    </row>
    <row r="131" spans="1:41" ht="38.25" x14ac:dyDescent="0.25">
      <c r="A131" s="20" t="s">
        <v>818</v>
      </c>
      <c r="B131" s="20" t="s">
        <v>827</v>
      </c>
      <c r="C131" s="20" t="s">
        <v>825</v>
      </c>
      <c r="D131" s="38" t="s">
        <v>88</v>
      </c>
      <c r="E131" s="38"/>
      <c r="F131" s="48" t="s">
        <v>494</v>
      </c>
      <c r="G131" s="25" t="s">
        <v>132</v>
      </c>
      <c r="H131" s="39" t="s">
        <v>826</v>
      </c>
      <c r="I131" s="25" t="s">
        <v>132</v>
      </c>
      <c r="J131" s="25" t="s">
        <v>132</v>
      </c>
      <c r="K131" s="58" t="s">
        <v>828</v>
      </c>
      <c r="L131" s="62" t="s">
        <v>423</v>
      </c>
      <c r="M131" s="20" t="s">
        <v>441</v>
      </c>
      <c r="N131" s="28">
        <v>44603</v>
      </c>
      <c r="O131" s="67">
        <v>30918.44</v>
      </c>
      <c r="P131" s="39">
        <v>13233</v>
      </c>
      <c r="Q131" s="28">
        <v>44603</v>
      </c>
      <c r="R131" s="28">
        <v>44926</v>
      </c>
      <c r="S131" s="25" t="s">
        <v>759</v>
      </c>
      <c r="T131" s="39" t="s">
        <v>132</v>
      </c>
      <c r="U131" s="41" t="s">
        <v>190</v>
      </c>
      <c r="V131" s="67" t="s">
        <v>132</v>
      </c>
      <c r="W131" s="25" t="s">
        <v>112</v>
      </c>
      <c r="X131" s="25" t="s">
        <v>132</v>
      </c>
      <c r="Y131" s="25"/>
      <c r="Z131" s="25"/>
      <c r="AA131" s="25"/>
      <c r="AB131" s="25"/>
      <c r="AC131" s="25"/>
      <c r="AD131" s="25"/>
      <c r="AE131" s="25"/>
      <c r="AF131" s="25"/>
      <c r="AG131" s="67"/>
      <c r="AH131" s="67"/>
      <c r="AI131" s="25"/>
      <c r="AJ131" s="25"/>
      <c r="AK131" s="67"/>
      <c r="AL131" s="67"/>
      <c r="AM131" s="73">
        <f>17562.94+2080.05</f>
        <v>19642.989999999998</v>
      </c>
      <c r="AN131" s="73"/>
      <c r="AO131" s="72">
        <f t="shared" si="1"/>
        <v>19642.989999999998</v>
      </c>
    </row>
    <row r="132" spans="1:41" ht="38.25" x14ac:dyDescent="0.25">
      <c r="A132" s="20" t="s">
        <v>824</v>
      </c>
      <c r="B132" s="20" t="s">
        <v>716</v>
      </c>
      <c r="C132" s="20" t="s">
        <v>476</v>
      </c>
      <c r="D132" s="38" t="s">
        <v>88</v>
      </c>
      <c r="E132" s="38"/>
      <c r="F132" s="48" t="s">
        <v>494</v>
      </c>
      <c r="G132" s="25" t="s">
        <v>132</v>
      </c>
      <c r="H132" s="39" t="s">
        <v>830</v>
      </c>
      <c r="I132" s="25" t="s">
        <v>132</v>
      </c>
      <c r="J132" s="25" t="s">
        <v>132</v>
      </c>
      <c r="K132" s="58" t="s">
        <v>831</v>
      </c>
      <c r="L132" s="62" t="s">
        <v>479</v>
      </c>
      <c r="M132" s="20" t="s">
        <v>480</v>
      </c>
      <c r="N132" s="28">
        <v>44606</v>
      </c>
      <c r="O132" s="67">
        <v>90780</v>
      </c>
      <c r="P132" s="39">
        <v>13229</v>
      </c>
      <c r="Q132" s="28">
        <v>44606</v>
      </c>
      <c r="R132" s="28">
        <v>44926</v>
      </c>
      <c r="S132" s="25" t="s">
        <v>759</v>
      </c>
      <c r="T132" s="39" t="s">
        <v>132</v>
      </c>
      <c r="U132" s="41" t="s">
        <v>190</v>
      </c>
      <c r="V132" s="67" t="s">
        <v>132</v>
      </c>
      <c r="W132" s="25" t="s">
        <v>112</v>
      </c>
      <c r="X132" s="25" t="s">
        <v>132</v>
      </c>
      <c r="Y132" s="25"/>
      <c r="Z132" s="25"/>
      <c r="AA132" s="25"/>
      <c r="AB132" s="25"/>
      <c r="AC132" s="25"/>
      <c r="AD132" s="25"/>
      <c r="AE132" s="25"/>
      <c r="AF132" s="25"/>
      <c r="AG132" s="67"/>
      <c r="AH132" s="67"/>
      <c r="AI132" s="25"/>
      <c r="AJ132" s="25"/>
      <c r="AK132" s="67"/>
      <c r="AL132" s="67"/>
      <c r="AM132" s="73">
        <f>22695</f>
        <v>22695</v>
      </c>
      <c r="AN132" s="73">
        <f>15130</f>
        <v>15130</v>
      </c>
      <c r="AO132" s="72">
        <f t="shared" si="1"/>
        <v>37825</v>
      </c>
    </row>
    <row r="133" spans="1:41" ht="38.25" x14ac:dyDescent="0.25">
      <c r="A133" s="20" t="s">
        <v>829</v>
      </c>
      <c r="B133" s="20" t="s">
        <v>665</v>
      </c>
      <c r="C133" s="20" t="s">
        <v>666</v>
      </c>
      <c r="D133" s="38" t="s">
        <v>88</v>
      </c>
      <c r="E133" s="38"/>
      <c r="F133" s="48" t="s">
        <v>494</v>
      </c>
      <c r="G133" s="25" t="s">
        <v>132</v>
      </c>
      <c r="H133" s="39" t="s">
        <v>840</v>
      </c>
      <c r="I133" s="25" t="s">
        <v>132</v>
      </c>
      <c r="J133" s="25" t="s">
        <v>132</v>
      </c>
      <c r="K133" s="58" t="s">
        <v>841</v>
      </c>
      <c r="L133" s="62" t="s">
        <v>842</v>
      </c>
      <c r="M133" s="20" t="s">
        <v>843</v>
      </c>
      <c r="N133" s="28">
        <v>44671</v>
      </c>
      <c r="O133" s="67">
        <v>83590</v>
      </c>
      <c r="P133" s="39">
        <v>13274</v>
      </c>
      <c r="Q133" s="28">
        <v>44671</v>
      </c>
      <c r="R133" s="28">
        <v>44926</v>
      </c>
      <c r="S133" s="25" t="s">
        <v>850</v>
      </c>
      <c r="T133" s="39" t="s">
        <v>132</v>
      </c>
      <c r="U133" s="41" t="s">
        <v>190</v>
      </c>
      <c r="V133" s="67" t="s">
        <v>132</v>
      </c>
      <c r="W133" s="25" t="s">
        <v>112</v>
      </c>
      <c r="X133" s="25" t="s">
        <v>132</v>
      </c>
      <c r="Y133" s="25"/>
      <c r="Z133" s="25"/>
      <c r="AA133" s="25"/>
      <c r="AB133" s="25"/>
      <c r="AC133" s="25"/>
      <c r="AD133" s="25"/>
      <c r="AE133" s="25"/>
      <c r="AF133" s="25"/>
      <c r="AG133" s="67"/>
      <c r="AH133" s="67"/>
      <c r="AI133" s="25"/>
      <c r="AJ133" s="25"/>
      <c r="AK133" s="67"/>
      <c r="AL133" s="67"/>
      <c r="AM133" s="73"/>
      <c r="AN133" s="73">
        <f>3211</f>
        <v>3211</v>
      </c>
      <c r="AO133" s="72">
        <f t="shared" si="1"/>
        <v>3211</v>
      </c>
    </row>
    <row r="134" spans="1:41" ht="38.25" x14ac:dyDescent="0.25">
      <c r="A134" s="20" t="s">
        <v>839</v>
      </c>
      <c r="B134" s="20" t="s">
        <v>848</v>
      </c>
      <c r="C134" s="20" t="s">
        <v>847</v>
      </c>
      <c r="D134" s="38" t="s">
        <v>88</v>
      </c>
      <c r="E134" s="38"/>
      <c r="F134" s="48" t="s">
        <v>494</v>
      </c>
      <c r="G134" s="25" t="s">
        <v>132</v>
      </c>
      <c r="H134" s="39" t="s">
        <v>846</v>
      </c>
      <c r="I134" s="25" t="s">
        <v>132</v>
      </c>
      <c r="J134" s="25" t="s">
        <v>132</v>
      </c>
      <c r="K134" s="58" t="s">
        <v>845</v>
      </c>
      <c r="L134" s="62" t="s">
        <v>566</v>
      </c>
      <c r="M134" s="20" t="s">
        <v>849</v>
      </c>
      <c r="N134" s="28">
        <v>44650</v>
      </c>
      <c r="O134" s="46">
        <v>319560</v>
      </c>
      <c r="P134" s="24">
        <v>13259</v>
      </c>
      <c r="Q134" s="23">
        <v>44650</v>
      </c>
      <c r="R134" s="23">
        <v>45014</v>
      </c>
      <c r="S134" s="20" t="s">
        <v>198</v>
      </c>
      <c r="T134" s="20" t="s">
        <v>132</v>
      </c>
      <c r="U134" s="20" t="s">
        <v>190</v>
      </c>
      <c r="V134" s="46" t="s">
        <v>132</v>
      </c>
      <c r="W134" s="20" t="s">
        <v>111</v>
      </c>
      <c r="X134" s="25" t="s">
        <v>132</v>
      </c>
      <c r="Y134" s="25">
        <v>1</v>
      </c>
      <c r="Z134" s="28">
        <v>45014</v>
      </c>
      <c r="AA134" s="39">
        <v>13504</v>
      </c>
      <c r="AB134" s="25" t="s">
        <v>114</v>
      </c>
      <c r="AC134" s="28">
        <v>45015</v>
      </c>
      <c r="AD134" s="28">
        <v>45380</v>
      </c>
      <c r="AE134" s="25"/>
      <c r="AF134" s="25"/>
      <c r="AG134" s="67"/>
      <c r="AH134" s="67"/>
      <c r="AI134" s="25"/>
      <c r="AJ134" s="25"/>
      <c r="AK134" s="67"/>
      <c r="AL134" s="67"/>
      <c r="AM134" s="73"/>
      <c r="AN134" s="73">
        <f>1915.54</f>
        <v>1915.54</v>
      </c>
      <c r="AO134" s="72">
        <f t="shared" si="1"/>
        <v>1915.54</v>
      </c>
    </row>
    <row r="135" spans="1:41" ht="38.25" x14ac:dyDescent="0.25">
      <c r="A135" s="20" t="s">
        <v>844</v>
      </c>
      <c r="B135" s="20" t="s">
        <v>854</v>
      </c>
      <c r="C135" s="20" t="s">
        <v>506</v>
      </c>
      <c r="D135" s="38" t="s">
        <v>88</v>
      </c>
      <c r="E135" s="38"/>
      <c r="F135" s="48" t="s">
        <v>494</v>
      </c>
      <c r="G135" s="25" t="s">
        <v>132</v>
      </c>
      <c r="H135" s="39" t="s">
        <v>853</v>
      </c>
      <c r="I135" s="25" t="s">
        <v>132</v>
      </c>
      <c r="J135" s="25" t="s">
        <v>132</v>
      </c>
      <c r="K135" s="58" t="s">
        <v>852</v>
      </c>
      <c r="L135" s="62" t="s">
        <v>855</v>
      </c>
      <c r="M135" s="20" t="s">
        <v>856</v>
      </c>
      <c r="N135" s="28">
        <v>44903</v>
      </c>
      <c r="O135" s="46">
        <v>18768</v>
      </c>
      <c r="P135" s="24">
        <v>13429</v>
      </c>
      <c r="Q135" s="23">
        <v>44903</v>
      </c>
      <c r="R135" s="23">
        <v>44926</v>
      </c>
      <c r="S135" s="20" t="s">
        <v>871</v>
      </c>
      <c r="T135" s="20" t="s">
        <v>132</v>
      </c>
      <c r="U135" s="20" t="s">
        <v>190</v>
      </c>
      <c r="V135" s="46" t="s">
        <v>132</v>
      </c>
      <c r="W135" s="20" t="s">
        <v>112</v>
      </c>
      <c r="X135" s="25" t="s">
        <v>132</v>
      </c>
      <c r="Y135" s="25"/>
      <c r="Z135" s="25"/>
      <c r="AA135" s="25"/>
      <c r="AB135" s="25"/>
      <c r="AC135" s="25"/>
      <c r="AD135" s="25"/>
      <c r="AE135" s="25"/>
      <c r="AF135" s="25"/>
      <c r="AG135" s="67"/>
      <c r="AH135" s="67"/>
      <c r="AI135" s="25"/>
      <c r="AJ135" s="25"/>
      <c r="AK135" s="67"/>
      <c r="AL135" s="67"/>
      <c r="AM135" s="73"/>
      <c r="AN135" s="73">
        <f>400+6249.5+760+11358.5</f>
        <v>18768</v>
      </c>
      <c r="AO135" s="72">
        <f t="shared" si="1"/>
        <v>18768</v>
      </c>
    </row>
    <row r="136" spans="1:41" ht="38.25" x14ac:dyDescent="0.25">
      <c r="A136" s="20" t="s">
        <v>851</v>
      </c>
      <c r="B136" s="20" t="s">
        <v>695</v>
      </c>
      <c r="C136" s="20" t="s">
        <v>573</v>
      </c>
      <c r="D136" s="38" t="s">
        <v>88</v>
      </c>
      <c r="E136" s="38"/>
      <c r="F136" s="48" t="s">
        <v>494</v>
      </c>
      <c r="G136" s="25" t="s">
        <v>132</v>
      </c>
      <c r="H136" s="39" t="s">
        <v>859</v>
      </c>
      <c r="I136" s="25" t="s">
        <v>132</v>
      </c>
      <c r="J136" s="25" t="s">
        <v>132</v>
      </c>
      <c r="K136" s="58" t="s">
        <v>858</v>
      </c>
      <c r="L136" s="62" t="s">
        <v>626</v>
      </c>
      <c r="M136" s="20" t="s">
        <v>634</v>
      </c>
      <c r="N136" s="28">
        <v>44603</v>
      </c>
      <c r="O136" s="46">
        <v>12940.2</v>
      </c>
      <c r="P136" s="24">
        <v>13250</v>
      </c>
      <c r="Q136" s="23">
        <v>44603</v>
      </c>
      <c r="R136" s="23">
        <v>44926</v>
      </c>
      <c r="S136" s="20" t="s">
        <v>759</v>
      </c>
      <c r="T136" s="20" t="s">
        <v>132</v>
      </c>
      <c r="U136" s="20" t="s">
        <v>190</v>
      </c>
      <c r="V136" s="46" t="s">
        <v>132</v>
      </c>
      <c r="W136" s="20" t="s">
        <v>112</v>
      </c>
      <c r="X136" s="25" t="s">
        <v>132</v>
      </c>
      <c r="Y136" s="25"/>
      <c r="Z136" s="25"/>
      <c r="AA136" s="25"/>
      <c r="AB136" s="25"/>
      <c r="AC136" s="25"/>
      <c r="AD136" s="25"/>
      <c r="AE136" s="25"/>
      <c r="AF136" s="25"/>
      <c r="AG136" s="67"/>
      <c r="AH136" s="67"/>
      <c r="AI136" s="25"/>
      <c r="AJ136" s="25"/>
      <c r="AK136" s="67"/>
      <c r="AL136" s="67"/>
      <c r="AM136" s="73"/>
      <c r="AN136" s="73">
        <f>4977</f>
        <v>4977</v>
      </c>
      <c r="AO136" s="72">
        <f t="shared" si="1"/>
        <v>4977</v>
      </c>
    </row>
    <row r="137" spans="1:41" ht="38.25" x14ac:dyDescent="0.25">
      <c r="A137" s="20" t="s">
        <v>857</v>
      </c>
      <c r="B137" s="20" t="s">
        <v>778</v>
      </c>
      <c r="C137" s="20" t="s">
        <v>502</v>
      </c>
      <c r="D137" s="38" t="s">
        <v>88</v>
      </c>
      <c r="E137" s="38"/>
      <c r="F137" s="48" t="s">
        <v>494</v>
      </c>
      <c r="G137" s="25" t="s">
        <v>132</v>
      </c>
      <c r="H137" s="39" t="s">
        <v>862</v>
      </c>
      <c r="I137" s="25" t="s">
        <v>132</v>
      </c>
      <c r="J137" s="25" t="s">
        <v>132</v>
      </c>
      <c r="K137" s="58" t="s">
        <v>861</v>
      </c>
      <c r="L137" s="62" t="s">
        <v>500</v>
      </c>
      <c r="M137" s="20" t="s">
        <v>501</v>
      </c>
      <c r="N137" s="28">
        <v>44825</v>
      </c>
      <c r="O137" s="46">
        <v>66224</v>
      </c>
      <c r="P137" s="24">
        <v>13408</v>
      </c>
      <c r="Q137" s="23">
        <v>44825</v>
      </c>
      <c r="R137" s="23">
        <v>44926</v>
      </c>
      <c r="S137" s="20" t="s">
        <v>872</v>
      </c>
      <c r="T137" s="20" t="s">
        <v>132</v>
      </c>
      <c r="U137" s="20" t="s">
        <v>190</v>
      </c>
      <c r="V137" s="46" t="s">
        <v>132</v>
      </c>
      <c r="W137" s="20" t="s">
        <v>873</v>
      </c>
      <c r="X137" s="25" t="s">
        <v>132</v>
      </c>
      <c r="Y137" s="25"/>
      <c r="Z137" s="25"/>
      <c r="AA137" s="25"/>
      <c r="AB137" s="25"/>
      <c r="AC137" s="25"/>
      <c r="AD137" s="25"/>
      <c r="AE137" s="25"/>
      <c r="AF137" s="25"/>
      <c r="AG137" s="67"/>
      <c r="AH137" s="67"/>
      <c r="AI137" s="25"/>
      <c r="AJ137" s="25"/>
      <c r="AK137" s="67"/>
      <c r="AL137" s="67"/>
      <c r="AM137" s="73"/>
      <c r="AN137" s="73">
        <f>14569.28</f>
        <v>14569.28</v>
      </c>
      <c r="AO137" s="72">
        <f t="shared" si="1"/>
        <v>14569.28</v>
      </c>
    </row>
    <row r="138" spans="1:41" ht="38.25" x14ac:dyDescent="0.25">
      <c r="A138" s="20" t="s">
        <v>860</v>
      </c>
      <c r="B138" s="20" t="s">
        <v>868</v>
      </c>
      <c r="C138" s="20" t="s">
        <v>552</v>
      </c>
      <c r="D138" s="38" t="s">
        <v>88</v>
      </c>
      <c r="E138" s="38"/>
      <c r="F138" s="48" t="s">
        <v>494</v>
      </c>
      <c r="G138" s="25" t="s">
        <v>132</v>
      </c>
      <c r="H138" s="39" t="s">
        <v>867</v>
      </c>
      <c r="I138" s="25" t="s">
        <v>132</v>
      </c>
      <c r="J138" s="25" t="s">
        <v>132</v>
      </c>
      <c r="K138" s="58" t="s">
        <v>866</v>
      </c>
      <c r="L138" s="62" t="s">
        <v>869</v>
      </c>
      <c r="M138" s="20" t="s">
        <v>870</v>
      </c>
      <c r="N138" s="28">
        <v>43950</v>
      </c>
      <c r="O138" s="46">
        <v>39000</v>
      </c>
      <c r="P138" s="24">
        <v>12797</v>
      </c>
      <c r="Q138" s="23">
        <v>43950</v>
      </c>
      <c r="R138" s="23">
        <v>44196</v>
      </c>
      <c r="S138" s="20" t="s">
        <v>198</v>
      </c>
      <c r="T138" s="20" t="s">
        <v>132</v>
      </c>
      <c r="U138" s="20" t="s">
        <v>190</v>
      </c>
      <c r="V138" s="46" t="s">
        <v>132</v>
      </c>
      <c r="W138" s="20" t="s">
        <v>111</v>
      </c>
      <c r="X138" s="25" t="s">
        <v>132</v>
      </c>
      <c r="Y138" s="25">
        <v>3</v>
      </c>
      <c r="Z138" s="28">
        <v>44921</v>
      </c>
      <c r="AA138" s="39">
        <v>13440</v>
      </c>
      <c r="AB138" s="25" t="s">
        <v>114</v>
      </c>
      <c r="AC138" s="28">
        <v>44927</v>
      </c>
      <c r="AD138" s="28">
        <v>45291</v>
      </c>
      <c r="AE138" s="25"/>
      <c r="AF138" s="25"/>
      <c r="AG138" s="67"/>
      <c r="AH138" s="67"/>
      <c r="AI138" s="25"/>
      <c r="AJ138" s="25"/>
      <c r="AK138" s="67"/>
      <c r="AL138" s="67"/>
      <c r="AM138" s="73"/>
      <c r="AN138" s="73">
        <f>7939.75</f>
        <v>7939.75</v>
      </c>
      <c r="AO138" s="72">
        <f t="shared" si="1"/>
        <v>7939.75</v>
      </c>
    </row>
    <row r="139" spans="1:41" ht="38.25" x14ac:dyDescent="0.25">
      <c r="A139" s="20" t="s">
        <v>863</v>
      </c>
      <c r="B139" s="20" t="s">
        <v>865</v>
      </c>
      <c r="C139" s="20" t="s">
        <v>819</v>
      </c>
      <c r="D139" s="38" t="s">
        <v>88</v>
      </c>
      <c r="E139" s="38"/>
      <c r="F139" s="48" t="s">
        <v>494</v>
      </c>
      <c r="G139" s="25" t="s">
        <v>132</v>
      </c>
      <c r="H139" s="39" t="s">
        <v>820</v>
      </c>
      <c r="I139" s="25" t="s">
        <v>132</v>
      </c>
      <c r="J139" s="25" t="s">
        <v>132</v>
      </c>
      <c r="K139" s="58" t="s">
        <v>864</v>
      </c>
      <c r="L139" s="62" t="s">
        <v>747</v>
      </c>
      <c r="M139" s="20" t="s">
        <v>635</v>
      </c>
      <c r="N139" s="28">
        <v>44777</v>
      </c>
      <c r="O139" s="46">
        <v>2900</v>
      </c>
      <c r="P139" s="24">
        <v>13350</v>
      </c>
      <c r="Q139" s="23">
        <v>44777</v>
      </c>
      <c r="R139" s="23">
        <v>44926</v>
      </c>
      <c r="S139" s="20" t="s">
        <v>198</v>
      </c>
      <c r="T139" s="20" t="s">
        <v>132</v>
      </c>
      <c r="U139" s="20" t="s">
        <v>190</v>
      </c>
      <c r="V139" s="46" t="s">
        <v>132</v>
      </c>
      <c r="W139" s="20" t="s">
        <v>735</v>
      </c>
      <c r="X139" s="25" t="s">
        <v>132</v>
      </c>
      <c r="Y139" s="25"/>
      <c r="Z139" s="25"/>
      <c r="AA139" s="25"/>
      <c r="AB139" s="25"/>
      <c r="AC139" s="25"/>
      <c r="AD139" s="25"/>
      <c r="AE139" s="25"/>
      <c r="AF139" s="25"/>
      <c r="AG139" s="67"/>
      <c r="AH139" s="67"/>
      <c r="AI139" s="25"/>
      <c r="AJ139" s="25"/>
      <c r="AK139" s="67"/>
      <c r="AL139" s="67"/>
      <c r="AM139" s="73"/>
      <c r="AN139" s="73">
        <f>2900</f>
        <v>2900</v>
      </c>
      <c r="AO139" s="72">
        <f t="shared" si="1"/>
        <v>2900</v>
      </c>
    </row>
    <row r="140" spans="1:41" ht="39" thickBot="1" x14ac:dyDescent="0.3">
      <c r="A140" s="35" t="s">
        <v>863</v>
      </c>
      <c r="B140" s="35"/>
      <c r="C140" s="35"/>
      <c r="D140" s="74"/>
      <c r="E140" s="74"/>
      <c r="F140" s="75"/>
      <c r="G140" s="76"/>
      <c r="H140" s="77"/>
      <c r="I140" s="78"/>
      <c r="J140" s="78"/>
      <c r="K140" s="79"/>
      <c r="L140" s="80" t="s">
        <v>277</v>
      </c>
      <c r="M140" s="35"/>
      <c r="N140" s="78"/>
      <c r="O140" s="81"/>
      <c r="P140" s="77"/>
      <c r="Q140" s="78"/>
      <c r="R140" s="78"/>
      <c r="S140" s="74"/>
      <c r="T140" s="41"/>
      <c r="U140" s="41"/>
      <c r="V140" s="8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81"/>
      <c r="AH140" s="81"/>
      <c r="AI140" s="41"/>
      <c r="AJ140" s="41"/>
      <c r="AK140" s="81"/>
      <c r="AL140" s="81"/>
      <c r="AM140" s="82">
        <v>7743268.9800000004</v>
      </c>
      <c r="AN140" s="82">
        <f>15535.46+11300+26950+71344.14+64358.02+23961.82+99.66+216.71+104.01+690.88+11677.5+434.77+893.2+14884.8+66964.5+48973.36+59399.95+9850+26950+14530.38+23919.82+66932.57+14884.8+11677.5+1759.03+99.66+84069.17+11677.5+300000+61.4+400000+99.66+14884.8+22659.82+11152+14340.64+32645.29+68707.64+60213.38+2154.64</f>
        <v>1611058.48</v>
      </c>
      <c r="AO140" s="83">
        <f t="shared" si="1"/>
        <v>9354327.4600000009</v>
      </c>
    </row>
    <row r="141" spans="1:41" ht="13.5" thickBot="1" x14ac:dyDescent="0.3">
      <c r="A141" s="85" t="s">
        <v>879</v>
      </c>
      <c r="B141" s="86"/>
      <c r="C141" s="86"/>
      <c r="D141" s="86"/>
      <c r="E141" s="87"/>
      <c r="F141" s="88"/>
      <c r="G141" s="89"/>
      <c r="H141" s="89"/>
      <c r="I141" s="89"/>
      <c r="J141" s="89"/>
      <c r="K141" s="89"/>
      <c r="L141" s="90"/>
      <c r="M141" s="89"/>
      <c r="N141" s="89"/>
      <c r="O141" s="91">
        <f>SUM(O19:O140)</f>
        <v>30945848.469999995</v>
      </c>
      <c r="P141" s="88"/>
      <c r="Q141" s="88"/>
      <c r="R141" s="88"/>
      <c r="S141" s="88"/>
      <c r="T141" s="89"/>
      <c r="U141" s="88"/>
      <c r="V141" s="92"/>
      <c r="W141" s="88"/>
      <c r="X141" s="88"/>
      <c r="Y141" s="88"/>
      <c r="Z141" s="89"/>
      <c r="AA141" s="88"/>
      <c r="AB141" s="88"/>
      <c r="AC141" s="88"/>
      <c r="AD141" s="88"/>
      <c r="AE141" s="88"/>
      <c r="AF141" s="88"/>
      <c r="AG141" s="91">
        <f>SUM(AG19:AG140)</f>
        <v>149.78</v>
      </c>
      <c r="AH141" s="91">
        <f>SUM(AH19:AH140)</f>
        <v>0</v>
      </c>
      <c r="AI141" s="93"/>
      <c r="AJ141" s="93"/>
      <c r="AK141" s="92"/>
      <c r="AL141" s="91">
        <f>SUM(AL19:AL140)</f>
        <v>0</v>
      </c>
      <c r="AM141" s="91">
        <f>SUM(AM19:AM140)</f>
        <v>30930019.149999995</v>
      </c>
      <c r="AN141" s="91">
        <f>SUM(AN19:AN140)</f>
        <v>4615677.3699999992</v>
      </c>
      <c r="AO141" s="94">
        <f>AN141+AM141</f>
        <v>35545696.519999996</v>
      </c>
    </row>
    <row r="142" spans="1:41" s="4" customFormat="1" x14ac:dyDescent="0.2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95"/>
      <c r="P142" s="84"/>
      <c r="Q142" s="84"/>
      <c r="R142" s="84"/>
      <c r="S142" s="84"/>
      <c r="T142" s="84"/>
      <c r="U142" s="84"/>
      <c r="V142" s="95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95"/>
      <c r="AH142" s="95"/>
      <c r="AI142" s="129"/>
      <c r="AJ142" s="129"/>
      <c r="AK142" s="95"/>
      <c r="AL142" s="95"/>
      <c r="AM142" s="95"/>
      <c r="AN142" s="95"/>
      <c r="AO142" s="95"/>
    </row>
    <row r="143" spans="1:41" s="50" customFormat="1" x14ac:dyDescent="0.25">
      <c r="A143" s="84" t="s">
        <v>874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M143" s="84"/>
      <c r="N143" s="84"/>
      <c r="O143" s="95"/>
      <c r="P143" s="84"/>
      <c r="Q143" s="84"/>
      <c r="R143" s="84"/>
      <c r="S143" s="84"/>
      <c r="T143" s="84"/>
      <c r="U143" s="84"/>
      <c r="V143" s="95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95"/>
      <c r="AH143" s="95"/>
      <c r="AI143" s="84"/>
      <c r="AK143" s="130"/>
      <c r="AL143" s="130"/>
      <c r="AM143" s="130"/>
      <c r="AN143" s="130"/>
      <c r="AO143" s="130"/>
    </row>
    <row r="144" spans="1:41" s="50" customFormat="1" x14ac:dyDescent="0.25">
      <c r="A144" s="50" t="s">
        <v>880</v>
      </c>
      <c r="O144" s="130"/>
      <c r="V144" s="130"/>
      <c r="AG144" s="130"/>
      <c r="AH144" s="130"/>
      <c r="AK144" s="130"/>
      <c r="AL144" s="130"/>
      <c r="AM144" s="130"/>
      <c r="AN144" s="130"/>
      <c r="AO144" s="130"/>
    </row>
    <row r="145" spans="1:41" s="50" customFormat="1" x14ac:dyDescent="0.25">
      <c r="A145" s="50" t="s">
        <v>881</v>
      </c>
      <c r="O145" s="130"/>
      <c r="V145" s="130"/>
      <c r="AG145" s="130"/>
      <c r="AH145" s="130"/>
      <c r="AK145" s="130"/>
      <c r="AL145" s="130"/>
      <c r="AM145" s="130"/>
      <c r="AN145" s="130"/>
      <c r="AO145" s="130"/>
    </row>
    <row r="146" spans="1:41" s="4" customFormat="1" x14ac:dyDescent="0.25">
      <c r="K146" s="50"/>
      <c r="L146" s="50"/>
      <c r="O146" s="131"/>
      <c r="V146" s="131"/>
      <c r="AG146" s="131"/>
      <c r="AH146" s="131"/>
      <c r="AK146" s="131"/>
      <c r="AL146" s="131"/>
      <c r="AM146" s="131"/>
      <c r="AN146" s="131"/>
      <c r="AO146" s="131"/>
    </row>
    <row r="147" spans="1:41" s="4" customFormat="1" x14ac:dyDescent="0.25">
      <c r="K147" s="50"/>
      <c r="L147" s="50"/>
      <c r="O147" s="131"/>
      <c r="V147" s="131"/>
      <c r="AG147" s="131"/>
      <c r="AH147" s="131"/>
      <c r="AK147" s="131"/>
      <c r="AL147" s="131"/>
      <c r="AM147" s="131"/>
      <c r="AN147" s="131"/>
      <c r="AO147" s="131"/>
    </row>
    <row r="148" spans="1:41" s="4" customFormat="1" x14ac:dyDescent="0.25">
      <c r="K148" s="50"/>
      <c r="L148" s="50"/>
      <c r="O148" s="131"/>
      <c r="V148" s="131"/>
      <c r="AG148" s="131"/>
      <c r="AH148" s="131"/>
      <c r="AK148" s="131"/>
      <c r="AL148" s="131"/>
      <c r="AM148" s="131"/>
      <c r="AN148" s="131"/>
      <c r="AO148" s="131"/>
    </row>
    <row r="149" spans="1:41" s="4" customFormat="1" x14ac:dyDescent="0.25">
      <c r="K149" s="50"/>
      <c r="L149" s="50"/>
      <c r="O149" s="131"/>
      <c r="V149" s="131"/>
      <c r="AG149" s="131"/>
      <c r="AH149" s="131"/>
      <c r="AK149" s="131"/>
      <c r="AL149" s="131"/>
      <c r="AM149" s="131"/>
      <c r="AN149" s="131"/>
      <c r="AO149" s="131"/>
    </row>
    <row r="150" spans="1:41" s="4" customFormat="1" x14ac:dyDescent="0.25">
      <c r="K150" s="50"/>
      <c r="L150" s="50"/>
      <c r="O150" s="131"/>
      <c r="V150" s="131"/>
      <c r="AG150" s="131"/>
      <c r="AH150" s="131"/>
      <c r="AK150" s="131"/>
      <c r="AL150" s="131"/>
      <c r="AM150" s="131"/>
      <c r="AN150" s="131"/>
      <c r="AO150" s="131"/>
    </row>
    <row r="151" spans="1:41" x14ac:dyDescent="0.25">
      <c r="B151" s="3"/>
      <c r="C151" s="1"/>
      <c r="D151" s="1"/>
      <c r="E151" s="1"/>
      <c r="F151" s="1"/>
      <c r="G151" s="4"/>
      <c r="H151" s="4"/>
      <c r="I151" s="4"/>
      <c r="J151" s="4"/>
      <c r="K151" s="57"/>
      <c r="M151" s="2"/>
    </row>
    <row r="152" spans="1:41" x14ac:dyDescent="0.25">
      <c r="B152" s="3"/>
      <c r="C152" s="4"/>
      <c r="D152" s="4"/>
      <c r="E152" s="4"/>
      <c r="G152" s="50"/>
      <c r="H152" s="50"/>
      <c r="I152" s="50"/>
      <c r="J152" s="50"/>
      <c r="K152" s="57"/>
      <c r="M152" s="2"/>
    </row>
    <row r="153" spans="1:41" x14ac:dyDescent="0.25">
      <c r="B153" s="3"/>
      <c r="C153" s="49"/>
      <c r="D153" s="49"/>
      <c r="E153" s="49"/>
      <c r="F153" s="52"/>
      <c r="G153" s="4"/>
      <c r="H153" s="4"/>
      <c r="I153" s="4"/>
      <c r="J153" s="4"/>
      <c r="K153" s="57"/>
      <c r="M153" s="2"/>
    </row>
    <row r="154" spans="1:41" x14ac:dyDescent="0.25">
      <c r="B154" s="3"/>
      <c r="C154" s="4"/>
      <c r="D154" s="4"/>
      <c r="E154" s="4"/>
      <c r="G154" s="4"/>
      <c r="H154" s="4"/>
      <c r="I154" s="4"/>
      <c r="J154" s="4"/>
      <c r="K154" s="57"/>
      <c r="M154" s="2"/>
    </row>
    <row r="155" spans="1:41" x14ac:dyDescent="0.25">
      <c r="B155" s="3"/>
      <c r="C155" s="4"/>
      <c r="D155" s="4"/>
      <c r="E155" s="4"/>
      <c r="G155" s="4"/>
      <c r="H155" s="4"/>
      <c r="I155" s="4"/>
      <c r="J155" s="4"/>
      <c r="K155" s="57"/>
      <c r="M155" s="2"/>
    </row>
    <row r="156" spans="1:41" x14ac:dyDescent="0.25">
      <c r="B156" s="51"/>
      <c r="C156" s="50"/>
      <c r="D156" s="50"/>
      <c r="E156" s="50"/>
      <c r="F156" s="57"/>
      <c r="G156" s="4"/>
      <c r="H156" s="4"/>
      <c r="I156" s="4"/>
      <c r="J156" s="4"/>
      <c r="K156" s="57"/>
      <c r="M156" s="2"/>
    </row>
    <row r="157" spans="1:41" x14ac:dyDescent="0.25">
      <c r="B157" s="3"/>
      <c r="C157" s="4"/>
      <c r="D157" s="4"/>
      <c r="E157" s="4"/>
      <c r="G157" s="4"/>
      <c r="H157" s="4"/>
      <c r="I157" s="4"/>
      <c r="J157" s="4"/>
      <c r="K157" s="57"/>
      <c r="M157" s="2"/>
    </row>
    <row r="158" spans="1:41" x14ac:dyDescent="0.25">
      <c r="B158" s="3"/>
      <c r="C158" s="1"/>
      <c r="D158" s="1"/>
      <c r="E158" s="1"/>
      <c r="F158" s="1"/>
      <c r="G158" s="4"/>
      <c r="H158" s="4"/>
      <c r="I158" s="4"/>
      <c r="J158" s="4"/>
      <c r="K158" s="57"/>
      <c r="M158" s="2"/>
    </row>
    <row r="159" spans="1:41" x14ac:dyDescent="0.25">
      <c r="B159" s="3"/>
      <c r="C159" s="1"/>
      <c r="D159" s="1"/>
      <c r="E159" s="1"/>
      <c r="F159" s="1"/>
      <c r="G159" s="50"/>
      <c r="H159" s="50"/>
      <c r="I159" s="50"/>
      <c r="J159" s="50"/>
      <c r="K159" s="57"/>
      <c r="M159" s="2"/>
    </row>
    <row r="160" spans="1:41" x14ac:dyDescent="0.25">
      <c r="B160" s="3"/>
      <c r="C160" s="4"/>
      <c r="D160" s="4"/>
      <c r="E160" s="4"/>
      <c r="G160" s="4"/>
      <c r="H160" s="4"/>
      <c r="I160" s="4"/>
      <c r="J160" s="4"/>
      <c r="K160" s="57"/>
      <c r="M160" s="2"/>
    </row>
    <row r="161" spans="2:13" x14ac:dyDescent="0.25">
      <c r="B161" s="3"/>
      <c r="C161" s="4"/>
      <c r="D161" s="4"/>
      <c r="E161" s="4"/>
      <c r="G161" s="4"/>
      <c r="H161" s="4"/>
      <c r="I161" s="4"/>
      <c r="J161" s="4"/>
      <c r="K161" s="57"/>
      <c r="M161" s="2"/>
    </row>
    <row r="162" spans="2:13" x14ac:dyDescent="0.25">
      <c r="B162" s="3"/>
      <c r="C162" s="4"/>
      <c r="D162" s="4"/>
      <c r="E162" s="4"/>
      <c r="G162" s="4"/>
      <c r="H162" s="4"/>
      <c r="I162" s="4"/>
      <c r="J162" s="4"/>
      <c r="K162" s="57"/>
      <c r="M162" s="2"/>
    </row>
    <row r="163" spans="2:13" x14ac:dyDescent="0.25">
      <c r="B163" s="51"/>
      <c r="C163" s="50"/>
      <c r="D163" s="50"/>
      <c r="E163" s="50"/>
      <c r="F163" s="57"/>
      <c r="G163" s="4"/>
      <c r="H163" s="4"/>
      <c r="I163" s="4"/>
      <c r="J163" s="4"/>
      <c r="K163" s="57"/>
      <c r="M163" s="2"/>
    </row>
    <row r="164" spans="2:13" x14ac:dyDescent="0.25">
      <c r="B164" s="3"/>
      <c r="C164" s="4"/>
      <c r="D164" s="4"/>
      <c r="E164" s="4"/>
      <c r="G164" s="4"/>
      <c r="H164" s="4"/>
      <c r="I164" s="4"/>
      <c r="J164" s="4"/>
      <c r="K164" s="57"/>
      <c r="M164" s="2"/>
    </row>
    <row r="165" spans="2:13" x14ac:dyDescent="0.25">
      <c r="B165" s="3"/>
      <c r="C165" s="4"/>
      <c r="D165" s="4"/>
      <c r="E165" s="4"/>
      <c r="G165" s="4"/>
      <c r="H165" s="4"/>
      <c r="I165" s="4"/>
      <c r="J165" s="4"/>
      <c r="K165" s="57"/>
      <c r="M165" s="2"/>
    </row>
    <row r="166" spans="2:13" x14ac:dyDescent="0.25">
      <c r="B166" s="3"/>
      <c r="C166" s="4"/>
      <c r="D166" s="4"/>
      <c r="E166" s="4"/>
      <c r="G166" s="50"/>
      <c r="H166" s="50"/>
      <c r="I166" s="50"/>
      <c r="J166" s="50"/>
      <c r="K166" s="57"/>
      <c r="M166" s="2"/>
    </row>
    <row r="167" spans="2:13" x14ac:dyDescent="0.25">
      <c r="B167" s="3"/>
      <c r="C167" s="4"/>
      <c r="D167" s="4"/>
      <c r="E167" s="4"/>
      <c r="G167" s="49"/>
      <c r="H167" s="49"/>
      <c r="I167" s="49"/>
      <c r="J167" s="49"/>
      <c r="K167" s="57"/>
      <c r="M167" s="2"/>
    </row>
    <row r="168" spans="2:13" x14ac:dyDescent="0.25">
      <c r="B168" s="3"/>
      <c r="C168" s="4"/>
      <c r="D168" s="4"/>
      <c r="E168" s="4"/>
      <c r="G168" s="4"/>
      <c r="H168" s="4"/>
      <c r="I168" s="4"/>
      <c r="J168" s="4"/>
      <c r="K168" s="57"/>
      <c r="M168" s="2"/>
    </row>
    <row r="169" spans="2:13" x14ac:dyDescent="0.25">
      <c r="B169" s="3"/>
      <c r="C169" s="4"/>
      <c r="D169" s="4"/>
      <c r="E169" s="4"/>
      <c r="G169" s="4"/>
      <c r="H169" s="4"/>
      <c r="I169" s="4"/>
      <c r="J169" s="4"/>
      <c r="K169" s="57"/>
      <c r="M169" s="2"/>
    </row>
    <row r="170" spans="2:13" x14ac:dyDescent="0.25">
      <c r="B170" s="51"/>
      <c r="C170" s="50"/>
      <c r="D170" s="50"/>
      <c r="E170" s="50"/>
      <c r="F170" s="57"/>
      <c r="G170" s="4"/>
      <c r="H170" s="4"/>
      <c r="I170" s="4"/>
      <c r="J170" s="4"/>
      <c r="K170" s="57"/>
      <c r="M170" s="2"/>
    </row>
    <row r="171" spans="2:13" x14ac:dyDescent="0.25">
      <c r="B171" s="3"/>
      <c r="C171" s="49"/>
      <c r="D171" s="49"/>
      <c r="E171" s="49"/>
      <c r="F171" s="52"/>
      <c r="G171" s="4"/>
      <c r="H171" s="4"/>
      <c r="I171" s="4"/>
      <c r="J171" s="4"/>
      <c r="K171" s="57"/>
      <c r="M171" s="2"/>
    </row>
    <row r="172" spans="2:13" x14ac:dyDescent="0.25">
      <c r="B172" s="3"/>
      <c r="C172" s="4"/>
      <c r="D172" s="4"/>
      <c r="E172" s="4"/>
      <c r="G172" s="4"/>
      <c r="H172" s="4"/>
      <c r="I172" s="4"/>
      <c r="J172" s="4"/>
      <c r="K172" s="57"/>
      <c r="M172" s="2"/>
    </row>
    <row r="173" spans="2:13" x14ac:dyDescent="0.25">
      <c r="B173" s="3"/>
      <c r="C173" s="4"/>
      <c r="D173" s="4"/>
      <c r="E173" s="4"/>
      <c r="G173" s="4"/>
      <c r="H173" s="4"/>
      <c r="I173" s="4"/>
      <c r="J173" s="4"/>
      <c r="K173" s="57"/>
      <c r="M173" s="2"/>
    </row>
    <row r="174" spans="2:13" x14ac:dyDescent="0.25">
      <c r="B174" s="3"/>
      <c r="C174" s="4"/>
      <c r="D174" s="4"/>
      <c r="E174" s="4"/>
      <c r="G174" s="4"/>
      <c r="H174" s="4"/>
      <c r="I174" s="4"/>
      <c r="J174" s="4"/>
      <c r="K174" s="57"/>
      <c r="M174" s="2"/>
    </row>
    <row r="175" spans="2:13" x14ac:dyDescent="0.25">
      <c r="B175" s="3"/>
      <c r="C175" s="4"/>
      <c r="D175" s="4"/>
      <c r="E175" s="4"/>
      <c r="K175" s="57"/>
      <c r="M175" s="2"/>
    </row>
    <row r="176" spans="2:13" x14ac:dyDescent="0.25">
      <c r="B176" s="3"/>
      <c r="C176" s="4"/>
      <c r="D176" s="4"/>
      <c r="E176" s="4"/>
      <c r="G176" s="49"/>
      <c r="H176" s="49"/>
      <c r="I176" s="49"/>
      <c r="J176" s="49"/>
      <c r="K176" s="57"/>
      <c r="M176" s="2"/>
    </row>
    <row r="177" spans="2:13" x14ac:dyDescent="0.25">
      <c r="B177" s="3"/>
      <c r="C177" s="4"/>
      <c r="D177" s="4"/>
      <c r="E177" s="4"/>
      <c r="G177" s="4"/>
      <c r="H177" s="4"/>
      <c r="I177" s="4"/>
      <c r="J177" s="4"/>
      <c r="K177" s="57"/>
      <c r="M177" s="2"/>
    </row>
    <row r="178" spans="2:13" x14ac:dyDescent="0.25">
      <c r="B178" s="3"/>
      <c r="C178" s="4"/>
      <c r="D178" s="4"/>
      <c r="E178" s="4"/>
      <c r="K178" s="57"/>
      <c r="M178" s="2"/>
    </row>
    <row r="179" spans="2:13" x14ac:dyDescent="0.25">
      <c r="B179" s="3"/>
      <c r="K179" s="57"/>
      <c r="M179" s="2"/>
    </row>
    <row r="180" spans="2:13" x14ac:dyDescent="0.25">
      <c r="B180" s="3"/>
      <c r="C180" s="49"/>
      <c r="D180" s="49"/>
      <c r="E180" s="49"/>
      <c r="F180" s="52"/>
      <c r="K180" s="57"/>
      <c r="M180" s="2"/>
    </row>
    <row r="181" spans="2:13" x14ac:dyDescent="0.25">
      <c r="B181" s="3"/>
      <c r="C181" s="4"/>
      <c r="D181" s="4"/>
      <c r="E181" s="4"/>
      <c r="K181" s="57"/>
      <c r="M181" s="2"/>
    </row>
  </sheetData>
  <mergeCells count="19">
    <mergeCell ref="A141:E141"/>
    <mergeCell ref="A14:A18"/>
    <mergeCell ref="K15:W16"/>
    <mergeCell ref="X16:AB16"/>
    <mergeCell ref="AC16:AD16"/>
    <mergeCell ref="AE16:AH16"/>
    <mergeCell ref="K14:AO14"/>
    <mergeCell ref="I16:J16"/>
    <mergeCell ref="H16:H17"/>
    <mergeCell ref="H15:J15"/>
    <mergeCell ref="B14:G16"/>
    <mergeCell ref="AI15:AK15"/>
    <mergeCell ref="AI16:AK16"/>
    <mergeCell ref="AL15:AO15"/>
    <mergeCell ref="X15:AH15"/>
    <mergeCell ref="AM16:AO16"/>
    <mergeCell ref="C151:F151"/>
    <mergeCell ref="C158:F158"/>
    <mergeCell ref="C159:F159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2023-04-13T19:28:45Z</dcterms:modified>
</cp:coreProperties>
</file>